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python\exelCleanClone\"/>
    </mc:Choice>
  </mc:AlternateContent>
  <xr:revisionPtr revIDLastSave="0" documentId="8_{0844DA02-E2D6-4482-9286-053137598FD7}" xr6:coauthVersionLast="47" xr6:coauthVersionMax="47" xr10:uidLastSave="{00000000-0000-0000-0000-000000000000}"/>
  <bookViews>
    <workbookView xWindow="1536" yWindow="1536" windowWidth="17280" windowHeight="8964" xr2:uid="{57C81600-4F52-4315-910B-511574391F21}"/>
  </bookViews>
  <sheets>
    <sheet name="삼성입금(5월)" sheetId="11" r:id="rId1"/>
    <sheet name="삼성입금(4월)" sheetId="10" r:id="rId2"/>
    <sheet name="삼성입금(3월)" sheetId="9" r:id="rId3"/>
    <sheet name="삼성입금(2월)" sheetId="8" r:id="rId4"/>
    <sheet name="삼성입금(1월)" sheetId="7" r:id="rId5"/>
    <sheet name="삼성입금(12월)" sheetId="6" r:id="rId6"/>
    <sheet name="삼성입금(11월)" sheetId="5" r:id="rId7"/>
    <sheet name="삼성전번" sheetId="4" r:id="rId8"/>
    <sheet name="삼성" sheetId="3" r:id="rId9"/>
    <sheet name="삼성외상대" sheetId="2" r:id="rId10"/>
    <sheet name="Sheet1" sheetId="1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" i="11" l="1"/>
  <c r="Q1" i="11" s="1"/>
  <c r="N2" i="11"/>
  <c r="O2" i="11" s="1"/>
  <c r="N7" i="11"/>
  <c r="P7" i="11" s="1"/>
  <c r="O7" i="11"/>
  <c r="N8" i="11"/>
  <c r="O8" i="11" s="1"/>
  <c r="N9" i="11"/>
  <c r="P9" i="11" s="1"/>
  <c r="O9" i="11"/>
  <c r="N10" i="11"/>
  <c r="Q10" i="11" s="1"/>
  <c r="N11" i="11"/>
  <c r="O11" i="11"/>
  <c r="P11" i="11"/>
  <c r="Q11" i="11"/>
  <c r="N12" i="11"/>
  <c r="Q12" i="11" s="1"/>
  <c r="M13" i="11"/>
  <c r="N13" i="11" s="1"/>
  <c r="Q13" i="11" s="1"/>
  <c r="N14" i="11"/>
  <c r="Q14" i="11"/>
  <c r="N15" i="11"/>
  <c r="Q15" i="11" s="1"/>
  <c r="N16" i="11"/>
  <c r="O16" i="11"/>
  <c r="P16" i="11" s="1"/>
  <c r="Q16" i="11"/>
  <c r="N17" i="11"/>
  <c r="Q17" i="11"/>
  <c r="N18" i="11"/>
  <c r="Q18" i="11" s="1"/>
  <c r="N19" i="11"/>
  <c r="Q19" i="11"/>
  <c r="N20" i="11"/>
  <c r="Q20" i="11" s="1"/>
  <c r="N21" i="11"/>
  <c r="Q21" i="11"/>
  <c r="N22" i="11"/>
  <c r="Q22" i="11" s="1"/>
  <c r="N23" i="11"/>
  <c r="Q23" i="11"/>
  <c r="N24" i="11"/>
  <c r="O24" i="11" s="1"/>
  <c r="M25" i="11"/>
  <c r="N25" i="11" s="1"/>
  <c r="Q25" i="11" s="1"/>
  <c r="N26" i="11"/>
  <c r="Q26" i="11" s="1"/>
  <c r="M27" i="11"/>
  <c r="N27" i="11"/>
  <c r="Q27" i="11"/>
  <c r="M28" i="11"/>
  <c r="N28" i="11" s="1"/>
  <c r="Q28" i="11" s="1"/>
  <c r="M29" i="11"/>
  <c r="N29" i="11" s="1"/>
  <c r="Q29" i="11" s="1"/>
  <c r="N30" i="11"/>
  <c r="Q30" i="11"/>
  <c r="N31" i="11"/>
  <c r="Q31" i="11" s="1"/>
  <c r="M32" i="11"/>
  <c r="N32" i="11"/>
  <c r="Q32" i="11" s="1"/>
  <c r="M33" i="11"/>
  <c r="N33" i="11"/>
  <c r="Q33" i="11"/>
  <c r="N34" i="11"/>
  <c r="O34" i="11" s="1"/>
  <c r="N35" i="11"/>
  <c r="O35" i="11" s="1"/>
  <c r="M36" i="11"/>
  <c r="N36" i="11" s="1"/>
  <c r="Q36" i="11" s="1"/>
  <c r="N37" i="11"/>
  <c r="Q37" i="11" s="1"/>
  <c r="M38" i="11"/>
  <c r="N38" i="11"/>
  <c r="Q38" i="11" s="1"/>
  <c r="M39" i="11"/>
  <c r="N39" i="11"/>
  <c r="O39" i="11" s="1"/>
  <c r="N40" i="11"/>
  <c r="P40" i="11" s="1"/>
  <c r="O40" i="11"/>
  <c r="N41" i="11"/>
  <c r="Q41" i="11" s="1"/>
  <c r="N42" i="11"/>
  <c r="O42" i="11"/>
  <c r="P42" i="11" s="1"/>
  <c r="Q42" i="11"/>
  <c r="N43" i="11"/>
  <c r="O43" i="11" s="1"/>
  <c r="P43" i="11" s="1"/>
  <c r="Q43" i="11"/>
  <c r="N44" i="11"/>
  <c r="O44" i="11"/>
  <c r="P44" i="11" s="1"/>
  <c r="Q44" i="11"/>
  <c r="N45" i="11"/>
  <c r="Q45" i="11" s="1"/>
  <c r="N46" i="11"/>
  <c r="Q46" i="11" s="1"/>
  <c r="N47" i="11"/>
  <c r="Q47" i="11"/>
  <c r="M48" i="11"/>
  <c r="N48" i="11"/>
  <c r="Q48" i="11" s="1"/>
  <c r="M49" i="11"/>
  <c r="N49" i="11"/>
  <c r="Q49" i="11" s="1"/>
  <c r="M50" i="11"/>
  <c r="N50" i="11"/>
  <c r="Q50" i="11" s="1"/>
  <c r="M51" i="11"/>
  <c r="N51" i="11" s="1"/>
  <c r="Q51" i="11" s="1"/>
  <c r="M52" i="11"/>
  <c r="N52" i="11" s="1"/>
  <c r="Q52" i="11" s="1"/>
  <c r="M53" i="11"/>
  <c r="N53" i="11" s="1"/>
  <c r="Q53" i="11" s="1"/>
  <c r="M54" i="11"/>
  <c r="N54" i="11" s="1"/>
  <c r="Q54" i="11" s="1"/>
  <c r="N55" i="11"/>
  <c r="Q55" i="11" s="1"/>
  <c r="N56" i="11"/>
  <c r="Q56" i="11" s="1"/>
  <c r="N57" i="11"/>
  <c r="O57" i="11" s="1"/>
  <c r="M58" i="11"/>
  <c r="N58" i="11" s="1"/>
  <c r="Q58" i="11" s="1"/>
  <c r="M59" i="11"/>
  <c r="N59" i="11"/>
  <c r="Q59" i="11" s="1"/>
  <c r="M60" i="11"/>
  <c r="N60" i="11"/>
  <c r="Q60" i="11" s="1"/>
  <c r="M61" i="11"/>
  <c r="N61" i="11"/>
  <c r="Q61" i="11" s="1"/>
  <c r="Q62" i="11"/>
  <c r="Q63" i="11"/>
  <c r="Q64" i="11"/>
  <c r="N65" i="11"/>
  <c r="Q65" i="11" s="1"/>
  <c r="N1" i="10"/>
  <c r="Q1" i="10" s="1"/>
  <c r="N2" i="10"/>
  <c r="O2" i="10" s="1"/>
  <c r="N7" i="10"/>
  <c r="Q7" i="10" s="1"/>
  <c r="N8" i="10"/>
  <c r="O8" i="10" s="1"/>
  <c r="N9" i="10"/>
  <c r="Q9" i="10" s="1"/>
  <c r="O9" i="10"/>
  <c r="P9" i="10"/>
  <c r="N10" i="10"/>
  <c r="O10" i="10" s="1"/>
  <c r="N11" i="10"/>
  <c r="Q11" i="10" s="1"/>
  <c r="O11" i="10"/>
  <c r="P11" i="10" s="1"/>
  <c r="N12" i="10"/>
  <c r="O12" i="10" s="1"/>
  <c r="N13" i="10"/>
  <c r="Q13" i="10" s="1"/>
  <c r="O13" i="10"/>
  <c r="P13" i="10" s="1"/>
  <c r="M14" i="10"/>
  <c r="N14" i="10" s="1"/>
  <c r="M15" i="10"/>
  <c r="N15" i="10"/>
  <c r="O15" i="10" s="1"/>
  <c r="M16" i="10"/>
  <c r="N16" i="10"/>
  <c r="O16" i="10" s="1"/>
  <c r="N17" i="10"/>
  <c r="O17" i="10" s="1"/>
  <c r="P17" i="10" s="1"/>
  <c r="N18" i="10"/>
  <c r="O18" i="10" s="1"/>
  <c r="Q18" i="10"/>
  <c r="N19" i="10"/>
  <c r="O19" i="10" s="1"/>
  <c r="P19" i="10" s="1"/>
  <c r="Q19" i="10"/>
  <c r="L20" i="10"/>
  <c r="N20" i="10" s="1"/>
  <c r="L21" i="10"/>
  <c r="N21" i="10" s="1"/>
  <c r="N22" i="10"/>
  <c r="O22" i="10" s="1"/>
  <c r="Q22" i="10"/>
  <c r="N23" i="10"/>
  <c r="O23" i="10" s="1"/>
  <c r="P23" i="10" s="1"/>
  <c r="Q23" i="10"/>
  <c r="N24" i="10"/>
  <c r="O24" i="10"/>
  <c r="Q24" i="10"/>
  <c r="M25" i="10"/>
  <c r="N25" i="10" s="1"/>
  <c r="M26" i="10"/>
  <c r="N26" i="10" s="1"/>
  <c r="N27" i="10"/>
  <c r="O27" i="10" s="1"/>
  <c r="N28" i="10"/>
  <c r="O28" i="10"/>
  <c r="P28" i="10" s="1"/>
  <c r="Q28" i="10"/>
  <c r="N29" i="10"/>
  <c r="O29" i="10" s="1"/>
  <c r="Q29" i="10"/>
  <c r="M30" i="10"/>
  <c r="N30" i="10"/>
  <c r="O30" i="10" s="1"/>
  <c r="N31" i="10"/>
  <c r="Q31" i="10" s="1"/>
  <c r="N33" i="10"/>
  <c r="Q33" i="10"/>
  <c r="N34" i="10"/>
  <c r="Q34" i="10" s="1"/>
  <c r="M35" i="10"/>
  <c r="N35" i="10" s="1"/>
  <c r="Q35" i="10" s="1"/>
  <c r="N36" i="10"/>
  <c r="Q36" i="10" s="1"/>
  <c r="N37" i="10"/>
  <c r="Q37" i="10"/>
  <c r="M38" i="10"/>
  <c r="N38" i="10"/>
  <c r="Q38" i="10" s="1"/>
  <c r="N39" i="10"/>
  <c r="Q39" i="10"/>
  <c r="M40" i="10"/>
  <c r="N40" i="10"/>
  <c r="Q40" i="10" s="1"/>
  <c r="M41" i="10"/>
  <c r="N41" i="10"/>
  <c r="Q41" i="10" s="1"/>
  <c r="M42" i="10"/>
  <c r="N42" i="10"/>
  <c r="Q42" i="10" s="1"/>
  <c r="M43" i="10"/>
  <c r="N43" i="10"/>
  <c r="Q43" i="10" s="1"/>
  <c r="M44" i="10"/>
  <c r="N44" i="10" s="1"/>
  <c r="Q44" i="10" s="1"/>
  <c r="N45" i="10"/>
  <c r="Q45" i="10" s="1"/>
  <c r="M46" i="10"/>
  <c r="N46" i="10"/>
  <c r="Q46" i="10" s="1"/>
  <c r="M47" i="10"/>
  <c r="N47" i="10" s="1"/>
  <c r="Q47" i="10" s="1"/>
  <c r="M48" i="10"/>
  <c r="N48" i="10" s="1"/>
  <c r="Q48" i="10" s="1"/>
  <c r="M49" i="10"/>
  <c r="N49" i="10" s="1"/>
  <c r="Q49" i="10" s="1"/>
  <c r="M50" i="10"/>
  <c r="N50" i="10" s="1"/>
  <c r="Q50" i="10" s="1"/>
  <c r="M51" i="10"/>
  <c r="N51" i="10"/>
  <c r="Q51" i="10"/>
  <c r="M52" i="10"/>
  <c r="N52" i="10"/>
  <c r="Q52" i="10" s="1"/>
  <c r="M53" i="10"/>
  <c r="N53" i="10"/>
  <c r="Q53" i="10" s="1"/>
  <c r="M54" i="10"/>
  <c r="N54" i="10"/>
  <c r="Q54" i="10" s="1"/>
  <c r="N55" i="10"/>
  <c r="Q55" i="10" s="1"/>
  <c r="N56" i="10"/>
  <c r="Q56" i="10"/>
  <c r="M57" i="10"/>
  <c r="N57" i="10"/>
  <c r="Q57" i="10"/>
  <c r="M58" i="10"/>
  <c r="N58" i="10"/>
  <c r="Q58" i="10" s="1"/>
  <c r="N59" i="10"/>
  <c r="Q59" i="10"/>
  <c r="M60" i="10"/>
  <c r="N60" i="10"/>
  <c r="Q60" i="10" s="1"/>
  <c r="N61" i="10"/>
  <c r="Q61" i="10"/>
  <c r="L62" i="10"/>
  <c r="N62" i="10" s="1"/>
  <c r="Q62" i="10" s="1"/>
  <c r="N1" i="9"/>
  <c r="Q1" i="9"/>
  <c r="N2" i="9"/>
  <c r="P2" i="9" s="1"/>
  <c r="O2" i="9"/>
  <c r="L7" i="9"/>
  <c r="N7" i="9"/>
  <c r="O7" i="9" s="1"/>
  <c r="N8" i="9"/>
  <c r="O8" i="9" s="1"/>
  <c r="L9" i="9"/>
  <c r="N9" i="9" s="1"/>
  <c r="M10" i="9"/>
  <c r="N10" i="9" s="1"/>
  <c r="M11" i="9"/>
  <c r="N11" i="9" s="1"/>
  <c r="M12" i="9"/>
  <c r="N12" i="9"/>
  <c r="O12" i="9" s="1"/>
  <c r="N13" i="9"/>
  <c r="O13" i="9" s="1"/>
  <c r="N14" i="9"/>
  <c r="O14" i="9" s="1"/>
  <c r="N15" i="9"/>
  <c r="O15" i="9" s="1"/>
  <c r="N16" i="9"/>
  <c r="O16" i="9" s="1"/>
  <c r="N17" i="9"/>
  <c r="O17" i="9" s="1"/>
  <c r="N18" i="9"/>
  <c r="O18" i="9" s="1"/>
  <c r="N19" i="9"/>
  <c r="O19" i="9" s="1"/>
  <c r="N20" i="9"/>
  <c r="O20" i="9" s="1"/>
  <c r="M21" i="9"/>
  <c r="N21" i="9" s="1"/>
  <c r="M22" i="9"/>
  <c r="N22" i="9"/>
  <c r="O22" i="9" s="1"/>
  <c r="P22" i="9" s="1"/>
  <c r="M23" i="9"/>
  <c r="N23" i="9"/>
  <c r="O23" i="9"/>
  <c r="P23" i="9" s="1"/>
  <c r="Q23" i="9"/>
  <c r="N24" i="9"/>
  <c r="P24" i="9" s="1"/>
  <c r="O24" i="9"/>
  <c r="N25" i="9"/>
  <c r="O25" i="9"/>
  <c r="P25" i="9" s="1"/>
  <c r="Q25" i="9"/>
  <c r="N26" i="9"/>
  <c r="P26" i="9" s="1"/>
  <c r="O26" i="9"/>
  <c r="N27" i="9"/>
  <c r="O27" i="9"/>
  <c r="P27" i="9" s="1"/>
  <c r="Q27" i="9"/>
  <c r="N28" i="9"/>
  <c r="P28" i="9" s="1"/>
  <c r="O28" i="9"/>
  <c r="N29" i="9"/>
  <c r="O29" i="9"/>
  <c r="P29" i="9" s="1"/>
  <c r="Q29" i="9"/>
  <c r="M30" i="9"/>
  <c r="N30" i="9"/>
  <c r="O30" i="9" s="1"/>
  <c r="N31" i="9"/>
  <c r="O31" i="9" s="1"/>
  <c r="N32" i="9"/>
  <c r="O32" i="9" s="1"/>
  <c r="M33" i="9"/>
  <c r="N33" i="9" s="1"/>
  <c r="N34" i="9"/>
  <c r="O34" i="9" s="1"/>
  <c r="Q34" i="9"/>
  <c r="N36" i="9"/>
  <c r="Q36" i="9" s="1"/>
  <c r="M37" i="9"/>
  <c r="N37" i="9"/>
  <c r="Q37" i="9" s="1"/>
  <c r="N38" i="9"/>
  <c r="Q38" i="9" s="1"/>
  <c r="N39" i="9"/>
  <c r="Q39" i="9" s="1"/>
  <c r="N40" i="9"/>
  <c r="Q40" i="9"/>
  <c r="L41" i="9"/>
  <c r="N41" i="9" s="1"/>
  <c r="Q41" i="9" s="1"/>
  <c r="M42" i="9"/>
  <c r="N42" i="9"/>
  <c r="Q42" i="9" s="1"/>
  <c r="N43" i="9"/>
  <c r="Q43" i="9"/>
  <c r="N44" i="9"/>
  <c r="Q44" i="9" s="1"/>
  <c r="L45" i="9"/>
  <c r="N45" i="9" s="1"/>
  <c r="Q45" i="9" s="1"/>
  <c r="N46" i="9"/>
  <c r="Q46" i="9" s="1"/>
  <c r="N47" i="9"/>
  <c r="Q47" i="9"/>
  <c r="L48" i="9"/>
  <c r="N48" i="9"/>
  <c r="Q48" i="9" s="1"/>
  <c r="N49" i="9"/>
  <c r="Q49" i="9" s="1"/>
  <c r="M50" i="9"/>
  <c r="N50" i="9"/>
  <c r="Q50" i="9"/>
  <c r="N51" i="9"/>
  <c r="Q51" i="9"/>
  <c r="N52" i="9"/>
  <c r="Q52" i="9"/>
  <c r="N53" i="9"/>
  <c r="Q53" i="9" s="1"/>
  <c r="M54" i="9"/>
  <c r="N54" i="9"/>
  <c r="Q54" i="9" s="1"/>
  <c r="N55" i="9"/>
  <c r="Q55" i="9" s="1"/>
  <c r="M56" i="9"/>
  <c r="N56" i="9" s="1"/>
  <c r="Q56" i="9" s="1"/>
  <c r="M57" i="9"/>
  <c r="N57" i="9"/>
  <c r="Q57" i="9" s="1"/>
  <c r="M58" i="9"/>
  <c r="N58" i="9" s="1"/>
  <c r="Q58" i="9" s="1"/>
  <c r="L59" i="9"/>
  <c r="N59" i="9" s="1"/>
  <c r="Q59" i="9" s="1"/>
  <c r="M60" i="9"/>
  <c r="N60" i="9" s="1"/>
  <c r="Q60" i="9" s="1"/>
  <c r="M61" i="9"/>
  <c r="N61" i="9"/>
  <c r="Q61" i="9" s="1"/>
  <c r="M62" i="9"/>
  <c r="N62" i="9"/>
  <c r="Q62" i="9"/>
  <c r="L63" i="9"/>
  <c r="N63" i="9"/>
  <c r="Q63" i="9" s="1"/>
  <c r="L64" i="9"/>
  <c r="M64" i="9"/>
  <c r="N64" i="9" s="1"/>
  <c r="Q64" i="9" s="1"/>
  <c r="M65" i="9"/>
  <c r="N65" i="9" s="1"/>
  <c r="Q65" i="9" s="1"/>
  <c r="M66" i="9"/>
  <c r="N66" i="9"/>
  <c r="Q66" i="9" s="1"/>
  <c r="M67" i="9"/>
  <c r="N67" i="9"/>
  <c r="Q67" i="9"/>
  <c r="M68" i="9"/>
  <c r="N68" i="9"/>
  <c r="Q68" i="9" s="1"/>
  <c r="N69" i="9"/>
  <c r="Q69" i="9" s="1"/>
  <c r="M70" i="9"/>
  <c r="N70" i="9"/>
  <c r="Q70" i="9"/>
  <c r="M71" i="9"/>
  <c r="N71" i="9"/>
  <c r="Q71" i="9" s="1"/>
  <c r="M72" i="9"/>
  <c r="N72" i="9" s="1"/>
  <c r="Q72" i="9" s="1"/>
  <c r="M73" i="9"/>
  <c r="N73" i="9"/>
  <c r="Q73" i="9" s="1"/>
  <c r="M74" i="9"/>
  <c r="N74" i="9" s="1"/>
  <c r="Q74" i="9" s="1"/>
  <c r="N75" i="9"/>
  <c r="Q75" i="9" s="1"/>
  <c r="N76" i="9"/>
  <c r="Q76" i="9"/>
  <c r="M77" i="9"/>
  <c r="N77" i="9"/>
  <c r="Q77" i="9" s="1"/>
  <c r="M78" i="9"/>
  <c r="N78" i="9" s="1"/>
  <c r="Q78" i="9" s="1"/>
  <c r="M79" i="9"/>
  <c r="N79" i="9"/>
  <c r="Q79" i="9" s="1"/>
  <c r="M80" i="9"/>
  <c r="N80" i="9" s="1"/>
  <c r="Q80" i="9" s="1"/>
  <c r="N81" i="9"/>
  <c r="Q81" i="9" s="1"/>
  <c r="N82" i="9"/>
  <c r="Q82" i="9"/>
  <c r="M83" i="9"/>
  <c r="N83" i="9"/>
  <c r="Q83" i="9" s="1"/>
  <c r="N84" i="9"/>
  <c r="Q84" i="9" s="1"/>
  <c r="N89" i="9"/>
  <c r="Q89" i="9" s="1"/>
  <c r="L90" i="9"/>
  <c r="N90" i="9" s="1"/>
  <c r="Q90" i="9" s="1"/>
  <c r="N91" i="9"/>
  <c r="Q91" i="9"/>
  <c r="L92" i="9"/>
  <c r="N92" i="9"/>
  <c r="Q92" i="9" s="1"/>
  <c r="L93" i="9"/>
  <c r="N93" i="9" s="1"/>
  <c r="M94" i="9"/>
  <c r="N94" i="9"/>
  <c r="Q94" i="9" s="1"/>
  <c r="N95" i="9"/>
  <c r="O95" i="9" s="1"/>
  <c r="N96" i="9"/>
  <c r="Q96" i="9" s="1"/>
  <c r="N97" i="9"/>
  <c r="Q97" i="9" s="1"/>
  <c r="N98" i="9"/>
  <c r="O98" i="9" s="1"/>
  <c r="M99" i="9"/>
  <c r="N99" i="9" s="1"/>
  <c r="Q99" i="9" s="1"/>
  <c r="N100" i="9"/>
  <c r="Q100" i="9"/>
  <c r="M101" i="9"/>
  <c r="N101" i="9"/>
  <c r="O101" i="9" s="1"/>
  <c r="P101" i="9" s="1"/>
  <c r="Q101" i="9"/>
  <c r="N1" i="8"/>
  <c r="Q1" i="8" s="1"/>
  <c r="N2" i="8"/>
  <c r="O2" i="8"/>
  <c r="P2" i="8" s="1"/>
  <c r="Q2" i="8"/>
  <c r="N7" i="8"/>
  <c r="Q7" i="8" s="1"/>
  <c r="O7" i="8"/>
  <c r="P7" i="8" s="1"/>
  <c r="N8" i="8"/>
  <c r="O8" i="8"/>
  <c r="P8" i="8" s="1"/>
  <c r="Q8" i="8"/>
  <c r="N9" i="8"/>
  <c r="Q9" i="8" s="1"/>
  <c r="O9" i="8"/>
  <c r="P9" i="8" s="1"/>
  <c r="N10" i="8"/>
  <c r="O10" i="8"/>
  <c r="P10" i="8" s="1"/>
  <c r="Q10" i="8"/>
  <c r="N11" i="8"/>
  <c r="Q11" i="8" s="1"/>
  <c r="O11" i="8"/>
  <c r="P11" i="8" s="1"/>
  <c r="M12" i="8"/>
  <c r="N12" i="8"/>
  <c r="O12" i="8" s="1"/>
  <c r="M13" i="8"/>
  <c r="N13" i="8" s="1"/>
  <c r="M14" i="8"/>
  <c r="N14" i="8"/>
  <c r="Q14" i="8" s="1"/>
  <c r="M15" i="8"/>
  <c r="N15" i="8"/>
  <c r="O15" i="8"/>
  <c r="P15" i="8" s="1"/>
  <c r="Q15" i="8"/>
  <c r="N16" i="8"/>
  <c r="Q16" i="8" s="1"/>
  <c r="O16" i="8"/>
  <c r="P16" i="8" s="1"/>
  <c r="N17" i="8"/>
  <c r="O17" i="8"/>
  <c r="P17" i="8" s="1"/>
  <c r="Q17" i="8"/>
  <c r="N18" i="8"/>
  <c r="Q18" i="8" s="1"/>
  <c r="O18" i="8"/>
  <c r="P18" i="8" s="1"/>
  <c r="M19" i="8"/>
  <c r="N19" i="8"/>
  <c r="O19" i="8" s="1"/>
  <c r="P19" i="8" s="1"/>
  <c r="M20" i="8"/>
  <c r="N20" i="8" s="1"/>
  <c r="N21" i="8"/>
  <c r="O21" i="8" s="1"/>
  <c r="P21" i="8" s="1"/>
  <c r="Q21" i="8"/>
  <c r="N22" i="8"/>
  <c r="O22" i="8" s="1"/>
  <c r="Q22" i="8"/>
  <c r="M23" i="8"/>
  <c r="N23" i="8"/>
  <c r="Q23" i="8" s="1"/>
  <c r="M24" i="8"/>
  <c r="N24" i="8"/>
  <c r="O24" i="8"/>
  <c r="P24" i="8" s="1"/>
  <c r="Q24" i="8"/>
  <c r="M25" i="8"/>
  <c r="N25" i="8"/>
  <c r="O25" i="8" s="1"/>
  <c r="M26" i="8"/>
  <c r="N26" i="8" s="1"/>
  <c r="M27" i="8"/>
  <c r="N27" i="8" s="1"/>
  <c r="N28" i="8"/>
  <c r="Q28" i="8" s="1"/>
  <c r="M29" i="8"/>
  <c r="N29" i="8"/>
  <c r="O29" i="8"/>
  <c r="P29" i="8" s="1"/>
  <c r="Q29" i="8"/>
  <c r="N30" i="8"/>
  <c r="Q30" i="8" s="1"/>
  <c r="O30" i="8"/>
  <c r="P30" i="8" s="1"/>
  <c r="M31" i="8"/>
  <c r="N31" i="8"/>
  <c r="O31" i="8" s="1"/>
  <c r="P31" i="8" s="1"/>
  <c r="N32" i="8"/>
  <c r="O32" i="8" s="1"/>
  <c r="N33" i="8"/>
  <c r="O33" i="8" s="1"/>
  <c r="P33" i="8" s="1"/>
  <c r="N34" i="8"/>
  <c r="O34" i="8" s="1"/>
  <c r="N35" i="8"/>
  <c r="O35" i="8" s="1"/>
  <c r="P35" i="8" s="1"/>
  <c r="N36" i="8"/>
  <c r="O36" i="8" s="1"/>
  <c r="M37" i="8"/>
  <c r="N37" i="8" s="1"/>
  <c r="M38" i="8"/>
  <c r="N38" i="8" s="1"/>
  <c r="N39" i="8"/>
  <c r="Q39" i="8" s="1"/>
  <c r="N40" i="8"/>
  <c r="O40" i="8"/>
  <c r="P40" i="8" s="1"/>
  <c r="Q40" i="8"/>
  <c r="N41" i="8"/>
  <c r="Q41" i="8" s="1"/>
  <c r="N42" i="8"/>
  <c r="O42" i="8" s="1"/>
  <c r="P42" i="8" s="1"/>
  <c r="Q42" i="8"/>
  <c r="N43" i="8"/>
  <c r="Q43" i="8" s="1"/>
  <c r="N44" i="8"/>
  <c r="O44" i="8" s="1"/>
  <c r="P44" i="8" s="1"/>
  <c r="Q44" i="8"/>
  <c r="L45" i="8"/>
  <c r="N45" i="8" s="1"/>
  <c r="N46" i="8"/>
  <c r="O46" i="8" s="1"/>
  <c r="P46" i="8" s="1"/>
  <c r="N47" i="8"/>
  <c r="Q47" i="8" s="1"/>
  <c r="N48" i="8"/>
  <c r="Q48" i="8" s="1"/>
  <c r="O48" i="8"/>
  <c r="P48" i="8" s="1"/>
  <c r="N50" i="8"/>
  <c r="Q50" i="8" s="1"/>
  <c r="M51" i="8"/>
  <c r="N51" i="8"/>
  <c r="N52" i="8"/>
  <c r="Q52" i="8" s="1"/>
  <c r="N53" i="8"/>
  <c r="Q53" i="8" s="1"/>
  <c r="N54" i="8"/>
  <c r="Q54" i="8" s="1"/>
  <c r="M55" i="8"/>
  <c r="N55" i="8" s="1"/>
  <c r="Q55" i="8" s="1"/>
  <c r="N56" i="8"/>
  <c r="Q56" i="8" s="1"/>
  <c r="N57" i="8"/>
  <c r="Q57" i="8"/>
  <c r="M58" i="8"/>
  <c r="N58" i="8"/>
  <c r="Q58" i="8" s="1"/>
  <c r="M59" i="8"/>
  <c r="N59" i="8" s="1"/>
  <c r="Q59" i="8" s="1"/>
  <c r="N60" i="8"/>
  <c r="Q60" i="8" s="1"/>
  <c r="N61" i="8"/>
  <c r="Q61" i="8"/>
  <c r="N62" i="8"/>
  <c r="Q62" i="8" s="1"/>
  <c r="M63" i="8"/>
  <c r="N63" i="8" s="1"/>
  <c r="Q63" i="8" s="1"/>
  <c r="L64" i="8"/>
  <c r="N64" i="8" s="1"/>
  <c r="Q64" i="8" s="1"/>
  <c r="M65" i="8"/>
  <c r="N65" i="8"/>
  <c r="Q65" i="8" s="1"/>
  <c r="M66" i="8"/>
  <c r="N66" i="8" s="1"/>
  <c r="Q66" i="8" s="1"/>
  <c r="M67" i="8"/>
  <c r="N67" i="8"/>
  <c r="Q67" i="8" s="1"/>
  <c r="M68" i="8"/>
  <c r="N68" i="8" s="1"/>
  <c r="Q68" i="8" s="1"/>
  <c r="M69" i="8"/>
  <c r="N69" i="8"/>
  <c r="Q69" i="8" s="1"/>
  <c r="N70" i="8"/>
  <c r="Q70" i="8" s="1"/>
  <c r="M71" i="8"/>
  <c r="N71" i="8" s="1"/>
  <c r="Q71" i="8" s="1"/>
  <c r="M72" i="8"/>
  <c r="N72" i="8"/>
  <c r="Q72" i="8" s="1"/>
  <c r="M73" i="8"/>
  <c r="N73" i="8" s="1"/>
  <c r="Q73" i="8" s="1"/>
  <c r="N74" i="8"/>
  <c r="Q74" i="8" s="1"/>
  <c r="N81" i="8"/>
  <c r="Q81" i="8"/>
  <c r="L82" i="8"/>
  <c r="N82" i="8" s="1"/>
  <c r="Q82" i="8" s="1"/>
  <c r="N83" i="8"/>
  <c r="Q83" i="8" s="1"/>
  <c r="L84" i="8"/>
  <c r="N84" i="8" s="1"/>
  <c r="Q84" i="8" s="1"/>
  <c r="L85" i="8"/>
  <c r="N85" i="8" s="1"/>
  <c r="M86" i="8"/>
  <c r="N86" i="8" s="1"/>
  <c r="Q86" i="8" s="1"/>
  <c r="N87" i="8"/>
  <c r="O87" i="8" s="1"/>
  <c r="Q87" i="8"/>
  <c r="N88" i="8"/>
  <c r="Q88" i="8"/>
  <c r="N89" i="8"/>
  <c r="Q89" i="8"/>
  <c r="N90" i="8"/>
  <c r="O90" i="8" s="1"/>
  <c r="Q90" i="8"/>
  <c r="M91" i="8"/>
  <c r="N91" i="8"/>
  <c r="Q91" i="8" s="1"/>
  <c r="N92" i="8"/>
  <c r="Q92" i="8" s="1"/>
  <c r="M93" i="8"/>
  <c r="N93" i="8"/>
  <c r="O93" i="8"/>
  <c r="P93" i="8" s="1"/>
  <c r="Q93" i="8"/>
  <c r="N1" i="7"/>
  <c r="Q1" i="7"/>
  <c r="N2" i="7"/>
  <c r="O2" i="7" s="1"/>
  <c r="N7" i="7"/>
  <c r="O7" i="7" s="1"/>
  <c r="P7" i="7" s="1"/>
  <c r="Q7" i="7"/>
  <c r="N8" i="7"/>
  <c r="O8" i="7" s="1"/>
  <c r="M9" i="7"/>
  <c r="N9" i="7" s="1"/>
  <c r="N10" i="7"/>
  <c r="O10" i="7" s="1"/>
  <c r="N11" i="7"/>
  <c r="O11" i="7"/>
  <c r="P11" i="7"/>
  <c r="Q11" i="7"/>
  <c r="N12" i="7"/>
  <c r="O12" i="7" s="1"/>
  <c r="N13" i="7"/>
  <c r="O13" i="7"/>
  <c r="P13" i="7"/>
  <c r="Q13" i="7"/>
  <c r="M14" i="7"/>
  <c r="N14" i="7" s="1"/>
  <c r="N15" i="7"/>
  <c r="O15" i="7"/>
  <c r="P15" i="7" s="1"/>
  <c r="Q15" i="7"/>
  <c r="M16" i="7"/>
  <c r="N16" i="7"/>
  <c r="Q16" i="7" s="1"/>
  <c r="N17" i="7"/>
  <c r="O17" i="7" s="1"/>
  <c r="M18" i="7"/>
  <c r="N18" i="7" s="1"/>
  <c r="N19" i="7"/>
  <c r="O19" i="7" s="1"/>
  <c r="N20" i="7"/>
  <c r="O20" i="7" s="1"/>
  <c r="P20" i="7" s="1"/>
  <c r="Q20" i="7"/>
  <c r="N21" i="7"/>
  <c r="O21" i="7" s="1"/>
  <c r="M22" i="7"/>
  <c r="N22" i="7" s="1"/>
  <c r="M23" i="7"/>
  <c r="N23" i="7" s="1"/>
  <c r="M24" i="7"/>
  <c r="N24" i="7"/>
  <c r="P24" i="7" s="1"/>
  <c r="O24" i="7"/>
  <c r="M25" i="7"/>
  <c r="N25" i="7" s="1"/>
  <c r="M26" i="7"/>
  <c r="N26" i="7" s="1"/>
  <c r="N27" i="7"/>
  <c r="O27" i="7"/>
  <c r="P27" i="7"/>
  <c r="Q27" i="7"/>
  <c r="N28" i="7"/>
  <c r="O28" i="7" s="1"/>
  <c r="N29" i="7"/>
  <c r="O29" i="7"/>
  <c r="P29" i="7"/>
  <c r="Q29" i="7"/>
  <c r="N30" i="7"/>
  <c r="O30" i="7" s="1"/>
  <c r="M31" i="7"/>
  <c r="N31" i="7"/>
  <c r="O31" i="7"/>
  <c r="P31" i="7"/>
  <c r="Q31" i="7"/>
  <c r="M32" i="7"/>
  <c r="N32" i="7"/>
  <c r="Q32" i="7" s="1"/>
  <c r="M33" i="7"/>
  <c r="N33" i="7"/>
  <c r="O33" i="7" s="1"/>
  <c r="N34" i="7"/>
  <c r="O34" i="7"/>
  <c r="P34" i="7"/>
  <c r="Q34" i="7"/>
  <c r="N35" i="7"/>
  <c r="O35" i="7" s="1"/>
  <c r="N36" i="7"/>
  <c r="O36" i="7"/>
  <c r="P36" i="7"/>
  <c r="Q36" i="7"/>
  <c r="N37" i="7"/>
  <c r="O37" i="7" s="1"/>
  <c r="N38" i="7"/>
  <c r="O38" i="7"/>
  <c r="P38" i="7"/>
  <c r="Q38" i="7"/>
  <c r="M39" i="7"/>
  <c r="N39" i="7" s="1"/>
  <c r="M40" i="7"/>
  <c r="N40" i="7"/>
  <c r="O40" i="7"/>
  <c r="P40" i="7"/>
  <c r="Q40" i="7"/>
  <c r="N41" i="7"/>
  <c r="P41" i="7" s="1"/>
  <c r="O41" i="7"/>
  <c r="M42" i="7"/>
  <c r="N42" i="7"/>
  <c r="Q42" i="7" s="1"/>
  <c r="O42" i="7"/>
  <c r="P42" i="7" s="1"/>
  <c r="M43" i="7"/>
  <c r="N43" i="7" s="1"/>
  <c r="N44" i="7"/>
  <c r="O44" i="7" s="1"/>
  <c r="Q44" i="7"/>
  <c r="N45" i="7"/>
  <c r="O45" i="7"/>
  <c r="P45" i="7"/>
  <c r="Q45" i="7"/>
  <c r="M47" i="7"/>
  <c r="N47" i="7"/>
  <c r="Q47" i="7"/>
  <c r="M48" i="7"/>
  <c r="N48" i="7"/>
  <c r="Q48" i="7" s="1"/>
  <c r="M49" i="7"/>
  <c r="N49" i="7"/>
  <c r="Q49" i="7" s="1"/>
  <c r="M50" i="7"/>
  <c r="N50" i="7"/>
  <c r="Q50" i="7"/>
  <c r="M51" i="7"/>
  <c r="N51" i="7" s="1"/>
  <c r="Q51" i="7" s="1"/>
  <c r="N52" i="7"/>
  <c r="Q52" i="7" s="1"/>
  <c r="N53" i="7"/>
  <c r="Q53" i="7"/>
  <c r="M54" i="7"/>
  <c r="N54" i="7"/>
  <c r="Q54" i="7" s="1"/>
  <c r="M55" i="7"/>
  <c r="N55" i="7"/>
  <c r="Q55" i="7" s="1"/>
  <c r="N56" i="7"/>
  <c r="Q56" i="7"/>
  <c r="M57" i="7"/>
  <c r="N57" i="7"/>
  <c r="Q57" i="7" s="1"/>
  <c r="M58" i="7"/>
  <c r="N58" i="7"/>
  <c r="Q58" i="7" s="1"/>
  <c r="M59" i="7"/>
  <c r="N59" i="7"/>
  <c r="Q59" i="7"/>
  <c r="N60" i="7"/>
  <c r="Q60" i="7" s="1"/>
  <c r="N61" i="7"/>
  <c r="Q61" i="7"/>
  <c r="M62" i="7"/>
  <c r="N62" i="7"/>
  <c r="Q62" i="7"/>
  <c r="M63" i="7"/>
  <c r="N63" i="7"/>
  <c r="Q63" i="7" s="1"/>
  <c r="M64" i="7"/>
  <c r="N64" i="7"/>
  <c r="Q64" i="7" s="1"/>
  <c r="M65" i="7"/>
  <c r="N65" i="7"/>
  <c r="Q65" i="7" s="1"/>
  <c r="N66" i="7"/>
  <c r="Q66" i="7" s="1"/>
  <c r="N74" i="7"/>
  <c r="Q74" i="7"/>
  <c r="L75" i="7"/>
  <c r="N75" i="7" s="1"/>
  <c r="Q75" i="7" s="1"/>
  <c r="N76" i="7"/>
  <c r="Q76" i="7" s="1"/>
  <c r="L77" i="7"/>
  <c r="N77" i="7"/>
  <c r="Q77" i="7"/>
  <c r="L78" i="7"/>
  <c r="N78" i="7" s="1"/>
  <c r="M79" i="7"/>
  <c r="N79" i="7"/>
  <c r="Q79" i="7"/>
  <c r="N80" i="7"/>
  <c r="O80" i="7" s="1"/>
  <c r="N81" i="7"/>
  <c r="Q81" i="7"/>
  <c r="N82" i="7"/>
  <c r="Q82" i="7"/>
  <c r="N83" i="7"/>
  <c r="O83" i="7" s="1"/>
  <c r="M84" i="7"/>
  <c r="N84" i="7"/>
  <c r="Q84" i="7"/>
  <c r="N85" i="7"/>
  <c r="Q85" i="7"/>
  <c r="M86" i="7"/>
  <c r="N86" i="7" s="1"/>
  <c r="N1" i="6"/>
  <c r="Q1" i="6"/>
  <c r="N2" i="6"/>
  <c r="P2" i="6" s="1"/>
  <c r="O2" i="6"/>
  <c r="L7" i="6"/>
  <c r="N7" i="6"/>
  <c r="O7" i="6" s="1"/>
  <c r="M8" i="6"/>
  <c r="N8" i="6" s="1"/>
  <c r="N9" i="6"/>
  <c r="P9" i="6" s="1"/>
  <c r="O9" i="6"/>
  <c r="Q9" i="6"/>
  <c r="M10" i="6"/>
  <c r="N10" i="6" s="1"/>
  <c r="N11" i="6"/>
  <c r="O11" i="6" s="1"/>
  <c r="M12" i="6"/>
  <c r="N12" i="6"/>
  <c r="P12" i="6" s="1"/>
  <c r="O12" i="6"/>
  <c r="Q12" i="6"/>
  <c r="N13" i="6"/>
  <c r="P13" i="6" s="1"/>
  <c r="O13" i="6"/>
  <c r="N14" i="6"/>
  <c r="P14" i="6" s="1"/>
  <c r="O14" i="6"/>
  <c r="Q14" i="6"/>
  <c r="N15" i="6"/>
  <c r="P15" i="6" s="1"/>
  <c r="O15" i="6"/>
  <c r="N16" i="6"/>
  <c r="P16" i="6" s="1"/>
  <c r="O16" i="6"/>
  <c r="Q16" i="6"/>
  <c r="M17" i="6"/>
  <c r="N17" i="6"/>
  <c r="O17" i="6" s="1"/>
  <c r="M18" i="6"/>
  <c r="N18" i="6" s="1"/>
  <c r="N19" i="6"/>
  <c r="O19" i="6" s="1"/>
  <c r="P19" i="6" s="1"/>
  <c r="Q19" i="6"/>
  <c r="N20" i="6"/>
  <c r="P20" i="6" s="1"/>
  <c r="O20" i="6"/>
  <c r="Q20" i="6"/>
  <c r="M21" i="6"/>
  <c r="N21" i="6" s="1"/>
  <c r="M22" i="6"/>
  <c r="N22" i="6" s="1"/>
  <c r="M23" i="6"/>
  <c r="N23" i="6"/>
  <c r="O23" i="6" s="1"/>
  <c r="N24" i="6"/>
  <c r="O24" i="6" s="1"/>
  <c r="N25" i="6"/>
  <c r="O25" i="6" s="1"/>
  <c r="N26" i="6"/>
  <c r="O26" i="6" s="1"/>
  <c r="M27" i="6"/>
  <c r="N27" i="6" s="1"/>
  <c r="N28" i="6"/>
  <c r="O28" i="6" s="1"/>
  <c r="P28" i="6" s="1"/>
  <c r="Q28" i="6"/>
  <c r="N29" i="6"/>
  <c r="P29" i="6" s="1"/>
  <c r="O29" i="6"/>
  <c r="Q29" i="6"/>
  <c r="N30" i="6"/>
  <c r="O30" i="6" s="1"/>
  <c r="P30" i="6" s="1"/>
  <c r="Q30" i="6"/>
  <c r="N31" i="6"/>
  <c r="P31" i="6" s="1"/>
  <c r="O31" i="6"/>
  <c r="Q31" i="6"/>
  <c r="N33" i="6"/>
  <c r="Q33" i="6"/>
  <c r="N34" i="6"/>
  <c r="Q34" i="6"/>
  <c r="N35" i="6"/>
  <c r="Q35" i="6" s="1"/>
  <c r="M36" i="6"/>
  <c r="N36" i="6"/>
  <c r="Q36" i="6" s="1"/>
  <c r="N37" i="6"/>
  <c r="Q37" i="6" s="1"/>
  <c r="M38" i="6"/>
  <c r="N38" i="6" s="1"/>
  <c r="Q38" i="6" s="1"/>
  <c r="N39" i="6"/>
  <c r="Q39" i="6"/>
  <c r="M40" i="6"/>
  <c r="N40" i="6"/>
  <c r="Q40" i="6" s="1"/>
  <c r="M41" i="6"/>
  <c r="N41" i="6" s="1"/>
  <c r="Q41" i="6" s="1"/>
  <c r="N42" i="6"/>
  <c r="Q42" i="6"/>
  <c r="N1" i="5"/>
  <c r="Q1" i="5" s="1"/>
  <c r="N2" i="5"/>
  <c r="O2" i="5"/>
  <c r="P2" i="5"/>
  <c r="Q2" i="5"/>
  <c r="N7" i="5"/>
  <c r="Q7" i="5" s="1"/>
  <c r="O7" i="5"/>
  <c r="P7" i="5" s="1"/>
  <c r="N8" i="5"/>
  <c r="O8" i="5"/>
  <c r="P8" i="5"/>
  <c r="Q8" i="5"/>
  <c r="N9" i="5"/>
  <c r="Q9" i="5" s="1"/>
  <c r="O9" i="5"/>
  <c r="P9" i="5" s="1"/>
  <c r="N10" i="5"/>
  <c r="O10" i="5"/>
  <c r="P10" i="5"/>
  <c r="Q10" i="5"/>
  <c r="L11" i="5"/>
  <c r="N11" i="5"/>
  <c r="O11" i="5" s="1"/>
  <c r="M12" i="5"/>
  <c r="N12" i="5"/>
  <c r="O12" i="5"/>
  <c r="P12" i="5" s="1"/>
  <c r="Q12" i="5"/>
  <c r="N13" i="5"/>
  <c r="O13" i="5" s="1"/>
  <c r="N14" i="5"/>
  <c r="O14" i="5"/>
  <c r="P14" i="5" s="1"/>
  <c r="Q14" i="5"/>
  <c r="M15" i="5"/>
  <c r="N15" i="5" s="1"/>
  <c r="L16" i="5"/>
  <c r="N16" i="5" s="1"/>
  <c r="N17" i="5"/>
  <c r="O17" i="5"/>
  <c r="P17" i="5"/>
  <c r="Q17" i="5"/>
  <c r="N18" i="5"/>
  <c r="Q18" i="5" s="1"/>
  <c r="O18" i="5"/>
  <c r="P18" i="5" s="1"/>
  <c r="N19" i="5"/>
  <c r="O19" i="5"/>
  <c r="P19" i="5"/>
  <c r="Q19" i="5"/>
  <c r="N20" i="5"/>
  <c r="Q20" i="5" s="1"/>
  <c r="O20" i="5"/>
  <c r="P20" i="5" s="1"/>
  <c r="M21" i="5"/>
  <c r="N21" i="5"/>
  <c r="O21" i="5"/>
  <c r="P21" i="5"/>
  <c r="Q21" i="5"/>
  <c r="N22" i="5"/>
  <c r="O22" i="5" s="1"/>
  <c r="N23" i="5"/>
  <c r="O23" i="5"/>
  <c r="P23" i="5"/>
  <c r="Q23" i="5"/>
  <c r="N24" i="5"/>
  <c r="O24" i="5" s="1"/>
  <c r="N25" i="5"/>
  <c r="O25" i="5"/>
  <c r="P25" i="5"/>
  <c r="Q25" i="5"/>
  <c r="N26" i="5"/>
  <c r="O26" i="5" s="1"/>
  <c r="N27" i="5"/>
  <c r="O27" i="5"/>
  <c r="P27" i="5"/>
  <c r="Q27" i="5"/>
  <c r="N28" i="5"/>
  <c r="O28" i="5" s="1"/>
  <c r="N29" i="5"/>
  <c r="O29" i="5"/>
  <c r="P29" i="5"/>
  <c r="Q29" i="5"/>
  <c r="L30" i="5"/>
  <c r="N30" i="5" s="1"/>
  <c r="N31" i="5"/>
  <c r="O31" i="5"/>
  <c r="P31" i="5" s="1"/>
  <c r="Q31" i="5"/>
  <c r="N32" i="5"/>
  <c r="O32" i="5" s="1"/>
  <c r="N33" i="5"/>
  <c r="O33" i="5"/>
  <c r="P33" i="5" s="1"/>
  <c r="Q33" i="5"/>
  <c r="N34" i="5"/>
  <c r="O34" i="5" s="1"/>
  <c r="M35" i="5"/>
  <c r="N35" i="5"/>
  <c r="Q35" i="5" s="1"/>
  <c r="N36" i="5"/>
  <c r="O36" i="5"/>
  <c r="P36" i="5"/>
  <c r="Q36" i="5"/>
  <c r="N37" i="5"/>
  <c r="Q37" i="5" s="1"/>
  <c r="N38" i="5"/>
  <c r="O38" i="5"/>
  <c r="P38" i="5"/>
  <c r="Q38" i="5"/>
  <c r="N39" i="5"/>
  <c r="Q39" i="5" s="1"/>
  <c r="N40" i="5"/>
  <c r="O40" i="5"/>
  <c r="P40" i="5"/>
  <c r="Q40" i="5"/>
  <c r="N41" i="5"/>
  <c r="Q41" i="5" s="1"/>
  <c r="N42" i="5"/>
  <c r="O42" i="5"/>
  <c r="P42" i="5"/>
  <c r="Q42" i="5"/>
  <c r="N43" i="5"/>
  <c r="Q43" i="5" s="1"/>
  <c r="N44" i="5"/>
  <c r="O44" i="5"/>
  <c r="P44" i="5"/>
  <c r="Q44" i="5"/>
  <c r="N45" i="5"/>
  <c r="Q45" i="5" s="1"/>
  <c r="N46" i="5"/>
  <c r="O46" i="5"/>
  <c r="P46" i="5"/>
  <c r="Q46" i="5"/>
  <c r="N47" i="5"/>
  <c r="Q47" i="5" s="1"/>
  <c r="M49" i="5"/>
  <c r="N49" i="5" s="1"/>
  <c r="N50" i="5"/>
  <c r="Q50" i="5" s="1"/>
  <c r="M51" i="5"/>
  <c r="N51" i="5" s="1"/>
  <c r="Q51" i="5" s="1"/>
  <c r="M52" i="5"/>
  <c r="N52" i="5" s="1"/>
  <c r="Q52" i="5" s="1"/>
  <c r="N53" i="5"/>
  <c r="Q53" i="5" s="1"/>
  <c r="N54" i="5"/>
  <c r="Q54" i="5" s="1"/>
  <c r="M55" i="5"/>
  <c r="N55" i="5"/>
  <c r="Q55" i="5" s="1"/>
  <c r="N56" i="5"/>
  <c r="Q56" i="5" s="1"/>
  <c r="N57" i="5"/>
  <c r="Q57" i="5"/>
  <c r="M58" i="5"/>
  <c r="N58" i="5"/>
  <c r="Q58" i="5"/>
  <c r="M59" i="5"/>
  <c r="N59" i="5"/>
  <c r="Q59" i="5" s="1"/>
  <c r="N60" i="5"/>
  <c r="Q60" i="5"/>
  <c r="N61" i="5"/>
  <c r="Q61" i="5"/>
  <c r="M62" i="5"/>
  <c r="N62" i="5" s="1"/>
  <c r="Q62" i="5" s="1"/>
  <c r="N63" i="5"/>
  <c r="Q63" i="5" s="1"/>
  <c r="N64" i="5"/>
  <c r="Q64" i="5" s="1"/>
  <c r="M65" i="5"/>
  <c r="N65" i="5"/>
  <c r="Q65" i="5" s="1"/>
  <c r="N66" i="5"/>
  <c r="Q66" i="5" s="1"/>
  <c r="N67" i="5"/>
  <c r="Q67" i="5"/>
  <c r="N68" i="5"/>
  <c r="Q68" i="5"/>
  <c r="N69" i="5"/>
  <c r="Q69" i="5" s="1"/>
  <c r="N70" i="5"/>
  <c r="Q70" i="5" s="1"/>
  <c r="N71" i="5"/>
  <c r="Q71" i="5"/>
  <c r="M72" i="5"/>
  <c r="N72" i="5"/>
  <c r="Q72" i="5"/>
  <c r="N1" i="3"/>
  <c r="Q1" i="3"/>
  <c r="N2" i="3"/>
  <c r="O2" i="3"/>
  <c r="P2" i="3" s="1"/>
  <c r="Q2" i="3"/>
  <c r="M4" i="3"/>
  <c r="N4" i="3"/>
  <c r="M5" i="3"/>
  <c r="N5" i="3" s="1"/>
  <c r="Q5" i="3" s="1"/>
  <c r="M6" i="3"/>
  <c r="N6" i="3"/>
  <c r="M7" i="3"/>
  <c r="N7" i="3" s="1"/>
  <c r="O7" i="3"/>
  <c r="Q7" i="3"/>
  <c r="M8" i="3"/>
  <c r="N8" i="3"/>
  <c r="Q8" i="3" s="1"/>
  <c r="N9" i="3"/>
  <c r="Q9" i="3" s="1"/>
  <c r="M11" i="3"/>
  <c r="N11" i="3" s="1"/>
  <c r="O11" i="3"/>
  <c r="N12" i="3"/>
  <c r="O12" i="3"/>
  <c r="P12" i="3" s="1"/>
  <c r="Q12" i="3"/>
  <c r="Q14" i="3"/>
  <c r="N15" i="3"/>
  <c r="N16" i="3"/>
  <c r="N17" i="3"/>
  <c r="N18" i="3"/>
  <c r="N20" i="3"/>
  <c r="N21" i="3"/>
  <c r="N22" i="3"/>
  <c r="N24" i="3"/>
  <c r="Q24" i="3" s="1"/>
  <c r="N25" i="3"/>
  <c r="N26" i="3"/>
  <c r="Q26" i="3" s="1"/>
  <c r="M28" i="3"/>
  <c r="N28" i="3" s="1"/>
  <c r="O28" i="3" s="1"/>
  <c r="M29" i="3"/>
  <c r="N29" i="3"/>
  <c r="N30" i="3"/>
  <c r="M31" i="3"/>
  <c r="N31" i="3" s="1"/>
  <c r="O31" i="3"/>
  <c r="M32" i="3"/>
  <c r="N32" i="3"/>
  <c r="Q32" i="3" s="1"/>
  <c r="L33" i="3"/>
  <c r="M33" i="3"/>
  <c r="N33" i="3"/>
  <c r="N34" i="3"/>
  <c r="M35" i="3"/>
  <c r="N35" i="3" s="1"/>
  <c r="Q35" i="3"/>
  <c r="M36" i="3"/>
  <c r="N36" i="3"/>
  <c r="N38" i="3"/>
  <c r="Q38" i="3" s="1"/>
  <c r="M39" i="3"/>
  <c r="N39" i="3" s="1"/>
  <c r="Q39" i="3" s="1"/>
  <c r="M40" i="3"/>
  <c r="N40" i="3"/>
  <c r="Q40" i="3" s="1"/>
  <c r="M42" i="3"/>
  <c r="N42" i="3" s="1"/>
  <c r="O42" i="3" s="1"/>
  <c r="Q42" i="3"/>
  <c r="N44" i="3"/>
  <c r="P44" i="3" s="1"/>
  <c r="O44" i="3"/>
  <c r="Q44" i="3"/>
  <c r="N45" i="3"/>
  <c r="P45" i="3" s="1"/>
  <c r="O45" i="3"/>
  <c r="Q45" i="3"/>
  <c r="N47" i="3"/>
  <c r="P47" i="3" s="1"/>
  <c r="O47" i="3"/>
  <c r="Q47" i="3"/>
  <c r="N48" i="3"/>
  <c r="P48" i="3" s="1"/>
  <c r="O48" i="3"/>
  <c r="Q48" i="3"/>
  <c r="N49" i="3"/>
  <c r="P49" i="3" s="1"/>
  <c r="O49" i="3"/>
  <c r="Q49" i="3"/>
  <c r="N50" i="3"/>
  <c r="Q50" i="3"/>
  <c r="N51" i="3"/>
  <c r="O51" i="3"/>
  <c r="P51" i="3" s="1"/>
  <c r="Q51" i="3"/>
  <c r="N52" i="3"/>
  <c r="O52" i="3"/>
  <c r="P52" i="3" s="1"/>
  <c r="Q52" i="3"/>
  <c r="N54" i="3"/>
  <c r="O54" i="3"/>
  <c r="P54" i="3" s="1"/>
  <c r="Q54" i="3"/>
  <c r="L55" i="3"/>
  <c r="N55" i="3"/>
  <c r="N56" i="3"/>
  <c r="M57" i="3"/>
  <c r="N57" i="3" s="1"/>
  <c r="O57" i="3"/>
  <c r="Q57" i="3"/>
  <c r="M58" i="3"/>
  <c r="N58" i="3"/>
  <c r="Q58" i="3" s="1"/>
  <c r="M59" i="3"/>
  <c r="N59" i="3" s="1"/>
  <c r="O59" i="3"/>
  <c r="M60" i="3"/>
  <c r="N60" i="3"/>
  <c r="Q60" i="3" s="1"/>
  <c r="M61" i="3"/>
  <c r="N61" i="3" s="1"/>
  <c r="Q61" i="3" s="1"/>
  <c r="M63" i="3"/>
  <c r="N63" i="3"/>
  <c r="Q63" i="3" s="1"/>
  <c r="N64" i="3"/>
  <c r="M66" i="3"/>
  <c r="P66" i="3"/>
  <c r="Q66" i="3"/>
  <c r="Q67" i="3"/>
  <c r="M69" i="3"/>
  <c r="P69" i="3"/>
  <c r="Q69" i="3"/>
  <c r="N71" i="3"/>
  <c r="Q71" i="3"/>
  <c r="N72" i="3"/>
  <c r="P72" i="3" s="1"/>
  <c r="O72" i="3"/>
  <c r="Q72" i="3"/>
  <c r="M73" i="3"/>
  <c r="N73" i="3"/>
  <c r="Q73" i="3" s="1"/>
  <c r="M74" i="3"/>
  <c r="N74" i="3" s="1"/>
  <c r="Q74" i="3" s="1"/>
  <c r="M76" i="3"/>
  <c r="N76" i="3"/>
  <c r="Q76" i="3" s="1"/>
  <c r="N77" i="3"/>
  <c r="Q77" i="3" s="1"/>
  <c r="M78" i="3"/>
  <c r="N78" i="3" s="1"/>
  <c r="Q78" i="3" s="1"/>
  <c r="M79" i="3"/>
  <c r="N79" i="3"/>
  <c r="Q79" i="3" s="1"/>
  <c r="M80" i="3"/>
  <c r="N80" i="3" s="1"/>
  <c r="Q80" i="3" s="1"/>
  <c r="M81" i="3"/>
  <c r="N81" i="3"/>
  <c r="Q81" i="3" s="1"/>
  <c r="M82" i="3"/>
  <c r="N82" i="3" s="1"/>
  <c r="Q82" i="3" s="1"/>
  <c r="M84" i="3"/>
  <c r="N84" i="3"/>
  <c r="Q84" i="3" s="1"/>
  <c r="N85" i="3"/>
  <c r="N87" i="3"/>
  <c r="Q87" i="3" s="1"/>
  <c r="M88" i="3"/>
  <c r="N88" i="3" s="1"/>
  <c r="Q88" i="3"/>
  <c r="M90" i="3"/>
  <c r="N90" i="3"/>
  <c r="L91" i="3"/>
  <c r="N91" i="3" s="1"/>
  <c r="O91" i="3"/>
  <c r="Q91" i="3"/>
  <c r="M92" i="3"/>
  <c r="N92" i="3"/>
  <c r="Q92" i="3" s="1"/>
  <c r="M93" i="3"/>
  <c r="N93" i="3" s="1"/>
  <c r="Q93" i="3" s="1"/>
  <c r="N95" i="3"/>
  <c r="P95" i="3" s="1"/>
  <c r="O95" i="3"/>
  <c r="Q95" i="3"/>
  <c r="M97" i="3"/>
  <c r="N97" i="3"/>
  <c r="Q97" i="3" s="1"/>
  <c r="N98" i="3"/>
  <c r="Q98" i="3" s="1"/>
  <c r="N99" i="3"/>
  <c r="L101" i="3"/>
  <c r="N101" i="3" s="1"/>
  <c r="O101" i="3" s="1"/>
  <c r="N102" i="3"/>
  <c r="Q102" i="3"/>
  <c r="N103" i="3"/>
  <c r="Q103" i="3"/>
  <c r="M104" i="3"/>
  <c r="N104" i="3"/>
  <c r="Q104" i="3" s="1"/>
  <c r="M105" i="3"/>
  <c r="N105" i="3" s="1"/>
  <c r="O105" i="3"/>
  <c r="N107" i="3"/>
  <c r="O107" i="3"/>
  <c r="P107" i="3" s="1"/>
  <c r="Q107" i="3"/>
  <c r="M109" i="3"/>
  <c r="N109" i="3"/>
  <c r="M111" i="3"/>
  <c r="N111" i="3" s="1"/>
  <c r="Q111" i="3" s="1"/>
  <c r="M112" i="3"/>
  <c r="N112" i="3"/>
  <c r="M113" i="3"/>
  <c r="N113" i="3" s="1"/>
  <c r="Q113" i="3"/>
  <c r="N115" i="3"/>
  <c r="O115" i="3"/>
  <c r="P115" i="3" s="1"/>
  <c r="Q115" i="3"/>
  <c r="N116" i="3"/>
  <c r="Q116" i="3"/>
  <c r="M117" i="3"/>
  <c r="N117" i="3"/>
  <c r="Q117" i="3" s="1"/>
  <c r="N118" i="3"/>
  <c r="Q118" i="3" s="1"/>
  <c r="N119" i="3"/>
  <c r="Q119" i="3" s="1"/>
  <c r="N121" i="3"/>
  <c r="M122" i="3"/>
  <c r="N122" i="3" s="1"/>
  <c r="Q122" i="3" s="1"/>
  <c r="M123" i="3"/>
  <c r="N123" i="3"/>
  <c r="Q123" i="3" s="1"/>
  <c r="N125" i="3"/>
  <c r="Q125" i="3" s="1"/>
  <c r="M126" i="3"/>
  <c r="N126" i="3" s="1"/>
  <c r="Q126" i="3"/>
  <c r="M127" i="3"/>
  <c r="N127" i="3"/>
  <c r="Q127" i="3" s="1"/>
  <c r="M128" i="3"/>
  <c r="N128" i="3" s="1"/>
  <c r="Q128" i="3" s="1"/>
  <c r="M129" i="3"/>
  <c r="N129" i="3"/>
  <c r="Q129" i="3" s="1"/>
  <c r="N131" i="3"/>
  <c r="N132" i="3"/>
  <c r="Q132" i="3" s="1"/>
  <c r="N133" i="3"/>
  <c r="N134" i="3"/>
  <c r="Q134" i="3" s="1"/>
  <c r="L135" i="3"/>
  <c r="N135" i="3" s="1"/>
  <c r="Q135" i="3"/>
  <c r="N136" i="3"/>
  <c r="Q136" i="3"/>
  <c r="M137" i="3"/>
  <c r="N137" i="3"/>
  <c r="Q137" i="3" s="1"/>
  <c r="N139" i="3"/>
  <c r="Q139" i="3" s="1"/>
  <c r="N140" i="3"/>
  <c r="Q140" i="3" s="1"/>
  <c r="M141" i="3"/>
  <c r="N141" i="3" s="1"/>
  <c r="Q141" i="3"/>
  <c r="N142" i="3"/>
  <c r="P142" i="3" s="1"/>
  <c r="O142" i="3"/>
  <c r="Q142" i="3"/>
  <c r="N144" i="3"/>
  <c r="Q144" i="3"/>
  <c r="N146" i="3"/>
  <c r="Q146" i="3"/>
  <c r="N147" i="3"/>
  <c r="Q147" i="3"/>
  <c r="L149" i="3"/>
  <c r="N149" i="3"/>
  <c r="Q149" i="3" s="1"/>
  <c r="M150" i="3"/>
  <c r="N150" i="3" s="1"/>
  <c r="Q150" i="3"/>
  <c r="N151" i="3"/>
  <c r="O151" i="3"/>
  <c r="Q151" i="3"/>
  <c r="L153" i="3"/>
  <c r="N153" i="3"/>
  <c r="Q153" i="3" s="1"/>
  <c r="N155" i="3"/>
  <c r="Q155" i="3" s="1"/>
  <c r="M157" i="3"/>
  <c r="N157" i="3" s="1"/>
  <c r="O157" i="3"/>
  <c r="Q157" i="3"/>
  <c r="M158" i="3"/>
  <c r="N158" i="3"/>
  <c r="M160" i="3"/>
  <c r="N160" i="3" s="1"/>
  <c r="O160" i="3"/>
  <c r="Q160" i="3"/>
  <c r="M161" i="3"/>
  <c r="N161" i="3"/>
  <c r="Q161" i="3" s="1"/>
  <c r="M163" i="3"/>
  <c r="N163" i="3" s="1"/>
  <c r="Q163" i="3"/>
  <c r="N164" i="3"/>
  <c r="O164" i="3"/>
  <c r="P164" i="3" s="1"/>
  <c r="Q164" i="3"/>
  <c r="M166" i="3"/>
  <c r="N166" i="3"/>
  <c r="Q166" i="3" s="1"/>
  <c r="M168" i="3"/>
  <c r="N168" i="3" s="1"/>
  <c r="Q168" i="3"/>
  <c r="M170" i="3"/>
  <c r="N170" i="3"/>
  <c r="Q170" i="3" s="1"/>
  <c r="N171" i="3"/>
  <c r="M172" i="3"/>
  <c r="N172" i="3" s="1"/>
  <c r="Q172" i="3"/>
  <c r="M174" i="3"/>
  <c r="N174" i="3"/>
  <c r="Q174" i="3" s="1"/>
  <c r="N175" i="3"/>
  <c r="N176" i="3"/>
  <c r="N177" i="3"/>
  <c r="M179" i="3"/>
  <c r="N179" i="3" s="1"/>
  <c r="Q179" i="3"/>
  <c r="N180" i="3"/>
  <c r="P180" i="3" s="1"/>
  <c r="O180" i="3"/>
  <c r="Q180" i="3"/>
  <c r="M181" i="3"/>
  <c r="N181" i="3"/>
  <c r="Q181" i="3" s="1"/>
  <c r="M182" i="3"/>
  <c r="N182" i="3" s="1"/>
  <c r="Q182" i="3" s="1"/>
  <c r="N184" i="3"/>
  <c r="O184" i="3"/>
  <c r="P184" i="3" s="1"/>
  <c r="Q184" i="3"/>
  <c r="N185" i="3"/>
  <c r="O185" i="3"/>
  <c r="P185" i="3" s="1"/>
  <c r="Q185" i="3"/>
  <c r="M186" i="3"/>
  <c r="N186" i="3"/>
  <c r="Q186" i="3"/>
  <c r="N188" i="3"/>
  <c r="N189" i="3"/>
  <c r="Q189" i="3" s="1"/>
  <c r="N190" i="3"/>
  <c r="Q190" i="3"/>
  <c r="M191" i="3"/>
  <c r="N191" i="3" s="1"/>
  <c r="Q191" i="3"/>
  <c r="M192" i="3"/>
  <c r="N192" i="3"/>
  <c r="Q192" i="3" s="1"/>
  <c r="M193" i="3"/>
  <c r="N193" i="3"/>
  <c r="Q193" i="3" s="1"/>
  <c r="M194" i="3"/>
  <c r="N194" i="3"/>
  <c r="Q194" i="3"/>
  <c r="N195" i="3"/>
  <c r="Q195" i="3" s="1"/>
  <c r="M196" i="3"/>
  <c r="N196" i="3" s="1"/>
  <c r="Q196" i="3" s="1"/>
  <c r="M197" i="3"/>
  <c r="N197" i="3"/>
  <c r="Q197" i="3"/>
  <c r="L199" i="3"/>
  <c r="N199" i="3" s="1"/>
  <c r="Q199" i="3" s="1"/>
  <c r="M199" i="3"/>
  <c r="M200" i="3"/>
  <c r="N200" i="3" s="1"/>
  <c r="Q200" i="3" s="1"/>
  <c r="M201" i="3"/>
  <c r="N201" i="3" s="1"/>
  <c r="N203" i="3"/>
  <c r="O203" i="3" s="1"/>
  <c r="Q203" i="3"/>
  <c r="M204" i="3"/>
  <c r="N204" i="3" s="1"/>
  <c r="O204" i="3"/>
  <c r="P204" i="3" s="1"/>
  <c r="Q204" i="3"/>
  <c r="N205" i="3"/>
  <c r="O205" i="3"/>
  <c r="P205" i="3" s="1"/>
  <c r="Q205" i="3"/>
  <c r="N206" i="3"/>
  <c r="Q206" i="3"/>
  <c r="N207" i="3"/>
  <c r="Q207" i="3"/>
  <c r="N209" i="3"/>
  <c r="Q209" i="3"/>
  <c r="L211" i="3"/>
  <c r="N211" i="3"/>
  <c r="O211" i="3" s="1"/>
  <c r="N212" i="3"/>
  <c r="O212" i="3" s="1"/>
  <c r="P212" i="3"/>
  <c r="Q212" i="3"/>
  <c r="M213" i="3"/>
  <c r="N213" i="3" s="1"/>
  <c r="Q213" i="3" s="1"/>
  <c r="N215" i="3"/>
  <c r="O215" i="3" s="1"/>
  <c r="N216" i="3"/>
  <c r="O216" i="3"/>
  <c r="Q216" i="3"/>
  <c r="N217" i="3"/>
  <c r="O217" i="3" s="1"/>
  <c r="Q217" i="3"/>
  <c r="N218" i="3"/>
  <c r="O218" i="3"/>
  <c r="Q218" i="3"/>
  <c r="M219" i="3"/>
  <c r="N219" i="3"/>
  <c r="Q219" i="3" s="1"/>
  <c r="M220" i="3"/>
  <c r="N220" i="3" s="1"/>
  <c r="Q220" i="3" s="1"/>
  <c r="N221" i="3"/>
  <c r="Q221" i="3"/>
  <c r="M222" i="3"/>
  <c r="N222" i="3"/>
  <c r="Q222" i="3" s="1"/>
  <c r="M223" i="3"/>
  <c r="N223" i="3" s="1"/>
  <c r="Q223" i="3" s="1"/>
  <c r="N225" i="3"/>
  <c r="Q225" i="3"/>
  <c r="N226" i="3"/>
  <c r="Q226" i="3"/>
  <c r="N228" i="3"/>
  <c r="O228" i="3"/>
  <c r="P228" i="3" s="1"/>
  <c r="Q228" i="3"/>
  <c r="N229" i="3"/>
  <c r="O229" i="3"/>
  <c r="P229" i="3"/>
  <c r="Q229" i="3"/>
  <c r="N230" i="3"/>
  <c r="O230" i="3"/>
  <c r="P230" i="3" s="1"/>
  <c r="Q230" i="3"/>
  <c r="N231" i="3"/>
  <c r="Q231" i="3"/>
  <c r="N232" i="3"/>
  <c r="O232" i="3" s="1"/>
  <c r="Q232" i="3"/>
  <c r="N233" i="3"/>
  <c r="O233" i="3" s="1"/>
  <c r="M234" i="3"/>
  <c r="N234" i="3" s="1"/>
  <c r="Q234" i="3" s="1"/>
  <c r="N235" i="3"/>
  <c r="Q235" i="3" s="1"/>
  <c r="M237" i="3"/>
  <c r="N237" i="3" s="1"/>
  <c r="P237" i="3" s="1"/>
  <c r="O237" i="3"/>
  <c r="N239" i="3"/>
  <c r="Q239" i="3"/>
  <c r="N240" i="3"/>
  <c r="O240" i="3" s="1"/>
  <c r="Q240" i="3"/>
  <c r="N242" i="3"/>
  <c r="O242" i="3" s="1"/>
  <c r="M243" i="3"/>
  <c r="N243" i="3" s="1"/>
  <c r="N245" i="3"/>
  <c r="Q245" i="3" s="1"/>
  <c r="N246" i="3"/>
  <c r="Q246" i="3" s="1"/>
  <c r="N247" i="3"/>
  <c r="O247" i="3" s="1"/>
  <c r="P247" i="3"/>
  <c r="L248" i="3"/>
  <c r="N248" i="3" s="1"/>
  <c r="O248" i="3" s="1"/>
  <c r="P248" i="3" s="1"/>
  <c r="Q248" i="3"/>
  <c r="N249" i="3"/>
  <c r="Q249" i="3"/>
  <c r="N251" i="3"/>
  <c r="Q251" i="3" s="1"/>
  <c r="N252" i="3"/>
  <c r="O252" i="3"/>
  <c r="P252" i="3"/>
  <c r="Q252" i="3"/>
  <c r="N253" i="3"/>
  <c r="Q253" i="3"/>
  <c r="N254" i="3"/>
  <c r="Q254" i="3" s="1"/>
  <c r="N255" i="3"/>
  <c r="O255" i="3"/>
  <c r="P255" i="3"/>
  <c r="Q255" i="3"/>
  <c r="N256" i="3"/>
  <c r="O256" i="3"/>
  <c r="P256" i="3"/>
  <c r="Q256" i="3"/>
  <c r="M258" i="3"/>
  <c r="N258" i="3"/>
  <c r="Q258" i="3"/>
  <c r="M260" i="3"/>
  <c r="N260" i="3" s="1"/>
  <c r="O260" i="3" s="1"/>
  <c r="Q260" i="3"/>
  <c r="M261" i="3"/>
  <c r="N261" i="3"/>
  <c r="Q261" i="3" s="1"/>
  <c r="N263" i="3"/>
  <c r="Q263" i="3" s="1"/>
  <c r="M265" i="3"/>
  <c r="N265" i="3" s="1"/>
  <c r="Q265" i="3"/>
  <c r="M266" i="3"/>
  <c r="N266" i="3"/>
  <c r="Q266" i="3" s="1"/>
  <c r="M267" i="3"/>
  <c r="N267" i="3"/>
  <c r="Q267" i="3"/>
  <c r="N269" i="3"/>
  <c r="O269" i="3"/>
  <c r="P269" i="3"/>
  <c r="Q269" i="3"/>
  <c r="N270" i="3"/>
  <c r="Q270" i="3"/>
  <c r="N271" i="3"/>
  <c r="Q271" i="3"/>
  <c r="N272" i="3"/>
  <c r="Q272" i="3"/>
  <c r="N273" i="3"/>
  <c r="Q273" i="3" s="1"/>
  <c r="L275" i="3"/>
  <c r="N275" i="3"/>
  <c r="Q275" i="3"/>
  <c r="N276" i="3"/>
  <c r="Q276" i="3" s="1"/>
  <c r="N277" i="3"/>
  <c r="Q277" i="3" s="1"/>
  <c r="N278" i="3"/>
  <c r="N279" i="3"/>
  <c r="O279" i="3" s="1"/>
  <c r="P279" i="3"/>
  <c r="Q279" i="3"/>
  <c r="N280" i="3"/>
  <c r="O280" i="3" s="1"/>
  <c r="Q280" i="3"/>
  <c r="L281" i="3"/>
  <c r="N281" i="3" s="1"/>
  <c r="Q281" i="3"/>
  <c r="N282" i="3"/>
  <c r="O282" i="3"/>
  <c r="Q282" i="3"/>
  <c r="M284" i="3"/>
  <c r="N284" i="3" s="1"/>
  <c r="N285" i="3"/>
  <c r="O285" i="3" s="1"/>
  <c r="P285" i="3"/>
  <c r="Q285" i="3"/>
  <c r="N286" i="3"/>
  <c r="O286" i="3" s="1"/>
  <c r="M287" i="3"/>
  <c r="N287" i="3" s="1"/>
  <c r="N288" i="3"/>
  <c r="O288" i="3"/>
  <c r="P288" i="3" s="1"/>
  <c r="Q288" i="3"/>
  <c r="N289" i="3"/>
  <c r="O289" i="3"/>
  <c r="P289" i="3"/>
  <c r="Q289" i="3"/>
  <c r="M290" i="3"/>
  <c r="N290" i="3"/>
  <c r="Q290" i="3" s="1"/>
  <c r="M291" i="3"/>
  <c r="N291" i="3" s="1"/>
  <c r="Q291" i="3" s="1"/>
  <c r="M293" i="3"/>
  <c r="N293" i="3"/>
  <c r="Q293" i="3"/>
  <c r="M294" i="3"/>
  <c r="N294" i="3" s="1"/>
  <c r="Q294" i="3" s="1"/>
  <c r="M295" i="3"/>
  <c r="N295" i="3" s="1"/>
  <c r="M296" i="3"/>
  <c r="N296" i="3" s="1"/>
  <c r="P296" i="3" s="1"/>
  <c r="O296" i="3"/>
  <c r="M297" i="3"/>
  <c r="N297" i="3"/>
  <c r="Q297" i="3" s="1"/>
  <c r="O297" i="3"/>
  <c r="P297" i="3" s="1"/>
  <c r="M299" i="3"/>
  <c r="N299" i="3"/>
  <c r="N300" i="3"/>
  <c r="N301" i="3"/>
  <c r="O301" i="3"/>
  <c r="Q301" i="3"/>
  <c r="N302" i="3"/>
  <c r="O302" i="3" s="1"/>
  <c r="Q302" i="3"/>
  <c r="N303" i="3"/>
  <c r="O303" i="3"/>
  <c r="Q303" i="3"/>
  <c r="M304" i="3"/>
  <c r="N304" i="3"/>
  <c r="N306" i="3"/>
  <c r="N307" i="3"/>
  <c r="O307" i="3" s="1"/>
  <c r="P307" i="3"/>
  <c r="Q307" i="3"/>
  <c r="N308" i="3"/>
  <c r="O308" i="3" s="1"/>
  <c r="Q308" i="3"/>
  <c r="M309" i="3"/>
  <c r="N309" i="3" s="1"/>
  <c r="Q309" i="3"/>
  <c r="M310" i="3"/>
  <c r="N310" i="3"/>
  <c r="Q310" i="3" s="1"/>
  <c r="N312" i="3"/>
  <c r="N313" i="3"/>
  <c r="N314" i="3"/>
  <c r="Q314" i="3" s="1"/>
  <c r="O314" i="3"/>
  <c r="P314" i="3"/>
  <c r="M315" i="3"/>
  <c r="N315" i="3" s="1"/>
  <c r="Q315" i="3" s="1"/>
  <c r="M316" i="3"/>
  <c r="N316" i="3"/>
  <c r="Q316" i="3"/>
  <c r="N317" i="3"/>
  <c r="Q317" i="3" s="1"/>
  <c r="M318" i="3"/>
  <c r="N318" i="3" s="1"/>
  <c r="Q318" i="3" s="1"/>
  <c r="N319" i="3"/>
  <c r="Q319" i="3"/>
  <c r="N320" i="3"/>
  <c r="O320" i="3"/>
  <c r="P320" i="3"/>
  <c r="Q320" i="3"/>
  <c r="L321" i="3"/>
  <c r="N321" i="3"/>
  <c r="N323" i="3"/>
  <c r="Q323" i="3" s="1"/>
  <c r="O323" i="3"/>
  <c r="P323" i="3"/>
  <c r="N324" i="3"/>
  <c r="Q324" i="3" s="1"/>
  <c r="M325" i="3"/>
  <c r="N325" i="3"/>
  <c r="O325" i="3" s="1"/>
  <c r="Q325" i="3"/>
  <c r="N326" i="3"/>
  <c r="Q326" i="3" s="1"/>
  <c r="L328" i="3"/>
  <c r="N328" i="3"/>
  <c r="N330" i="3"/>
  <c r="Q330" i="3" s="1"/>
  <c r="O330" i="3"/>
  <c r="P330" i="3"/>
  <c r="N331" i="3"/>
  <c r="Q331" i="3" s="1"/>
  <c r="N332" i="3"/>
  <c r="Q332" i="3" s="1"/>
  <c r="O332" i="3"/>
  <c r="P332" i="3" s="1"/>
  <c r="N333" i="3"/>
  <c r="Q333" i="3" s="1"/>
  <c r="O333" i="3"/>
  <c r="L334" i="3"/>
  <c r="N334" i="3"/>
  <c r="M335" i="3"/>
  <c r="N335" i="3"/>
  <c r="Q335" i="3" s="1"/>
  <c r="N336" i="3"/>
  <c r="N337" i="3"/>
  <c r="L338" i="3"/>
  <c r="N338" i="3"/>
  <c r="O338" i="3"/>
  <c r="N339" i="3"/>
  <c r="N340" i="3"/>
  <c r="O340" i="3"/>
  <c r="P340" i="3"/>
  <c r="Q340" i="3"/>
  <c r="M341" i="3"/>
  <c r="N341" i="3"/>
  <c r="Q341" i="3" s="1"/>
  <c r="M342" i="3"/>
  <c r="N342" i="3"/>
  <c r="O342" i="3"/>
  <c r="P342" i="3"/>
  <c r="Q342" i="3"/>
  <c r="M343" i="3"/>
  <c r="N343" i="3"/>
  <c r="M344" i="3"/>
  <c r="N344" i="3"/>
  <c r="Q344" i="3" s="1"/>
  <c r="N346" i="3"/>
  <c r="O346" i="3"/>
  <c r="P346" i="3" s="1"/>
  <c r="Q346" i="3"/>
  <c r="N348" i="3"/>
  <c r="Q348" i="3"/>
  <c r="M349" i="3"/>
  <c r="N349" i="3" s="1"/>
  <c r="Q349" i="3" s="1"/>
  <c r="M350" i="3"/>
  <c r="N350" i="3" s="1"/>
  <c r="N351" i="3"/>
  <c r="Q351" i="3"/>
  <c r="M353" i="3"/>
  <c r="N353" i="3"/>
  <c r="Q353" i="3" s="1"/>
  <c r="N354" i="3"/>
  <c r="Q354" i="3"/>
  <c r="N355" i="3"/>
  <c r="O355" i="3" s="1"/>
  <c r="P355" i="3"/>
  <c r="N356" i="3"/>
  <c r="O356" i="3" s="1"/>
  <c r="P356" i="3"/>
  <c r="Q356" i="3"/>
  <c r="M357" i="3"/>
  <c r="N357" i="3" s="1"/>
  <c r="Q357" i="3"/>
  <c r="L358" i="3"/>
  <c r="M358" i="3"/>
  <c r="N358" i="3" s="1"/>
  <c r="Q358" i="3" s="1"/>
  <c r="O358" i="3"/>
  <c r="P358" i="3"/>
  <c r="M359" i="3"/>
  <c r="N359" i="3"/>
  <c r="M360" i="3"/>
  <c r="N360" i="3"/>
  <c r="M361" i="3"/>
  <c r="N361" i="3"/>
  <c r="Q361" i="3" s="1"/>
  <c r="M362" i="3"/>
  <c r="N362" i="3"/>
  <c r="Q362" i="3" s="1"/>
  <c r="M363" i="3"/>
  <c r="N363" i="3"/>
  <c r="Q363" i="3" s="1"/>
  <c r="M364" i="3"/>
  <c r="N364" i="3" s="1"/>
  <c r="Q364" i="3" s="1"/>
  <c r="N365" i="3"/>
  <c r="Q365" i="3"/>
  <c r="L366" i="3"/>
  <c r="N366" i="3"/>
  <c r="Q366" i="3" s="1"/>
  <c r="M367" i="3"/>
  <c r="N367" i="3" s="1"/>
  <c r="Q367" i="3" s="1"/>
  <c r="M368" i="3"/>
  <c r="N368" i="3"/>
  <c r="Q368" i="3" s="1"/>
  <c r="M369" i="3"/>
  <c r="N369" i="3" s="1"/>
  <c r="Q369" i="3"/>
  <c r="N370" i="3"/>
  <c r="Q370" i="3" s="1"/>
  <c r="N371" i="3"/>
  <c r="O371" i="3"/>
  <c r="P371" i="3" s="1"/>
  <c r="Q371" i="3"/>
  <c r="M372" i="3"/>
  <c r="N372" i="3" s="1"/>
  <c r="Q372" i="3" s="1"/>
  <c r="M373" i="3"/>
  <c r="N373" i="3" s="1"/>
  <c r="Q373" i="3" s="1"/>
  <c r="M375" i="3"/>
  <c r="N375" i="3"/>
  <c r="Q375" i="3" s="1"/>
  <c r="M376" i="3"/>
  <c r="N376" i="3" s="1"/>
  <c r="Q376" i="3" s="1"/>
  <c r="M377" i="3"/>
  <c r="N377" i="3"/>
  <c r="Q377" i="3" s="1"/>
  <c r="M378" i="3"/>
  <c r="N378" i="3"/>
  <c r="Q378" i="3" s="1"/>
  <c r="N380" i="3"/>
  <c r="Q380" i="3"/>
  <c r="M381" i="3"/>
  <c r="N381" i="3"/>
  <c r="Q381" i="3" s="1"/>
  <c r="M382" i="3"/>
  <c r="N382" i="3" s="1"/>
  <c r="M383" i="3"/>
  <c r="N383" i="3"/>
  <c r="O383" i="3" s="1"/>
  <c r="P383" i="3"/>
  <c r="Q383" i="3"/>
  <c r="M384" i="3"/>
  <c r="N384" i="3" s="1"/>
  <c r="O384" i="3"/>
  <c r="M386" i="3"/>
  <c r="N386" i="3"/>
  <c r="Q386" i="3"/>
  <c r="M387" i="3"/>
  <c r="N387" i="3" s="1"/>
  <c r="Q387" i="3"/>
  <c r="M388" i="3"/>
  <c r="N388" i="3"/>
  <c r="Q388" i="3" s="1"/>
  <c r="M389" i="3"/>
  <c r="N389" i="3" s="1"/>
  <c r="Q389" i="3" s="1"/>
  <c r="M390" i="3"/>
  <c r="N390" i="3"/>
  <c r="M391" i="3"/>
  <c r="N391" i="3" s="1"/>
  <c r="M392" i="3"/>
  <c r="N392" i="3"/>
  <c r="Q392" i="3" s="1"/>
  <c r="M393" i="3"/>
  <c r="N393" i="3"/>
  <c r="Q393" i="3"/>
  <c r="M394" i="3"/>
  <c r="N394" i="3"/>
  <c r="O394" i="3" s="1"/>
  <c r="P394" i="3" s="1"/>
  <c r="Q394" i="3"/>
  <c r="L395" i="3"/>
  <c r="N395" i="3" s="1"/>
  <c r="L396" i="3"/>
  <c r="M396" i="3"/>
  <c r="N396" i="3" s="1"/>
  <c r="M397" i="3"/>
  <c r="N397" i="3"/>
  <c r="O397" i="3" s="1"/>
  <c r="P397" i="3"/>
  <c r="Q397" i="3"/>
  <c r="M398" i="3"/>
  <c r="N398" i="3" s="1"/>
  <c r="O398" i="3"/>
  <c r="M399" i="3"/>
  <c r="N399" i="3"/>
  <c r="Q399" i="3" s="1"/>
  <c r="M400" i="3"/>
  <c r="N400" i="3" s="1"/>
  <c r="Q400" i="3"/>
  <c r="M401" i="3"/>
  <c r="N401" i="3"/>
  <c r="Q401" i="3" s="1"/>
  <c r="M402" i="3"/>
  <c r="N402" i="3"/>
  <c r="Q402" i="3" s="1"/>
  <c r="M403" i="3"/>
  <c r="N403" i="3"/>
  <c r="Q403" i="3" s="1"/>
  <c r="M405" i="3"/>
  <c r="N405" i="3" s="1"/>
  <c r="Q405" i="3" s="1"/>
  <c r="L406" i="3"/>
  <c r="M406" i="3"/>
  <c r="N406" i="3" s="1"/>
  <c r="Q406" i="3"/>
  <c r="N407" i="3"/>
  <c r="M408" i="3"/>
  <c r="N408" i="3"/>
  <c r="O408" i="3" s="1"/>
  <c r="P408" i="3" s="1"/>
  <c r="Q408" i="3"/>
  <c r="N409" i="3"/>
  <c r="O409" i="3" s="1"/>
  <c r="P409" i="3" s="1"/>
  <c r="N410" i="3"/>
  <c r="O410" i="3" s="1"/>
  <c r="P410" i="3" s="1"/>
  <c r="Q410" i="3"/>
  <c r="M411" i="3"/>
  <c r="N411" i="3" s="1"/>
  <c r="M412" i="3"/>
  <c r="N412" i="3"/>
  <c r="Q412" i="3"/>
  <c r="N414" i="3"/>
  <c r="Q414" i="3" s="1"/>
  <c r="M416" i="3"/>
  <c r="N416" i="3" s="1"/>
  <c r="Q416" i="3" s="1"/>
  <c r="M417" i="3"/>
  <c r="N417" i="3"/>
  <c r="Q417" i="3" s="1"/>
  <c r="M418" i="3"/>
  <c r="N418" i="3" s="1"/>
  <c r="Q418" i="3"/>
  <c r="M419" i="3"/>
  <c r="N419" i="3"/>
  <c r="Q419" i="3" s="1"/>
  <c r="M420" i="3"/>
  <c r="N420" i="3" s="1"/>
  <c r="M421" i="3"/>
  <c r="N421" i="3"/>
  <c r="O421" i="3" s="1"/>
  <c r="P421" i="3"/>
  <c r="Q421" i="3"/>
  <c r="M422" i="3"/>
  <c r="N422" i="3" s="1"/>
  <c r="M423" i="3"/>
  <c r="N423" i="3"/>
  <c r="M425" i="3"/>
  <c r="N425" i="3" s="1"/>
  <c r="Q425" i="3"/>
  <c r="M426" i="3"/>
  <c r="N426" i="3" s="1"/>
  <c r="N427" i="3"/>
  <c r="O427" i="3" s="1"/>
  <c r="P427" i="3" s="1"/>
  <c r="Q427" i="3"/>
  <c r="M429" i="3"/>
  <c r="N429" i="3" s="1"/>
  <c r="O429" i="3"/>
  <c r="N430" i="3"/>
  <c r="O430" i="3"/>
  <c r="P430" i="3"/>
  <c r="Q430" i="3"/>
  <c r="M431" i="3"/>
  <c r="N431" i="3"/>
  <c r="Q431" i="3" s="1"/>
  <c r="M433" i="3"/>
  <c r="N433" i="3" s="1"/>
  <c r="Q433" i="3"/>
  <c r="M434" i="3"/>
  <c r="N434" i="3" s="1"/>
  <c r="Q434" i="3" s="1"/>
  <c r="M435" i="3"/>
  <c r="N435" i="3" s="1"/>
  <c r="Q435" i="3" s="1"/>
  <c r="M436" i="3"/>
  <c r="N436" i="3"/>
  <c r="Q436" i="3" s="1"/>
  <c r="M438" i="3"/>
  <c r="N438" i="3" s="1"/>
  <c r="Q438" i="3" s="1"/>
  <c r="L440" i="3"/>
  <c r="N440" i="3"/>
  <c r="Q440" i="3" s="1"/>
  <c r="L441" i="3"/>
  <c r="N441" i="3" s="1"/>
  <c r="Q441" i="3" s="1"/>
  <c r="N443" i="3"/>
  <c r="Q443" i="3"/>
  <c r="N444" i="3"/>
  <c r="Q444" i="3"/>
  <c r="M445" i="3"/>
  <c r="N445" i="3"/>
  <c r="Q445" i="3"/>
  <c r="M446" i="3"/>
  <c r="N446" i="3" s="1"/>
  <c r="Q446" i="3" s="1"/>
  <c r="M447" i="3"/>
  <c r="N447" i="3"/>
  <c r="Q447" i="3" s="1"/>
  <c r="M448" i="3"/>
  <c r="N448" i="3"/>
  <c r="Q448" i="3" s="1"/>
  <c r="N450" i="3"/>
  <c r="Q450" i="3"/>
  <c r="N451" i="3"/>
  <c r="Q451" i="3"/>
  <c r="N452" i="3"/>
  <c r="Q452" i="3"/>
  <c r="N454" i="3"/>
  <c r="Q454" i="3" s="1"/>
  <c r="N455" i="3"/>
  <c r="O455" i="3"/>
  <c r="Q455" i="3"/>
  <c r="L456" i="3"/>
  <c r="N456" i="3"/>
  <c r="Q456" i="3" s="1"/>
  <c r="L457" i="3"/>
  <c r="N457" i="3" s="1"/>
  <c r="Q457" i="3" s="1"/>
  <c r="N458" i="3"/>
  <c r="Q458" i="3"/>
  <c r="L459" i="3"/>
  <c r="N459" i="3"/>
  <c r="N460" i="3"/>
  <c r="Q460" i="3" s="1"/>
  <c r="N461" i="3"/>
  <c r="Q461" i="3" s="1"/>
  <c r="M462" i="3"/>
  <c r="N462" i="3"/>
  <c r="Q462" i="3" s="1"/>
  <c r="L464" i="3"/>
  <c r="N464" i="3"/>
  <c r="N465" i="3"/>
  <c r="Q465" i="3" s="1"/>
  <c r="N466" i="3"/>
  <c r="Q466" i="3" s="1"/>
  <c r="N467" i="3"/>
  <c r="Q467" i="3" s="1"/>
  <c r="M468" i="3"/>
  <c r="N468" i="3" s="1"/>
  <c r="Q468" i="3"/>
  <c r="L470" i="3"/>
  <c r="N470" i="3" s="1"/>
  <c r="N471" i="3"/>
  <c r="O471" i="3" s="1"/>
  <c r="P471" i="3" s="1"/>
  <c r="Q471" i="3"/>
  <c r="L472" i="3"/>
  <c r="N472" i="3" s="1"/>
  <c r="N473" i="3"/>
  <c r="O473" i="3"/>
  <c r="P473" i="3" s="1"/>
  <c r="Q473" i="3"/>
  <c r="N474" i="3"/>
  <c r="Q474" i="3"/>
  <c r="N475" i="3"/>
  <c r="O475" i="3"/>
  <c r="P475" i="3" s="1"/>
  <c r="Q475" i="3"/>
  <c r="N476" i="3"/>
  <c r="N477" i="3"/>
  <c r="O477" i="3"/>
  <c r="P477" i="3" s="1"/>
  <c r="Q477" i="3"/>
  <c r="N478" i="3"/>
  <c r="O478" i="3"/>
  <c r="Q478" i="3"/>
  <c r="L479" i="3"/>
  <c r="N479" i="3"/>
  <c r="O479" i="3" s="1"/>
  <c r="P479" i="3" s="1"/>
  <c r="Q479" i="3"/>
  <c r="N480" i="3"/>
  <c r="M481" i="3"/>
  <c r="N481" i="3" s="1"/>
  <c r="Q481" i="3"/>
  <c r="M482" i="3"/>
  <c r="N482" i="3"/>
  <c r="Q482" i="3" s="1"/>
  <c r="M483" i="3"/>
  <c r="N483" i="3" s="1"/>
  <c r="Q483" i="3" s="1"/>
  <c r="M484" i="3"/>
  <c r="N484" i="3"/>
  <c r="M485" i="3"/>
  <c r="N485" i="3" s="1"/>
  <c r="Q485" i="3" s="1"/>
  <c r="M486" i="3"/>
  <c r="N486" i="3" s="1"/>
  <c r="M487" i="3"/>
  <c r="N487" i="3" s="1"/>
  <c r="Q487" i="3"/>
  <c r="M488" i="3"/>
  <c r="N488" i="3"/>
  <c r="M489" i="3"/>
  <c r="N489" i="3" s="1"/>
  <c r="O489" i="3"/>
  <c r="M490" i="3"/>
  <c r="N490" i="3"/>
  <c r="O490" i="3" s="1"/>
  <c r="P490" i="3"/>
  <c r="Q490" i="3"/>
  <c r="N492" i="3"/>
  <c r="Q492" i="3" s="1"/>
  <c r="N493" i="3"/>
  <c r="M494" i="3"/>
  <c r="N494" i="3" s="1"/>
  <c r="Q494" i="3"/>
  <c r="M495" i="3"/>
  <c r="N495" i="3"/>
  <c r="Q495" i="3" s="1"/>
  <c r="M497" i="3"/>
  <c r="N497" i="3" s="1"/>
  <c r="Q497" i="3"/>
  <c r="N498" i="3"/>
  <c r="Q498" i="3"/>
  <c r="N500" i="3"/>
  <c r="Q500" i="3"/>
  <c r="M501" i="3"/>
  <c r="N501" i="3"/>
  <c r="Q501" i="3" s="1"/>
  <c r="N503" i="3"/>
  <c r="M504" i="3"/>
  <c r="N504" i="3" s="1"/>
  <c r="Q504" i="3"/>
  <c r="N505" i="3"/>
  <c r="O505" i="3"/>
  <c r="N507" i="3"/>
  <c r="O507" i="3"/>
  <c r="P507" i="3" s="1"/>
  <c r="Q507" i="3"/>
  <c r="M508" i="3"/>
  <c r="N508" i="3"/>
  <c r="N509" i="3"/>
  <c r="O509" i="3" s="1"/>
  <c r="P509" i="3" s="1"/>
  <c r="Q509" i="3"/>
  <c r="M510" i="3"/>
  <c r="N510" i="3" s="1"/>
  <c r="Q510" i="3" s="1"/>
  <c r="M511" i="3"/>
  <c r="N511" i="3"/>
  <c r="Q511" i="3" s="1"/>
  <c r="M512" i="3"/>
  <c r="N512" i="3"/>
  <c r="Q512" i="3" s="1"/>
  <c r="M513" i="3"/>
  <c r="N513" i="3"/>
  <c r="Q513" i="3" s="1"/>
  <c r="N515" i="3"/>
  <c r="Q515" i="3" s="1"/>
  <c r="N516" i="3"/>
  <c r="Q516" i="3"/>
  <c r="N517" i="3"/>
  <c r="Q517" i="3" s="1"/>
  <c r="N518" i="3"/>
  <c r="Q518" i="3" s="1"/>
  <c r="M519" i="3"/>
  <c r="N519" i="3" s="1"/>
  <c r="Q519" i="3" s="1"/>
  <c r="N521" i="3"/>
  <c r="Q521" i="3" s="1"/>
  <c r="N522" i="3"/>
  <c r="Q522" i="3"/>
  <c r="N523" i="3"/>
  <c r="Q523" i="3"/>
  <c r="N524" i="3"/>
  <c r="O524" i="3"/>
  <c r="P524" i="3"/>
  <c r="Q524" i="3"/>
  <c r="N525" i="3"/>
  <c r="O525" i="3"/>
  <c r="Q525" i="3"/>
  <c r="M526" i="3"/>
  <c r="N526" i="3"/>
  <c r="Q526" i="3" s="1"/>
  <c r="M527" i="3"/>
  <c r="N527" i="3" s="1"/>
  <c r="Q527" i="3" s="1"/>
  <c r="N529" i="3"/>
  <c r="Q529" i="3"/>
  <c r="N530" i="3"/>
  <c r="Q530" i="3"/>
  <c r="N531" i="3"/>
  <c r="Q531" i="3" s="1"/>
  <c r="N532" i="3"/>
  <c r="P532" i="3" s="1"/>
  <c r="O532" i="3"/>
  <c r="Q532" i="3"/>
  <c r="M533" i="3"/>
  <c r="N533" i="3"/>
  <c r="Q533" i="3"/>
  <c r="N535" i="3"/>
  <c r="M536" i="3"/>
  <c r="N536" i="3" s="1"/>
  <c r="Q536" i="3" s="1"/>
  <c r="M537" i="3"/>
  <c r="N537" i="3"/>
  <c r="Q537" i="3" s="1"/>
  <c r="M538" i="3"/>
  <c r="N538" i="3" s="1"/>
  <c r="Q538" i="3"/>
  <c r="M539" i="3"/>
  <c r="N539" i="3"/>
  <c r="Q539" i="3"/>
  <c r="M540" i="3"/>
  <c r="N540" i="3" s="1"/>
  <c r="Q540" i="3"/>
  <c r="N542" i="3"/>
  <c r="Q542" i="3"/>
  <c r="N543" i="3"/>
  <c r="Q543" i="3" s="1"/>
  <c r="M544" i="3"/>
  <c r="N544" i="3"/>
  <c r="Q544" i="3" s="1"/>
  <c r="M545" i="3"/>
  <c r="N545" i="3" s="1"/>
  <c r="Q545" i="3"/>
  <c r="N546" i="3"/>
  <c r="Q546" i="3" s="1"/>
  <c r="O546" i="3"/>
  <c r="P546" i="3"/>
  <c r="N548" i="3"/>
  <c r="Q548" i="3"/>
  <c r="M549" i="3"/>
  <c r="N549" i="3"/>
  <c r="Q549" i="3"/>
  <c r="M550" i="3"/>
  <c r="N550" i="3"/>
  <c r="Q550" i="3" s="1"/>
  <c r="M551" i="3"/>
  <c r="N551" i="3"/>
  <c r="Q551" i="3" s="1"/>
  <c r="N552" i="3"/>
  <c r="Q552" i="3"/>
  <c r="M553" i="3"/>
  <c r="N553" i="3"/>
  <c r="O553" i="3" s="1"/>
  <c r="N554" i="3"/>
  <c r="Q554" i="3"/>
  <c r="N556" i="3"/>
  <c r="Q556" i="3"/>
  <c r="L557" i="3"/>
  <c r="N557" i="3"/>
  <c r="Q557" i="3" s="1"/>
  <c r="M558" i="3"/>
  <c r="N558" i="3" s="1"/>
  <c r="Q558" i="3" s="1"/>
  <c r="N559" i="3"/>
  <c r="O559" i="3"/>
  <c r="P559" i="3" s="1"/>
  <c r="Q559" i="3"/>
  <c r="M560" i="3"/>
  <c r="N560" i="3"/>
  <c r="Q560" i="3" s="1"/>
  <c r="N561" i="3"/>
  <c r="Q561" i="3" s="1"/>
  <c r="L563" i="3"/>
  <c r="N563" i="3"/>
  <c r="Q563" i="3" s="1"/>
  <c r="M564" i="3"/>
  <c r="N564" i="3"/>
  <c r="Q564" i="3"/>
  <c r="M565" i="3"/>
  <c r="N565" i="3" s="1"/>
  <c r="Q565" i="3" s="1"/>
  <c r="N566" i="3"/>
  <c r="M567" i="3"/>
  <c r="N567" i="3"/>
  <c r="Q567" i="3"/>
  <c r="M569" i="3"/>
  <c r="N569" i="3" s="1"/>
  <c r="Q569" i="3"/>
  <c r="M570" i="3"/>
  <c r="N570" i="3"/>
  <c r="Q570" i="3"/>
  <c r="N572" i="3"/>
  <c r="Q572" i="3"/>
  <c r="M573" i="3"/>
  <c r="N573" i="3" s="1"/>
  <c r="Q573" i="3" s="1"/>
  <c r="N575" i="3"/>
  <c r="Q575" i="3"/>
  <c r="N576" i="3"/>
  <c r="Q576" i="3" s="1"/>
  <c r="N577" i="3"/>
  <c r="Q577" i="3"/>
  <c r="N578" i="3"/>
  <c r="O578" i="3"/>
  <c r="P578" i="3"/>
  <c r="Q578" i="3"/>
  <c r="L579" i="3"/>
  <c r="N579" i="3" s="1"/>
  <c r="Q579" i="3" s="1"/>
  <c r="M580" i="3"/>
  <c r="N580" i="3" s="1"/>
  <c r="Q580" i="3" s="1"/>
  <c r="M581" i="3"/>
  <c r="N581" i="3"/>
  <c r="Q581" i="3"/>
  <c r="M583" i="3"/>
  <c r="N583" i="3" s="1"/>
  <c r="Q583" i="3"/>
  <c r="M584" i="3"/>
  <c r="N584" i="3"/>
  <c r="Q584" i="3"/>
  <c r="M586" i="3"/>
  <c r="N586" i="3"/>
  <c r="Q586" i="3" s="1"/>
  <c r="M587" i="3"/>
  <c r="N587" i="3"/>
  <c r="Q587" i="3" s="1"/>
  <c r="N589" i="3"/>
  <c r="Q589" i="3"/>
  <c r="N590" i="3"/>
  <c r="Q590" i="3" s="1"/>
  <c r="L591" i="3"/>
  <c r="N591" i="3" s="1"/>
  <c r="Q591" i="3"/>
  <c r="L592" i="3"/>
  <c r="N592" i="3"/>
  <c r="Q592" i="3"/>
  <c r="N593" i="3"/>
  <c r="Q593" i="3"/>
  <c r="M594" i="3"/>
  <c r="N594" i="3" s="1"/>
  <c r="Q594" i="3"/>
  <c r="M595" i="3"/>
  <c r="N595" i="3"/>
  <c r="Q595" i="3"/>
  <c r="N597" i="3"/>
  <c r="O597" i="3"/>
  <c r="N598" i="3"/>
  <c r="N599" i="3"/>
  <c r="Q599" i="3"/>
  <c r="M600" i="3"/>
  <c r="N600" i="3" s="1"/>
  <c r="Q600" i="3" s="1"/>
  <c r="M601" i="3"/>
  <c r="N601" i="3"/>
  <c r="Q601" i="3"/>
  <c r="L602" i="3"/>
  <c r="N602" i="3"/>
  <c r="Q602" i="3"/>
  <c r="N603" i="3"/>
  <c r="Q603" i="3"/>
  <c r="M604" i="3"/>
  <c r="N604" i="3"/>
  <c r="Q604" i="3"/>
  <c r="M605" i="3"/>
  <c r="N605" i="3" s="1"/>
  <c r="Q605" i="3"/>
  <c r="M606" i="3"/>
  <c r="N606" i="3"/>
  <c r="Q606" i="3"/>
  <c r="M608" i="3"/>
  <c r="N608" i="3"/>
  <c r="Q608" i="3" s="1"/>
  <c r="M609" i="3"/>
  <c r="N609" i="3"/>
  <c r="Q609" i="3" s="1"/>
  <c r="M610" i="3"/>
  <c r="N610" i="3"/>
  <c r="Q610" i="3"/>
  <c r="M611" i="3"/>
  <c r="N611" i="3" s="1"/>
  <c r="Q611" i="3" s="1"/>
  <c r="M612" i="3"/>
  <c r="N612" i="3" s="1"/>
  <c r="Q612" i="3" s="1"/>
  <c r="M613" i="3"/>
  <c r="N613" i="3"/>
  <c r="M614" i="3"/>
  <c r="N614" i="3" s="1"/>
  <c r="Q614" i="3" s="1"/>
  <c r="N616" i="3"/>
  <c r="Q616" i="3" s="1"/>
  <c r="O616" i="3"/>
  <c r="M617" i="3"/>
  <c r="N617" i="3"/>
  <c r="Q617" i="3"/>
  <c r="M618" i="3"/>
  <c r="N618" i="3"/>
  <c r="Q618" i="3" s="1"/>
  <c r="M619" i="3"/>
  <c r="N619" i="3"/>
  <c r="Q619" i="3" s="1"/>
  <c r="M620" i="3"/>
  <c r="N620" i="3"/>
  <c r="Q620" i="3"/>
  <c r="M621" i="3"/>
  <c r="N621" i="3" s="1"/>
  <c r="Q621" i="3" s="1"/>
  <c r="N622" i="3"/>
  <c r="Q622" i="3"/>
  <c r="M624" i="3"/>
  <c r="N624" i="3"/>
  <c r="Q624" i="3" s="1"/>
  <c r="M625" i="3"/>
  <c r="N625" i="3"/>
  <c r="O625" i="3"/>
  <c r="P625" i="3" s="1"/>
  <c r="Q625" i="3"/>
  <c r="M627" i="3"/>
  <c r="N627" i="3" s="1"/>
  <c r="Q627" i="3"/>
  <c r="M628" i="3"/>
  <c r="N628" i="3"/>
  <c r="Q628" i="3"/>
  <c r="M629" i="3"/>
  <c r="N629" i="3" s="1"/>
  <c r="Q629" i="3" s="1"/>
  <c r="N630" i="3"/>
  <c r="Q630" i="3"/>
  <c r="M631" i="3"/>
  <c r="N631" i="3"/>
  <c r="Q631" i="3"/>
  <c r="N632" i="3"/>
  <c r="Q632" i="3"/>
  <c r="M633" i="3"/>
  <c r="N633" i="3" s="1"/>
  <c r="Q633" i="3"/>
  <c r="N634" i="3"/>
  <c r="Q634" i="3"/>
  <c r="M635" i="3"/>
  <c r="N635" i="3"/>
  <c r="Q635" i="3"/>
  <c r="M636" i="3"/>
  <c r="N636" i="3" s="1"/>
  <c r="Q636" i="3" s="1"/>
  <c r="M637" i="3"/>
  <c r="N637" i="3"/>
  <c r="Q637" i="3"/>
  <c r="M638" i="3"/>
  <c r="N638" i="3"/>
  <c r="Q638" i="3" s="1"/>
  <c r="M639" i="3"/>
  <c r="N639" i="3"/>
  <c r="Q639" i="3" s="1"/>
  <c r="M640" i="3"/>
  <c r="N640" i="3"/>
  <c r="Q640" i="3"/>
  <c r="M641" i="3"/>
  <c r="N641" i="3" s="1"/>
  <c r="Q641" i="3" s="1"/>
  <c r="M642" i="3"/>
  <c r="N642" i="3" s="1"/>
  <c r="Q642" i="3" s="1"/>
  <c r="N643" i="3"/>
  <c r="Q643" i="3"/>
  <c r="M644" i="3"/>
  <c r="N644" i="3" s="1"/>
  <c r="Q644" i="3" s="1"/>
  <c r="M645" i="3"/>
  <c r="N645" i="3" s="1"/>
  <c r="Q645" i="3" s="1"/>
  <c r="M646" i="3"/>
  <c r="N646" i="3"/>
  <c r="Q646" i="3"/>
  <c r="M648" i="3"/>
  <c r="N648" i="3" s="1"/>
  <c r="O648" i="3"/>
  <c r="M649" i="3"/>
  <c r="N649" i="3"/>
  <c r="N651" i="3"/>
  <c r="Q651" i="3" s="1"/>
  <c r="M653" i="3"/>
  <c r="N653" i="3"/>
  <c r="Q653" i="3" s="1"/>
  <c r="N655" i="3"/>
  <c r="Q655" i="3"/>
  <c r="N656" i="3"/>
  <c r="O656" i="3"/>
  <c r="P656" i="3"/>
  <c r="Q656" i="3"/>
  <c r="M658" i="3"/>
  <c r="N658" i="3" s="1"/>
  <c r="Q658" i="3" s="1"/>
  <c r="M659" i="3"/>
  <c r="N659" i="3" s="1"/>
  <c r="Q659" i="3" s="1"/>
  <c r="N661" i="3"/>
  <c r="Q661" i="3" s="1"/>
  <c r="O661" i="3"/>
  <c r="P661" i="3"/>
  <c r="N662" i="3"/>
  <c r="O662" i="3"/>
  <c r="P662" i="3" s="1"/>
  <c r="Q662" i="3"/>
  <c r="M663" i="3"/>
  <c r="N663" i="3" s="1"/>
  <c r="Q663" i="3" s="1"/>
  <c r="M664" i="3"/>
  <c r="N664" i="3" s="1"/>
  <c r="Q664" i="3"/>
  <c r="M665" i="3"/>
  <c r="N665" i="3"/>
  <c r="Q665" i="3"/>
  <c r="M666" i="3"/>
  <c r="N666" i="3" s="1"/>
  <c r="M667" i="3"/>
  <c r="N667" i="3"/>
  <c r="Q667" i="3"/>
  <c r="M668" i="3"/>
  <c r="N668" i="3"/>
  <c r="Q668" i="3"/>
  <c r="N669" i="3"/>
  <c r="O669" i="3"/>
  <c r="P669" i="3"/>
  <c r="Q669" i="3"/>
  <c r="N671" i="3"/>
  <c r="Q671" i="3"/>
  <c r="M672" i="3"/>
  <c r="N672" i="3"/>
  <c r="Q672" i="3"/>
  <c r="R672" i="3"/>
  <c r="M673" i="3"/>
  <c r="N673" i="3" s="1"/>
  <c r="N674" i="3"/>
  <c r="Q674" i="3"/>
  <c r="N675" i="3"/>
  <c r="Q675" i="3"/>
  <c r="N677" i="3"/>
  <c r="Q677" i="3" s="1"/>
  <c r="M678" i="3"/>
  <c r="N678" i="3" s="1"/>
  <c r="Q678" i="3" s="1"/>
  <c r="M679" i="3"/>
  <c r="N679" i="3"/>
  <c r="Q679" i="3" s="1"/>
  <c r="N680" i="3"/>
  <c r="Q680" i="3" s="1"/>
  <c r="N681" i="3"/>
  <c r="Q681" i="3" s="1"/>
  <c r="M682" i="3"/>
  <c r="N682" i="3"/>
  <c r="O682" i="3" s="1"/>
  <c r="P682" i="3" s="1"/>
  <c r="Q682" i="3"/>
  <c r="N684" i="3"/>
  <c r="O684" i="3"/>
  <c r="P684" i="3" s="1"/>
  <c r="Q684" i="3"/>
  <c r="N685" i="3"/>
  <c r="O685" i="3" s="1"/>
  <c r="M686" i="3"/>
  <c r="N686" i="3"/>
  <c r="Q686" i="3" s="1"/>
  <c r="N687" i="3"/>
  <c r="O687" i="3"/>
  <c r="P687" i="3"/>
  <c r="Q687" i="3"/>
  <c r="N689" i="3"/>
  <c r="M690" i="3"/>
  <c r="N690" i="3"/>
  <c r="Q690" i="3"/>
  <c r="M692" i="3"/>
  <c r="N692" i="3"/>
  <c r="Q692" i="3" s="1"/>
  <c r="M693" i="3"/>
  <c r="N693" i="3" s="1"/>
  <c r="Q693" i="3" s="1"/>
  <c r="M694" i="3"/>
  <c r="N694" i="3"/>
  <c r="Q694" i="3"/>
  <c r="M696" i="3"/>
  <c r="N696" i="3" s="1"/>
  <c r="Q696" i="3"/>
  <c r="N698" i="3"/>
  <c r="O698" i="3"/>
  <c r="P698" i="3"/>
  <c r="Q698" i="3"/>
  <c r="N699" i="3"/>
  <c r="Q699" i="3"/>
  <c r="L700" i="3"/>
  <c r="N700" i="3"/>
  <c r="Q700" i="3" s="1"/>
  <c r="N701" i="3"/>
  <c r="Q701" i="3"/>
  <c r="M702" i="3"/>
  <c r="N702" i="3" s="1"/>
  <c r="Q702" i="3" s="1"/>
  <c r="M704" i="3"/>
  <c r="N704" i="3"/>
  <c r="Q704" i="3" s="1"/>
  <c r="M705" i="3"/>
  <c r="N705" i="3"/>
  <c r="Q705" i="3"/>
  <c r="N707" i="3"/>
  <c r="O707" i="3" s="1"/>
  <c r="Q707" i="3"/>
  <c r="N708" i="3"/>
  <c r="O708" i="3"/>
  <c r="P708" i="3"/>
  <c r="Q708" i="3"/>
  <c r="M709" i="3"/>
  <c r="N709" i="3" s="1"/>
  <c r="Q709" i="3" s="1"/>
  <c r="M710" i="3"/>
  <c r="N710" i="3" s="1"/>
  <c r="Q710" i="3" s="1"/>
  <c r="M711" i="3"/>
  <c r="N711" i="3"/>
  <c r="Q711" i="3" s="1"/>
  <c r="L713" i="3"/>
  <c r="M713" i="3"/>
  <c r="N713" i="3"/>
  <c r="Q713" i="3" s="1"/>
  <c r="M714" i="3"/>
  <c r="N714" i="3"/>
  <c r="O714" i="3"/>
  <c r="M716" i="3"/>
  <c r="N716" i="3"/>
  <c r="Q716" i="3"/>
  <c r="M717" i="3"/>
  <c r="N717" i="3" s="1"/>
  <c r="Q717" i="3" s="1"/>
  <c r="M719" i="3"/>
  <c r="N719" i="3"/>
  <c r="Q719" i="3"/>
  <c r="M720" i="3"/>
  <c r="N720" i="3"/>
  <c r="O720" i="3" s="1"/>
  <c r="M721" i="3"/>
  <c r="N721" i="3"/>
  <c r="Q721" i="3"/>
  <c r="N722" i="3"/>
  <c r="Q722" i="3"/>
  <c r="N723" i="3"/>
  <c r="Q723" i="3" s="1"/>
  <c r="M724" i="3"/>
  <c r="N724" i="3" s="1"/>
  <c r="Q724" i="3" s="1"/>
  <c r="M726" i="3"/>
  <c r="N726" i="3"/>
  <c r="Q726" i="3"/>
  <c r="M727" i="3"/>
  <c r="N727" i="3" s="1"/>
  <c r="Q727" i="3"/>
  <c r="M729" i="3"/>
  <c r="N729" i="3"/>
  <c r="Q729" i="3"/>
  <c r="M730" i="3"/>
  <c r="N730" i="3"/>
  <c r="Q730" i="3"/>
  <c r="N732" i="3"/>
  <c r="Q732" i="3"/>
  <c r="N733" i="3"/>
  <c r="Q733" i="3"/>
  <c r="M734" i="3"/>
  <c r="N734" i="3" s="1"/>
  <c r="Q734" i="3" s="1"/>
  <c r="M735" i="3"/>
  <c r="N735" i="3" s="1"/>
  <c r="M737" i="3"/>
  <c r="N737" i="3"/>
  <c r="Q737" i="3" s="1"/>
  <c r="O737" i="3"/>
  <c r="M738" i="3"/>
  <c r="N738" i="3" s="1"/>
  <c r="Q738" i="3" s="1"/>
  <c r="M739" i="3"/>
  <c r="N739" i="3"/>
  <c r="Q739" i="3" s="1"/>
  <c r="N741" i="3"/>
  <c r="Q741" i="3" s="1"/>
  <c r="M742" i="3"/>
  <c r="N742" i="3" s="1"/>
  <c r="Q742" i="3" s="1"/>
  <c r="M743" i="3"/>
  <c r="N743" i="3" s="1"/>
  <c r="Q743" i="3" s="1"/>
  <c r="L745" i="3"/>
  <c r="N745" i="3" s="1"/>
  <c r="Q745" i="3"/>
  <c r="N746" i="3"/>
  <c r="Q746" i="3"/>
  <c r="N747" i="3"/>
  <c r="Q747" i="3"/>
  <c r="M749" i="3"/>
  <c r="N749" i="3" s="1"/>
  <c r="M751" i="3"/>
  <c r="N751" i="3" s="1"/>
  <c r="Q751" i="3" s="1"/>
  <c r="N753" i="3"/>
  <c r="Q753" i="3" s="1"/>
  <c r="O753" i="3"/>
  <c r="N754" i="3"/>
  <c r="O754" i="3"/>
  <c r="P754" i="3"/>
  <c r="Q754" i="3"/>
  <c r="N755" i="3"/>
  <c r="Q755" i="3"/>
  <c r="M756" i="3"/>
  <c r="N756" i="3"/>
  <c r="Q756" i="3" s="1"/>
  <c r="N758" i="3"/>
  <c r="Q758" i="3"/>
  <c r="N760" i="3"/>
  <c r="Q760" i="3" s="1"/>
  <c r="N761" i="3"/>
  <c r="O761" i="3" s="1"/>
  <c r="P761" i="3"/>
  <c r="M762" i="3"/>
  <c r="N762" i="3"/>
  <c r="Q762" i="3"/>
  <c r="M763" i="3"/>
  <c r="N763" i="3"/>
  <c r="Q763" i="3" s="1"/>
  <c r="N765" i="3"/>
  <c r="Q765" i="3"/>
  <c r="M766" i="3"/>
  <c r="N766" i="3" s="1"/>
  <c r="Q766" i="3" s="1"/>
  <c r="M768" i="3"/>
  <c r="N768" i="3"/>
  <c r="Q768" i="3" s="1"/>
  <c r="M769" i="3"/>
  <c r="N769" i="3"/>
  <c r="Q769" i="3"/>
  <c r="M771" i="3"/>
  <c r="N771" i="3" s="1"/>
  <c r="Q771" i="3" s="1"/>
  <c r="M772" i="3"/>
  <c r="N772" i="3" s="1"/>
  <c r="Q772" i="3"/>
  <c r="M773" i="3"/>
  <c r="N773" i="3"/>
  <c r="Q773" i="3"/>
  <c r="N775" i="3"/>
  <c r="Q775" i="3" s="1"/>
  <c r="M776" i="3"/>
  <c r="N776" i="3" s="1"/>
  <c r="Q776" i="3" s="1"/>
  <c r="N778" i="3"/>
  <c r="Q778" i="3"/>
  <c r="M779" i="3"/>
  <c r="N779" i="3"/>
  <c r="Q779" i="3" s="1"/>
  <c r="M780" i="3"/>
  <c r="N780" i="3" s="1"/>
  <c r="Q780" i="3"/>
  <c r="M781" i="3"/>
  <c r="N781" i="3" s="1"/>
  <c r="Q781" i="3" s="1"/>
  <c r="N783" i="3"/>
  <c r="N784" i="3"/>
  <c r="Q784" i="3" s="1"/>
  <c r="O784" i="3"/>
  <c r="P784" i="3"/>
  <c r="M785" i="3"/>
  <c r="N785" i="3" s="1"/>
  <c r="Q785" i="3"/>
  <c r="M787" i="3"/>
  <c r="N787" i="3"/>
  <c r="O787" i="3"/>
  <c r="P787" i="3"/>
  <c r="Q787" i="3"/>
  <c r="N789" i="3"/>
  <c r="Q789" i="3" s="1"/>
  <c r="N790" i="3"/>
  <c r="Q790" i="3" s="1"/>
  <c r="M791" i="3"/>
  <c r="N791" i="3"/>
  <c r="Q791" i="3" s="1"/>
  <c r="N792" i="3"/>
  <c r="Q792" i="3"/>
  <c r="N793" i="3"/>
  <c r="Q793" i="3"/>
  <c r="M794" i="3"/>
  <c r="N794" i="3"/>
  <c r="Q794" i="3"/>
  <c r="M795" i="3"/>
  <c r="N795" i="3"/>
  <c r="Q795" i="3"/>
  <c r="M796" i="3"/>
  <c r="N796" i="3"/>
  <c r="Q796" i="3" s="1"/>
  <c r="M797" i="3"/>
  <c r="N797" i="3"/>
  <c r="Q797" i="3"/>
  <c r="N798" i="3"/>
  <c r="O798" i="3"/>
  <c r="Q798" i="3"/>
  <c r="M799" i="3"/>
  <c r="N799" i="3"/>
  <c r="Q799" i="3" s="1"/>
  <c r="M801" i="3"/>
  <c r="N801" i="3"/>
  <c r="Q801" i="3" s="1"/>
  <c r="M802" i="3"/>
  <c r="N802" i="3"/>
  <c r="Q802" i="3" s="1"/>
  <c r="M803" i="3"/>
  <c r="N803" i="3" s="1"/>
  <c r="Q803" i="3" s="1"/>
  <c r="N804" i="3"/>
  <c r="Q804" i="3"/>
  <c r="N805" i="3"/>
  <c r="Q805" i="3"/>
  <c r="M806" i="3"/>
  <c r="N806" i="3"/>
  <c r="Q806" i="3" s="1"/>
  <c r="M807" i="3"/>
  <c r="N807" i="3"/>
  <c r="O807" i="3"/>
  <c r="M808" i="3"/>
  <c r="N808" i="3"/>
  <c r="P808" i="3" s="1"/>
  <c r="O808" i="3"/>
  <c r="M809" i="3"/>
  <c r="N809" i="3" s="1"/>
  <c r="Q809" i="3"/>
  <c r="N810" i="3"/>
  <c r="Q810" i="3"/>
  <c r="M811" i="3"/>
  <c r="N811" i="3"/>
  <c r="Q811" i="3" s="1"/>
  <c r="N812" i="3"/>
  <c r="Q812" i="3" s="1"/>
  <c r="N813" i="3"/>
  <c r="O813" i="3" s="1"/>
  <c r="P813" i="3"/>
  <c r="M814" i="3"/>
  <c r="N814" i="3"/>
  <c r="Q814" i="3"/>
  <c r="M815" i="3"/>
  <c r="N815" i="3"/>
  <c r="Q815" i="3" s="1"/>
  <c r="M816" i="3"/>
  <c r="N816" i="3"/>
  <c r="Q816" i="3" s="1"/>
  <c r="N818" i="3"/>
  <c r="O818" i="3"/>
  <c r="Q818" i="3"/>
  <c r="N819" i="3"/>
  <c r="O819" i="3"/>
  <c r="P819" i="3"/>
  <c r="Q819" i="3"/>
  <c r="N820" i="3"/>
  <c r="O820" i="3"/>
  <c r="Q820" i="3"/>
  <c r="D23" i="2"/>
  <c r="O38" i="11" l="1"/>
  <c r="P38" i="11" s="1"/>
  <c r="Q35" i="11"/>
  <c r="Q24" i="11"/>
  <c r="Q39" i="11"/>
  <c r="P35" i="11"/>
  <c r="P24" i="11"/>
  <c r="Q8" i="11"/>
  <c r="Q2" i="11"/>
  <c r="N66" i="11"/>
  <c r="Q66" i="11" s="1"/>
  <c r="P39" i="11"/>
  <c r="P8" i="11"/>
  <c r="P2" i="11"/>
  <c r="Q57" i="11"/>
  <c r="Q34" i="11"/>
  <c r="P57" i="11"/>
  <c r="Q40" i="11"/>
  <c r="P34" i="11"/>
  <c r="Q9" i="11"/>
  <c r="Q7" i="11"/>
  <c r="P31" i="10"/>
  <c r="O31" i="10"/>
  <c r="Q27" i="10"/>
  <c r="P24" i="10"/>
  <c r="P22" i="10"/>
  <c r="Q17" i="10"/>
  <c r="Q16" i="10"/>
  <c r="P7" i="10"/>
  <c r="O7" i="10"/>
  <c r="P20" i="10"/>
  <c r="Q20" i="10"/>
  <c r="O20" i="10"/>
  <c r="O26" i="10"/>
  <c r="P26" i="10"/>
  <c r="Q26" i="10"/>
  <c r="Q63" i="10"/>
  <c r="O25" i="10"/>
  <c r="P25" i="10" s="1"/>
  <c r="Q25" i="10"/>
  <c r="N32" i="10"/>
  <c r="O14" i="10"/>
  <c r="P14" i="10"/>
  <c r="Q14" i="10"/>
  <c r="O21" i="10"/>
  <c r="P21" i="10"/>
  <c r="Q21" i="10"/>
  <c r="P29" i="10"/>
  <c r="P27" i="10"/>
  <c r="P18" i="10"/>
  <c r="P16" i="10"/>
  <c r="N63" i="10"/>
  <c r="Q30" i="10"/>
  <c r="Q12" i="10"/>
  <c r="Q10" i="10"/>
  <c r="Q8" i="10"/>
  <c r="Q2" i="10"/>
  <c r="P30" i="10"/>
  <c r="P12" i="10"/>
  <c r="P10" i="10"/>
  <c r="P8" i="10"/>
  <c r="P2" i="10"/>
  <c r="Q15" i="10"/>
  <c r="P15" i="10"/>
  <c r="O9" i="9"/>
  <c r="P9" i="9" s="1"/>
  <c r="Q9" i="9"/>
  <c r="O93" i="9"/>
  <c r="P93" i="9" s="1"/>
  <c r="Q93" i="9"/>
  <c r="O33" i="9"/>
  <c r="P33" i="9" s="1"/>
  <c r="Q33" i="9"/>
  <c r="O21" i="9"/>
  <c r="Q21" i="9"/>
  <c r="P21" i="9"/>
  <c r="Q85" i="9"/>
  <c r="O11" i="9"/>
  <c r="P11" i="9" s="1"/>
  <c r="Q11" i="9"/>
  <c r="Q10" i="9"/>
  <c r="O10" i="9"/>
  <c r="P10" i="9" s="1"/>
  <c r="Q98" i="9"/>
  <c r="Q95" i="9"/>
  <c r="P34" i="9"/>
  <c r="Q32" i="9"/>
  <c r="Q30" i="9"/>
  <c r="Q19" i="9"/>
  <c r="Q17" i="9"/>
  <c r="Q15" i="9"/>
  <c r="Q13" i="9"/>
  <c r="Q8" i="9"/>
  <c r="P98" i="9"/>
  <c r="P95" i="9"/>
  <c r="N85" i="9"/>
  <c r="N86" i="9" s="1"/>
  <c r="P32" i="9"/>
  <c r="P30" i="9"/>
  <c r="Q28" i="9"/>
  <c r="Q26" i="9"/>
  <c r="Q24" i="9"/>
  <c r="P19" i="9"/>
  <c r="P17" i="9"/>
  <c r="P15" i="9"/>
  <c r="P13" i="9"/>
  <c r="P8" i="9"/>
  <c r="Q2" i="9"/>
  <c r="Q22" i="9"/>
  <c r="Q31" i="9"/>
  <c r="Q20" i="9"/>
  <c r="Q18" i="9"/>
  <c r="Q16" i="9"/>
  <c r="Q14" i="9"/>
  <c r="Q12" i="9"/>
  <c r="Q7" i="9"/>
  <c r="P31" i="9"/>
  <c r="P20" i="9"/>
  <c r="P18" i="9"/>
  <c r="P16" i="9"/>
  <c r="P14" i="9"/>
  <c r="P12" i="9"/>
  <c r="P7" i="9"/>
  <c r="N35" i="9"/>
  <c r="O47" i="8"/>
  <c r="P47" i="8" s="1"/>
  <c r="Q46" i="8"/>
  <c r="O85" i="8"/>
  <c r="P85" i="8"/>
  <c r="Q85" i="8"/>
  <c r="Q45" i="8"/>
  <c r="O45" i="8"/>
  <c r="P45" i="8" s="1"/>
  <c r="O20" i="8"/>
  <c r="P20" i="8"/>
  <c r="Q20" i="8"/>
  <c r="O13" i="8"/>
  <c r="P13" i="8" s="1"/>
  <c r="Q13" i="8"/>
  <c r="N49" i="8"/>
  <c r="N75" i="8"/>
  <c r="N76" i="8" s="1"/>
  <c r="O38" i="8"/>
  <c r="P38" i="8"/>
  <c r="Q38" i="8"/>
  <c r="O27" i="8"/>
  <c r="P27" i="8" s="1"/>
  <c r="Q27" i="8"/>
  <c r="O37" i="8"/>
  <c r="P37" i="8" s="1"/>
  <c r="Q37" i="8"/>
  <c r="Q26" i="8"/>
  <c r="O26" i="8"/>
  <c r="P26" i="8" s="1"/>
  <c r="Q51" i="8"/>
  <c r="Q75" i="8" s="1"/>
  <c r="Q76" i="8" s="1"/>
  <c r="O43" i="8"/>
  <c r="P43" i="8" s="1"/>
  <c r="O41" i="8"/>
  <c r="P41" i="8" s="1"/>
  <c r="O39" i="8"/>
  <c r="P39" i="8" s="1"/>
  <c r="Q35" i="8"/>
  <c r="Q33" i="8"/>
  <c r="Q31" i="8"/>
  <c r="O28" i="8"/>
  <c r="P28" i="8" s="1"/>
  <c r="O23" i="8"/>
  <c r="P23" i="8" s="1"/>
  <c r="Q19" i="8"/>
  <c r="O14" i="8"/>
  <c r="P14" i="8" s="1"/>
  <c r="Q12" i="8"/>
  <c r="P12" i="8"/>
  <c r="P90" i="8"/>
  <c r="P87" i="8"/>
  <c r="Q36" i="8"/>
  <c r="Q34" i="8"/>
  <c r="Q32" i="8"/>
  <c r="Q25" i="8"/>
  <c r="P22" i="8"/>
  <c r="P36" i="8"/>
  <c r="P34" i="8"/>
  <c r="P32" i="8"/>
  <c r="P25" i="8"/>
  <c r="O78" i="7"/>
  <c r="P78" i="7"/>
  <c r="Q78" i="7"/>
  <c r="O86" i="7"/>
  <c r="P86" i="7"/>
  <c r="Q86" i="7"/>
  <c r="O9" i="7"/>
  <c r="O46" i="7" s="1"/>
  <c r="P9" i="7"/>
  <c r="Q9" i="7"/>
  <c r="N46" i="7"/>
  <c r="O39" i="7"/>
  <c r="P39" i="7"/>
  <c r="Q39" i="7"/>
  <c r="Q67" i="7"/>
  <c r="O26" i="7"/>
  <c r="P26" i="7"/>
  <c r="Q26" i="7"/>
  <c r="P25" i="7"/>
  <c r="O25" i="7"/>
  <c r="Q25" i="7"/>
  <c r="O23" i="7"/>
  <c r="P23" i="7"/>
  <c r="Q23" i="7"/>
  <c r="O14" i="7"/>
  <c r="P14" i="7"/>
  <c r="Q14" i="7"/>
  <c r="O22" i="7"/>
  <c r="Q22" i="7"/>
  <c r="P22" i="7"/>
  <c r="P43" i="7"/>
  <c r="Q43" i="7"/>
  <c r="O43" i="7"/>
  <c r="P18" i="7"/>
  <c r="Q18" i="7"/>
  <c r="O18" i="7"/>
  <c r="Q41" i="7"/>
  <c r="P16" i="7"/>
  <c r="O32" i="7"/>
  <c r="P32" i="7" s="1"/>
  <c r="Q30" i="7"/>
  <c r="Q28" i="7"/>
  <c r="O16" i="7"/>
  <c r="Q12" i="7"/>
  <c r="Q10" i="7"/>
  <c r="Q83" i="7"/>
  <c r="Q37" i="7"/>
  <c r="Q35" i="7"/>
  <c r="Q33" i="7"/>
  <c r="P30" i="7"/>
  <c r="P28" i="7"/>
  <c r="Q21" i="7"/>
  <c r="Q19" i="7"/>
  <c r="P12" i="7"/>
  <c r="P10" i="7"/>
  <c r="Q8" i="7"/>
  <c r="Q2" i="7"/>
  <c r="Q80" i="7"/>
  <c r="P83" i="7"/>
  <c r="P80" i="7"/>
  <c r="N67" i="7"/>
  <c r="N68" i="7" s="1"/>
  <c r="P44" i="7"/>
  <c r="P37" i="7"/>
  <c r="P35" i="7"/>
  <c r="P33" i="7"/>
  <c r="Q24" i="7"/>
  <c r="P21" i="7"/>
  <c r="P19" i="7"/>
  <c r="Q17" i="7"/>
  <c r="P8" i="7"/>
  <c r="P2" i="7"/>
  <c r="P17" i="7"/>
  <c r="Q21" i="6"/>
  <c r="O21" i="6"/>
  <c r="P21" i="6" s="1"/>
  <c r="Q10" i="6"/>
  <c r="P10" i="6"/>
  <c r="O10" i="6"/>
  <c r="Q43" i="6"/>
  <c r="O27" i="6"/>
  <c r="P27" i="6"/>
  <c r="Q27" i="6"/>
  <c r="O8" i="6"/>
  <c r="P8" i="6"/>
  <c r="Q8" i="6"/>
  <c r="O18" i="6"/>
  <c r="P18" i="6"/>
  <c r="Q18" i="6"/>
  <c r="O22" i="6"/>
  <c r="P22" i="6" s="1"/>
  <c r="Q22" i="6"/>
  <c r="Q26" i="6"/>
  <c r="Q24" i="6"/>
  <c r="Q17" i="6"/>
  <c r="P26" i="6"/>
  <c r="P24" i="6"/>
  <c r="P17" i="6"/>
  <c r="Q15" i="6"/>
  <c r="Q13" i="6"/>
  <c r="Q2" i="6"/>
  <c r="N32" i="6"/>
  <c r="N44" i="6" s="1"/>
  <c r="Q11" i="6"/>
  <c r="P11" i="6"/>
  <c r="Q25" i="6"/>
  <c r="Q23" i="6"/>
  <c r="Q7" i="6"/>
  <c r="P23" i="6"/>
  <c r="P7" i="6"/>
  <c r="P25" i="6"/>
  <c r="N43" i="6"/>
  <c r="Q16" i="5"/>
  <c r="O16" i="5"/>
  <c r="P16" i="5" s="1"/>
  <c r="N73" i="5"/>
  <c r="Q49" i="5"/>
  <c r="Q73" i="5" s="1"/>
  <c r="O15" i="5"/>
  <c r="P15" i="5" s="1"/>
  <c r="Q15" i="5"/>
  <c r="O30" i="5"/>
  <c r="P30" i="5"/>
  <c r="Q30" i="5"/>
  <c r="P47" i="5"/>
  <c r="P45" i="5"/>
  <c r="P41" i="5"/>
  <c r="P39" i="5"/>
  <c r="P37" i="5"/>
  <c r="O47" i="5"/>
  <c r="O45" i="5"/>
  <c r="O43" i="5"/>
  <c r="P43" i="5" s="1"/>
  <c r="O41" i="5"/>
  <c r="O39" i="5"/>
  <c r="O37" i="5"/>
  <c r="O35" i="5"/>
  <c r="P35" i="5" s="1"/>
  <c r="Q34" i="5"/>
  <c r="Q32" i="5"/>
  <c r="Q13" i="5"/>
  <c r="P34" i="5"/>
  <c r="P32" i="5"/>
  <c r="Q28" i="5"/>
  <c r="Q26" i="5"/>
  <c r="Q24" i="5"/>
  <c r="Q22" i="5"/>
  <c r="P13" i="5"/>
  <c r="Q11" i="5"/>
  <c r="Q48" i="5" s="1"/>
  <c r="N48" i="5"/>
  <c r="P28" i="5"/>
  <c r="P26" i="5"/>
  <c r="P24" i="5"/>
  <c r="P22" i="5"/>
  <c r="P11" i="5"/>
  <c r="P48" i="5" s="1"/>
  <c r="O396" i="3"/>
  <c r="P396" i="3"/>
  <c r="Q396" i="3"/>
  <c r="O666" i="3"/>
  <c r="P666" i="3" s="1"/>
  <c r="Q666" i="3"/>
  <c r="O749" i="3"/>
  <c r="P749" i="3" s="1"/>
  <c r="Q749" i="3"/>
  <c r="O391" i="3"/>
  <c r="P391" i="3"/>
  <c r="Q391" i="3"/>
  <c r="O783" i="3"/>
  <c r="P783" i="3" s="1"/>
  <c r="Q783" i="3"/>
  <c r="O508" i="3"/>
  <c r="P508" i="3" s="1"/>
  <c r="Q508" i="3"/>
  <c r="P714" i="3"/>
  <c r="O673" i="3"/>
  <c r="P673" i="3" s="1"/>
  <c r="Q673" i="3"/>
  <c r="P617" i="3"/>
  <c r="O617" i="3"/>
  <c r="O503" i="3"/>
  <c r="Q503" i="3"/>
  <c r="P503" i="3"/>
  <c r="O487" i="3"/>
  <c r="P487" i="3" s="1"/>
  <c r="O390" i="3"/>
  <c r="P390" i="3"/>
  <c r="Q390" i="3"/>
  <c r="O382" i="3"/>
  <c r="P382" i="3"/>
  <c r="Q382" i="3"/>
  <c r="O351" i="3"/>
  <c r="P351" i="3"/>
  <c r="O420" i="3"/>
  <c r="P420" i="3"/>
  <c r="P334" i="3"/>
  <c r="O334" i="3"/>
  <c r="Q334" i="3"/>
  <c r="Q808" i="3"/>
  <c r="Q720" i="3"/>
  <c r="O689" i="3"/>
  <c r="P689" i="3" s="1"/>
  <c r="Q689" i="3"/>
  <c r="P685" i="3"/>
  <c r="O655" i="3"/>
  <c r="P655" i="3" s="1"/>
  <c r="P597" i="3"/>
  <c r="Q597" i="3"/>
  <c r="O486" i="3"/>
  <c r="Q486" i="3"/>
  <c r="P486" i="3"/>
  <c r="P472" i="3"/>
  <c r="Q472" i="3"/>
  <c r="O472" i="3"/>
  <c r="P459" i="3"/>
  <c r="Q459" i="3"/>
  <c r="O459" i="3"/>
  <c r="Q422" i="3"/>
  <c r="O422" i="3"/>
  <c r="P422" i="3" s="1"/>
  <c r="O350" i="3"/>
  <c r="P350" i="3" s="1"/>
  <c r="Q350" i="3"/>
  <c r="P338" i="3"/>
  <c r="P735" i="3"/>
  <c r="Q735" i="3"/>
  <c r="P613" i="3"/>
  <c r="Q613" i="3"/>
  <c r="Q423" i="3"/>
  <c r="O423" i="3"/>
  <c r="P423" i="3" s="1"/>
  <c r="O339" i="3"/>
  <c r="P339" i="3" s="1"/>
  <c r="Q339" i="3"/>
  <c r="P807" i="3"/>
  <c r="Q685" i="3"/>
  <c r="Q761" i="3"/>
  <c r="P737" i="3"/>
  <c r="P707" i="3"/>
  <c r="Q648" i="3"/>
  <c r="P648" i="3"/>
  <c r="P616" i="3"/>
  <c r="P720" i="3"/>
  <c r="O713" i="3"/>
  <c r="P713" i="3" s="1"/>
  <c r="O624" i="3"/>
  <c r="P624" i="3" s="1"/>
  <c r="P553" i="3"/>
  <c r="Q553" i="3"/>
  <c r="O485" i="3"/>
  <c r="P485" i="3"/>
  <c r="O480" i="3"/>
  <c r="Q480" i="3"/>
  <c r="P480" i="3"/>
  <c r="O464" i="3"/>
  <c r="P464" i="3"/>
  <c r="Q464" i="3"/>
  <c r="P411" i="3"/>
  <c r="Q411" i="3"/>
  <c r="O411" i="3"/>
  <c r="O407" i="3"/>
  <c r="P407" i="3"/>
  <c r="Q407" i="3"/>
  <c r="O402" i="3"/>
  <c r="P402" i="3"/>
  <c r="O370" i="3"/>
  <c r="P370" i="3"/>
  <c r="O668" i="3"/>
  <c r="P668" i="3" s="1"/>
  <c r="P535" i="3"/>
  <c r="O494" i="3"/>
  <c r="P494" i="3" s="1"/>
  <c r="P489" i="3"/>
  <c r="Q489" i="3"/>
  <c r="Q484" i="3"/>
  <c r="P484" i="3"/>
  <c r="O484" i="3"/>
  <c r="O426" i="3"/>
  <c r="P426" i="3" s="1"/>
  <c r="Q426" i="3"/>
  <c r="O360" i="3"/>
  <c r="P360" i="3"/>
  <c r="Q360" i="3"/>
  <c r="P299" i="3"/>
  <c r="O299" i="3"/>
  <c r="Q299" i="3"/>
  <c r="P649" i="3"/>
  <c r="Q649" i="3"/>
  <c r="O598" i="3"/>
  <c r="P598" i="3" s="1"/>
  <c r="P753" i="3"/>
  <c r="P760" i="3"/>
  <c r="O602" i="3"/>
  <c r="P602" i="3" s="1"/>
  <c r="O577" i="3"/>
  <c r="P577" i="3" s="1"/>
  <c r="P505" i="3"/>
  <c r="Q505" i="3"/>
  <c r="O488" i="3"/>
  <c r="P488" i="3"/>
  <c r="Q488" i="3"/>
  <c r="Q476" i="3"/>
  <c r="O470" i="3"/>
  <c r="P470" i="3" s="1"/>
  <c r="Q470" i="3"/>
  <c r="O406" i="3"/>
  <c r="P406" i="3"/>
  <c r="P395" i="3"/>
  <c r="Q395" i="3"/>
  <c r="O395" i="3"/>
  <c r="Q313" i="3"/>
  <c r="O313" i="3"/>
  <c r="P313" i="3" s="1"/>
  <c r="P818" i="3"/>
  <c r="P820" i="3"/>
  <c r="Q813" i="3"/>
  <c r="Q807" i="3"/>
  <c r="P798" i="3"/>
  <c r="O760" i="3"/>
  <c r="O735" i="3"/>
  <c r="O719" i="3"/>
  <c r="P719" i="3"/>
  <c r="Q714" i="3"/>
  <c r="O671" i="3"/>
  <c r="P671" i="3" s="1"/>
  <c r="O649" i="3"/>
  <c r="P622" i="3"/>
  <c r="O622" i="3"/>
  <c r="O613" i="3"/>
  <c r="Q598" i="3"/>
  <c r="P566" i="3"/>
  <c r="Q566" i="3"/>
  <c r="O566" i="3"/>
  <c r="O476" i="3"/>
  <c r="P476" i="3" s="1"/>
  <c r="Q420" i="3"/>
  <c r="Q312" i="3"/>
  <c r="O312" i="3"/>
  <c r="P312" i="3"/>
  <c r="P478" i="3"/>
  <c r="P429" i="3"/>
  <c r="Q429" i="3"/>
  <c r="Q337" i="3"/>
  <c r="O337" i="3"/>
  <c r="P337" i="3"/>
  <c r="O306" i="3"/>
  <c r="P306" i="3"/>
  <c r="Q306" i="3"/>
  <c r="O284" i="3"/>
  <c r="P284" i="3" s="1"/>
  <c r="Q284" i="3"/>
  <c r="P36" i="3"/>
  <c r="Q336" i="3"/>
  <c r="O336" i="3"/>
  <c r="P336" i="3"/>
  <c r="P131" i="3"/>
  <c r="O304" i="3"/>
  <c r="P304" i="3"/>
  <c r="Q304" i="3"/>
  <c r="O493" i="3"/>
  <c r="P493" i="3"/>
  <c r="Q493" i="3"/>
  <c r="P384" i="3"/>
  <c r="Q384" i="3"/>
  <c r="Q321" i="3"/>
  <c r="O321" i="3"/>
  <c r="P321" i="3" s="1"/>
  <c r="O287" i="3"/>
  <c r="P287" i="3"/>
  <c r="Q287" i="3"/>
  <c r="P188" i="3"/>
  <c r="O535" i="3"/>
  <c r="Q535" i="3"/>
  <c r="O359" i="3"/>
  <c r="P359" i="3"/>
  <c r="Q359" i="3"/>
  <c r="O318" i="3"/>
  <c r="P318" i="3" s="1"/>
  <c r="P300" i="3"/>
  <c r="O300" i="3"/>
  <c r="Q300" i="3"/>
  <c r="O295" i="3"/>
  <c r="P295" i="3"/>
  <c r="Q295" i="3"/>
  <c r="O278" i="3"/>
  <c r="P278" i="3"/>
  <c r="Q278" i="3"/>
  <c r="O243" i="3"/>
  <c r="P243" i="3"/>
  <c r="Q243" i="3"/>
  <c r="P158" i="3"/>
  <c r="P34" i="3"/>
  <c r="P21" i="3"/>
  <c r="O201" i="3"/>
  <c r="P201" i="3" s="1"/>
  <c r="Q201" i="3"/>
  <c r="P525" i="3"/>
  <c r="P455" i="3"/>
  <c r="O425" i="3"/>
  <c r="P425" i="3" s="1"/>
  <c r="P398" i="3"/>
  <c r="Q398" i="3"/>
  <c r="O393" i="3"/>
  <c r="P393" i="3"/>
  <c r="O365" i="3"/>
  <c r="P365" i="3"/>
  <c r="O343" i="3"/>
  <c r="P343" i="3" s="1"/>
  <c r="Q343" i="3"/>
  <c r="Q328" i="3"/>
  <c r="O328" i="3"/>
  <c r="P328" i="3"/>
  <c r="O33" i="3"/>
  <c r="P33" i="3"/>
  <c r="Q33" i="3"/>
  <c r="P31" i="3"/>
  <c r="P301" i="3"/>
  <c r="P282" i="3"/>
  <c r="O261" i="3"/>
  <c r="P261" i="3" s="1"/>
  <c r="P216" i="3"/>
  <c r="P151" i="3"/>
  <c r="O112" i="3"/>
  <c r="P112" i="3" s="1"/>
  <c r="Q112" i="3"/>
  <c r="P57" i="3"/>
  <c r="O30" i="3"/>
  <c r="P30" i="3"/>
  <c r="Q30" i="3"/>
  <c r="O18" i="3"/>
  <c r="P18" i="3" s="1"/>
  <c r="Q18" i="3"/>
  <c r="O4" i="3"/>
  <c r="P4" i="3" s="1"/>
  <c r="Q4" i="3"/>
  <c r="P325" i="3"/>
  <c r="P240" i="3"/>
  <c r="P232" i="3"/>
  <c r="Q215" i="3"/>
  <c r="Q211" i="3"/>
  <c r="Q101" i="3"/>
  <c r="O56" i="3"/>
  <c r="P56" i="3" s="1"/>
  <c r="Q56" i="3"/>
  <c r="P42" i="3"/>
  <c r="O36" i="3"/>
  <c r="Q36" i="3"/>
  <c r="O25" i="3"/>
  <c r="P25" i="3" s="1"/>
  <c r="Q25" i="3"/>
  <c r="O17" i="3"/>
  <c r="P17" i="3" s="1"/>
  <c r="Q17" i="3"/>
  <c r="P7" i="3"/>
  <c r="Q409" i="3"/>
  <c r="Q355" i="3"/>
  <c r="P303" i="3"/>
  <c r="Q247" i="3"/>
  <c r="P218" i="3"/>
  <c r="P211" i="3"/>
  <c r="O177" i="3"/>
  <c r="P177" i="3" s="1"/>
  <c r="Q177" i="3"/>
  <c r="P157" i="3"/>
  <c r="O133" i="3"/>
  <c r="P133" i="3" s="1"/>
  <c r="Q133" i="3"/>
  <c r="P105" i="3"/>
  <c r="Q105" i="3"/>
  <c r="P91" i="3"/>
  <c r="O85" i="3"/>
  <c r="P85" i="3" s="1"/>
  <c r="Q85" i="3"/>
  <c r="O64" i="3"/>
  <c r="P64" i="3" s="1"/>
  <c r="Q64" i="3"/>
  <c r="P59" i="3"/>
  <c r="Q59" i="3"/>
  <c r="O29" i="3"/>
  <c r="P29" i="3" s="1"/>
  <c r="Q29" i="3"/>
  <c r="P11" i="3"/>
  <c r="Q11" i="3"/>
  <c r="P215" i="3"/>
  <c r="O121" i="3"/>
  <c r="P121" i="3" s="1"/>
  <c r="Q121" i="3"/>
  <c r="P101" i="3"/>
  <c r="O55" i="3"/>
  <c r="P55" i="3" s="1"/>
  <c r="Q55" i="3"/>
  <c r="O22" i="3"/>
  <c r="P22" i="3" s="1"/>
  <c r="Q22" i="3"/>
  <c r="O16" i="3"/>
  <c r="P16" i="3" s="1"/>
  <c r="Q16" i="3"/>
  <c r="O6" i="3"/>
  <c r="P6" i="3" s="1"/>
  <c r="Q6" i="3"/>
  <c r="Q338" i="3"/>
  <c r="O331" i="3"/>
  <c r="P331" i="3" s="1"/>
  <c r="O324" i="3"/>
  <c r="P324" i="3" s="1"/>
  <c r="P308" i="3"/>
  <c r="Q296" i="3"/>
  <c r="Q286" i="3"/>
  <c r="P280" i="3"/>
  <c r="P260" i="3"/>
  <c r="Q242" i="3"/>
  <c r="Q237" i="3"/>
  <c r="Q233" i="3"/>
  <c r="P203" i="3"/>
  <c r="Q176" i="3"/>
  <c r="O176" i="3"/>
  <c r="P176" i="3" s="1"/>
  <c r="O171" i="3"/>
  <c r="P171" i="3" s="1"/>
  <c r="Q171" i="3"/>
  <c r="P160" i="3"/>
  <c r="O109" i="3"/>
  <c r="P109" i="3"/>
  <c r="Q109" i="3"/>
  <c r="O90" i="3"/>
  <c r="P90" i="3" s="1"/>
  <c r="Q90" i="3"/>
  <c r="O35" i="3"/>
  <c r="P35" i="3" s="1"/>
  <c r="O15" i="3"/>
  <c r="P15" i="3" s="1"/>
  <c r="Q15" i="3"/>
  <c r="P333" i="3"/>
  <c r="P302" i="3"/>
  <c r="O290" i="3"/>
  <c r="P290" i="3" s="1"/>
  <c r="P286" i="3"/>
  <c r="P217" i="3"/>
  <c r="Q188" i="3"/>
  <c r="O188" i="3"/>
  <c r="O131" i="3"/>
  <c r="Q131" i="3"/>
  <c r="O99" i="3"/>
  <c r="P99" i="3" s="1"/>
  <c r="Q99" i="3"/>
  <c r="Q31" i="3"/>
  <c r="P28" i="3"/>
  <c r="Q28" i="3"/>
  <c r="O21" i="3"/>
  <c r="Q21" i="3"/>
  <c r="P242" i="3"/>
  <c r="P233" i="3"/>
  <c r="O175" i="3"/>
  <c r="P175" i="3" s="1"/>
  <c r="Q175" i="3"/>
  <c r="O158" i="3"/>
  <c r="Q158" i="3"/>
  <c r="O34" i="3"/>
  <c r="Q34" i="3"/>
  <c r="O20" i="3"/>
  <c r="P20" i="3"/>
  <c r="Q20" i="3"/>
  <c r="O5" i="3"/>
  <c r="P5" i="3" s="1"/>
  <c r="O119" i="3"/>
  <c r="P119" i="3" s="1"/>
  <c r="O81" i="3"/>
  <c r="P81" i="3" s="1"/>
  <c r="O58" i="3"/>
  <c r="P58" i="3" s="1"/>
  <c r="O38" i="3"/>
  <c r="P38" i="3" s="1"/>
  <c r="O32" i="3"/>
  <c r="P32" i="3" s="1"/>
  <c r="O26" i="3"/>
  <c r="P26" i="3" s="1"/>
  <c r="O9" i="3"/>
  <c r="P9" i="3" s="1"/>
  <c r="N64" i="10" l="1"/>
  <c r="O32" i="10"/>
  <c r="P32" i="10" s="1"/>
  <c r="Q32" i="10"/>
  <c r="Q64" i="10" s="1"/>
  <c r="Q35" i="9"/>
  <c r="Q86" i="9" s="1"/>
  <c r="P35" i="9"/>
  <c r="O35" i="9"/>
  <c r="Q49" i="8"/>
  <c r="P49" i="8"/>
  <c r="O49" i="8"/>
  <c r="P46" i="7"/>
  <c r="Q46" i="7"/>
  <c r="Q68" i="7" s="1"/>
  <c r="O32" i="6"/>
  <c r="P32" i="6"/>
  <c r="Q32" i="6"/>
  <c r="Q44" i="6" s="1"/>
  <c r="Q74" i="5"/>
  <c r="N74" i="5"/>
  <c r="O48" i="5"/>
</calcChain>
</file>

<file path=xl/sharedStrings.xml><?xml version="1.0" encoding="utf-8"?>
<sst xmlns="http://schemas.openxmlformats.org/spreadsheetml/2006/main" count="10860" uniqueCount="2660">
  <si>
    <t>삼성생명</t>
  </si>
  <si>
    <t>코드</t>
  </si>
  <si>
    <t>잔액</t>
  </si>
  <si>
    <t>삼성서울(서울):종로TC지점</t>
  </si>
  <si>
    <t>삼성서울(서울):가회지점</t>
  </si>
  <si>
    <t>삼성동대문:신설지점</t>
  </si>
  <si>
    <t>삼성일산:고양금융지점</t>
  </si>
  <si>
    <t>삼성일산:화정지점</t>
  </si>
  <si>
    <t>삼성동대문:동부TC지점</t>
  </si>
  <si>
    <t>삼성신촌:연남지점</t>
  </si>
  <si>
    <t>삼성판교성남:동판교지점</t>
  </si>
  <si>
    <t>삼성리젤:서울리젤지점(홍영준지점장)</t>
  </si>
  <si>
    <t>삼성판교성남:성남지점</t>
  </si>
  <si>
    <t>삼성강남:대원지점</t>
  </si>
  <si>
    <t>삼성일산:일산지역단:FC센타</t>
  </si>
  <si>
    <t>삼성판교성남:상대원지점</t>
  </si>
  <si>
    <t>삼성신촌:성산지점</t>
  </si>
  <si>
    <t>삼성광진:광진금융지점</t>
  </si>
  <si>
    <t>삼성서초:반포금융FP지점</t>
  </si>
  <si>
    <t>삼성방배:방배지역단</t>
  </si>
  <si>
    <t>삼성동대문:경동지점</t>
  </si>
  <si>
    <t>삼성여의도:여의도윤중지점</t>
  </si>
  <si>
    <t>삼성강남:타워팰리스강남FP지점</t>
  </si>
  <si>
    <t>과세</t>
  </si>
  <si>
    <t>입력예정</t>
  </si>
  <si>
    <t>통화06/25</t>
  </si>
  <si>
    <t>지점</t>
  </si>
  <si>
    <t>보류</t>
  </si>
  <si>
    <t>면세</t>
  </si>
  <si>
    <t>통화07/25</t>
  </si>
  <si>
    <t>구    분</t>
  </si>
  <si>
    <t>입력일</t>
  </si>
  <si>
    <t>과세/면세</t>
  </si>
  <si>
    <t>&amp;</t>
  </si>
  <si>
    <t>사옥</t>
  </si>
  <si>
    <t>담당자</t>
  </si>
  <si>
    <t>지  점</t>
  </si>
  <si>
    <t>출고일</t>
  </si>
  <si>
    <t>품    목</t>
  </si>
  <si>
    <t>수량</t>
  </si>
  <si>
    <t>단가</t>
  </si>
  <si>
    <t>금액</t>
  </si>
  <si>
    <t>공급가</t>
  </si>
  <si>
    <t>세액</t>
  </si>
  <si>
    <t>합계금액</t>
  </si>
  <si>
    <t xml:space="preserve">입금일         통화일           </t>
  </si>
  <si>
    <t>성풍(주) : wooks6992 / "성풍6992*"</t>
  </si>
  <si>
    <t>면세 : amz6719 / "성풍77+"                                            과세 : woomz6992 / "성풍0341/"</t>
  </si>
  <si>
    <t>동부TC지점#550</t>
  </si>
  <si>
    <t>한과:권경숙외5인</t>
  </si>
  <si>
    <t>택\3,포함가</t>
  </si>
  <si>
    <t>김희순지점장</t>
  </si>
  <si>
    <t xml:space="preserve">오뚜기 해바라기씨유 </t>
  </si>
  <si>
    <t>동대문지점#1720</t>
  </si>
  <si>
    <t>청정원 감사 12호</t>
  </si>
  <si>
    <t>김재훈지점장</t>
  </si>
  <si>
    <t>오뚜기 해바라기씨유</t>
  </si>
  <si>
    <t>해초류세트:오홍희</t>
  </si>
  <si>
    <t>택\3,포함</t>
  </si>
  <si>
    <t>부산리젤지점#452</t>
  </si>
  <si>
    <t>동원참치</t>
  </si>
  <si>
    <t>9월초에 결제예정</t>
  </si>
  <si>
    <t>김태규지점장</t>
  </si>
  <si>
    <t>광진스타지점#1220</t>
  </si>
  <si>
    <t>청정원 감사 12호:박선희반송</t>
  </si>
  <si>
    <t>최지성지점장</t>
  </si>
  <si>
    <t>반송택배:박선희</t>
  </si>
  <si>
    <t>서울지점#193</t>
  </si>
  <si>
    <t>햅쌀완도명가세트:좌경숙</t>
  </si>
  <si>
    <t>택포함가</t>
  </si>
  <si>
    <t>최수현지점장①</t>
  </si>
  <si>
    <t>대전리젤지점#1665</t>
  </si>
  <si>
    <t>CJ부침4종세트</t>
  </si>
  <si>
    <t xml:space="preserve">리젤지역단#1665 길진숙프로가 정산할예정 </t>
  </si>
  <si>
    <t>윤기훈지점장</t>
  </si>
  <si>
    <t>동원 참치</t>
  </si>
  <si>
    <t>기쁨1호</t>
  </si>
  <si>
    <t>대전리젤지점#455</t>
  </si>
  <si>
    <t>다예꽃잎차</t>
  </si>
  <si>
    <t>신천일류지점#135</t>
  </si>
  <si>
    <t>완도명가</t>
  </si>
  <si>
    <t>김영미지점장</t>
  </si>
  <si>
    <t>반포금융FP지점#1325</t>
  </si>
  <si>
    <t>장기민지점장</t>
  </si>
  <si>
    <t>완도명가:이소미</t>
  </si>
  <si>
    <t>서울지역단</t>
  </si>
  <si>
    <t>서울지역단#692</t>
  </si>
  <si>
    <t>엔리끄해바라기유</t>
  </si>
  <si>
    <t>최광래프로</t>
  </si>
  <si>
    <t>현미씨유 광천김세트</t>
  </si>
  <si>
    <t>경동지점#1870</t>
  </si>
  <si>
    <t>이기철지점장</t>
  </si>
  <si>
    <t>부침3종</t>
  </si>
  <si>
    <t>노원리젤#150</t>
  </si>
  <si>
    <t xml:space="preserve">한과 </t>
  </si>
  <si>
    <t>김선미지점장</t>
  </si>
  <si>
    <t>반포FP지점#1324</t>
  </si>
  <si>
    <t>최우혁지점장</t>
  </si>
  <si>
    <t>요리유5종</t>
  </si>
  <si>
    <t>토욜 장부완료건 : 토욜미납건</t>
  </si>
  <si>
    <t>을지로지점#880</t>
  </si>
  <si>
    <t>해초류세트:조효진</t>
  </si>
  <si>
    <t>김혜자지점장</t>
  </si>
  <si>
    <t>해초류세트:유정임</t>
  </si>
  <si>
    <t>CJ부침4종세트:양금옥외16</t>
  </si>
  <si>
    <t>서대구금융지점#682</t>
  </si>
  <si>
    <t>이용호지점장</t>
  </si>
  <si>
    <t>내당지점#1474</t>
  </si>
  <si>
    <t>배경선지점장</t>
  </si>
  <si>
    <t>서울리젤지점#729</t>
  </si>
  <si>
    <t>홍영준지점장</t>
  </si>
  <si>
    <t>LA갈비</t>
  </si>
  <si>
    <t>구리TC지점#393</t>
  </si>
  <si>
    <t>한과</t>
  </si>
  <si>
    <t>이현재지점장</t>
  </si>
  <si>
    <t>종로TC지점#148</t>
  </si>
  <si>
    <t>해초류세트:유현주</t>
  </si>
  <si>
    <t>김한구지점장</t>
  </si>
  <si>
    <t>한과(大)</t>
  </si>
  <si>
    <t>강북일류지점#2634</t>
  </si>
  <si>
    <t>한과:정혜선외18</t>
  </si>
  <si>
    <t>김황수지점장</t>
  </si>
  <si>
    <t>스팸8호</t>
  </si>
  <si>
    <t>종로TC지점</t>
  </si>
  <si>
    <t>해초류세트:윤영희</t>
  </si>
  <si>
    <t>리젤지역단</t>
  </si>
  <si>
    <t>수원리젤지점</t>
  </si>
  <si>
    <t>택\3, 리젤지역단#1665 으로 장부처리건~</t>
  </si>
  <si>
    <t>정해준지점장</t>
  </si>
  <si>
    <t>고양금융지점#532</t>
  </si>
  <si>
    <t>해초류세트:배미선</t>
  </si>
  <si>
    <t>은정곤지점장</t>
  </si>
  <si>
    <t>골드키위:신혜정</t>
  </si>
  <si>
    <t>한과:박경희외2</t>
  </si>
  <si>
    <t>배(7.5kg)+보자기</t>
  </si>
  <si>
    <t>퀵 \25,실비청구(실\30,)</t>
  </si>
  <si>
    <t>퀵비</t>
  </si>
  <si>
    <t>팔각멸치세트:강선아님외36</t>
  </si>
  <si>
    <t>GA송파지점#493</t>
  </si>
  <si>
    <t>LA갈비:유봉선외7</t>
  </si>
  <si>
    <t>권석재지점장</t>
  </si>
  <si>
    <t>해초류세트:이미정</t>
  </si>
  <si>
    <t>완도명가:박인숙</t>
  </si>
  <si>
    <t xml:space="preserve">택\3, </t>
  </si>
  <si>
    <t>완도명가:정승은</t>
  </si>
  <si>
    <t>청계지점#127</t>
  </si>
  <si>
    <t>한우3종세트:유재임외5</t>
  </si>
  <si>
    <t>택포함가(디시요청 , 성풍택 부담하겠다고~)</t>
  </si>
  <si>
    <t>계서형지점장</t>
  </si>
  <si>
    <t>한우3종세트:배미예외6</t>
  </si>
  <si>
    <t>소담3호:정혜선외24</t>
  </si>
  <si>
    <t>흑화고:정영진</t>
  </si>
  <si>
    <t>철원오대쌀</t>
  </si>
  <si>
    <t>도정하는데서 22,로 받았다고 ㅠㅠ</t>
  </si>
  <si>
    <t>완도명가세트:곽금희</t>
  </si>
  <si>
    <t>파래돌자반:윤은향외5</t>
  </si>
  <si>
    <t>고무장갑</t>
  </si>
  <si>
    <t>강북지역단</t>
  </si>
  <si>
    <t>강북지역단#209</t>
  </si>
  <si>
    <t>떡볶이세트</t>
  </si>
  <si>
    <t>최명성마케팅파트장</t>
  </si>
  <si>
    <t>해초류세트:안수정</t>
  </si>
  <si>
    <t>돌미역:허순님외7</t>
  </si>
  <si>
    <t>리젤지역단#1665</t>
  </si>
  <si>
    <t>햅쌀4Kg</t>
  </si>
  <si>
    <t>택배비</t>
  </si>
  <si>
    <t>이승재매니져</t>
  </si>
  <si>
    <t>새송이버섯</t>
  </si>
  <si>
    <t>해초류세트:조항순</t>
  </si>
  <si>
    <t>여의도윤중지점#2865</t>
  </si>
  <si>
    <t>히말라야핑크솔트:김순애외16</t>
  </si>
  <si>
    <t>최세림지점장</t>
  </si>
  <si>
    <t>핑크솔트 4종세트</t>
  </si>
  <si>
    <t>떡볶이세트:박지원외15</t>
  </si>
  <si>
    <t>해초류세트:박연화</t>
  </si>
  <si>
    <t>감자만두:곽성경 김성민</t>
  </si>
  <si>
    <t>완도명가:정인영</t>
  </si>
  <si>
    <t xml:space="preserve">강북삼성지점#605           </t>
  </si>
  <si>
    <t>김수미 구포국수</t>
  </si>
  <si>
    <t>송경순지점장</t>
  </si>
  <si>
    <t>해초류4종세트</t>
  </si>
  <si>
    <t>해초류세트:김인우</t>
  </si>
  <si>
    <t>완도명가:박선희</t>
  </si>
  <si>
    <t>스케쥴노트</t>
  </si>
  <si>
    <t>청국장세트</t>
  </si>
  <si>
    <t>동대문지역단#245</t>
  </si>
  <si>
    <t>LA갈비2kg</t>
  </si>
  <si>
    <t>동대문금융에서 결제하신대요~ 으로 대체~</t>
  </si>
  <si>
    <t>송혜림대리</t>
  </si>
  <si>
    <t>해초류세트:정미영</t>
  </si>
  <si>
    <t>강북TC지점#2709</t>
  </si>
  <si>
    <t>만가닥버섯</t>
  </si>
  <si>
    <t>김지윤지점장</t>
  </si>
  <si>
    <t>해초류세트:조애란</t>
  </si>
  <si>
    <t>해초류세트:황수화</t>
  </si>
  <si>
    <t>해초류세트:김상임</t>
  </si>
  <si>
    <t>고구마2kg:박지원외5</t>
  </si>
  <si>
    <t>대원지점#782</t>
  </si>
  <si>
    <t>와인</t>
  </si>
  <si>
    <t>장선귀지점장</t>
  </si>
  <si>
    <t>고구마</t>
  </si>
  <si>
    <t>도곡지점#829</t>
  </si>
  <si>
    <t>이상훈지점장</t>
  </si>
  <si>
    <t>완도명가:박은숙</t>
  </si>
  <si>
    <t>해초류:김은예</t>
  </si>
  <si>
    <t>흑화고</t>
  </si>
  <si>
    <t>김진우프로</t>
  </si>
  <si>
    <t>둥근호박</t>
  </si>
  <si>
    <t>청주지역단</t>
  </si>
  <si>
    <t>청주지역단#246</t>
  </si>
  <si>
    <t>이승현파트장</t>
  </si>
  <si>
    <t>자연이선물한 견과실속세트8종</t>
  </si>
  <si>
    <t>완도명가:김왕용</t>
  </si>
  <si>
    <t xml:space="preserve">완도명가4P+쇼핑백 </t>
  </si>
  <si>
    <t>파프리카</t>
  </si>
  <si>
    <t>해초류세트:진난희</t>
  </si>
  <si>
    <t>김보람매니져</t>
  </si>
  <si>
    <t>안흥찐빵:이순금외8</t>
  </si>
  <si>
    <t>안흥찐빵:김결이,김성민</t>
  </si>
  <si>
    <t>알타리</t>
  </si>
  <si>
    <t>해초류세트:김송숙님</t>
  </si>
  <si>
    <t>대봉:명윤희,홍금희</t>
  </si>
  <si>
    <t>자연쉐프4종세트</t>
  </si>
  <si>
    <t>해초류세트:한순옥</t>
  </si>
  <si>
    <t>해초류세트:차순화</t>
  </si>
  <si>
    <t>완도명가:한순임</t>
  </si>
  <si>
    <t>떡볶이세트:배귀자</t>
  </si>
  <si>
    <t>은갈치특판세트:김혜진외3</t>
  </si>
  <si>
    <t>완도명가:하수경</t>
  </si>
  <si>
    <t>천안중앙지점#143</t>
  </si>
  <si>
    <t>해초류세트:이진희</t>
  </si>
  <si>
    <t>곰표 국수&amp;다시팩 4종세트</t>
  </si>
  <si>
    <t>완도명가:김태임팀장님</t>
  </si>
  <si>
    <t>대봉:전소영님외1</t>
  </si>
  <si>
    <t>이영주지점장</t>
  </si>
  <si>
    <t>불당지점#159</t>
  </si>
  <si>
    <t>이춘걸지점장</t>
  </si>
  <si>
    <t>완도명가:박현주</t>
  </si>
  <si>
    <t>완도명가세트:한수희</t>
  </si>
  <si>
    <t>쌀 해초류세트:김현숙님</t>
  </si>
  <si>
    <t>해초류세트:정정연</t>
  </si>
  <si>
    <t>해초류세트:이영숙</t>
  </si>
  <si>
    <t>완도명가세트:김경순</t>
  </si>
  <si>
    <t>해초류세트:이귀순</t>
  </si>
  <si>
    <t>완도명가세트:심혜식</t>
  </si>
  <si>
    <t>해초류세트:김려숙</t>
  </si>
  <si>
    <t>해초류세트:김은빛</t>
  </si>
  <si>
    <t>가회지점#182</t>
  </si>
  <si>
    <t>삼립호빵세트</t>
  </si>
  <si>
    <t>조옥선지점장</t>
  </si>
  <si>
    <t>고구마10kg</t>
  </si>
  <si>
    <t>해초류세트:박민경</t>
  </si>
  <si>
    <t>청주직지지점#247</t>
  </si>
  <si>
    <t>곰표 국수&amp;다시팩 4종세트:길경옥님외7</t>
  </si>
  <si>
    <t>박지혜프로</t>
  </si>
  <si>
    <t>완도명가:한수희</t>
  </si>
  <si>
    <t>강북스타지점#607</t>
  </si>
  <si>
    <t>민태원지점장님</t>
  </si>
  <si>
    <t>천안아산지역단</t>
  </si>
  <si>
    <t>천안아산지역단#157</t>
  </si>
  <si>
    <t>이호재프로</t>
  </si>
  <si>
    <t>자이쿡 강아지 양모 무릎담요(30)</t>
  </si>
  <si>
    <t>단감:배귀자외33인</t>
  </si>
  <si>
    <t>택\3,포함가 \1,D,C처리~</t>
  </si>
  <si>
    <t>김희순지점장: \1,D,C처리~</t>
  </si>
  <si>
    <t>쌍용지점#169</t>
  </si>
  <si>
    <t>권혁진지점장</t>
  </si>
  <si>
    <t>청주스타지점#253</t>
  </si>
  <si>
    <t>안흥찐빵</t>
  </si>
  <si>
    <t>이형탁지점장</t>
  </si>
  <si>
    <t>완도명가:김경순</t>
  </si>
  <si>
    <t>완도명가:심혜식</t>
  </si>
  <si>
    <t>원주지역단</t>
  </si>
  <si>
    <t>견과리본3종</t>
  </si>
  <si>
    <t>이민석FP</t>
  </si>
  <si>
    <t>춘천지국</t>
  </si>
  <si>
    <t>곰표 국수&amp;다시팩 4종세트(10)</t>
  </si>
  <si>
    <t>안흥찐빵(15)</t>
  </si>
  <si>
    <t>고구마:문은희님</t>
  </si>
  <si>
    <t>택\3,</t>
  </si>
  <si>
    <t>민태원지점장</t>
  </si>
  <si>
    <t>자연쉐프4종세트(8)</t>
  </si>
  <si>
    <t>장부완료건:김①</t>
  </si>
  <si>
    <t>만년지점#557</t>
  </si>
  <si>
    <t>운임\88,</t>
  </si>
  <si>
    <t>정환영지점장</t>
  </si>
  <si>
    <t>대봉:김정연님</t>
  </si>
  <si>
    <t>대봉:오정원</t>
  </si>
  <si>
    <t>자이쿡 강아지 무릎담요</t>
  </si>
  <si>
    <t>한샘지점#248</t>
  </si>
  <si>
    <t>엄상준지점장</t>
  </si>
  <si>
    <t>숯불닭갈비</t>
  </si>
  <si>
    <t>파프리카:김용수</t>
  </si>
  <si>
    <t>택\4,*2</t>
  </si>
  <si>
    <t>골드키위:송혜순</t>
  </si>
  <si>
    <t>흥덕지점#251</t>
  </si>
  <si>
    <t>신정훈지점장</t>
  </si>
  <si>
    <t>노원스타지점#624</t>
  </si>
  <si>
    <t>돌미역</t>
  </si>
  <si>
    <t>장윤희지점장</t>
  </si>
  <si>
    <t>뻥튀기</t>
  </si>
  <si>
    <t>한라봉:이상미</t>
  </si>
  <si>
    <t>입력완료 254일</t>
  </si>
  <si>
    <t>고등어:이진희외2</t>
  </si>
  <si>
    <t>카레세트</t>
  </si>
  <si>
    <t>감사세트:김지영외3</t>
  </si>
  <si>
    <t>완도명가:구문식</t>
  </si>
  <si>
    <t>완도명가:임지연</t>
  </si>
  <si>
    <t>김수미떡국떡</t>
  </si>
  <si>
    <t>감사세트</t>
  </si>
  <si>
    <t>지점 17개 계산서발행 FC 17개 현금송금</t>
  </si>
  <si>
    <t>현금입금예정</t>
  </si>
  <si>
    <t>지점 16개,계산서발행  FC 16개 현금송금</t>
  </si>
  <si>
    <t>김수미떡국떡2종</t>
  </si>
  <si>
    <t>강서지점#291</t>
  </si>
  <si>
    <t>청국장세트小</t>
  </si>
  <si>
    <t>고강만지점장</t>
  </si>
  <si>
    <t>대전TC지점 #1634</t>
  </si>
  <si>
    <t>청국장세트大</t>
  </si>
  <si>
    <t>이현석지점장</t>
  </si>
  <si>
    <t>광진금융지점#1025</t>
  </si>
  <si>
    <t>아라촌 바삭한 김부각:남덕수님외21</t>
  </si>
  <si>
    <t>이혜선지점장</t>
  </si>
  <si>
    <t>노원지역단</t>
  </si>
  <si>
    <t>노원지역단#453</t>
  </si>
  <si>
    <t>민속고향김3호</t>
  </si>
  <si>
    <t>김중곤프로</t>
  </si>
  <si>
    <t>조영인프로</t>
  </si>
  <si>
    <t>안흥찐빵:한상혜님외18</t>
  </si>
  <si>
    <t>해초류세트:유지윤</t>
  </si>
  <si>
    <t>해초류세트:김미화</t>
  </si>
  <si>
    <t>해초류세트:나선희</t>
  </si>
  <si>
    <t>원일지점#1331</t>
  </si>
  <si>
    <t>아라촌 황태껍질튀각:배미호외29</t>
  </si>
  <si>
    <t>노정란지점장</t>
  </si>
  <si>
    <t>방배스타지점#1356</t>
  </si>
  <si>
    <t>아라촌 황태껍질튀각</t>
  </si>
  <si>
    <t>강경희지점장</t>
  </si>
  <si>
    <t xml:space="preserve">택\3,포함가 김정숙님 반품물품 재발송~ </t>
  </si>
  <si>
    <t>광천맛김:금지영외2</t>
  </si>
  <si>
    <t>오따해 핫팩</t>
  </si>
  <si>
    <t>김보람지점장</t>
  </si>
  <si>
    <t xml:space="preserve">오따해 핫팩 </t>
  </si>
  <si>
    <t>곰돌이크리스마스타올3P세트</t>
  </si>
  <si>
    <t>아라촌 황태껍질튀:박정숙외11</t>
  </si>
  <si>
    <t>종로지점#262</t>
  </si>
  <si>
    <t>이정선지점장</t>
  </si>
  <si>
    <t>천혜향:강양승</t>
  </si>
  <si>
    <t>황금향:김지영외2</t>
  </si>
  <si>
    <t>성남지점#775</t>
  </si>
  <si>
    <t>일산지역단#786</t>
  </si>
  <si>
    <t>백선생후라이팬</t>
  </si>
  <si>
    <t>해초류세트:이영희</t>
  </si>
  <si>
    <t>해초류세트:서영미</t>
  </si>
  <si>
    <t>레드향:기동호대표님</t>
  </si>
  <si>
    <t>곰표 곰탕 선물세트:강영선외9인</t>
  </si>
  <si>
    <t>레드향:김유진님</t>
  </si>
  <si>
    <t>택\20,이건 제가 개인적으로 입금해드릴게요^^</t>
  </si>
  <si>
    <t>천안TC지점#161</t>
  </si>
  <si>
    <t>윤지상지점장</t>
  </si>
  <si>
    <t>선릉FP지점</t>
  </si>
  <si>
    <t>핑크솔트 4종세트:김주현,정영숙</t>
  </si>
  <si>
    <t>자연쉐프4종세트:서영숙님</t>
  </si>
  <si>
    <t>선릉FP지점#571</t>
  </si>
  <si>
    <t>자연쉐프4종세트:홍미숙외3</t>
  </si>
  <si>
    <t>삼립 녹차카스테라</t>
  </si>
  <si>
    <t>청국장</t>
  </si>
  <si>
    <t>방앗간떡국떡</t>
  </si>
  <si>
    <t>해초류세트:김보희</t>
  </si>
  <si>
    <t>동두천지점#1489</t>
  </si>
  <si>
    <t>이태호지점장</t>
  </si>
  <si>
    <t>방앗간떡국떡(20) \5,</t>
  </si>
  <si>
    <t>곰표 곰탕 선물세트(10)</t>
  </si>
  <si>
    <t>원조 구포국수5P(8)택비닐XXX</t>
  </si>
  <si>
    <t>와인1P(10)</t>
  </si>
  <si>
    <t>연남지점#602</t>
  </si>
  <si>
    <t>완도명가:유봉이님</t>
  </si>
  <si>
    <t>김효정지점장</t>
  </si>
  <si>
    <t>김수미떡국떡2종:정영희님외12인</t>
  </si>
  <si>
    <t>김수미떡국떡2종:이효숙님외22인</t>
  </si>
  <si>
    <t>곱창김최상품:최미주님외2인</t>
  </si>
  <si>
    <t>신촌지역단</t>
  </si>
  <si>
    <t>신촌지역단#606</t>
  </si>
  <si>
    <t>콜라비</t>
  </si>
  <si>
    <t>해초류세트:김서하FC님</t>
  </si>
  <si>
    <t>광천맛김:남덕수님외20</t>
  </si>
  <si>
    <t>감자떡2kg(4)</t>
  </si>
  <si>
    <t>해초류세트:장윤FC님</t>
  </si>
  <si>
    <t>석류:양수민님</t>
  </si>
  <si>
    <t>성남지역단#719</t>
  </si>
  <si>
    <t>김다감프로</t>
  </si>
  <si>
    <t>감자떡</t>
  </si>
  <si>
    <t>성산지점#930</t>
  </si>
  <si>
    <t>완도명가:김남순FC님</t>
  </si>
  <si>
    <t>심영희지점장</t>
  </si>
  <si>
    <t>타워팰리스강남FP지점#2899</t>
  </si>
  <si>
    <t>육포</t>
  </si>
  <si>
    <t xml:space="preserve">지역단3만원 청구 지점2천원 청구예정 </t>
  </si>
  <si>
    <t>박근영지점장</t>
  </si>
  <si>
    <t>타워팰리스반트FP지점#629</t>
  </si>
  <si>
    <t xml:space="preserve"> 송준석지점장</t>
  </si>
  <si>
    <t>타워팰리스FP지점#279</t>
  </si>
  <si>
    <t>서대익지점장</t>
  </si>
  <si>
    <t>해초류세트:한명숙님</t>
  </si>
  <si>
    <t>콜라비:고원희님외9</t>
  </si>
  <si>
    <t>콜라비:배미호외15</t>
  </si>
  <si>
    <t>녹양지점#2155</t>
  </si>
  <si>
    <t>해초류세트:랄레인님</t>
  </si>
  <si>
    <t>해초류세트:임혜옥팀장님</t>
  </si>
  <si>
    <t>콜라비:이수진님외13</t>
  </si>
  <si>
    <t>완도명가:이옥순FC님</t>
  </si>
  <si>
    <t>완도명가:정영일</t>
  </si>
  <si>
    <t>해초류세트:김인순</t>
  </si>
  <si>
    <t>완도명가:이순복,유수진</t>
  </si>
  <si>
    <t>화정지점#540</t>
  </si>
  <si>
    <t>해초류세트:이일순님</t>
  </si>
  <si>
    <t>박경희지점장</t>
  </si>
  <si>
    <t>해초류세트:임승미</t>
  </si>
  <si>
    <t>콜라비:한명주,지정숙</t>
  </si>
  <si>
    <t>사과</t>
  </si>
  <si>
    <t>완도명가:김순득</t>
  </si>
  <si>
    <t>김수미떡국떡:백정희외11</t>
  </si>
  <si>
    <t>요리유5종:이정화외6</t>
  </si>
  <si>
    <t>한과:신선화외22</t>
  </si>
  <si>
    <t>완도명가:최정희</t>
  </si>
  <si>
    <t>완도명가:홍수덕</t>
  </si>
  <si>
    <t>해초류세트:박수진</t>
  </si>
  <si>
    <t>해초류세트:가유리</t>
  </si>
  <si>
    <t>요리유5종:남유선외3</t>
  </si>
  <si>
    <t>감자떡:김주현외5</t>
  </si>
  <si>
    <t>한라봉:명윤희,오정원</t>
  </si>
  <si>
    <t>한과:이미형외9</t>
  </si>
  <si>
    <t>국물티백:배미호외17</t>
  </si>
  <si>
    <t>백설부침세트</t>
  </si>
  <si>
    <t>완도명가:노금단</t>
  </si>
  <si>
    <t>해초류세트:박매화</t>
  </si>
  <si>
    <t>해초류세트:왕영순</t>
  </si>
  <si>
    <t>한라봉</t>
  </si>
  <si>
    <t>판교성남지역단</t>
  </si>
  <si>
    <t>판교성남지역단#719</t>
  </si>
  <si>
    <t>은갈치특판세트</t>
  </si>
  <si>
    <t>하남금융지점#1154</t>
  </si>
  <si>
    <t>김시형지점장</t>
  </si>
  <si>
    <t>광천맛김6호</t>
  </si>
  <si>
    <t>감자떡+감자만두세트:유주현</t>
  </si>
  <si>
    <t>택\3, 포함가</t>
  </si>
  <si>
    <t>고순경CA</t>
  </si>
  <si>
    <t xml:space="preserve">지점들\11,대화해 달라고 걍 써비스 드린다고 햐 </t>
  </si>
  <si>
    <t>최지혜프로</t>
  </si>
  <si>
    <t>해초류세트:권운자</t>
  </si>
  <si>
    <t>대봉곶감세트</t>
  </si>
  <si>
    <t>한우3종세트:배귀자외3</t>
  </si>
  <si>
    <t>택\5,포함가</t>
  </si>
  <si>
    <t>LA갈비:전민선외1</t>
  </si>
  <si>
    <t>한라봉:한순임외16</t>
  </si>
  <si>
    <t>택\4,포함가</t>
  </si>
  <si>
    <t>한라봉:이교현외16</t>
  </si>
  <si>
    <t>한과:서승우외20</t>
  </si>
  <si>
    <t>백설부침세트:김경숙외13</t>
  </si>
  <si>
    <t>감자떡&amp;감자만두세트:김지현외4</t>
  </si>
  <si>
    <t>청정원 감사 12호고경희외4</t>
  </si>
  <si>
    <t>택\3,포힘기</t>
  </si>
  <si>
    <t>청정원 감사 12호:고경희님외4</t>
  </si>
  <si>
    <t>청정원 감사 12호:정미정님외5</t>
  </si>
  <si>
    <t>해초류새트:김미숙님,양수희님</t>
  </si>
  <si>
    <t>해초류세트:채영인,오해연,김화,유춘미</t>
  </si>
  <si>
    <t>해초류세트:정옥자</t>
  </si>
  <si>
    <t>사과배세트:이옥주</t>
  </si>
  <si>
    <t>택\4,,포함가</t>
  </si>
  <si>
    <t>해초류세트:김지영,김진화</t>
  </si>
  <si>
    <t>신윤서지점장</t>
  </si>
  <si>
    <t>해초류세트:노민자님</t>
  </si>
  <si>
    <t>부럼세트</t>
  </si>
  <si>
    <t>피땅콩</t>
  </si>
  <si>
    <t>이순금파트장</t>
  </si>
  <si>
    <t>복주머니</t>
  </si>
  <si>
    <t>해초류세트:조주경</t>
  </si>
  <si>
    <t>해초류세트:신복란</t>
  </si>
  <si>
    <t>완도명가:최수연</t>
  </si>
  <si>
    <t>진도각세트:이교현</t>
  </si>
  <si>
    <t>천안지점#156</t>
  </si>
  <si>
    <t>조매숙지점장</t>
  </si>
  <si>
    <t>복주머니세트</t>
  </si>
  <si>
    <t>김태관대리</t>
  </si>
  <si>
    <t>일산중앙지점#438</t>
  </si>
  <si>
    <t>주문하고 fc부담분은 fc 한명 지정해서 송금하라고 할게요</t>
  </si>
  <si>
    <t>이동교지점장</t>
  </si>
  <si>
    <t>진도각세트:최점숙</t>
  </si>
  <si>
    <t>한강지점#1566</t>
  </si>
  <si>
    <t>신종철지점장</t>
  </si>
  <si>
    <t>해초류세트:이덕임,한미니</t>
  </si>
  <si>
    <t>쌀국수</t>
  </si>
  <si>
    <t>누룽지박씨네</t>
  </si>
  <si>
    <t>홈세트</t>
  </si>
  <si>
    <t>여행용치약칫솔세트</t>
  </si>
  <si>
    <t>디퓨져</t>
  </si>
  <si>
    <t>청주직지지점#247 으로 장부처리건~</t>
  </si>
  <si>
    <t>해초류세트:손지연</t>
  </si>
  <si>
    <t>해초류세트:고성일</t>
  </si>
  <si>
    <t>쌀 진도각세트:임옥빈</t>
  </si>
  <si>
    <t>방배지점#1402</t>
  </si>
  <si>
    <t>떡볶이세트:박정애외19</t>
  </si>
  <si>
    <t>박성우지점장</t>
  </si>
  <si>
    <t>떡볶이세트:김미순외19</t>
  </si>
  <si>
    <t>반포서래지점#1394</t>
  </si>
  <si>
    <t>떡볶이세트:김정순외20</t>
  </si>
  <si>
    <t>김선애지점장</t>
  </si>
  <si>
    <t>신강지점#1358</t>
  </si>
  <si>
    <t>떡볶이세트:김은영외18</t>
  </si>
  <si>
    <t>윤지중지점장</t>
  </si>
  <si>
    <t>떡볶이세트:유승민외19</t>
  </si>
  <si>
    <t>방배일류지점#1380</t>
  </si>
  <si>
    <t>떡볶이세트:김루미외9</t>
  </si>
  <si>
    <t>정기영지점장</t>
  </si>
  <si>
    <t>관악지점#1379</t>
  </si>
  <si>
    <t>떡볶이세트:김희진외19</t>
  </si>
  <si>
    <t>김봉필지점장</t>
  </si>
  <si>
    <t>닭갈비:조주경외6</t>
  </si>
  <si>
    <t>고등어:이영화</t>
  </si>
  <si>
    <t>쌀 진도각세트:김효진</t>
  </si>
  <si>
    <t>레드향:이소라</t>
  </si>
  <si>
    <t>택\4,</t>
  </si>
  <si>
    <t>쌀 진도각세트:김미정</t>
  </si>
  <si>
    <t>정희범프로</t>
  </si>
  <si>
    <t>곱창김:주복희외9</t>
  </si>
  <si>
    <t>떡볶이세트:양현미</t>
  </si>
  <si>
    <t>반송택비:양현미</t>
  </si>
  <si>
    <t>해초류세트:김선옥</t>
  </si>
  <si>
    <t>해초류세트:조은혜</t>
  </si>
  <si>
    <t>해초류세트:최경희</t>
  </si>
  <si>
    <t>모듬쌈:이기석외11</t>
  </si>
  <si>
    <t>모듬쌈</t>
  </si>
  <si>
    <t>모듬쌈:정현희외4</t>
  </si>
  <si>
    <t>강북금융지점#608</t>
  </si>
  <si>
    <t>각지점별 장부</t>
  </si>
  <si>
    <t>홍강식지점장</t>
  </si>
  <si>
    <t>강북중앙지점#1019</t>
  </si>
  <si>
    <t>이동은지점장</t>
  </si>
  <si>
    <t>광천맛김</t>
  </si>
  <si>
    <t>해초류세트:최향자</t>
  </si>
  <si>
    <t>콜라비:정지현외19</t>
  </si>
  <si>
    <t>서초지역단</t>
  </si>
  <si>
    <t>서초지역단#1160</t>
  </si>
  <si>
    <t>택\3,포함가 서초지역단#1160 한줄로 장부처리건</t>
  </si>
  <si>
    <t>김순랑CM</t>
  </si>
  <si>
    <t>완도명가:이신자</t>
  </si>
  <si>
    <t>해초류세트:유순선</t>
  </si>
  <si>
    <t>해초류세트:홍혜숙</t>
  </si>
  <si>
    <t>콜라비:김현숙외6</t>
  </si>
  <si>
    <t>해초류세트:김정숙</t>
  </si>
  <si>
    <t>해초류세트:도명옥</t>
  </si>
  <si>
    <t>완도명가:윤수현,김숙자</t>
  </si>
  <si>
    <t>남대전지점#1633</t>
  </si>
  <si>
    <t>안화진지점장</t>
  </si>
  <si>
    <t>해초류세트:이애자</t>
  </si>
  <si>
    <t>해초류세트:남월선</t>
  </si>
  <si>
    <t>해초류세트:한성숙</t>
  </si>
  <si>
    <t>레드향:김지영, 홍금희</t>
  </si>
  <si>
    <t>김은호지점장</t>
  </si>
  <si>
    <t>해초류세트:림경화</t>
  </si>
  <si>
    <t>개별구입건 송금예정</t>
  </si>
  <si>
    <t>모듬쌈:조주경외9</t>
  </si>
  <si>
    <t>해초류세트:채란화</t>
  </si>
  <si>
    <t>삼겹살세트:이소라님외10</t>
  </si>
  <si>
    <t>삼겹살세트:이주원님외7</t>
  </si>
  <si>
    <t>해초류세트:박은미</t>
  </si>
  <si>
    <t>완도명가:이종심</t>
  </si>
  <si>
    <t>해초류세트:백지영</t>
  </si>
  <si>
    <t>중동지역단</t>
  </si>
  <si>
    <t>김태관대리#1027</t>
  </si>
  <si>
    <t>팔각멸치세트</t>
  </si>
  <si>
    <t>정관장 홍삼원</t>
  </si>
  <si>
    <t>삼겹살세트:김경미</t>
  </si>
  <si>
    <t>삼겹살세트:조화경님외5</t>
  </si>
  <si>
    <t>참외:이옥주대표님</t>
  </si>
  <si>
    <t>삼겹살세트:김미양님,이미화님</t>
  </si>
  <si>
    <t>해초류세트:오미순</t>
  </si>
  <si>
    <t>해초류세트:윤수영 </t>
  </si>
  <si>
    <t>멸치</t>
  </si>
  <si>
    <t>대전지점</t>
  </si>
  <si>
    <t>박미정(청주운임)_2/08  010-6623-2853</t>
  </si>
  <si>
    <t>유영훈지점장</t>
  </si>
  <si>
    <t>중대전지점</t>
  </si>
  <si>
    <t>김명순지점장</t>
  </si>
  <si>
    <t>해초류세트:곽성경FC님</t>
  </si>
  <si>
    <t>해초류세트:라계월FC님</t>
  </si>
  <si>
    <t>감자만두(김치)</t>
  </si>
  <si>
    <t>감자만두(고기)</t>
  </si>
  <si>
    <t>쌀 진도각세트:박성희FC님</t>
  </si>
  <si>
    <t>완도명가:김미행FC님</t>
  </si>
  <si>
    <t>중대전지점#669</t>
  </si>
  <si>
    <t>대전지점#664</t>
  </si>
  <si>
    <t>감자</t>
  </si>
  <si>
    <t>해초류세트:김미령</t>
  </si>
  <si>
    <t>해초류세트:이영숙 </t>
  </si>
  <si>
    <t>해초류세트:권오정 </t>
  </si>
  <si>
    <t>완도명가:문효선 FC님</t>
  </si>
  <si>
    <t>완도명가:조진순</t>
  </si>
  <si>
    <t>해초류세트:정혜숙FC님</t>
  </si>
  <si>
    <t>해초류세트:오미숙FC님</t>
  </si>
  <si>
    <t>해초류세트:이승주FC님</t>
  </si>
  <si>
    <t>염장다시마:김미영님외16</t>
  </si>
  <si>
    <t>고등어:황금옥님외3</t>
  </si>
  <si>
    <t>광화문금융지점#842</t>
  </si>
  <si>
    <t>이은숙지점장</t>
  </si>
  <si>
    <t>염장다시마:주소오류로 반송(류윤숙님)</t>
  </si>
  <si>
    <t>주소오류로 반송--기사님 드시라고</t>
  </si>
  <si>
    <t>완도명가:여홍미팀장</t>
  </si>
  <si>
    <t>해초류세트:유주현FC님</t>
  </si>
  <si>
    <t>해초류세트:오춘애FC님</t>
  </si>
  <si>
    <t>해초류세트:조현둘FC님</t>
  </si>
  <si>
    <t>갓김치:미출고</t>
  </si>
  <si>
    <t>서울지역단(서울)#692</t>
  </si>
  <si>
    <t>해초류세트:김희숙팀장</t>
  </si>
  <si>
    <t>해초류세트:한주희</t>
  </si>
  <si>
    <t>해초류세트:이인자FC님</t>
  </si>
  <si>
    <t>완도명가:장순옥</t>
  </si>
  <si>
    <t>완도명가:최홍순</t>
  </si>
  <si>
    <t>해초류세트:김명옥</t>
  </si>
  <si>
    <t>완도명가:고선화FC님</t>
  </si>
  <si>
    <t>해초류세트:김숙자FC님</t>
  </si>
  <si>
    <t>해초류세트:이예진FC님</t>
  </si>
  <si>
    <t>해초류세트:김신자</t>
  </si>
  <si>
    <t>해초류세트:이상미FC님</t>
  </si>
  <si>
    <t>쌀,진도각세트:이점숙FC님</t>
  </si>
  <si>
    <t>쌀,진도각세트:홍은남FC님</t>
  </si>
  <si>
    <t>완도명가:안찬미FC님</t>
  </si>
  <si>
    <t>완도명가:진해길FC님</t>
  </si>
  <si>
    <t>해초류세트:이난향FC님</t>
  </si>
  <si>
    <t>완도명가:윤성현FC님</t>
  </si>
  <si>
    <t>해초류세트:민은선</t>
  </si>
  <si>
    <t>해초류세트:김희정FC님</t>
  </si>
  <si>
    <t>떡볶이세트(5)</t>
  </si>
  <si>
    <t>감자떡,감자만두세트:최유리님</t>
  </si>
  <si>
    <t>해초류세트:조현자,이재복,고미현</t>
  </si>
  <si>
    <t>김혜진프로</t>
  </si>
  <si>
    <t>김수미 즉석쌀 떡국떡</t>
  </si>
  <si>
    <t>해초류세트:김윤자</t>
  </si>
  <si>
    <t>오렌지:조선화외2</t>
  </si>
  <si>
    <t>일산지역단</t>
  </si>
  <si>
    <t>강과장 명단 정리완료건</t>
  </si>
  <si>
    <t>국물티백</t>
  </si>
  <si>
    <t>오렌지:고재순외2</t>
  </si>
  <si>
    <t>오렌지:김은빛님</t>
  </si>
  <si>
    <t>오렌지:고금심외5</t>
  </si>
  <si>
    <t>청국장세트:손양지외4</t>
  </si>
  <si>
    <t>금오지점#876</t>
  </si>
  <si>
    <t>청국장세트:김소현외9</t>
  </si>
  <si>
    <t>황진택지점장</t>
  </si>
  <si>
    <t>갓김치</t>
  </si>
  <si>
    <t>55개 \3,계상키로~</t>
  </si>
  <si>
    <t>자몽</t>
  </si>
  <si>
    <t>김영실CM</t>
  </si>
  <si>
    <t>황도선물세트</t>
  </si>
  <si>
    <t>오렌지:손지연FC님</t>
  </si>
  <si>
    <t>오렌지:김효정지점장</t>
  </si>
  <si>
    <t>해초류세트:김결이</t>
  </si>
  <si>
    <t>해초류세트:최정순FC님</t>
  </si>
  <si>
    <t>완도명가:김선희팀장</t>
  </si>
  <si>
    <t>대저토마토:조덕례</t>
  </si>
  <si>
    <t>떡볶이 감자만두세트:최해옥외4</t>
  </si>
  <si>
    <t>원조 구포국수</t>
  </si>
  <si>
    <t>리젤지역단#1665 으로장부처리건</t>
  </si>
  <si>
    <t>강남리젤지점#793</t>
  </si>
  <si>
    <t>윤준호지점장</t>
  </si>
  <si>
    <t>쌀진도각세트:신명희FC님</t>
  </si>
  <si>
    <t>택\4,포함</t>
  </si>
  <si>
    <t>수원리젤지점#451</t>
  </si>
  <si>
    <t>해초류세트:남덕수</t>
  </si>
  <si>
    <t>해초류세트:박홍매FM님</t>
  </si>
  <si>
    <t>해초류세트:이순희FC님</t>
  </si>
  <si>
    <t>고등어:김옥순님외1</t>
  </si>
  <si>
    <t>닭갈비</t>
  </si>
  <si>
    <t>해초류세트:박정화FC님</t>
  </si>
  <si>
    <t>완도명가:이남임팀장</t>
  </si>
  <si>
    <t>오렌지:정연옥님외1</t>
  </si>
  <si>
    <t>강동지역단</t>
  </si>
  <si>
    <t>강동지역단#1123</t>
  </si>
  <si>
    <t>유명숙CA</t>
  </si>
  <si>
    <t>해초류세트:서경숙 </t>
  </si>
  <si>
    <t>안동 양반 간고등어:이영화님외1</t>
  </si>
  <si>
    <t>010-9072-8601택배기사님/월,화도착대화건
2403-1443-9562 2403-1443-9610 롯데</t>
  </si>
  <si>
    <t>고등어:이명순외1</t>
  </si>
  <si>
    <t>2403-1452-3956
2403-1452-3982 롯데</t>
  </si>
  <si>
    <t>신설지점#389</t>
  </si>
  <si>
    <t>허명욱지점장</t>
  </si>
  <si>
    <t>염장다시마</t>
  </si>
  <si>
    <t>은행지점#865</t>
  </si>
  <si>
    <t>정선희지점장</t>
  </si>
  <si>
    <t>해초류세트:정은정FC님</t>
  </si>
  <si>
    <t>쌀+진도각세트:이춘희FC님</t>
  </si>
  <si>
    <t>완도명가:최금옥 FC님,권민정 팀장님</t>
  </si>
  <si>
    <t>해초류세트:박현정FC님</t>
  </si>
  <si>
    <t>참외:박선화님외1</t>
  </si>
  <si>
    <t>해초류세트:최유정FC님,조줄연FC님</t>
  </si>
  <si>
    <t>호두과자세트:백지영님외2</t>
  </si>
  <si>
    <t>해초류세트:임순희FC님</t>
  </si>
  <si>
    <t>해초류세트:김혜정</t>
  </si>
  <si>
    <t>해초류세트:윤혜진FC님</t>
  </si>
  <si>
    <t>신인 6명:담달 청구 4개개인현금</t>
  </si>
  <si>
    <t>파래돌자반</t>
  </si>
  <si>
    <t xml:space="preserve"> </t>
  </si>
  <si>
    <t>장부완료건:김① : 개인현금</t>
  </si>
  <si>
    <t>떡볶이세트:권수정님외7</t>
  </si>
  <si>
    <t>완도명가:박정하 </t>
  </si>
  <si>
    <t>카레세트(8):구성-&gt;감2,양2,당1</t>
  </si>
  <si>
    <t>해초류세트:김명화FC님</t>
  </si>
  <si>
    <t>쌀진도각세트:양명희FC님</t>
  </si>
  <si>
    <t>오렌지:김주순님</t>
  </si>
  <si>
    <t>핸드크림</t>
  </si>
  <si>
    <t>구포국수 천연다시팩3종세트</t>
  </si>
  <si>
    <t>완도명가:김춘재FC님</t>
  </si>
  <si>
    <t>해초류세트:박연자FM님</t>
  </si>
  <si>
    <t>완도명가:장윤자님  </t>
  </si>
  <si>
    <t>쌀진도각세트:신수강FC님</t>
  </si>
  <si>
    <t>골드키위:정선희님외2</t>
  </si>
  <si>
    <t>해초류세트:백미라FC님</t>
  </si>
  <si>
    <t>해초류세트:차윤희FC님</t>
  </si>
  <si>
    <t>해초류세트:김경은FC님</t>
  </si>
  <si>
    <t>해초류세트:김심복FC님</t>
  </si>
  <si>
    <t>해초류세트:김원식FC님</t>
  </si>
  <si>
    <t>해초류세트:노순희팀장</t>
  </si>
  <si>
    <t>해초류세트:윤영미FC님</t>
  </si>
  <si>
    <t>마카로니</t>
  </si>
  <si>
    <t>해초류세트:박정숙 </t>
  </si>
  <si>
    <t>김수미 냉면2종세트:김문선님외9</t>
  </si>
  <si>
    <t>신설지점</t>
  </si>
  <si>
    <t>전서현프로</t>
  </si>
  <si>
    <t>반포금융FP지점</t>
  </si>
  <si>
    <t>참외:권중환님외1</t>
  </si>
  <si>
    <t>대원지점</t>
  </si>
  <si>
    <t>2403-1496-7513 롯데</t>
  </si>
  <si>
    <t>롯데택배 2406-9658-2884</t>
  </si>
  <si>
    <t>방배지역단</t>
  </si>
  <si>
    <t>방배지역단#1338 으로 장부처리</t>
  </si>
  <si>
    <t>연남지점</t>
  </si>
  <si>
    <t>완도명가:이명희  </t>
  </si>
  <si>
    <t>골드키위:이소라FC님외2</t>
  </si>
  <si>
    <t>은갈치특판세트+부직포가방</t>
  </si>
  <si>
    <t>경동지점</t>
  </si>
  <si>
    <t>성산지점</t>
  </si>
  <si>
    <t>완도명가:윤순덕FC님</t>
  </si>
  <si>
    <t>해초류세트:장홍희</t>
  </si>
  <si>
    <t>완도명가:김정희FC님</t>
  </si>
  <si>
    <t>고양금융지점</t>
  </si>
  <si>
    <t>해초류세트:이재영FC님</t>
  </si>
  <si>
    <t>서울리젤지점</t>
  </si>
  <si>
    <t>적양파</t>
  </si>
  <si>
    <t>동부TC지점</t>
  </si>
  <si>
    <t>해초류세트:최옥희FC님,이효정FC님</t>
  </si>
  <si>
    <t>김수미 미숫가루:이명순님외2</t>
  </si>
  <si>
    <t>원조 구포국수:성미희님외17</t>
  </si>
  <si>
    <t>해초류세트:최순복FC님</t>
  </si>
  <si>
    <t>해초류세트:김명주FC님</t>
  </si>
  <si>
    <t>해초류세트:이명자FC님</t>
  </si>
  <si>
    <t>완도명가:박경숙</t>
  </si>
  <si>
    <t>완도명가:이미정FC님</t>
  </si>
  <si>
    <t>성남지점</t>
  </si>
  <si>
    <t>동판교지점</t>
  </si>
  <si>
    <t>강혜영지점장</t>
  </si>
  <si>
    <t>상대원지점</t>
  </si>
  <si>
    <t>정미구지점장</t>
  </si>
  <si>
    <t>&lt; 삼성생명 수신 담당자명 &gt;</t>
  </si>
  <si>
    <t>이원혁지점장 wonhyuk1205.lee@samsung.com</t>
  </si>
  <si>
    <t>서울강북담당:김형준대리:02-3706-3721 팩스:02-3706-3770</t>
  </si>
  <si>
    <t>서울지역단+중앙지역단=서울지역단/강북지역단+노원지역단=강북지역단/동대문지역단+광진지역단=동부지역단/나머진,각지역단 그대로임</t>
  </si>
  <si>
    <t>전산팀:02-751-8956 --- 도구-호환보기설정-추가-닫기</t>
  </si>
  <si>
    <t>강북사업팀 계산서 정산=이정현</t>
  </si>
  <si>
    <t>발령 수정 완료건</t>
  </si>
  <si>
    <t xml:space="preserve">우리은행 061-048826-01-001 CMS코드#0101 </t>
  </si>
  <si>
    <t>사업자번호</t>
  </si>
  <si>
    <t>사  옥</t>
  </si>
  <si>
    <t>지  역  단</t>
  </si>
  <si>
    <t>지  점  명</t>
  </si>
  <si>
    <t>전화번호</t>
  </si>
  <si>
    <t>팩스</t>
  </si>
  <si>
    <t>지점장</t>
  </si>
  <si>
    <t>비  고</t>
  </si>
  <si>
    <t>메    모</t>
  </si>
  <si>
    <t>214-85-06444</t>
  </si>
  <si>
    <t>서초사옥</t>
  </si>
  <si>
    <t>김민진 minjin31.kim@samsung.com</t>
  </si>
  <si>
    <t>방배지점</t>
  </si>
  <si>
    <t>유리라 lila.yu@samsung.com</t>
  </si>
  <si>
    <t>방배스타지점</t>
  </si>
  <si>
    <t>민혜현 hyehyun.min@samsung.com</t>
  </si>
  <si>
    <t>010-2450-2472</t>
  </si>
  <si>
    <t>윤명숙 ms83.yun@samsung.com</t>
  </si>
  <si>
    <t>신강지점</t>
  </si>
  <si>
    <t>김선미 sm0210.kim@samsung.com</t>
  </si>
  <si>
    <t>원일지점</t>
  </si>
  <si>
    <t>최윤경 yunkyong86.choi@samsung.com</t>
  </si>
  <si>
    <t>방배일류지점</t>
  </si>
  <si>
    <t>윤유림프로 yurim.yoon@samsung.com</t>
  </si>
  <si>
    <t>이수지점</t>
  </si>
  <si>
    <t>02-3486-7089</t>
  </si>
  <si>
    <t>김수정대리 soojung78.kim@samsung.com</t>
  </si>
  <si>
    <t>관악지점</t>
  </si>
  <si>
    <t>02-877-2735</t>
  </si>
  <si>
    <t>김송하대리 songha.kim@samsung.com</t>
  </si>
  <si>
    <t>이금숙 kumsuk.lee@samsung.com</t>
  </si>
  <si>
    <t>방아름주임 ahlum75.bang@samsung.com</t>
  </si>
  <si>
    <t>21'07/28확인</t>
  </si>
  <si>
    <t>110-85-07379</t>
  </si>
  <si>
    <t>서소문사옥</t>
  </si>
  <si>
    <t>황단비주임 danbi.hwang@samsung.com</t>
  </si>
  <si>
    <t>서울지역단-A</t>
  </si>
  <si>
    <t>종로타워지점</t>
  </si>
  <si>
    <t>02-723-3784</t>
  </si>
  <si>
    <t>02-723-3365</t>
  </si>
  <si>
    <t>배정은주임 jeongeun.bae@samsung.com</t>
  </si>
  <si>
    <t>6층 유승옥지점장</t>
  </si>
  <si>
    <t>이힌샘주임 hinsaem92.lee@samsung.com</t>
  </si>
  <si>
    <t>서울지역단-B</t>
  </si>
  <si>
    <t>종각지점</t>
  </si>
  <si>
    <t>02-723-3358</t>
  </si>
  <si>
    <t>최익철지점장 010-4543-7432</t>
  </si>
  <si>
    <t>박지혜 주임 jihye1118.park@samsung.com</t>
  </si>
  <si>
    <t>임현경프로 hk724.lim@samsung.com</t>
  </si>
  <si>
    <t>서울지역단-D</t>
  </si>
  <si>
    <t>서울지점</t>
  </si>
  <si>
    <t>02-720-5768</t>
  </si>
  <si>
    <t>지점장 02-720-3346</t>
  </si>
  <si>
    <t>김나리대리 nari123.kim@samsung.com</t>
  </si>
  <si>
    <t>허명옥지점장</t>
  </si>
  <si>
    <t>박새롬주임 saerom0508.park@samsung.com</t>
  </si>
  <si>
    <t>박진숙  jinsook1217.park@samsung.com</t>
  </si>
  <si>
    <t>서울지역단-E</t>
  </si>
  <si>
    <t>가회지점</t>
  </si>
  <si>
    <t>02-737-3305</t>
  </si>
  <si>
    <t>02-722-4895</t>
  </si>
  <si>
    <t>최수현지점장① 010-5489-8075</t>
  </si>
  <si>
    <t>정아름주임 ahreum1012.jung@samsung.com</t>
  </si>
  <si>
    <t>정지은 jieun8852.jung@samsung.com</t>
  </si>
  <si>
    <t>김진선 jinsun1007.kim@samsung.com</t>
  </si>
  <si>
    <t>서울지역단-F</t>
  </si>
  <si>
    <t>종로지점</t>
  </si>
  <si>
    <t>02-723-1069</t>
  </si>
  <si>
    <t>구:종로지점</t>
  </si>
  <si>
    <t>곽찬주 chanju.kwak@samsung.com</t>
  </si>
  <si>
    <t>서울지역단-H</t>
  </si>
  <si>
    <t>02-779-4965</t>
  </si>
  <si>
    <t xml:space="preserve">hyejin.sim@samsung.com </t>
  </si>
  <si>
    <t>박상숙 ss1600.park@samsung.com</t>
  </si>
  <si>
    <t>서울지역단-J</t>
  </si>
  <si>
    <t>광화문금융지점</t>
  </si>
  <si>
    <t>02-2267-5983</t>
  </si>
  <si>
    <t>02-2265-8675</t>
  </si>
  <si>
    <t>심혜진 hyejin.sim@samsung.com</t>
  </si>
  <si>
    <t>21'08/25확인</t>
  </si>
  <si>
    <t>서울지역단-M</t>
  </si>
  <si>
    <t>을지로지점</t>
  </si>
  <si>
    <t>02-2279-0107</t>
  </si>
  <si>
    <t>손지현주임 jihyun222.son@samsung.com</t>
  </si>
  <si>
    <t>김미아대리-SIU파트</t>
  </si>
  <si>
    <t>010-3747-1359:4팀장염해성</t>
  </si>
  <si>
    <t>21'08/13확인</t>
  </si>
  <si>
    <t>정연경 yk.jeong@samsung.com</t>
  </si>
  <si>
    <t>서울지역단-P</t>
  </si>
  <si>
    <t>02-734-6098</t>
  </si>
  <si>
    <t>02-734-6097</t>
  </si>
  <si>
    <t>주경자대리 kyongja.joo@samsung.com</t>
  </si>
  <si>
    <t>임선규대리 sungyu77.lim@samsung.com</t>
  </si>
  <si>
    <t>김태관대리 taekwan5295.kim@samsung.com</t>
  </si>
  <si>
    <t>오지은 jieun94.oh@samsung.com</t>
  </si>
  <si>
    <t>동교지점</t>
  </si>
  <si>
    <t>02-334-8393</t>
  </si>
  <si>
    <t>이명재지점장 010-4727-4527</t>
  </si>
  <si>
    <t>최혜정주임 010-3388-8575</t>
  </si>
  <si>
    <t>변미선주임 misun.byun@samsung.com</t>
  </si>
  <si>
    <t>최혜정 hyejung.choi@samsung.com</t>
  </si>
  <si>
    <t>삼성금융TC지점</t>
  </si>
  <si>
    <t>02-3143-5275</t>
  </si>
  <si>
    <t>김세희 sehee704.kim@samsung.com</t>
  </si>
  <si>
    <t>장정순지점장 010-7310-8512</t>
  </si>
  <si>
    <t>김정미:010-8772-8026</t>
  </si>
  <si>
    <t>박주원대리:퇴사</t>
  </si>
  <si>
    <t>변미선 misun.byun@samsung.com</t>
  </si>
  <si>
    <t>서교지점</t>
  </si>
  <si>
    <t>02-334-9010</t>
  </si>
  <si>
    <t>이지효 jihyoo.lee@samsung.com</t>
  </si>
  <si>
    <t>오세민지점장 010-6700-2774</t>
  </si>
  <si>
    <t>지점장:333-9855</t>
  </si>
  <si>
    <t>정혜미:서교</t>
  </si>
  <si>
    <t>황혜리 hyeri0728.hwang@samsung.com</t>
  </si>
  <si>
    <t>김세정 sepal1.kim@samsung.com</t>
  </si>
  <si>
    <t>서대문지점</t>
  </si>
  <si>
    <t>02-322-4238</t>
  </si>
  <si>
    <t>은정곤지점장 010-3207-1857</t>
  </si>
  <si>
    <t>임지원 jiwon5958.lim@samsung.com</t>
  </si>
  <si>
    <t>김수미:010-4275-1855</t>
  </si>
  <si>
    <t>조혜미 hyemi87.jo@samsung.com</t>
  </si>
  <si>
    <t>02-322-2243</t>
  </si>
  <si>
    <t>김혜정 hyejung89.kim@samsung.com</t>
  </si>
  <si>
    <t>서옥춘지점장 010-6280-4113</t>
  </si>
  <si>
    <t>황혜리:010-7304-9095</t>
  </si>
  <si>
    <t>02-333-9451</t>
  </si>
  <si>
    <t>02-6970-3300</t>
  </si>
  <si>
    <t>조동연 d.cho@samsung.com</t>
  </si>
  <si>
    <t>02-322-0267</t>
  </si>
  <si>
    <t>김은홍프로 eunhong.kim@samsung.com</t>
  </si>
  <si>
    <t>김남희프로 namhee94.kim@samsung.com</t>
  </si>
  <si>
    <t>신촌지점</t>
  </si>
  <si>
    <t>02-338-3766</t>
  </si>
  <si>
    <t>최지해 jihae.choi@samsung.com</t>
  </si>
  <si>
    <t>010-3619-8276 장기민지점장</t>
  </si>
  <si>
    <t>박가영=부산TC지점</t>
  </si>
  <si>
    <t>이혜영:010-8965-2842</t>
  </si>
  <si>
    <t>배연선경리담당 younsun.bae@samsung.com</t>
  </si>
  <si>
    <t>02-3143-0784</t>
  </si>
  <si>
    <t>김한구지점장 010-2594-2631</t>
  </si>
  <si>
    <t>김송하대리:은평지역단</t>
  </si>
  <si>
    <t>박희영:010-9937-3783</t>
  </si>
  <si>
    <t>연희금융지점</t>
  </si>
  <si>
    <t>02-334-0866</t>
  </si>
  <si>
    <t>김세나 sn1029.kim@samsung.com</t>
  </si>
  <si>
    <t>김선미지점장 010-4016-1463</t>
  </si>
  <si>
    <t>차애정-강북지역사업부-강북영업추진P-동대문지역단마케팅P</t>
  </si>
  <si>
    <t>12/02확인</t>
  </si>
  <si>
    <t>성미화 sung.mi@samsung.com</t>
  </si>
  <si>
    <t>031-901-2886,2890</t>
  </si>
  <si>
    <t>유향미 hyangmi.yu@samsung.com</t>
  </si>
  <si>
    <t>정지은주임:0-8542-8852</t>
  </si>
  <si>
    <t>교하지점</t>
  </si>
  <si>
    <t>031-957-0864,5</t>
  </si>
  <si>
    <t>031-957-0875</t>
  </si>
  <si>
    <t>최지우 jiwoo0117.choi@samsung.com</t>
  </si>
  <si>
    <t>홍정민주임 0-6588-9327</t>
  </si>
  <si>
    <t>김윤희 arbella4u.kim@samsung.com</t>
  </si>
  <si>
    <t>일산중앙지점</t>
  </si>
  <si>
    <t xml:space="preserve"> 031-957-0758</t>
  </si>
  <si>
    <t>031-941-8063</t>
  </si>
  <si>
    <t>최정숙주임0-6397-5616</t>
  </si>
  <si>
    <t>주수현주임 sh.joo@samsung.com</t>
  </si>
  <si>
    <t>031-901-3671,2924</t>
  </si>
  <si>
    <t>031-901-2938</t>
  </si>
  <si>
    <t>성미화주임:0-4051-6838</t>
  </si>
  <si>
    <t>김윤희 yunhee21.kim@samsung.com</t>
  </si>
  <si>
    <t>일산금융지점</t>
  </si>
  <si>
    <t>031-901-2514</t>
  </si>
  <si>
    <t>031-901-2521</t>
  </si>
  <si>
    <t>최정숙 herz7.choi@samsung.com</t>
  </si>
  <si>
    <t>주수현주임 010-4335-2828</t>
  </si>
  <si>
    <t>화정지점</t>
  </si>
  <si>
    <t>031-938-2735</t>
  </si>
  <si>
    <t>031-973-2762</t>
  </si>
  <si>
    <t>문정원지점장 010-3721-8424</t>
  </si>
  <si>
    <t>김윤희주임 0-9401-9169</t>
  </si>
  <si>
    <t>신석연대리 seokyoun.shin@samsung.com</t>
  </si>
  <si>
    <t>운정금융지점</t>
  </si>
  <si>
    <t>031-932-7817</t>
  </si>
  <si>
    <t>031-901-4102/장금연팩스</t>
  </si>
  <si>
    <t>홍정민 jeongmin91.hong@samsung.com</t>
  </si>
  <si>
    <t>노경옥대리0-2223-7335</t>
  </si>
  <si>
    <t>하민경 mk55.ha@samsung.com</t>
  </si>
  <si>
    <t>강북TC지점</t>
  </si>
  <si>
    <t>02-987-4112</t>
  </si>
  <si>
    <t>최선희010-6258-2629</t>
  </si>
  <si>
    <t>최선희 sh2546.choi@samsung.com</t>
  </si>
  <si>
    <t>김정미 jeongmi.kim@samsung.com</t>
  </si>
  <si>
    <t>강북중앙지점</t>
  </si>
  <si>
    <t>02-980-0374</t>
  </si>
  <si>
    <t>박란영 ranyoung1004.pak@samsung.com</t>
  </si>
  <si>
    <t>0304확인</t>
  </si>
  <si>
    <t>전서현 프로님 yeongsuk851.jeon@samsung.com</t>
  </si>
  <si>
    <t>02-985-0107</t>
  </si>
  <si>
    <t>김혜진 hyejin0606.kim@samsung.com</t>
  </si>
  <si>
    <t>강북지역단-박보경</t>
  </si>
  <si>
    <t>홍현정 bijou.hong@samsung.com</t>
  </si>
  <si>
    <t>강북일류지점</t>
  </si>
  <si>
    <t>02-980-0438</t>
  </si>
  <si>
    <t>02-989-1976</t>
  </si>
  <si>
    <t>서준영 junyoung91.seo@samsung.com</t>
  </si>
  <si>
    <t>이은경 ek2339.lee@samsung.com</t>
  </si>
  <si>
    <t>강북스타지점</t>
  </si>
  <si>
    <t>02-980-0620</t>
  </si>
  <si>
    <t>임이슬 yisul92.lim@samsung.com</t>
  </si>
  <si>
    <t>부유빈 yubin.boo@samsung.com</t>
  </si>
  <si>
    <t>임유경대리 yk0412.lim@samsung.com</t>
  </si>
  <si>
    <t>강북삼성지점</t>
  </si>
  <si>
    <t>02-980-0379</t>
  </si>
  <si>
    <t>02-981-4063</t>
  </si>
  <si>
    <t>성미경주임 mikyoung.sung@samsung.com</t>
  </si>
  <si>
    <t>이은주 eunju0408.lee@samsung.com</t>
  </si>
  <si>
    <t>이은주</t>
  </si>
  <si>
    <t>강북금융지점</t>
  </si>
  <si>
    <t>02-980-0392</t>
  </si>
  <si>
    <t>010-9133-1197배정호지점장</t>
  </si>
  <si>
    <t>박신화 sinhwa.park@samsung.com</t>
  </si>
  <si>
    <t>동대문지역단</t>
  </si>
  <si>
    <t>02-964-1701</t>
  </si>
  <si>
    <t>02-960-1549</t>
  </si>
  <si>
    <t>황단비  danbi.hwang@samsung.com</t>
  </si>
  <si>
    <t>문현주-명산지점</t>
  </si>
  <si>
    <t>황단비 danbi.hwang@samsung.com</t>
  </si>
  <si>
    <t>허수진주임 sujin.heo@samsung.com</t>
  </si>
  <si>
    <t>동대문금융지점</t>
  </si>
  <si>
    <t>02-964-4038</t>
  </si>
  <si>
    <t>02-967-9176</t>
  </si>
  <si>
    <t>송혜림 hr29.song@samsung.com</t>
  </si>
  <si>
    <t>이은희대리 eunhee123.lee@samsung.com</t>
  </si>
  <si>
    <t>채경인 ki.chae@samsung.com</t>
  </si>
  <si>
    <t>02-964-8068</t>
  </si>
  <si>
    <t>02-967-7319</t>
  </si>
  <si>
    <t>전화02-960-7312</t>
  </si>
  <si>
    <t>김민정대리 010-4223-8997=중앙지역단</t>
  </si>
  <si>
    <t>동대문지점</t>
  </si>
  <si>
    <t>02-962-8736</t>
  </si>
  <si>
    <t>070-7156-3474</t>
  </si>
  <si>
    <t>윤희경 huikyeong.yoon@samsung.com</t>
  </si>
  <si>
    <t>황진희  jinhee8.hwang@samsung.com</t>
  </si>
  <si>
    <t>박연혜 yh0905.park@samsung.com</t>
  </si>
  <si>
    <t>02-778-7926</t>
  </si>
  <si>
    <t>02-777-8482</t>
  </si>
  <si>
    <t>문진미 jinmi.mun@samsung.com</t>
  </si>
  <si>
    <t>정희례CM : 02-3295-3945</t>
  </si>
  <si>
    <t>김혜숙  soogi520.kim@samsung.com</t>
  </si>
  <si>
    <t>02-969-7828</t>
  </si>
  <si>
    <t>02-969-5324</t>
  </si>
  <si>
    <t>서윤지  yoonji90.seo@samsung.com</t>
  </si>
  <si>
    <t>박진숙xx</t>
  </si>
  <si>
    <t>정슬기  seulki1013.choi@samsung.com</t>
  </si>
  <si>
    <t>청계지점</t>
  </si>
  <si>
    <t>02-966-7884</t>
  </si>
  <si>
    <t>02-969-6245</t>
  </si>
  <si>
    <t>이아름주임 010-7204-6999</t>
  </si>
  <si>
    <t>이아름주임  areum1011.lee@samsung.com</t>
  </si>
  <si>
    <t>21'08.06확인</t>
  </si>
  <si>
    <t>이혜선 hsrosa.lee@samsung.com</t>
  </si>
  <si>
    <t>휘경지점</t>
  </si>
  <si>
    <t>02-964-8910</t>
  </si>
  <si>
    <t>김세나--연신내지점발령</t>
  </si>
  <si>
    <t>314-85-42532</t>
  </si>
  <si>
    <t>대전둔산빌딩</t>
  </si>
  <si>
    <t>김혜진 cclife.kim@samsung.com</t>
  </si>
  <si>
    <t>천안백석지점</t>
  </si>
  <si>
    <t>041-562-3857</t>
  </si>
  <si>
    <t>김향원주임 hw0501.kim@samsung.com</t>
  </si>
  <si>
    <t>이은경 lk3848.lee@samsung.com</t>
  </si>
  <si>
    <t>쌍용지점</t>
  </si>
  <si>
    <t>041-567-1483</t>
  </si>
  <si>
    <t>장산희프로 sanhee.jang@samsung.com</t>
  </si>
  <si>
    <t>천안중앙지점</t>
  </si>
  <si>
    <t>041-557-4821</t>
  </si>
  <si>
    <t>김경희 kh119.kim@samsung.com</t>
  </si>
  <si>
    <t>불당지점</t>
  </si>
  <si>
    <t>041-554-4829</t>
  </si>
  <si>
    <t>김태숙 ts33.kim@samsung.com</t>
  </si>
  <si>
    <t>천안지점</t>
  </si>
  <si>
    <t>041-553-2395</t>
  </si>
  <si>
    <t>이미선 ms87.lee@samsung.com</t>
  </si>
  <si>
    <t>천안TC지점</t>
  </si>
  <si>
    <t>041-553-0359</t>
  </si>
  <si>
    <t>이유진 yj115.lee@samsung.com</t>
  </si>
  <si>
    <t>온양아산지점</t>
  </si>
  <si>
    <t>041-534-0674</t>
  </si>
  <si>
    <t>김희숙 heesuk1004.kim@samsung.com</t>
  </si>
  <si>
    <t>배방지점</t>
  </si>
  <si>
    <t>041-532-1752</t>
  </si>
  <si>
    <t>총무 hyeonjeong96.jang@samsung.com</t>
  </si>
  <si>
    <t>한샘지점</t>
  </si>
  <si>
    <t>043-263-8784</t>
  </si>
  <si>
    <t>총무 psyasy0128.an@samsung.com</t>
  </si>
  <si>
    <t>복대지점</t>
  </si>
  <si>
    <t>043-268-5366</t>
  </si>
  <si>
    <t>김샘나라 saemnara1229.kim@samsung.com</t>
  </si>
  <si>
    <t>흥덕지점</t>
  </si>
  <si>
    <t>043-267-1916</t>
  </si>
  <si>
    <t>총무 huichon.shim@samsung.com</t>
  </si>
  <si>
    <t>율량지점</t>
  </si>
  <si>
    <t>043-266-9261</t>
  </si>
  <si>
    <t>총무 gunhui.kim@samsung.com</t>
  </si>
  <si>
    <t>청신지점</t>
  </si>
  <si>
    <t>043-265-9388</t>
  </si>
  <si>
    <t>총무 jonghee.im@samsung.com</t>
  </si>
  <si>
    <t>강서지점</t>
  </si>
  <si>
    <t>043-265-8753</t>
  </si>
  <si>
    <t xml:space="preserve"> 윤주연 jy3146.yun@samsung.com</t>
  </si>
  <si>
    <t>청주지점</t>
  </si>
  <si>
    <t>043-264-7325</t>
  </si>
  <si>
    <t>총무 sorazzang.nam@samsung.com</t>
  </si>
  <si>
    <t>청주스타지점</t>
  </si>
  <si>
    <t>043-264-6569</t>
  </si>
  <si>
    <t>총무 mk620.kwon@samsung.com</t>
  </si>
  <si>
    <t>강서FP지점</t>
  </si>
  <si>
    <t>043-260-8756</t>
  </si>
  <si>
    <t>총무 yh02.yoo@samsung.com</t>
  </si>
  <si>
    <t>오창테크노지점</t>
  </si>
  <si>
    <t>043-213-7714</t>
  </si>
  <si>
    <t>총무 haeyoung.jeon@samsung.com</t>
  </si>
  <si>
    <t>청주직지지점</t>
  </si>
  <si>
    <t>043-273-0345</t>
  </si>
  <si>
    <t>잠실사옥</t>
  </si>
  <si>
    <t>윤빛나 binna.yoon@samsung.com</t>
  </si>
  <si>
    <t>송파지역단</t>
  </si>
  <si>
    <t>신천일류지점</t>
  </si>
  <si>
    <t>02-423-2437</t>
  </si>
  <si>
    <t>이선우 sunwoo3.lee@samsung.com</t>
  </si>
  <si>
    <t>?</t>
  </si>
  <si>
    <t>양재지점</t>
  </si>
  <si>
    <t>삼성원당지점</t>
  </si>
  <si>
    <t>???</t>
  </si>
  <si>
    <t>신남지점</t>
  </si>
  <si>
    <t>02-2647-8205</t>
  </si>
  <si>
    <t>백상흠지점장:010-4125-2169</t>
  </si>
  <si>
    <t>21'08.27확인</t>
  </si>
  <si>
    <t>104-81-26688</t>
  </si>
  <si>
    <t>이여진 yeojin1224.lee@samsung.com</t>
  </si>
  <si>
    <t>02-539-0272</t>
  </si>
  <si>
    <t>21'07.23확인</t>
  </si>
  <si>
    <t>226-85-01914</t>
  </si>
  <si>
    <t>yeonha.han@samsung.com</t>
  </si>
  <si>
    <t>관동지역단</t>
  </si>
  <si>
    <t>강릉지점</t>
  </si>
  <si>
    <t>033-645-4293</t>
  </si>
  <si>
    <t>양춘석</t>
  </si>
  <si>
    <t>033-647-6515</t>
  </si>
  <si>
    <t>박희숙</t>
  </si>
  <si>
    <t>관동조직혁신센타</t>
  </si>
  <si>
    <t>033-641-5238</t>
  </si>
  <si>
    <t>삼성구산지점</t>
  </si>
  <si>
    <t>mija7935.kim@samsung.com</t>
  </si>
  <si>
    <t>관동지점</t>
  </si>
  <si>
    <t>033-641-2791</t>
  </si>
  <si>
    <t>조정원 jw7942.cho@samsung.com</t>
  </si>
  <si>
    <t>교동지점</t>
  </si>
  <si>
    <t>033-643-1967</t>
  </si>
  <si>
    <t>sunsook.ahn@samsung.com</t>
  </si>
  <si>
    <t>동해지점</t>
  </si>
  <si>
    <t>033-534-6963</t>
  </si>
  <si>
    <t>yo06.choi@samsung.com</t>
  </si>
  <si>
    <t>북평지점</t>
  </si>
  <si>
    <t>033-531-4096</t>
  </si>
  <si>
    <t>김동환지점장</t>
  </si>
  <si>
    <t>jy2289.song@samsung.com</t>
  </si>
  <si>
    <t>삼척지점</t>
  </si>
  <si>
    <t>033-573-9361</t>
  </si>
  <si>
    <t>추금자</t>
  </si>
  <si>
    <t>속초지점</t>
  </si>
  <si>
    <t>033-631-6153</t>
  </si>
  <si>
    <t>광명</t>
  </si>
  <si>
    <t>김은제</t>
  </si>
  <si>
    <t>휴먼센타</t>
  </si>
  <si>
    <t>금천광명지역단</t>
  </si>
  <si>
    <t>02-848-9322</t>
  </si>
  <si>
    <t>박혜미주임 hm5978.park@samsung.com</t>
  </si>
  <si>
    <t>광명지점</t>
  </si>
  <si>
    <t>02-2625-3373</t>
  </si>
  <si>
    <t>513-85-04590</t>
  </si>
  <si>
    <t>덕산동사업장</t>
  </si>
  <si>
    <t>전경주</t>
  </si>
  <si>
    <t>구미지역단</t>
  </si>
  <si>
    <t>구미DI센타</t>
  </si>
  <si>
    <t>054-443-4866 - 지점장</t>
  </si>
  <si>
    <t>구미TC지점</t>
  </si>
  <si>
    <t>054-458-9811</t>
  </si>
  <si>
    <t>영남법인-임지연gks.lim@samsung.com</t>
  </si>
  <si>
    <t>김장은과장-대구중앙</t>
  </si>
  <si>
    <t>전경주kj0402.jeon@samsung.com</t>
  </si>
  <si>
    <t>신태현메니져--구매담당</t>
  </si>
  <si>
    <t>010-6510-0029</t>
  </si>
  <si>
    <t>구미시 송원동로 14번지 삼성생명 1층 구미지역단</t>
  </si>
  <si>
    <t>501-85-06504</t>
  </si>
  <si>
    <t xml:space="preserve">김순남 sunnam1931.kim@samsung.com </t>
  </si>
  <si>
    <t>구미지점</t>
  </si>
  <si>
    <t>054-452-0173</t>
  </si>
  <si>
    <t>장혜정주임010-5315-6434</t>
  </si>
  <si>
    <t>조은실eunsil1028.cho@samsung.com</t>
  </si>
  <si>
    <t xml:space="preserve">송수경 nurungi79@samsung.com </t>
  </si>
  <si>
    <t>김천지점</t>
  </si>
  <si>
    <t>070-7141-8696</t>
  </si>
  <si>
    <t>054-434-2085</t>
  </si>
  <si>
    <t>송수경주임 010-6713-3935</t>
  </si>
  <si>
    <t>정애숙aesuk.jung@samsung.com</t>
  </si>
  <si>
    <t>조은실 eunsil1028.cho@samsung.com</t>
  </si>
  <si>
    <t>도량지점</t>
  </si>
  <si>
    <t>054-452-0145</t>
  </si>
  <si>
    <t>울산성암지점-김소연soyeon717.kim@samsung.com</t>
  </si>
  <si>
    <t>한진희 jinhee.han@samsung.com</t>
  </si>
  <si>
    <t>상주지점</t>
  </si>
  <si>
    <t>054-535-1170</t>
  </si>
  <si>
    <t>구미육성센타-이지숙js8282.lee@samsung.com</t>
  </si>
  <si>
    <t xml:space="preserve">  김소희 sohee1121.kim@samsung.com</t>
  </si>
  <si>
    <t>서구미지점</t>
  </si>
  <si>
    <t>054-452-0176</t>
  </si>
  <si>
    <t>장혜정 hyejeong.jang@samsung.com 
김은영kkangpai.kim@samsung.com</t>
  </si>
  <si>
    <t>권현주 hyunjoo1031.kwon@samsung.com</t>
  </si>
  <si>
    <t>송정지점</t>
  </si>
  <si>
    <t>054-452-0196</t>
  </si>
  <si>
    <t>지점장:054-452-0183</t>
  </si>
  <si>
    <t>송수경nurungi79@samsung.com</t>
  </si>
  <si>
    <t>김은영 kkangpai.kim@samsung.com</t>
  </si>
  <si>
    <t>왜관지점</t>
  </si>
  <si>
    <t>054-971-6376</t>
  </si>
  <si>
    <t>이미숙</t>
  </si>
  <si>
    <t xml:space="preserve">이한숙 hansuk0414.lee@samsung.com </t>
  </si>
  <si>
    <t>인동지점</t>
  </si>
  <si>
    <t>054-452-0248</t>
  </si>
  <si>
    <t>김선경sk0729.kim@samsung.com</t>
  </si>
  <si>
    <t xml:space="preserve">이경숙 ks6304.lee@samsung.com </t>
  </si>
  <si>
    <t>구미금융지점</t>
  </si>
  <si>
    <t>이한숙</t>
  </si>
  <si>
    <t>진평지점</t>
  </si>
  <si>
    <t>054-451-5014</t>
  </si>
  <si>
    <t>이한숙hansuk0414.lee@samsung.com</t>
  </si>
  <si>
    <t>김순남</t>
  </si>
  <si>
    <t>형곡지점</t>
  </si>
  <si>
    <t>031-442-7779</t>
  </si>
  <si>
    <t>김순남sunnam1931.kim@samsung.com</t>
  </si>
  <si>
    <t>구월</t>
  </si>
  <si>
    <t>한현주</t>
  </si>
  <si>
    <t>부평지역단</t>
  </si>
  <si>
    <t>032-504-5837</t>
  </si>
  <si>
    <t>고은별</t>
  </si>
  <si>
    <t>남동지역단</t>
  </si>
  <si>
    <t>032-424-1450</t>
  </si>
  <si>
    <t>한현진</t>
  </si>
  <si>
    <t>계양지역단</t>
  </si>
  <si>
    <t>032-545-6319</t>
  </si>
  <si>
    <t>131-85-43144</t>
  </si>
  <si>
    <t>구월동사옥</t>
  </si>
  <si>
    <t>오병준프로 byeongjun.oh@samsung.com</t>
  </si>
  <si>
    <t>주임 sukju.lee@samsung.com</t>
  </si>
  <si>
    <t>서인천지점</t>
  </si>
  <si>
    <t>032-547-3127</t>
  </si>
  <si>
    <t>주임 eunyoung813.song@samsung.com</t>
  </si>
  <si>
    <t>청라지점</t>
  </si>
  <si>
    <t>032-552-2907</t>
  </si>
  <si>
    <t>주임 sungmi.jo@samsung.com</t>
  </si>
  <si>
    <t>연희지점</t>
  </si>
  <si>
    <t>032-551-0154</t>
  </si>
  <si>
    <t>주임 aeyeon08.park@samsung.com</t>
  </si>
  <si>
    <t>인천서구지점</t>
  </si>
  <si>
    <t>032-551-0137</t>
  </si>
  <si>
    <t>주임 seohee1218.kim@samsung.com</t>
  </si>
  <si>
    <t>계양TC지점</t>
  </si>
  <si>
    <t>032-556-5527</t>
  </si>
  <si>
    <t>김진희주임 sindela.kim@samsung.com</t>
  </si>
  <si>
    <t>김포지점</t>
  </si>
  <si>
    <t>031-982-0395</t>
  </si>
  <si>
    <t>이윤경프로 yk02.lee@samsung.com</t>
  </si>
  <si>
    <t>삼성대리점</t>
  </si>
  <si>
    <t>인천중앙법인지점</t>
  </si>
  <si>
    <t>032-424-0647</t>
  </si>
  <si>
    <t>032-421-2354</t>
  </si>
  <si>
    <t>박준호지점장님 010-5115-1814</t>
  </si>
  <si>
    <t>안지희</t>
  </si>
  <si>
    <t>구월지점</t>
  </si>
  <si>
    <t>심기흥지점장님</t>
  </si>
  <si>
    <t>나빈휘</t>
  </si>
  <si>
    <t>부명지점</t>
  </si>
  <si>
    <t>032-508-3093</t>
  </si>
  <si>
    <t>나휘빈:binhwi.na</t>
  </si>
  <si>
    <t>032-504-9185</t>
  </si>
  <si>
    <t>032-524-5185</t>
  </si>
  <si>
    <t>한현주:rina486.han</t>
  </si>
  <si>
    <t>차정아</t>
  </si>
  <si>
    <t>임학지점</t>
  </si>
  <si>
    <t>032-508-3097</t>
  </si>
  <si>
    <t>차정아:junga233.cha</t>
  </si>
  <si>
    <t>최보람</t>
  </si>
  <si>
    <t>작전지점</t>
  </si>
  <si>
    <t>032-508-6426</t>
  </si>
  <si>
    <t>최보람:boram4587.choi</t>
  </si>
  <si>
    <t>김옥자</t>
  </si>
  <si>
    <t>청수지점</t>
  </si>
  <si>
    <t>032-508-0274</t>
  </si>
  <si>
    <t>임은영</t>
  </si>
  <si>
    <t>청천지점</t>
  </si>
  <si>
    <t>032-508-0194</t>
  </si>
  <si>
    <t>임은영:eunyoung0728.lim</t>
  </si>
  <si>
    <t>615-85-03617</t>
  </si>
  <si>
    <t>김해사옥</t>
  </si>
  <si>
    <t>송윤애</t>
  </si>
  <si>
    <t>김해지역단</t>
  </si>
  <si>
    <t>055-335-3071</t>
  </si>
  <si>
    <t>이소영센타장010-8559-9970</t>
  </si>
  <si>
    <t>장지은</t>
  </si>
  <si>
    <t>내외동지점</t>
  </si>
  <si>
    <t>055-333-4716</t>
  </si>
  <si>
    <t>김경남</t>
  </si>
  <si>
    <t>삼계지점</t>
  </si>
  <si>
    <t>이경자</t>
  </si>
  <si>
    <t>수로지점</t>
  </si>
  <si>
    <t>055-336-1038</t>
  </si>
  <si>
    <t>503-85-07154</t>
  </si>
  <si>
    <t>내당</t>
  </si>
  <si>
    <t>권희정</t>
  </si>
  <si>
    <t>서대구지역단</t>
  </si>
  <si>
    <t>칠곡지점</t>
  </si>
  <si>
    <t>053-321-0179</t>
  </si>
  <si>
    <t>권희정주임 010-8573-9809</t>
  </si>
  <si>
    <t>김연희</t>
  </si>
  <si>
    <t>신당지점</t>
  </si>
  <si>
    <t>임무생 moosaeng.lim@samsung.com</t>
  </si>
  <si>
    <t>당산</t>
  </si>
  <si>
    <t>최세은</t>
  </si>
  <si>
    <t>강서지역단</t>
  </si>
  <si>
    <t xml:space="preserve">02-2672-4063 </t>
  </si>
  <si>
    <t>김시현</t>
  </si>
  <si>
    <t>강서조직혁신센타</t>
  </si>
  <si>
    <t>02-782-0471</t>
  </si>
  <si>
    <t>김시현=강서육성센타</t>
  </si>
  <si>
    <t>구:여의도지역단(서초사옥)</t>
  </si>
  <si>
    <t>박선진주임</t>
  </si>
  <si>
    <t>공덕지점</t>
  </si>
  <si>
    <t>02-719-0871</t>
  </si>
  <si>
    <t>02-3274-0895</t>
  </si>
  <si>
    <t>서초사옥--&gt;당산사옥</t>
  </si>
  <si>
    <t>여의도지역단+강서지역단=강서</t>
  </si>
  <si>
    <t>??</t>
  </si>
  <si>
    <t>아현지점</t>
  </si>
  <si>
    <t>02-775-5314,4317(여직원)</t>
  </si>
  <si>
    <t>010-26697156</t>
  </si>
  <si>
    <t>박은란=삼성WM지점</t>
  </si>
  <si>
    <t>지역단변경</t>
  </si>
  <si>
    <t>여의도삼성지점</t>
  </si>
  <si>
    <t>02-782-0644…..0768</t>
  </si>
  <si>
    <t>지점장:02-782-0762</t>
  </si>
  <si>
    <t>정명선 myengsun.jung-업무지원실</t>
  </si>
  <si>
    <t>최주원 jw0205.choi@samsung.com</t>
  </si>
  <si>
    <t>여의도스타지점</t>
  </si>
  <si>
    <t>02-782-0643</t>
  </si>
  <si>
    <t>02-3770-0698</t>
  </si>
  <si>
    <t>김은영=강남법인지역단</t>
  </si>
  <si>
    <t>구:남여의도지점</t>
  </si>
  <si>
    <t>김지혜 jh86.kim@samsung.com</t>
  </si>
  <si>
    <t>이재영 jy0911.lee@samsung.com</t>
  </si>
  <si>
    <t>여의도윤중지점</t>
  </si>
  <si>
    <t>782-0847</t>
  </si>
  <si>
    <t>이금화=SIU파트</t>
  </si>
  <si>
    <t>유수경 sk1234.yoo@samsung.com</t>
  </si>
  <si>
    <t>여의도중앙지점</t>
  </si>
  <si>
    <t>02-782-0830</t>
  </si>
  <si>
    <t>임유경대리 green77.lim@samsung.com</t>
  </si>
  <si>
    <t>김시현 sihyun207.kim@samsung.com</t>
  </si>
  <si>
    <t>김다정주임 dj8030.kim@samsung.com)</t>
  </si>
  <si>
    <t>여의도지점</t>
  </si>
  <si>
    <t>783-0294</t>
  </si>
  <si>
    <t>김은지주임 eunji0116.kim@samsung.com</t>
  </si>
  <si>
    <t>신필순 ps0303.shin@samsung.com</t>
  </si>
  <si>
    <t>여의도타워지점</t>
  </si>
  <si>
    <t>02-3775-2572</t>
  </si>
  <si>
    <t>강유경</t>
  </si>
  <si>
    <t>여의도지역단</t>
  </si>
  <si>
    <t>여의도조직혁신센타</t>
  </si>
  <si>
    <t>김진경 대리</t>
  </si>
  <si>
    <t>02-782-0768</t>
  </si>
  <si>
    <t>박혜미=강서지역단</t>
  </si>
  <si>
    <t>박혜미=010-3000-8364</t>
  </si>
  <si>
    <t>서순경CM</t>
  </si>
  <si>
    <t>최혜민</t>
  </si>
  <si>
    <t>강서일류지점</t>
  </si>
  <si>
    <t>010-8813-8357 이승준지점장</t>
  </si>
  <si>
    <t>김선영 sunyoung1004.kim@samsung.com</t>
  </si>
  <si>
    <t>강서사업단</t>
  </si>
  <si>
    <t>영등포뉴타운지점</t>
  </si>
  <si>
    <t>02-2675-0228</t>
  </si>
  <si>
    <t>이현 hyeon2930.lee@samsung.com</t>
  </si>
  <si>
    <t>소윤정 yunjung.so@samsung.com</t>
  </si>
  <si>
    <t>영등포TC지점</t>
  </si>
  <si>
    <t>02-2069-0644</t>
  </si>
  <si>
    <t>안선미 sm87.an@samsung.com</t>
  </si>
  <si>
    <t>영등포광장지점</t>
  </si>
  <si>
    <t>02-2631-4075</t>
  </si>
  <si>
    <t>대전둔산</t>
  </si>
  <si>
    <t>채병욱</t>
  </si>
  <si>
    <t>충청영업추진P</t>
  </si>
  <si>
    <t>042-229-0806</t>
  </si>
  <si>
    <t>대치2</t>
  </si>
  <si>
    <t>이순자</t>
  </si>
  <si>
    <t>02-554-6213</t>
  </si>
  <si>
    <t>대치2빌딩</t>
  </si>
  <si>
    <t>김빛나</t>
  </si>
  <si>
    <t>삼성스타TC지점</t>
  </si>
  <si>
    <t>02-568-5947</t>
  </si>
  <si>
    <t>덕산사옥</t>
  </si>
  <si>
    <t>대구중앙지역단</t>
  </si>
  <si>
    <t>대구TC지점</t>
  </si>
  <si>
    <t>053-250-5990</t>
  </si>
  <si>
    <t>김규태지점장:010-2532-9486</t>
  </si>
  <si>
    <t>이영주</t>
  </si>
  <si>
    <t>대구중앙TC지점</t>
  </si>
  <si>
    <t>053-250-4121</t>
  </si>
  <si>
    <t>류지수지점장:010-2695-9174</t>
  </si>
  <si>
    <t>053-252-8195</t>
  </si>
  <si>
    <t>박혜진</t>
  </si>
  <si>
    <t>대구지점</t>
  </si>
  <si>
    <t>053-421-0251</t>
  </si>
  <si>
    <t>정철우지점장</t>
  </si>
  <si>
    <t>배윤지</t>
  </si>
  <si>
    <t>대명지점</t>
  </si>
  <si>
    <t>053-424-1244</t>
  </si>
  <si>
    <t>이창호지점장:010-3007-3293</t>
  </si>
  <si>
    <t>박윤지</t>
  </si>
  <si>
    <t>동대구지점</t>
  </si>
  <si>
    <t>053-424-0223</t>
  </si>
  <si>
    <t>권태영</t>
  </si>
  <si>
    <t>동인지점</t>
  </si>
  <si>
    <t>053-424-0193</t>
  </si>
  <si>
    <t>이승봉지점장:010-5615-0397</t>
  </si>
  <si>
    <t>김유미</t>
  </si>
  <si>
    <t>봉덕지점</t>
  </si>
  <si>
    <t>053-424-0257</t>
  </si>
  <si>
    <t>조영희</t>
  </si>
  <si>
    <t>용계지점</t>
  </si>
  <si>
    <t>053-424-2157</t>
  </si>
  <si>
    <t>백종규지점장:011-508-0364</t>
  </si>
  <si>
    <t>김홍숙</t>
  </si>
  <si>
    <t>수성지역단</t>
  </si>
  <si>
    <t>경산지점</t>
  </si>
  <si>
    <t>070-7158-6181</t>
  </si>
  <si>
    <t>053-814-2373</t>
  </si>
  <si>
    <t>김현정</t>
  </si>
  <si>
    <t>권성길과장</t>
  </si>
  <si>
    <t>070-7158-6106</t>
  </si>
  <si>
    <t>김정화</t>
  </si>
  <si>
    <t>동성로TC지점</t>
  </si>
  <si>
    <t>070-7158-5452</t>
  </si>
  <si>
    <t>053-250-5454</t>
  </si>
  <si>
    <t>053-250-5452</t>
  </si>
  <si>
    <t>고혜성 hs5959.ko@samsung.com</t>
  </si>
  <si>
    <t>만촌지점</t>
  </si>
  <si>
    <t>053-751-2565</t>
  </si>
  <si>
    <t>053-746-6215</t>
  </si>
  <si>
    <t>박수경</t>
  </si>
  <si>
    <t>매호지점</t>
  </si>
  <si>
    <t>070-7158-6171</t>
  </si>
  <si>
    <t>053-742-9069</t>
  </si>
  <si>
    <t>053-746-6211</t>
  </si>
  <si>
    <t>윤봉경</t>
  </si>
  <si>
    <t>범물지점</t>
  </si>
  <si>
    <t>070-7158-6161</t>
  </si>
  <si>
    <t>053-751-7406</t>
  </si>
  <si>
    <t>서재경</t>
  </si>
  <si>
    <t>범어지점</t>
  </si>
  <si>
    <t>070-7158-6176</t>
  </si>
  <si>
    <t>053-742-0771</t>
  </si>
  <si>
    <t>053-751-0251.0235</t>
  </si>
  <si>
    <t>고혜성</t>
  </si>
  <si>
    <t>수성지점</t>
  </si>
  <si>
    <t>070-7158-6156</t>
  </si>
  <si>
    <t>053-743-0719</t>
  </si>
  <si>
    <t>053-743-0720</t>
  </si>
  <si>
    <t>이순화</t>
  </si>
  <si>
    <t>영천지점</t>
  </si>
  <si>
    <t>054-331-0148</t>
  </si>
  <si>
    <t>황금지점</t>
  </si>
  <si>
    <t>070-7158-6151</t>
  </si>
  <si>
    <t>053-742-2511</t>
  </si>
  <si>
    <t>목포사옥</t>
  </si>
  <si>
    <t>송태훈</t>
  </si>
  <si>
    <t>호남사업부</t>
  </si>
  <si>
    <t>목포지역단</t>
  </si>
  <si>
    <t>010-8822-8711</t>
  </si>
  <si>
    <t>주경자대리</t>
  </si>
  <si>
    <t>02-989-1348</t>
  </si>
  <si>
    <t>본사사옥</t>
  </si>
  <si>
    <t>배미진대리</t>
  </si>
  <si>
    <t>SA사업부</t>
  </si>
  <si>
    <t>WM영업부</t>
  </si>
  <si>
    <t>02-2051-8046</t>
  </si>
  <si>
    <t>김종완 jongwan86.kim</t>
  </si>
  <si>
    <t>이재희CM</t>
  </si>
  <si>
    <t xml:space="preserve"> 배미진 010-7689-338</t>
  </si>
  <si>
    <t>김민수</t>
  </si>
  <si>
    <t>WM영업단</t>
  </si>
  <si>
    <t>강미정</t>
  </si>
  <si>
    <t>강남지점</t>
  </si>
  <si>
    <t>02-539-2568</t>
  </si>
  <si>
    <t>박은란</t>
  </si>
  <si>
    <t>삼성지점</t>
  </si>
  <si>
    <t>02-2052-1873</t>
  </si>
  <si>
    <t>원재혁 jaehyeok.won@samsung.com</t>
  </si>
  <si>
    <t>권아영</t>
  </si>
  <si>
    <t>02-597-0226</t>
  </si>
  <si>
    <t>김동임대리</t>
  </si>
  <si>
    <t>서초지점</t>
  </si>
  <si>
    <t>02-501-7287</t>
  </si>
  <si>
    <t>김향난</t>
  </si>
  <si>
    <t>선진중앙법인지점</t>
  </si>
  <si>
    <t>02-318-4925</t>
  </si>
  <si>
    <t>부천</t>
  </si>
  <si>
    <t>황유빈</t>
  </si>
  <si>
    <t>032-323-8431</t>
  </si>
  <si>
    <t>한민정</t>
  </si>
  <si>
    <t>부천지역단</t>
  </si>
  <si>
    <t>032-654-0387</t>
  </si>
  <si>
    <t>분당</t>
  </si>
  <si>
    <t>오유미</t>
  </si>
  <si>
    <t>분당지역단</t>
  </si>
  <si>
    <t>031-705-4958</t>
  </si>
  <si>
    <t>박은정</t>
  </si>
  <si>
    <t>성남지역단</t>
  </si>
  <si>
    <t>031-759-6005</t>
  </si>
  <si>
    <t>129-85-19471</t>
  </si>
  <si>
    <t>분당사옥</t>
  </si>
  <si>
    <t>지역단 조수진대리</t>
  </si>
  <si>
    <t>분당DI센타</t>
  </si>
  <si>
    <t>신영미</t>
  </si>
  <si>
    <t>분당TC지점</t>
  </si>
  <si>
    <t>031-701-1338</t>
  </si>
  <si>
    <t>분당TC--주임이랑통화</t>
  </si>
  <si>
    <t>분당삼성지점</t>
  </si>
  <si>
    <t>031-702-2871</t>
  </si>
  <si>
    <t>조수진대리</t>
  </si>
  <si>
    <t>031-781-6498</t>
  </si>
  <si>
    <t>이은영</t>
  </si>
  <si>
    <t>분당지점</t>
  </si>
  <si>
    <t>031-708-4153</t>
  </si>
  <si>
    <t>김보은</t>
  </si>
  <si>
    <t>서현지점</t>
  </si>
  <si>
    <t>031-709-4874</t>
  </si>
  <si>
    <t>정자동지점</t>
  </si>
  <si>
    <t>방소영</t>
  </si>
  <si>
    <t>판교FP지점</t>
  </si>
  <si>
    <t>방미순</t>
  </si>
  <si>
    <t>판교지점</t>
  </si>
  <si>
    <t>031-703-9153</t>
  </si>
  <si>
    <t>이윤미대리</t>
  </si>
  <si>
    <t>031-756-3328</t>
  </si>
  <si>
    <t>성광은주임-설봉지점</t>
  </si>
  <si>
    <t>이유진</t>
  </si>
  <si>
    <t>분당금융지점</t>
  </si>
  <si>
    <t>031-706-0502</t>
  </si>
  <si>
    <t>이유진 yujin1017.lee</t>
  </si>
  <si>
    <t>소민지</t>
  </si>
  <si>
    <t>010-8755-8376 노규택지점장</t>
  </si>
  <si>
    <t>이혜인</t>
  </si>
  <si>
    <t>신흥지점</t>
  </si>
  <si>
    <t>031-721-3362</t>
  </si>
  <si>
    <t>경기도 성남시 분당구 서현동 245-5</t>
  </si>
  <si>
    <t>업태:금융보험임대</t>
  </si>
  <si>
    <t>서비스,보험업</t>
  </si>
  <si>
    <t>윤미경</t>
  </si>
  <si>
    <t>031-755-2067</t>
  </si>
  <si>
    <t>이인영 inyoung91.lee@samsung.com</t>
  </si>
  <si>
    <t>은행지점</t>
  </si>
  <si>
    <t>031-758-6612</t>
  </si>
  <si>
    <t>오미연대리</t>
  </si>
  <si>
    <t>경안지점</t>
  </si>
  <si>
    <t>031-763-4468</t>
  </si>
  <si>
    <t>유미경</t>
  </si>
  <si>
    <t>광주지점</t>
  </si>
  <si>
    <t>031-766-0192</t>
  </si>
  <si>
    <t>120-85-01538</t>
  </si>
  <si>
    <t>삼성동</t>
  </si>
  <si>
    <t>김한나</t>
  </si>
  <si>
    <t>테헤란로사업단</t>
  </si>
  <si>
    <t>압구정지점</t>
  </si>
  <si>
    <t>김한나주임 010-2979-1716</t>
  </si>
  <si>
    <t>안신희 sinhee.an@samsung.com</t>
  </si>
  <si>
    <t>삼성금융지점</t>
  </si>
  <si>
    <t>02-568-6913</t>
  </si>
  <si>
    <t>김수옥주임 010-2258-3167</t>
  </si>
  <si>
    <t>송유정</t>
  </si>
  <si>
    <t>삼성타운지점</t>
  </si>
  <si>
    <t>송유정주임 010-5206-0217</t>
  </si>
  <si>
    <t>21.7.12</t>
  </si>
  <si>
    <t>서초</t>
  </si>
  <si>
    <t>김수진 sujin95.kim@samsung.com</t>
  </si>
  <si>
    <t>02-501-4332</t>
  </si>
  <si>
    <t>김수진 010-6506-7400</t>
  </si>
  <si>
    <t>010-5254-1277 김성희지점장</t>
  </si>
  <si>
    <t>안영란주임010-2767-7825</t>
  </si>
  <si>
    <t>이수정주임 010-2800-5537</t>
  </si>
  <si>
    <t xml:space="preserve">이수정 sujung0123.lee@samsung.com   </t>
  </si>
  <si>
    <t xml:space="preserve">김미선 ms0918.kim@samsung.com   </t>
  </si>
  <si>
    <t>오유민 yumin.oh@samsung.com</t>
  </si>
  <si>
    <t>강남타워지점</t>
  </si>
  <si>
    <t>02-569-8728</t>
  </si>
  <si>
    <t>나지혜주임 010-4554-6441</t>
  </si>
  <si>
    <t>곽난희</t>
  </si>
  <si>
    <t>테헤란로지점</t>
  </si>
  <si>
    <t>02-522-1030</t>
  </si>
  <si>
    <t>곽난희주임 010-7141-6574</t>
  </si>
  <si>
    <t>유종임</t>
  </si>
  <si>
    <t>타워팰리스FP지점</t>
  </si>
  <si>
    <t>02-578-0761</t>
  </si>
  <si>
    <t>유종임주임 010-4595-0719</t>
  </si>
  <si>
    <t>김화자</t>
  </si>
  <si>
    <t>타워팰리스강남FP지점</t>
  </si>
  <si>
    <t>02-3463-8374</t>
  </si>
  <si>
    <t>김화자주임 010-2769-9244</t>
  </si>
  <si>
    <t>윤지영</t>
  </si>
  <si>
    <t>스마트센타</t>
  </si>
  <si>
    <t>윤지영주임 010-3788-7829</t>
  </si>
  <si>
    <t>삼성동사옥</t>
  </si>
  <si>
    <t>박진희대리</t>
  </si>
  <si>
    <t>02-501-3634</t>
  </si>
  <si>
    <t>010-9970-6405 임혜진매니져</t>
  </si>
  <si>
    <t>박진희주임 010-3737-0891</t>
  </si>
  <si>
    <t>삼성사옥</t>
  </si>
  <si>
    <t>김수진</t>
  </si>
  <si>
    <t>강남AFC지역단</t>
  </si>
  <si>
    <t>02-557-6362</t>
  </si>
  <si>
    <t>김수진:010-5292-2128</t>
  </si>
  <si>
    <t>이태호지점장 010-9876-8244</t>
  </si>
  <si>
    <t>박미혜</t>
  </si>
  <si>
    <t>02-563-0668</t>
  </si>
  <si>
    <t>김정희대리010-3708-1417 02-563-0391</t>
  </si>
  <si>
    <t>조성윤메니져 017-418-7997</t>
  </si>
  <si>
    <t>주수경 sookyoung622.joo@samsung.com</t>
  </si>
  <si>
    <t>02-561-9729</t>
  </si>
  <si>
    <t>이영남cm:02-538-8393</t>
  </si>
  <si>
    <t>주수경지점장:010-30963-9279/02-563-0668</t>
  </si>
  <si>
    <t>김지혜대리님</t>
  </si>
  <si>
    <t xml:space="preserve">  </t>
  </si>
  <si>
    <t>김수정</t>
  </si>
  <si>
    <t>강남조직혁신센타</t>
  </si>
  <si>
    <t>02-597-0475</t>
  </si>
  <si>
    <t>soojung78.kim@삼성.컴</t>
  </si>
  <si>
    <t>김태훈센타장02-597-0454</t>
  </si>
  <si>
    <t>송선희xxx  02-597-0454</t>
  </si>
  <si>
    <t>박경례</t>
  </si>
  <si>
    <t>타워팰리스금융지점</t>
  </si>
  <si>
    <t>02-578-0739</t>
  </si>
  <si>
    <t>상계</t>
  </si>
  <si>
    <t>신석연/정연경</t>
  </si>
  <si>
    <t>02-937-5843</t>
  </si>
  <si>
    <t>이미원</t>
  </si>
  <si>
    <t>목동지역단</t>
  </si>
  <si>
    <t>02-2642-0536/ 02-2642-5498</t>
  </si>
  <si>
    <t>김지은</t>
  </si>
  <si>
    <t>서초사업단</t>
  </si>
  <si>
    <t>02-558-0929</t>
  </si>
  <si>
    <t>장효은</t>
  </si>
  <si>
    <t>강남FP센타</t>
  </si>
  <si>
    <t xml:space="preserve">  02-3451-1700</t>
  </si>
  <si>
    <t>입금:삼성생WM지…..</t>
  </si>
  <si>
    <t xml:space="preserve">장효은 010-6877-4480 </t>
  </si>
  <si>
    <t>김경아</t>
  </si>
  <si>
    <t>서초조직혁신센타</t>
  </si>
  <si>
    <t>02-561-4679</t>
  </si>
  <si>
    <t>이옥림CM</t>
  </si>
  <si>
    <t>김수진 sj0519.kim@samsung.com</t>
  </si>
  <si>
    <t>서초권역</t>
  </si>
  <si>
    <t>강남금융지점</t>
  </si>
  <si>
    <t>02-3472-8748</t>
  </si>
  <si>
    <t>정수인 sooin0522.jung@samsung.com</t>
  </si>
  <si>
    <t>강현희 hyunhee0530.kang@samsung.com</t>
  </si>
  <si>
    <t>역삼지점</t>
  </si>
  <si>
    <t>02-561-4612</t>
  </si>
  <si>
    <t>전용민지점장 010-3685-0417</t>
  </si>
  <si>
    <t>정필규 pilgyu.jung@samsung.com</t>
  </si>
  <si>
    <t>02-561-7174</t>
  </si>
  <si>
    <t>이명숙 ms2000.lee@samsung.com</t>
  </si>
  <si>
    <t>한수진 sujin0811.han@samsung.com</t>
  </si>
  <si>
    <t>서초스타지점</t>
  </si>
  <si>
    <t>02-561-6931</t>
  </si>
  <si>
    <t>장정희 jeonghee77.jang@samsung.com</t>
  </si>
  <si>
    <t>강윤영 yy1472.kang@samsung.com</t>
  </si>
  <si>
    <t>02-558-2724</t>
  </si>
  <si>
    <t>김빛나 bitna1023.kim@samsung.com</t>
  </si>
  <si>
    <t>구민경 mk7788.ku@samsung.com</t>
  </si>
  <si>
    <t>김보람(출산휴가중)
 boram89.kim@samsung.com</t>
  </si>
  <si>
    <t>강다혜 dahye0102.kang@samsung.com</t>
  </si>
  <si>
    <t>반포지점</t>
  </si>
  <si>
    <t>02-536-6245</t>
  </si>
  <si>
    <t>곽수지 sj829.gwak@samsung.com</t>
  </si>
  <si>
    <t>강남TC지점</t>
  </si>
  <si>
    <t>02-508-8379</t>
  </si>
  <si>
    <t>김수미지점장 010-4678-6551</t>
  </si>
  <si>
    <t>오양숙 yangsug.oh@samsung.com</t>
  </si>
  <si>
    <t>반포금융지점</t>
  </si>
  <si>
    <t>02-569-2482</t>
  </si>
  <si>
    <t>장성임 si9395.jang@samsung.com</t>
  </si>
  <si>
    <t>삼성타워지점</t>
  </si>
  <si>
    <t>02-597-0511</t>
  </si>
  <si>
    <t>스마트센타지점</t>
  </si>
  <si>
    <t>02-561-5861</t>
  </si>
  <si>
    <t>홍승현센타장 010-5879-4747</t>
  </si>
  <si>
    <t>당산동사옥</t>
  </si>
  <si>
    <t>이현선 hyunseon.lee@samsung.com</t>
  </si>
  <si>
    <t>목동</t>
  </si>
  <si>
    <t>목동TC지점</t>
  </si>
  <si>
    <t xml:space="preserve"> 02-2643-9223</t>
  </si>
  <si>
    <t>금천광명사업단</t>
  </si>
  <si>
    <t>디지털지점</t>
  </si>
  <si>
    <t>02-864-0535</t>
  </si>
  <si>
    <t>21.07.14</t>
  </si>
  <si>
    <t>민영지 yj2185.min@samsung.com</t>
  </si>
  <si>
    <t>강남권역</t>
  </si>
  <si>
    <t>02-501-6936</t>
  </si>
  <si>
    <t>우은애 coolbora.woo@samsung.com</t>
  </si>
  <si>
    <t>21.07.16</t>
  </si>
  <si>
    <t>김미선프로 ms0918.kim@samsung.com</t>
  </si>
  <si>
    <t>지역단</t>
  </si>
  <si>
    <t>강남지역단</t>
  </si>
  <si>
    <t>02-558-1293</t>
  </si>
  <si>
    <t>신태희 taehee.sin@samsung.com</t>
  </si>
  <si>
    <t>고경년 kyeongnyeon72.ko@samsung.com</t>
  </si>
  <si>
    <t>김혜정 hj1836.kim@samsung.com</t>
  </si>
  <si>
    <t>역삼스타지점</t>
  </si>
  <si>
    <t>02-563-8317</t>
  </si>
  <si>
    <t>조명희 mh0104.jo@samsung.com</t>
  </si>
  <si>
    <t>02-563-7468</t>
  </si>
  <si>
    <t>장유선 ys0115.jang@samsung.com</t>
  </si>
  <si>
    <t>역삼중앙지점</t>
  </si>
  <si>
    <t>02-564-6356</t>
  </si>
  <si>
    <t>개포지점</t>
  </si>
  <si>
    <t>02-564-7964</t>
  </si>
  <si>
    <t>이순자대리 soon1202.lee@samsung.com</t>
  </si>
  <si>
    <t>강남사업단</t>
  </si>
  <si>
    <t>김영선 sun0802.kim@samsung.com</t>
  </si>
  <si>
    <t>광명금융지점</t>
  </si>
  <si>
    <t>02-2683-3556</t>
  </si>
  <si>
    <t>하지연 jiyeon0798.ha@samsung.com</t>
  </si>
  <si>
    <t>소하지점</t>
  </si>
  <si>
    <t>02-2617-3319</t>
  </si>
  <si>
    <t>김하나 hn5972.kim@samsung.com</t>
  </si>
  <si>
    <t>금천지점</t>
  </si>
  <si>
    <t>02-843-2216</t>
  </si>
  <si>
    <t>순천사옥</t>
  </si>
  <si>
    <t>강  산</t>
  </si>
  <si>
    <t>순천지역단</t>
  </si>
  <si>
    <t>010-7463-0530</t>
  </si>
  <si>
    <t>안산</t>
  </si>
  <si>
    <t>황기정</t>
  </si>
  <si>
    <t>안산지역단</t>
  </si>
  <si>
    <t>031-414-3013</t>
  </si>
  <si>
    <t>안양사옥</t>
  </si>
  <si>
    <t>문영옥</t>
  </si>
  <si>
    <t>안양지역단</t>
  </si>
  <si>
    <t>군포지점</t>
  </si>
  <si>
    <t>031-399-8061</t>
  </si>
  <si>
    <t>이상주</t>
  </si>
  <si>
    <t>귀인지점</t>
  </si>
  <si>
    <t>031-468-1850</t>
  </si>
  <si>
    <t>031-449-1067</t>
  </si>
  <si>
    <t>제경아</t>
  </si>
  <si>
    <t>동안지점</t>
  </si>
  <si>
    <t>031-468-0249</t>
  </si>
  <si>
    <t>김경진</t>
  </si>
  <si>
    <t>산본지점</t>
  </si>
  <si>
    <t>031-399-8605</t>
  </si>
  <si>
    <t>김현선</t>
  </si>
  <si>
    <t>안양스타지점</t>
  </si>
  <si>
    <t>031-468-4282</t>
  </si>
  <si>
    <t>지점장:031-446-0262</t>
  </si>
  <si>
    <t>이재영</t>
  </si>
  <si>
    <t>안양중앙지점</t>
  </si>
  <si>
    <t>031-468-4801</t>
  </si>
  <si>
    <t>안양지점</t>
  </si>
  <si>
    <t>031-468-1048</t>
  </si>
  <si>
    <t>장숙경지점장:031-443-0911</t>
  </si>
  <si>
    <t>박수인</t>
  </si>
  <si>
    <t>평안지점</t>
  </si>
  <si>
    <t>031-442-4270</t>
  </si>
  <si>
    <t>한지연</t>
  </si>
  <si>
    <t>한만정CM</t>
  </si>
  <si>
    <t>여수사옥</t>
  </si>
  <si>
    <t>남현정</t>
  </si>
  <si>
    <t>여수지역단</t>
  </si>
  <si>
    <t>010-3112-6064/061-666-0198</t>
  </si>
  <si>
    <t>장현정프로 hyeonjeong.jang@samsung.com</t>
  </si>
  <si>
    <t>대전지역단</t>
  </si>
  <si>
    <t>남대전지점</t>
  </si>
  <si>
    <t>042-252-7160</t>
  </si>
  <si>
    <t>042-257-2014</t>
  </si>
  <si>
    <t>원주사옥</t>
  </si>
  <si>
    <t>이은옥프로 eunok79.lee@samsung.com</t>
  </si>
  <si>
    <t>춘천원주지역단</t>
  </si>
  <si>
    <t>033-762-7349</t>
  </si>
  <si>
    <t>224-85-08978</t>
  </si>
  <si>
    <t>남원주지점</t>
  </si>
  <si>
    <t>033-763-3860</t>
  </si>
  <si>
    <t>033-763-9657</t>
  </si>
  <si>
    <t>지점장:033-761-5898</t>
  </si>
  <si>
    <t>동원주지점</t>
  </si>
  <si>
    <t>070-7156-4308</t>
  </si>
  <si>
    <t>이종삼지점장:033-763-6893</t>
  </si>
  <si>
    <t>원유분/송진영</t>
  </si>
  <si>
    <t>원주TC지점</t>
  </si>
  <si>
    <t>원유분:yoobun.won</t>
  </si>
  <si>
    <t>권정애/이은옥</t>
  </si>
  <si>
    <t>033-762-7352</t>
  </si>
  <si>
    <t>원주지점</t>
  </si>
  <si>
    <t>033-763-6002</t>
  </si>
  <si>
    <t>문길자</t>
  </si>
  <si>
    <t>치악지점</t>
  </si>
  <si>
    <t>033-763-3849</t>
  </si>
  <si>
    <t>033-762-4426</t>
  </si>
  <si>
    <t>현금입금하심</t>
  </si>
  <si>
    <t>춘천지역단</t>
  </si>
  <si>
    <t>강원FA춘천지점</t>
  </si>
  <si>
    <t>매월 20일전에 외상내역 카톡발송키로~~</t>
  </si>
  <si>
    <t>노윤지</t>
  </si>
  <si>
    <t>강원지점</t>
  </si>
  <si>
    <t>033-262-7595</t>
  </si>
  <si>
    <t>한길영</t>
  </si>
  <si>
    <t>경춘지점</t>
  </si>
  <si>
    <t>033-264-1324</t>
  </si>
  <si>
    <t>구보영</t>
  </si>
  <si>
    <t>의암지점</t>
  </si>
  <si>
    <t>033-262-3916</t>
  </si>
  <si>
    <t>박채숙</t>
  </si>
  <si>
    <t>춘천TC지점</t>
  </si>
  <si>
    <t>033-264-9803</t>
  </si>
  <si>
    <t>033-264-9802-지점장</t>
  </si>
  <si>
    <t>chesuk.park</t>
  </si>
  <si>
    <t>김민선</t>
  </si>
  <si>
    <t>033-263-3954</t>
  </si>
  <si>
    <t>조경란</t>
  </si>
  <si>
    <t>이은식</t>
  </si>
  <si>
    <t>춘천지점</t>
  </si>
  <si>
    <t>033-263-5027</t>
  </si>
  <si>
    <t>김진국지점장</t>
  </si>
  <si>
    <t>박정훈</t>
  </si>
  <si>
    <t>호반지점</t>
  </si>
  <si>
    <t>033-262-5057</t>
  </si>
  <si>
    <t>의정부2</t>
  </si>
  <si>
    <t>신석연대리</t>
  </si>
  <si>
    <t>031-901-1049</t>
  </si>
  <si>
    <t>김진아대리 jina0217.kim@samsung.com</t>
  </si>
  <si>
    <t>의정부지역단</t>
  </si>
  <si>
    <t>031-837-4613</t>
  </si>
  <si>
    <t>익산사옥</t>
  </si>
  <si>
    <t>임성규/이정화주임</t>
  </si>
  <si>
    <t>익산군산지역단</t>
  </si>
  <si>
    <t>010-5651-2044</t>
  </si>
  <si>
    <t>인계</t>
  </si>
  <si>
    <t>임미정</t>
  </si>
  <si>
    <t>용인지역단</t>
  </si>
  <si>
    <t>031-286-2367</t>
  </si>
  <si>
    <t>김미라</t>
  </si>
  <si>
    <t>수원지역단</t>
  </si>
  <si>
    <t>031-234-8816</t>
  </si>
  <si>
    <t>전미숙</t>
  </si>
  <si>
    <t>동탄오산지역단</t>
  </si>
  <si>
    <t>031-8003-0355</t>
  </si>
  <si>
    <t>김경숙</t>
  </si>
  <si>
    <t>인계동사옥</t>
  </si>
  <si>
    <t>송지영</t>
  </si>
  <si>
    <t>경인AFC지역단</t>
  </si>
  <si>
    <t>김경자,박연순CM</t>
  </si>
  <si>
    <t>031-267-4387</t>
  </si>
  <si>
    <t>010-9067-2938</t>
  </si>
  <si>
    <t>유현정</t>
  </si>
  <si>
    <t>수원금융TC지점</t>
  </si>
  <si>
    <t>031-224-8061</t>
  </si>
  <si>
    <t>고승연주임</t>
  </si>
  <si>
    <t>수원조직혁신센타</t>
  </si>
  <si>
    <t>031-221-6113</t>
  </si>
  <si>
    <t>고승연주임 010-9829-7710</t>
  </si>
  <si>
    <t>잠실</t>
  </si>
  <si>
    <t>송파사업단</t>
  </si>
  <si>
    <t>02-3431-4121</t>
  </si>
  <si>
    <t>김형하</t>
  </si>
  <si>
    <t>송파조직혁신센타</t>
  </si>
  <si>
    <t>02-425-0142</t>
  </si>
  <si>
    <t>rudtnrna</t>
  </si>
  <si>
    <t>215-85-40993</t>
  </si>
  <si>
    <t>잠실빌딩</t>
  </si>
  <si>
    <t>김진영대리 jinyoung3010.kim@samsung.com</t>
  </si>
  <si>
    <t>02-489-5809</t>
  </si>
  <si>
    <t>02-475-1944</t>
  </si>
  <si>
    <t>김진영대리010-5280-3010</t>
  </si>
  <si>
    <t>이효영 hyoyoung4u.lee@samsung.com</t>
  </si>
  <si>
    <t>강일지점</t>
  </si>
  <si>
    <t>02-470-5921</t>
  </si>
  <si>
    <t>02-485-2413</t>
  </si>
  <si>
    <t>강종우지점장 010-2032-0203</t>
  </si>
  <si>
    <t>정효경주임 010-9147-8706</t>
  </si>
  <si>
    <t>정효경주임 hyokyung.jeong@samsung.com</t>
  </si>
  <si>
    <t>김화자 hwaja1.kim@samsung.com</t>
  </si>
  <si>
    <t>올림픽지점</t>
  </si>
  <si>
    <t>02-474-2936</t>
  </si>
  <si>
    <t>02-482-9040</t>
  </si>
  <si>
    <t>김신혁지점장 010-4254-4845</t>
  </si>
  <si>
    <t>송유정주임 yujeong0217.song@samsung.com</t>
  </si>
  <si>
    <t>정애숙주임 aesuk.jung@samsung.com</t>
  </si>
  <si>
    <t>강동금융지점</t>
  </si>
  <si>
    <t>02-470-3966</t>
  </si>
  <si>
    <t>02-474-2935</t>
  </si>
  <si>
    <t>류하식지점장 010-8477-8828</t>
  </si>
  <si>
    <t>정애숙주임 010-2521-5604</t>
  </si>
  <si>
    <t>박옥임주임 okim.park@samsung.com</t>
  </si>
  <si>
    <t>강동지점</t>
  </si>
  <si>
    <t>02-470-3965</t>
  </si>
  <si>
    <t>02-477-2617</t>
  </si>
  <si>
    <t>김영미지점장 010-5221-3943</t>
  </si>
  <si>
    <t>박옥임주임 010-5251-8197</t>
  </si>
  <si>
    <t>심송옥주임 songok.shim@samsung.com</t>
  </si>
  <si>
    <t>명일지점</t>
  </si>
  <si>
    <t>02-470-1835</t>
  </si>
  <si>
    <t>02-485-8230</t>
  </si>
  <si>
    <t>백소하지점장 010-9215-3554</t>
  </si>
  <si>
    <t>심송옥주임 010-8710-4567</t>
  </si>
  <si>
    <t>이효영주임 hyoyoung4u.lee@samsung.com</t>
  </si>
  <si>
    <t>하남금융지점</t>
  </si>
  <si>
    <t>031-792-5306</t>
  </si>
  <si>
    <t>031-795-6774</t>
  </si>
  <si>
    <t>박봉덕지점장 010-4105-0318</t>
  </si>
  <si>
    <t>이효영주임 010-2008-8293</t>
  </si>
  <si>
    <t>김경숙주임 010-8799-4705</t>
  </si>
  <si>
    <t xml:space="preserve">장정희프로 </t>
  </si>
  <si>
    <t>선사지점</t>
  </si>
  <si>
    <t>02-475-6150</t>
  </si>
  <si>
    <t>02-475-6158</t>
  </si>
  <si>
    <t>주양식지점장 010-4444-5556</t>
  </si>
  <si>
    <t>박미혜주임 010-6210-0789</t>
  </si>
  <si>
    <t>유그루주임 geuru.you@samsung.com</t>
  </si>
  <si>
    <t>송파스타지점</t>
  </si>
  <si>
    <t>02-3431-1263</t>
  </si>
  <si>
    <t xml:space="preserve">양명근지점장 </t>
  </si>
  <si>
    <t xml:space="preserve">유그루주임 </t>
  </si>
  <si>
    <t xml:space="preserve">유영미주임 </t>
  </si>
  <si>
    <t>송파금융지점</t>
  </si>
  <si>
    <t>02-3431-7146</t>
  </si>
  <si>
    <t>정경선지점장 010-8903-8635</t>
  </si>
  <si>
    <t>ㅡ</t>
  </si>
  <si>
    <t>광진지역단</t>
  </si>
  <si>
    <t>광진TC지점</t>
  </si>
  <si>
    <t>02-2249-8623/02-2243-0685</t>
  </si>
  <si>
    <t>박미혜주임 mihye.park@samsung.com</t>
  </si>
  <si>
    <t>김지수주임010-2808-0556</t>
  </si>
  <si>
    <t>이윤희 yunhee1982.lee@samsung.com</t>
  </si>
  <si>
    <t>광진금융지점</t>
  </si>
  <si>
    <t>02-2245-8819</t>
  </si>
  <si>
    <t>02-2245-1748</t>
  </si>
  <si>
    <t>010-4710-5449</t>
  </si>
  <si>
    <t>박경필</t>
  </si>
  <si>
    <t>광진스타지점</t>
  </si>
  <si>
    <t>02-2243-0812</t>
  </si>
  <si>
    <t>구:능동지점</t>
  </si>
  <si>
    <t>광진조직혁신센타</t>
  </si>
  <si>
    <t>02-2243-3128</t>
  </si>
  <si>
    <t>김정미</t>
  </si>
  <si>
    <t>광진지점</t>
  </si>
  <si>
    <t>02-2247-4332</t>
  </si>
  <si>
    <t>권해숙주임 010-2566-6750</t>
  </si>
  <si>
    <t>이다연</t>
  </si>
  <si>
    <t>성동지점:폐쇄</t>
  </si>
  <si>
    <t>부유빈</t>
  </si>
  <si>
    <t>성수지점</t>
  </si>
  <si>
    <t>02-2243-0637</t>
  </si>
  <si>
    <t>02-2243-0585</t>
  </si>
  <si>
    <t>이은숙대리=용현지점,영업추진P</t>
  </si>
  <si>
    <t>부유빈주임:010-2702-0242(카톡할것)</t>
  </si>
  <si>
    <t>왕십리지점</t>
  </si>
  <si>
    <t>02-2215-1635</t>
  </si>
  <si>
    <t>박연혜</t>
  </si>
  <si>
    <t>장한평지점</t>
  </si>
  <si>
    <t>02-2249-3852</t>
  </si>
  <si>
    <t>서민정=강북영업추진P</t>
  </si>
  <si>
    <t>이윤희주임</t>
  </si>
  <si>
    <t>광진역량강화센타</t>
  </si>
  <si>
    <t>010-2462-7560김용덕센타장</t>
  </si>
  <si>
    <t>전주사옥</t>
  </si>
  <si>
    <t>김광열</t>
  </si>
  <si>
    <t>동전주지역단</t>
  </si>
  <si>
    <t>010-2603-0010</t>
  </si>
  <si>
    <t>김상공/장지숙주임</t>
  </si>
  <si>
    <t>전주지역단</t>
  </si>
  <si>
    <t>010-7371-2608</t>
  </si>
  <si>
    <t>정연경대리 yk.jeong@samsung.com</t>
  </si>
  <si>
    <t>구리지역단</t>
  </si>
  <si>
    <t>031-568-0884</t>
  </si>
  <si>
    <t>김희경 hk1123.kim@samsung.com</t>
  </si>
  <si>
    <t>정연경</t>
  </si>
  <si>
    <t>중앙지역단</t>
  </si>
  <si>
    <t>02-773-7239</t>
  </si>
  <si>
    <t>이은희</t>
  </si>
  <si>
    <t>02-960-3159</t>
  </si>
  <si>
    <t>조유진 yg1004.cho@samsung.com</t>
  </si>
  <si>
    <t>동부지역단</t>
  </si>
  <si>
    <t>동대문권역</t>
  </si>
  <si>
    <t>02-968-4267</t>
  </si>
  <si>
    <t>권차남주임 chanam.kwon@samsung.com</t>
  </si>
  <si>
    <t>노원TC지점</t>
  </si>
  <si>
    <t>02-939-0380</t>
  </si>
  <si>
    <t>김미경=강북영업추진P</t>
  </si>
  <si>
    <t>권차남 010-8958-9887</t>
  </si>
  <si>
    <t>구본희 bonhee.gu@samsung.com</t>
  </si>
  <si>
    <t>노원금융지점</t>
  </si>
  <si>
    <t>02-937-1065</t>
  </si>
  <si>
    <t>정은영 eunyoung2.jung@samsung.com</t>
  </si>
  <si>
    <t>임수경=노원금융(휴직)</t>
  </si>
  <si>
    <t>노원스타지점</t>
  </si>
  <si>
    <t>02-936-4927</t>
  </si>
  <si>
    <t>구:상계지점</t>
  </si>
  <si>
    <t>ek2339.lee@samsung.com</t>
  </si>
  <si>
    <t>노원조직혁신센타</t>
  </si>
  <si>
    <t>02-937-8273</t>
  </si>
  <si>
    <t>938-2186</t>
  </si>
  <si>
    <t>신석연대리0-6301-1004</t>
  </si>
  <si>
    <t>윤경아 ka512.yoon@samsung.com</t>
  </si>
  <si>
    <t>노원지점</t>
  </si>
  <si>
    <t>02-933-2559</t>
  </si>
  <si>
    <t>02-930-9615</t>
  </si>
  <si>
    <t>02-937-4695(지점장폰)</t>
  </si>
  <si>
    <t>김혜진주임010-6226-4633</t>
  </si>
  <si>
    <t>마들지점=폐쇄</t>
  </si>
  <si>
    <t>02-933-3015</t>
  </si>
  <si>
    <t>김민정  minjung0.kim@samsung.com</t>
  </si>
  <si>
    <t>세계로지점</t>
  </si>
  <si>
    <t>010-8258-2629</t>
  </si>
  <si>
    <t>최진주 jj6001.choi@samsung.com</t>
  </si>
  <si>
    <t>화랑대지점</t>
  </si>
  <si>
    <t>02-933-3135</t>
  </si>
  <si>
    <t>02-933-9443</t>
  </si>
  <si>
    <t>010-3829-9342</t>
  </si>
  <si>
    <t>임아름 ar3233.im@samsung.com</t>
  </si>
  <si>
    <t>금오지점</t>
  </si>
  <si>
    <t>031-855-9520</t>
  </si>
  <si>
    <t xml:space="preserve"> 이동교지점장 010-4557-0218</t>
  </si>
  <si>
    <t>3팀장:김순금:01071203121</t>
  </si>
  <si>
    <t>정시라 sr87.jung@samsung.com</t>
  </si>
  <si>
    <t>녹양지점</t>
  </si>
  <si>
    <t>031-826-1088</t>
  </si>
  <si>
    <t>임혜영 hy.im@samsung.com</t>
  </si>
  <si>
    <t>임연실 yeonsil.im@samsung.com</t>
  </si>
  <si>
    <t>조혜정주임 hyechung.cho@samsung.com</t>
  </si>
  <si>
    <t>동두천지점</t>
  </si>
  <si>
    <t>031-857-8624</t>
  </si>
  <si>
    <t>1팀장:0-4729-4042박선우</t>
  </si>
  <si>
    <t>2팀장:0-9122-3366이상희</t>
  </si>
  <si>
    <t>3팀장:0-4336-1527정민숙</t>
  </si>
  <si>
    <t>4팀장:0-8793-9177이상열</t>
  </si>
  <si>
    <t>박상순 ss1693.park@samsung.com</t>
  </si>
  <si>
    <t xml:space="preserve"> 나정운 jungwhone.na@samsung.com</t>
  </si>
  <si>
    <t>양주지점</t>
  </si>
  <si>
    <t>031-858-8714</t>
  </si>
  <si>
    <t>정예린 yerin1004.jeong@samsung.com</t>
  </si>
  <si>
    <t>용현지점</t>
  </si>
  <si>
    <t>031-837-8675</t>
  </si>
  <si>
    <t>031-873-6617</t>
  </si>
  <si>
    <t>김유진xxx</t>
  </si>
  <si>
    <t>이연정</t>
  </si>
  <si>
    <t>의정부조직혁신센타</t>
  </si>
  <si>
    <t>031-826-0557</t>
  </si>
  <si>
    <t>조한성:바로결제문의</t>
  </si>
  <si>
    <t>eunju0408.lee@samsung.com</t>
  </si>
  <si>
    <t>이연정(같이관리)</t>
  </si>
  <si>
    <t>의정부역량센타</t>
  </si>
  <si>
    <t>이다연프로 dayeon07.lee@samsumg.com</t>
  </si>
  <si>
    <t>김진아대리  jina0217.kim@samsung.com</t>
  </si>
  <si>
    <t>031-877-9870</t>
  </si>
  <si>
    <t>이수정 sujung.lee@samsung.com(센타쪽경비)</t>
  </si>
  <si>
    <t>의정부DI센타-임선규대리</t>
  </si>
  <si>
    <t>김진아 ja1225.kim@samsung.com</t>
  </si>
  <si>
    <t>의정부지점</t>
  </si>
  <si>
    <t>031-855-9523</t>
  </si>
  <si>
    <t>최은하 ha.choi@samsung.com</t>
  </si>
  <si>
    <t>김화순 hs1966.kim@samsung.com</t>
  </si>
  <si>
    <t>포천금융지점</t>
  </si>
  <si>
    <t>031-532-4855</t>
  </si>
  <si>
    <t>임수경 sk1.lim@samsung.com</t>
  </si>
  <si>
    <t>(포천중앙+포천)</t>
  </si>
  <si>
    <t>031-837-4583</t>
  </si>
  <si>
    <t>황고은</t>
  </si>
  <si>
    <t>강북AFC지역단</t>
  </si>
  <si>
    <t>02-3706-3673,3676</t>
  </si>
  <si>
    <t>최윤미주임 02-3706-3676</t>
  </si>
  <si>
    <t>서만숙주임010-2383-0795</t>
  </si>
  <si>
    <t>강북사업부</t>
  </si>
  <si>
    <t>강북CS센타</t>
  </si>
  <si>
    <t>02-3706-3782</t>
  </si>
  <si>
    <t>김윤정대리</t>
  </si>
  <si>
    <t>02-3706-3714</t>
  </si>
  <si>
    <t xml:space="preserve">010-4397-3504 </t>
  </si>
  <si>
    <t>김현선 hyunsun2.kim@samsung.com</t>
  </si>
  <si>
    <t>박정인 jeongin1138.park@samsung.com</t>
  </si>
  <si>
    <t>박주희</t>
  </si>
  <si>
    <t>강북지역사업부</t>
  </si>
  <si>
    <t>02-3706-3979</t>
  </si>
  <si>
    <t>강북영업추진P-주혜선과장</t>
  </si>
  <si>
    <t>황혜리프로 hyeri0728.hwang@samsung.com</t>
  </si>
  <si>
    <t>구리사업단</t>
  </si>
  <si>
    <t>중랑금융지점</t>
  </si>
  <si>
    <t>02-497-8860</t>
  </si>
  <si>
    <t>김정아 jeongah222.kim@samsung.com</t>
  </si>
  <si>
    <t>박민선---퇴사??</t>
  </si>
  <si>
    <t>이은숙 ckdrndmstnr.lee@samsung.com</t>
  </si>
  <si>
    <t>구리TC지점</t>
  </si>
  <si>
    <t>031-567-2368</t>
  </si>
  <si>
    <t>안지영 jiyoung862.an@samsung.com</t>
  </si>
  <si>
    <t>조용숙:선진화추진팀</t>
  </si>
  <si>
    <t>김현선주임 010-5715-1510</t>
  </si>
  <si>
    <t>백서이</t>
  </si>
  <si>
    <t>구리조직혁신센타</t>
  </si>
  <si>
    <t>031-568-0736</t>
  </si>
  <si>
    <t>백서이:010-2030-0002</t>
  </si>
  <si>
    <t>031-556-0712/568-0633</t>
  </si>
  <si>
    <t>031-558-8512</t>
  </si>
  <si>
    <t>민경원-재무관리</t>
  </si>
  <si>
    <t xml:space="preserve"> 주성택메니져(010-2816-3205):사업부계산서담당</t>
  </si>
  <si>
    <t>구리지점</t>
  </si>
  <si>
    <t>031-563-0898</t>
  </si>
  <si>
    <t>031-551-3268</t>
  </si>
  <si>
    <t>이광춘팀장:010-4228-5067-개인담당</t>
  </si>
  <si>
    <t>박경필 kyoung.pil.park@samsung.com</t>
  </si>
  <si>
    <t>남양주금융지점</t>
  </si>
  <si>
    <t>031-591-5714</t>
  </si>
  <si>
    <t xml:space="preserve"> 031-593-0843</t>
  </si>
  <si>
    <t>호평지점--&gt;남양주금융지점</t>
  </si>
  <si>
    <t>김나리</t>
  </si>
  <si>
    <t>남양주지점=폐쇄</t>
  </si>
  <si>
    <t>031-559-0791</t>
  </si>
  <si>
    <t>031-593-0843</t>
  </si>
  <si>
    <t xml:space="preserve">남양주지점 7월말로 폐쇄 </t>
  </si>
  <si>
    <t>김혜숙주임  soogi520.kim@samsung.com</t>
  </si>
  <si>
    <t>인창지점</t>
  </si>
  <si>
    <t>031-568-0537</t>
  </si>
  <si>
    <t>031-557-3250</t>
  </si>
  <si>
    <t xml:space="preserve"> 지점장 : 031-551-6583</t>
  </si>
  <si>
    <t>이경인대리 ki1223.lee@samsung.com-허수진주임 sujin.heo@samsung.com</t>
  </si>
  <si>
    <t>이경인대리 ki1223.lee@samsung.com</t>
  </si>
  <si>
    <t>토평지점</t>
  </si>
  <si>
    <t>031-559-0736</t>
  </si>
  <si>
    <t>031-564-1078</t>
  </si>
  <si>
    <t>김승미 sm0906.kim@samsung.com</t>
  </si>
  <si>
    <t>이남희SM:010-9110-6863-개인수금</t>
  </si>
  <si>
    <t>김선영</t>
  </si>
  <si>
    <t>동부AFC지역단</t>
  </si>
  <si>
    <t>02-952-8273</t>
  </si>
  <si>
    <t>02-936-0586</t>
  </si>
  <si>
    <t xml:space="preserve">이대상님 02-3391-1453 </t>
  </si>
  <si>
    <t>21.06.30확인</t>
  </si>
  <si>
    <t>이희진 hc1004.lee@samsung.com</t>
  </si>
  <si>
    <t>삼성서울지점</t>
  </si>
  <si>
    <t>02-725-6834</t>
  </si>
  <si>
    <t>임현경주임 hk724.lim@samsung.com</t>
  </si>
  <si>
    <t>강나윤 nayoon.kang@samsung.com</t>
  </si>
  <si>
    <t>전지은 je3212.jeon@samsung.com</t>
  </si>
  <si>
    <t>충무지점</t>
  </si>
  <si>
    <t>02-2285-0226</t>
  </si>
  <si>
    <t>서울스타지점</t>
  </si>
  <si>
    <t>02-2264-7860</t>
  </si>
  <si>
    <t>02-739-7218</t>
  </si>
  <si>
    <t>02-739-7218 팩스</t>
  </si>
  <si>
    <t>황단비주임 010-5675-1326
한희정주임 -- 1년휴직</t>
  </si>
  <si>
    <t>김휘경 hwikyoung.kim@samsung.com</t>
  </si>
  <si>
    <t>남산지점</t>
  </si>
  <si>
    <t>02-773-8991</t>
  </si>
  <si>
    <t>김지현 주임 jihyun868.kim@samsung.com</t>
  </si>
  <si>
    <t>나지혜 jihye114.na@samsung.com</t>
  </si>
  <si>
    <t>신용산지점</t>
  </si>
  <si>
    <t>02-775-0598</t>
  </si>
  <si>
    <t>장효은주임 hyoeun5.jang@samsung.com</t>
  </si>
  <si>
    <t>김한희 hanhui.kim@samsung.com</t>
  </si>
  <si>
    <t>한남지점</t>
  </si>
  <si>
    <t>02-752-1410</t>
  </si>
  <si>
    <t>박상숙주임 ss1600.park@samsung.com</t>
  </si>
  <si>
    <t>김휘경주임 hwikyoung.kim@samsung.com</t>
  </si>
  <si>
    <t>이채윤 chaeyoon0915.lee@samsung.com</t>
  </si>
  <si>
    <t>서소문지점</t>
  </si>
  <si>
    <t>02-779-3432</t>
  </si>
  <si>
    <t>백현아 h.baek@samsung.com</t>
  </si>
  <si>
    <t>박소연 soyoun.park@samsung.com</t>
  </si>
  <si>
    <t>황진희주임 jinhee8.hwang@samsung.com</t>
  </si>
  <si>
    <t>이촌지점</t>
  </si>
  <si>
    <t>02-776-4723</t>
  </si>
  <si>
    <t>정다영 dayoung0225.jung@samsung.com</t>
  </si>
  <si>
    <t>김지영주임 jiyoung9043.kim@samsung.com</t>
  </si>
  <si>
    <t>송송이 songi.song@samsung.com</t>
  </si>
  <si>
    <t>한강지점</t>
  </si>
  <si>
    <t>02-775-5087</t>
  </si>
  <si>
    <t>박현숙 cleopatra1052.park@samsung.com</t>
  </si>
  <si>
    <t>박현숙 010-9212-4093</t>
  </si>
  <si>
    <t>전준영 junyoung5519.jeon@samsung.com</t>
  </si>
  <si>
    <t>은평지역단</t>
  </si>
  <si>
    <t>구산지점</t>
  </si>
  <si>
    <t>02-385-8691</t>
  </si>
  <si>
    <t>02-357-8354</t>
  </si>
  <si>
    <t>김효정=SIU파트</t>
  </si>
  <si>
    <t>상암지점</t>
  </si>
  <si>
    <t>02-385-2175</t>
  </si>
  <si>
    <t>02-357-0313</t>
  </si>
  <si>
    <t>배은영 young1616.bae@samsung.com</t>
  </si>
  <si>
    <t>위혁준지점장:0-4619-5131</t>
  </si>
  <si>
    <t>김지영 jiyoung9043.kim@samsung.com</t>
  </si>
  <si>
    <t>정애경 ak1004.jeong@samsung.com</t>
  </si>
  <si>
    <t>역촌지점</t>
  </si>
  <si>
    <t>02-356-4373</t>
  </si>
  <si>
    <t>박희영 heeyoung81.park@samsung.com</t>
  </si>
  <si>
    <t>임소희 sohee9014.lim@samsung.com</t>
  </si>
  <si>
    <t>서은하 eunha.seo@samsung.com</t>
  </si>
  <si>
    <t>연신내지점</t>
  </si>
  <si>
    <t>02-384-8725</t>
  </si>
  <si>
    <t>박창우XXX-이종관지점장</t>
  </si>
  <si>
    <t>정혜미 hm5999.jung@samsung.com</t>
  </si>
  <si>
    <t>changwoo.park@samsung.com(박창우지점장)</t>
  </si>
  <si>
    <t>임유경대리</t>
  </si>
  <si>
    <t>은평역량센타</t>
  </si>
  <si>
    <t>02-384-4604</t>
  </si>
  <si>
    <t>이희진</t>
  </si>
  <si>
    <t>은평역량강화센타</t>
  </si>
  <si>
    <t>02-351-4393</t>
  </si>
  <si>
    <t>바로입력</t>
  </si>
  <si>
    <t>은평조직혁신센타</t>
  </si>
  <si>
    <t>이희진 010-5172-5065</t>
  </si>
  <si>
    <t>02-359-5890</t>
  </si>
  <si>
    <t>02-387-5483</t>
  </si>
  <si>
    <t>이유미대리=SIU파트</t>
  </si>
  <si>
    <t>지역단=이수연대리 010-2997-2484</t>
  </si>
  <si>
    <t>양재민매니져 jaemin09.yang@samsung.com</t>
  </si>
  <si>
    <t>임소희주임 sohee.lim@samsung.com</t>
  </si>
  <si>
    <t>은평지점</t>
  </si>
  <si>
    <t>02-382-1965</t>
  </si>
  <si>
    <t>이현미지점장 010-4046-9937</t>
  </si>
  <si>
    <t>지점장:02-389-5945</t>
  </si>
  <si>
    <t>은평 이유진주임폰 010-8786-0995</t>
  </si>
  <si>
    <t>현정연 eya5ng.hyun@samsung.com</t>
  </si>
  <si>
    <t>진관지점</t>
  </si>
  <si>
    <t>02-352-5661</t>
  </si>
  <si>
    <t>02-359-0890</t>
  </si>
  <si>
    <t>임나림주임:010-3720-6435-상품개발팀</t>
  </si>
  <si>
    <t>민휘림주임 -언더쪽으로 발령  010-5029-1914</t>
  </si>
  <si>
    <t>민휘림(착함) whilim.min@samsung.com</t>
  </si>
  <si>
    <t>김지현 jihyun868.kim@samsung.com</t>
  </si>
  <si>
    <t>박지혜 jihye1118.park@samsung.com</t>
  </si>
  <si>
    <t>박새롬saerom0508.park@samsung.com</t>
  </si>
  <si>
    <t>서울금융지점:폐쇄</t>
  </si>
  <si>
    <t>02-773-5746</t>
  </si>
  <si>
    <t>최정숙--운정금융지점</t>
  </si>
  <si>
    <t xml:space="preserve"> 박새롬주임010-2435-9115</t>
  </si>
  <si>
    <t>서울중앙TC지점</t>
  </si>
  <si>
    <t>02-778-6802.3</t>
  </si>
  <si>
    <t>010-4765-0307</t>
  </si>
  <si>
    <t>정시라주임010-2786-1131</t>
  </si>
  <si>
    <t>원효지점</t>
  </si>
  <si>
    <t>02-775-5018</t>
  </si>
  <si>
    <t>이혜정</t>
  </si>
  <si>
    <t>중앙조직혁신센타</t>
  </si>
  <si>
    <t>02-775-4124</t>
  </si>
  <si>
    <t>02-775-0167</t>
  </si>
  <si>
    <t>02-775-0210</t>
  </si>
  <si>
    <t>지역단 담당자가 올리라고해도 본인한태 한번문의후 : 15.08.03</t>
  </si>
  <si>
    <t>yk.jeong@samsung.com</t>
  </si>
  <si>
    <t>김태희 taehee0522.kim@samsung.com</t>
  </si>
  <si>
    <t>김경미=한강</t>
  </si>
  <si>
    <t>유향미주임: 010-8802-8448</t>
  </si>
  <si>
    <t>한남금융지점</t>
  </si>
  <si>
    <t xml:space="preserve">02-752-1410 </t>
  </si>
  <si>
    <t>지점장:02-752-5286</t>
  </si>
  <si>
    <t>한재욱메니져 010-9364-1496</t>
  </si>
  <si>
    <t>02-389-4865</t>
  </si>
  <si>
    <t>구리역량강화센타</t>
  </si>
  <si>
    <t>김은 eun610.kim@samsung.com</t>
  </si>
  <si>
    <t>태평로법인지점</t>
  </si>
  <si>
    <t>02-772-9304</t>
  </si>
  <si>
    <t>박예은주임:0-9489-5472</t>
  </si>
  <si>
    <t>중앙역량센타</t>
  </si>
  <si>
    <t>노원리젤</t>
  </si>
  <si>
    <t>02-935-8501</t>
  </si>
  <si>
    <t>김진아주임:010-9040-0332</t>
  </si>
  <si>
    <t>주안</t>
  </si>
  <si>
    <t>정미경</t>
  </si>
  <si>
    <t>인천지역단</t>
  </si>
  <si>
    <t>032-435-1258</t>
  </si>
  <si>
    <t>태평로사옥</t>
  </si>
  <si>
    <t>삼성중앙법인</t>
  </si>
  <si>
    <t>삼성중앙법인지점</t>
  </si>
  <si>
    <t>031-908-3152</t>
  </si>
  <si>
    <t>지점장:031-908-3132</t>
  </si>
  <si>
    <t>정병국지점장010-7344-5859</t>
  </si>
  <si>
    <t>포항2사옥</t>
  </si>
  <si>
    <t>류해정</t>
  </si>
  <si>
    <t>포항경주지역단</t>
  </si>
  <si>
    <t>장성지점</t>
  </si>
  <si>
    <t>054-282-0270</t>
  </si>
  <si>
    <t>평촌</t>
  </si>
  <si>
    <t>이금숙</t>
  </si>
  <si>
    <t>안양평촌지역단</t>
  </si>
  <si>
    <t>031-385-2408</t>
  </si>
  <si>
    <t>평택</t>
  </si>
  <si>
    <t>박은서</t>
  </si>
  <si>
    <t>평택지역단</t>
  </si>
  <si>
    <t>031-654-4719</t>
  </si>
  <si>
    <t>506-85-13000</t>
  </si>
  <si>
    <t>함영은</t>
  </si>
  <si>
    <t>포항TC지점</t>
  </si>
  <si>
    <t>054-283-6447</t>
  </si>
  <si>
    <t>김도규새지점장</t>
  </si>
  <si>
    <t>이원미:포항tc</t>
  </si>
  <si>
    <t>하서동사옥</t>
  </si>
  <si>
    <t>조정미</t>
  </si>
  <si>
    <t>대구AFC육성센타</t>
  </si>
  <si>
    <t>최순희CM/천영자CM</t>
  </si>
  <si>
    <t>이은경</t>
  </si>
  <si>
    <t>대구AFC지역단</t>
  </si>
  <si>
    <t>053-254-1048,1047</t>
  </si>
  <si>
    <t>053-254-4015</t>
  </si>
  <si>
    <t>408-85-03697</t>
  </si>
  <si>
    <t>호남사옥</t>
  </si>
  <si>
    <t>호남AFC지역단</t>
  </si>
  <si>
    <t>062-514-1280</t>
  </si>
  <si>
    <t>정민대리</t>
  </si>
  <si>
    <t>전주연수소</t>
  </si>
  <si>
    <t>063-540-7133</t>
  </si>
  <si>
    <t>이창수차장</t>
  </si>
  <si>
    <t>용인연수소</t>
  </si>
  <si>
    <t>조영인대리</t>
  </si>
  <si>
    <t>천안지역단</t>
  </si>
  <si>
    <t>604-85-04635</t>
  </si>
  <si>
    <t>범천동</t>
  </si>
  <si>
    <t>박수미 sm21.park@samsung.com</t>
  </si>
  <si>
    <t>부산금융법인</t>
  </si>
  <si>
    <t>051-645-8511</t>
  </si>
  <si>
    <t>135-85-16896</t>
  </si>
  <si>
    <t>휴먼센터</t>
  </si>
  <si>
    <t>박소라 sora1988.park@samsung.com</t>
  </si>
  <si>
    <t>안정미대리 jungmi.an@samsung.com</t>
  </si>
  <si>
    <t>분당사업단</t>
  </si>
  <si>
    <t>031-703-3383</t>
  </si>
  <si>
    <t>안정미대리 010-6266-1867</t>
  </si>
  <si>
    <t>분당사옥-서초사옥으로 통합</t>
  </si>
  <si>
    <t>석태희주임  taehee.seok@samsung.com</t>
  </si>
  <si>
    <t>031-701-1997</t>
  </si>
  <si>
    <t>031-704-8629</t>
  </si>
  <si>
    <t>노경원지점장 010-8875-0291</t>
  </si>
  <si>
    <t>문유정주임 010-8983-3254</t>
  </si>
  <si>
    <t>문유정주임 taejung.moon@samsung.com</t>
  </si>
  <si>
    <t>전자입력053-321-0152-담주에 0179/  칠곡지점 담주 전자입력 통화 여주임:권희정주임 010-8573-9809</t>
  </si>
  <si>
    <t>전태연주임 taeyeon.jeun@samsung.com</t>
  </si>
  <si>
    <t>031-703-4105</t>
  </si>
  <si>
    <t>전준호지점장 010-8877-9354</t>
  </si>
  <si>
    <t>전태연주임 010-7410-0641</t>
  </si>
  <si>
    <t>윤경애주임 kyungae.yun@samsung.com</t>
  </si>
  <si>
    <t>031-705-9721</t>
  </si>
  <si>
    <t>031-703-3896</t>
  </si>
  <si>
    <t>서은영지점장 010-4351-6330</t>
  </si>
  <si>
    <t>김주현주임 010-8408-1220</t>
  </si>
  <si>
    <t>김주현주임 joohyun91.kim@samsung.com</t>
  </si>
  <si>
    <t>신영미주임 yung123.shin@samsung.com</t>
  </si>
  <si>
    <t>서판교지점</t>
  </si>
  <si>
    <t>031-707-9327</t>
  </si>
  <si>
    <t>031-703-7276</t>
  </si>
  <si>
    <t>한문기지점장 010-4740-0255</t>
  </si>
  <si>
    <t>방미순주임 010-2540-0827</t>
  </si>
  <si>
    <t>방미순주임 misoon.bang@samsung.com</t>
  </si>
  <si>
    <t>스마트센터</t>
  </si>
  <si>
    <t xml:space="preserve"> 031-701-8470</t>
  </si>
  <si>
    <t>박승찬지점장 010-3269-0225</t>
  </si>
  <si>
    <t>석태희주임 010-5764-0880</t>
  </si>
  <si>
    <t>이혜인주임  hyein730.lee@samsung.com</t>
  </si>
  <si>
    <t>031-701-2889, 1338</t>
  </si>
  <si>
    <t>031-709-8972</t>
  </si>
  <si>
    <t>김은혜지점장 010-6229-2038</t>
  </si>
  <si>
    <t>조수진주임 010-8752-7942</t>
  </si>
  <si>
    <t>조수진주임 sujin.cho@samsung.com</t>
  </si>
  <si>
    <t>정수화주임 sw8664.jung@samsung com</t>
  </si>
  <si>
    <t>신분당지점</t>
  </si>
  <si>
    <t>031-8017-7961</t>
  </si>
  <si>
    <t>031-707-8369</t>
  </si>
  <si>
    <t>강성창지점장 010-4615-3494</t>
  </si>
  <si>
    <t>정수화주임 010-3139-8664</t>
  </si>
  <si>
    <t>조혜수주임 happysoo.cho@samsung com</t>
  </si>
  <si>
    <t>이천지점</t>
  </si>
  <si>
    <t>031-636-9517</t>
  </si>
  <si>
    <t>031-636-3574</t>
  </si>
  <si>
    <t>운상민지점장 010-8441-3799</t>
  </si>
  <si>
    <t>조혜수주임 010-9241-4565</t>
  </si>
  <si>
    <t>이재연주임 010-6337-2669</t>
  </si>
  <si>
    <t>설봉지점</t>
  </si>
  <si>
    <t>031-636-9702</t>
  </si>
  <si>
    <t>031-638-3106</t>
  </si>
  <si>
    <t>김기태지점장 010-4302-3309</t>
  </si>
  <si>
    <t>윤경애주임 010-6299-0331</t>
  </si>
  <si>
    <t>성광은주임 010-3297-5900 (병가중)</t>
  </si>
  <si>
    <t>정자동FP지점</t>
  </si>
  <si>
    <t>031-716-2775</t>
  </si>
  <si>
    <t>031-716-4963</t>
  </si>
  <si>
    <t>고영규지점장 010-2726-9405</t>
  </si>
  <si>
    <t>신영미주임 010-2367-3592</t>
  </si>
  <si>
    <t>이현주주임 010-8339-4733</t>
  </si>
  <si>
    <t>서소문</t>
  </si>
  <si>
    <t>js1020.kim@samsung.com</t>
  </si>
  <si>
    <t>이태희</t>
  </si>
  <si>
    <t>천안백석</t>
  </si>
  <si>
    <t>권혁진</t>
  </si>
  <si>
    <t>쌍용</t>
  </si>
  <si>
    <t>오이석</t>
  </si>
  <si>
    <t>천안중앙</t>
  </si>
  <si>
    <t>조매숙</t>
  </si>
  <si>
    <t>천안</t>
  </si>
  <si>
    <t>윤지상</t>
  </si>
  <si>
    <t>천안TC</t>
  </si>
  <si>
    <t>박유원</t>
  </si>
  <si>
    <t>아산금융</t>
  </si>
  <si>
    <t>온양아산+배방지점 합쳐서 아산금융지점으로 변경</t>
  </si>
  <si>
    <t>성남지역단(1/12확인)</t>
  </si>
  <si>
    <t>12/02고순경</t>
  </si>
  <si>
    <t>우리 061-048826-01-001(종로)</t>
  </si>
  <si>
    <t>현금</t>
  </si>
  <si>
    <t>백만원, 오백만원 이상</t>
  </si>
  <si>
    <t>통화10/01</t>
  </si>
  <si>
    <t>회입계좌    CMS 0101</t>
  </si>
  <si>
    <t>문의 후 입력</t>
  </si>
  <si>
    <t>통화11/29</t>
  </si>
  <si>
    <t>통화12/21</t>
  </si>
  <si>
    <t>통화8/06</t>
  </si>
  <si>
    <t>입력完</t>
  </si>
  <si>
    <t>성풍물산 계산서 문의전화:010-6619-0344 강태희대리</t>
  </si>
  <si>
    <t>&lt; 삼성생명  전자입금 &gt;</t>
  </si>
  <si>
    <t>(계산서문의:010-6619-0344)</t>
  </si>
  <si>
    <t>입금 계좌번호 : 하나은행 214-910038-53804 성풍물산㈜</t>
  </si>
  <si>
    <t>담당자:주임</t>
  </si>
  <si>
    <t>성풍(주) : wooks6992 / "sp6992@@@"</t>
  </si>
  <si>
    <t>더존잔액=엑셀잔액 "12/02"</t>
  </si>
  <si>
    <t>도곡지점</t>
  </si>
  <si>
    <t>국물티백:9월0차월:정경숙,강선아</t>
  </si>
  <si>
    <t>8/25톡발송---10/26톡발송</t>
  </si>
  <si>
    <t>국물티백:9월0차월:신덕순,박혜진,김진섭</t>
  </si>
  <si>
    <t>10/26톡발송</t>
  </si>
  <si>
    <t>김다정 dj8030.kim@samsung.com</t>
  </si>
  <si>
    <t>10/26톡발송….11월초에 발행해주세요</t>
  </si>
  <si>
    <t>김종희  jh4936.kim@samsung.com</t>
  </si>
  <si>
    <t>대전리젤지점</t>
  </si>
  <si>
    <t>김지영 jiyoung4486.kim@samsung.com</t>
  </si>
  <si>
    <t>kh119.kim@samsung.com</t>
  </si>
  <si>
    <t>광천맛김:10월0차월:김미영,표소희</t>
  </si>
  <si>
    <t>광천맛김:10월0차월:손혜경</t>
  </si>
  <si>
    <t>광천맛김:10월0차월:문혜정</t>
  </si>
  <si>
    <t>광천맛김:10월0차월:이아영</t>
  </si>
  <si>
    <t>이호재프로..김경원지점장님 11/16톡발송</t>
  </si>
  <si>
    <t>hyungtak53.lee@samsung.com</t>
  </si>
  <si>
    <t>최아람 ahram.choi@samsung.com</t>
  </si>
  <si>
    <t>이호재프로..이번주 연락주신다고~</t>
  </si>
  <si>
    <t>10/26톡발송…11/16톡발송(이번주안에~)..11/22톡발송</t>
  </si>
  <si>
    <t>김효숙 hyosugy.kim@samsung.com</t>
  </si>
  <si>
    <t>js2003.lee@samsung.com</t>
  </si>
  <si>
    <t>만년지점</t>
  </si>
  <si>
    <t>jy3146.yun@samsung.com</t>
  </si>
  <si>
    <t>과입</t>
  </si>
  <si>
    <t>롤팩</t>
  </si>
  <si>
    <t>지퍼백</t>
  </si>
  <si>
    <t>광천맛김:10월0차월:오숙진,오미순,송해숙,서지명</t>
  </si>
  <si>
    <t>031 938 2735</t>
  </si>
  <si>
    <t>국물티백:11월0차월:박주영,전영훈,조윤주</t>
  </si>
  <si>
    <t>국물티백:11월0차월:김민진</t>
  </si>
  <si>
    <t>과세계</t>
  </si>
  <si>
    <t>Sunmi75.kim@samsung.com</t>
  </si>
  <si>
    <t>해초류세트:차순화,이진희,이영숙,김은빛</t>
  </si>
  <si>
    <t>전유경프로 yugyung91.jeon@samsung.com</t>
  </si>
  <si>
    <t>10/26톡발송--11월에발행</t>
  </si>
  <si>
    <t>김송아대리 songha.kim@samsung.com</t>
  </si>
  <si>
    <t>해초류세트:김인우,김상임,진난희,김송숙</t>
  </si>
  <si>
    <t>반포FP지점</t>
  </si>
  <si>
    <t>해초류세트:한순옥,정정연,박민경</t>
  </si>
  <si>
    <t>완도명가세트:정인영,하수경,김태임,김경순</t>
  </si>
  <si>
    <t>완도명가:한수희,심혜식</t>
  </si>
  <si>
    <t>이민석FP …11/16 이은옥톡발송</t>
  </si>
  <si>
    <t>해초류세트:이귀순,김려숙</t>
  </si>
  <si>
    <t>완도명가:한순임, 박현주</t>
  </si>
  <si>
    <t>면세계</t>
  </si>
  <si>
    <t>11월계산서합계</t>
  </si>
  <si>
    <t>통화12/23</t>
  </si>
  <si>
    <t>통화1/27</t>
  </si>
  <si>
    <t>자이쿡 강아지 양모 무릎담요</t>
  </si>
  <si>
    <t>국물티백:11월0차월:김혜경</t>
  </si>
  <si>
    <t>고순경CA..</t>
  </si>
  <si>
    <t>아라촌 황태껍질튀각:반품왕복택배비</t>
  </si>
  <si>
    <t>김정숙님 반품물품 재발송~ 이혜선지점장</t>
  </si>
  <si>
    <t xml:space="preserve">이다연프로 dayeon07.lee@samsung.com </t>
  </si>
  <si>
    <t>유수현프로 suhyun0803.ryo@samsung.com</t>
  </si>
  <si>
    <t xml:space="preserve">대전TC지점 </t>
  </si>
  <si>
    <t>누룽지박씨네:박정숙외9</t>
  </si>
  <si>
    <t>dabin211.kim@samsung.com</t>
  </si>
  <si>
    <t>자연쉐프4종세트:홍미숙외6</t>
  </si>
  <si>
    <t>정혜인프로 hi3.jung@samsung.com</t>
  </si>
  <si>
    <t>전혜영프로  jy3146.yun@samsung.com</t>
  </si>
  <si>
    <t>김빛나 프로님 bitna0406.kim@samsung.com</t>
  </si>
  <si>
    <t xml:space="preserve">강북삼성지점          </t>
  </si>
  <si>
    <t>멸치세트</t>
  </si>
  <si>
    <t>김유진 yujin1221.kim@samsung.com</t>
  </si>
  <si>
    <t>조영인 youngin0963.cho@samsung.com</t>
  </si>
  <si>
    <t>조영인프로(카레를파프리카로~)</t>
  </si>
  <si>
    <t>해초류세트:유지윤,김미화,송화연,김보희</t>
  </si>
  <si>
    <t>12월계산서합계</t>
  </si>
  <si>
    <t>통화3/28</t>
  </si>
  <si>
    <t>성풍물산 계산서 문의전화:010-6619-0344 강태희과장</t>
  </si>
  <si>
    <t>김수미즉석사골떡국</t>
  </si>
  <si>
    <t>은행</t>
  </si>
  <si>
    <t>김미정 mijung2.kim@samsung.com</t>
  </si>
  <si>
    <t>성남</t>
  </si>
  <si>
    <t>김주현 joohyun91.kim@samsung.com</t>
  </si>
  <si>
    <t>김화자프로  hwaja1.kim@samsung.com</t>
  </si>
  <si>
    <t>동판교</t>
  </si>
  <si>
    <t>정수지 suzie22.jeong@samsung.com</t>
  </si>
  <si>
    <t>최지혜 jihye507.choi@samsung.com</t>
  </si>
  <si>
    <t>청정원 감사 12호:고경희외4</t>
  </si>
  <si>
    <t>전태연 taeyeon.jeun@samsung.com</t>
  </si>
  <si>
    <t>타워팰리스반트FP지점</t>
  </si>
  <si>
    <t>문영옥프로 yo.mun@samsung.com</t>
  </si>
  <si>
    <t>육포:강남지역단</t>
  </si>
  <si>
    <t>지역단결제건17개 한번에</t>
  </si>
  <si>
    <t>김수옥프로 kozizi.kim@samsung com</t>
  </si>
  <si>
    <t>한과:1월0차월:강수정</t>
  </si>
  <si>
    <t>한과:1월0차월:채홍화</t>
  </si>
  <si>
    <t>010-6758-7231</t>
  </si>
  <si>
    <t>임지혜 프로 jh0206.lim@smasung.com</t>
  </si>
  <si>
    <t>1월발행~</t>
  </si>
  <si>
    <t>한과:1월0차월:지미정,신현빈</t>
  </si>
  <si>
    <t>완도명가:장현미팀장</t>
  </si>
  <si>
    <t>해초류새트:이일순,박매화,김미숙,양수희,정옥자</t>
  </si>
  <si>
    <t>이유미  yumi0808.lee@samsung.com</t>
  </si>
  <si>
    <t>김소희 sohee02.kim@samsung.com</t>
  </si>
  <si>
    <t>대봉:명윤희,홍금희,전소영,박현주</t>
  </si>
  <si>
    <t>10/26톡발송…11.09발행 이메일오류</t>
  </si>
  <si>
    <t>완도명가:정영일,노금단</t>
  </si>
  <si>
    <t>해초류세트:김서하,채영인,오해연,김화,유춘미</t>
  </si>
  <si>
    <t>한라봉:한순임외19</t>
  </si>
  <si>
    <t>김은홍 eunhong.kim@samsung.com</t>
  </si>
  <si>
    <t>500만원이상은 중순이후에 입금된다고~</t>
  </si>
  <si>
    <t>1월계산서합계</t>
  </si>
  <si>
    <t>카드결제내역</t>
  </si>
  <si>
    <t>카드</t>
  </si>
  <si>
    <t>06/24카드完</t>
  </si>
  <si>
    <t>6/24톡:감자는 제가 따로 말씀드릴게용!!ㅎㅎ</t>
  </si>
  <si>
    <t>토마토</t>
  </si>
  <si>
    <t>06/29카드完</t>
  </si>
  <si>
    <t>국좌호영업파트장</t>
  </si>
  <si>
    <t>07/20카드完</t>
  </si>
  <si>
    <t>누룽지삼계탕세트</t>
  </si>
  <si>
    <t>08/27카드完</t>
  </si>
  <si>
    <t>8/27톡발송    7/27톡:아뇨 이거 입금하게할께요</t>
  </si>
  <si>
    <t>김용덕지점장</t>
  </si>
  <si>
    <t>GA송파지점</t>
  </si>
  <si>
    <t>LA갈비:유봉선외7명</t>
  </si>
  <si>
    <t>9/24카드完</t>
  </si>
  <si>
    <t>9/29카드完</t>
  </si>
  <si>
    <t>81,000현금입금</t>
  </si>
  <si>
    <t>10/26카드</t>
  </si>
  <si>
    <t>11/10카드결제(남순옥지점장)</t>
  </si>
  <si>
    <t>12/30카드결제完</t>
  </si>
  <si>
    <t xml:space="preserve">이학자 hakja123.lee@samsung.com </t>
  </si>
  <si>
    <t>한과:1월0차월:조연미</t>
  </si>
  <si>
    <t>광천김세트</t>
  </si>
  <si>
    <t>장지예 jiye0403.jang@samsung.com</t>
  </si>
  <si>
    <t xml:space="preserve">김태관대리 blue.kang@samsung.com </t>
  </si>
  <si>
    <t>서울사업단(조직육성)</t>
  </si>
  <si>
    <t xml:space="preserve">민혜현  hyehyun.min@samsung.com  </t>
  </si>
  <si>
    <t>반포서래지점</t>
  </si>
  <si>
    <t>이가운 gaun.lee@samsung.com</t>
  </si>
  <si>
    <t>kyungae.ha@samsung.com</t>
  </si>
  <si>
    <t>김수정 soojung78.kim@samsung.com</t>
  </si>
  <si>
    <t>신종철지점장 jongchul.shin@samsung.com</t>
  </si>
  <si>
    <t>광천맛김:이명휘,김난영,이현주</t>
  </si>
  <si>
    <t>임아름프로 ar3233.im@samsung.com</t>
  </si>
  <si>
    <t>광천맛김:1월0차월:김미옥</t>
  </si>
  <si>
    <t>활동물품(잡화)</t>
  </si>
  <si>
    <t>해초류세트:나선희,이영희,장윤,김인순,조주경,손지연</t>
  </si>
  <si>
    <t>김태숙프로 ts33.kim@samsung.com</t>
  </si>
  <si>
    <t>감귤</t>
  </si>
  <si>
    <t>해초류세트:김지영,김진화,김선옥,홍혜숙</t>
  </si>
  <si>
    <t>hs1966.kim@samsung.com</t>
  </si>
  <si>
    <t>해초류세트:랄레인,임혜옥,임승미,가유리,왕영순,이덕임,한미니</t>
  </si>
  <si>
    <t>홍아영  ahyoung.hong@samsung.com</t>
  </si>
  <si>
    <t>홍아영총괄</t>
  </si>
  <si>
    <t>완도명가:김남순,이옥순,이순복,유수진,김순득,최정희,홍수덕,최수연</t>
  </si>
  <si>
    <t>해초류세트:한명숙,박수진,박수진,김정숙,한성숙</t>
  </si>
  <si>
    <t>진도각세트:이교현,최점숙,임옥빈,김효진,김미정</t>
  </si>
  <si>
    <t xml:space="preserve">강북삼성지점     </t>
  </si>
  <si>
    <t>2월계산서합계</t>
  </si>
  <si>
    <t>3/24톡발송</t>
  </si>
  <si>
    <t>통화3/29</t>
  </si>
  <si>
    <t>통화4/25</t>
  </si>
  <si>
    <t>여의도 오렌지 156</t>
  </si>
  <si>
    <t>1/27취소 2월 재발행~</t>
  </si>
  <si>
    <t>정관장 홍삼원:한장으로발행</t>
  </si>
  <si>
    <t>와인:한장으로발행</t>
  </si>
  <si>
    <t>김금란  keumran.kim@samsung.com</t>
  </si>
  <si>
    <t>서울지역단(서울)</t>
  </si>
  <si>
    <t>광천맛김:1월0차월:김지연</t>
  </si>
  <si>
    <t>카레세트:유명순,고윤덕,이서희</t>
  </si>
  <si>
    <t xml:space="preserve"> 박상숙 프로 ss1600.park@samsung.com</t>
  </si>
  <si>
    <t>부럼세트:한장으로~(강남지역단결제건)</t>
  </si>
  <si>
    <t>모듬쌈:이기석외16</t>
  </si>
  <si>
    <t>LA갈비:한장으로발행</t>
  </si>
  <si>
    <t>팔각멸치세트:한장으로발행</t>
  </si>
  <si>
    <t>모듬쌈:한장으로발행</t>
  </si>
  <si>
    <t>해초류세트:조은혜,최경희,도명옥</t>
  </si>
  <si>
    <t>해초류세트:곽성경FC님,오미숙FC님,이승주FC님,김희숙팀장,이인자FC님</t>
  </si>
  <si>
    <t>완도명가:이신자,윤수현,김숙자</t>
  </si>
  <si>
    <t>완도명가:조진순,여홍미,장순옥,최홍순</t>
  </si>
  <si>
    <t>해초류세트:박은미,백지영,유주현,이상미,김희정</t>
  </si>
  <si>
    <t>염장다시마:김미영님외15</t>
  </si>
  <si>
    <t>해초류세트:오춘애,조현둘,김숙자,이예진,이난향,조현자,이재복,고미현</t>
  </si>
  <si>
    <t>국물티백:유명순,고윤덕,이서희</t>
  </si>
  <si>
    <t>해초류세트:신복란,고성일,고성일,유순선,이애자,남월선,림경화,채란화</t>
  </si>
  <si>
    <t>쌀,진도각세트:이점숙FC님,홍은남FC님,박성희FC님</t>
  </si>
  <si>
    <t>해초류세트:라계월,정혜숙,김명옥,김신자,민은선</t>
  </si>
  <si>
    <t>해초류세트:윤수영,이영숙,권오정 </t>
  </si>
  <si>
    <t>삼겹살세트</t>
  </si>
  <si>
    <t>레드향:이소라,김지영, 홍금희</t>
  </si>
  <si>
    <t>완도명가:이종심,문효선</t>
  </si>
  <si>
    <t>완도명가:고선화,안찬미,윤성현,김미행,진해길</t>
  </si>
  <si>
    <t>해초류세트:오미순,김미령,김윤자,한주희</t>
  </si>
  <si>
    <t>3월계산서합계</t>
  </si>
  <si>
    <t>통화5/25</t>
  </si>
  <si>
    <t>카레세트:이재영</t>
  </si>
  <si>
    <t>3/25취소(24일)발행</t>
  </si>
  <si>
    <t>한과:1월0차월:김미선</t>
  </si>
  <si>
    <t>2/09취소</t>
  </si>
  <si>
    <t>광천맛김:1월0차월:이수림</t>
  </si>
  <si>
    <t>카레세트:신승자</t>
  </si>
  <si>
    <t>카레세트:문경희</t>
  </si>
  <si>
    <t>유명숙CA:강동지역단</t>
  </si>
  <si>
    <t>:</t>
  </si>
  <si>
    <t>jy0502.yun@samsung.com</t>
  </si>
  <si>
    <t>국물티백:이재영</t>
  </si>
  <si>
    <t>3/30취소(24일)발행 031-901-2886</t>
  </si>
  <si>
    <t>이여진프로 yeojin1224.lee@samsung.com</t>
  </si>
  <si>
    <t>서울리젤지역단</t>
  </si>
  <si>
    <t>김선하프로 sunha123.kim@samsung.com</t>
  </si>
  <si>
    <t>이성진프로 sungjin1004.lee@samsung.com</t>
  </si>
  <si>
    <t>hayeon77.park@samsung.com</t>
  </si>
  <si>
    <t>이은주 ej6938.lee@samsung.com</t>
  </si>
  <si>
    <t>부산SFP지점</t>
  </si>
  <si>
    <t>오윤서팀장</t>
  </si>
  <si>
    <t xml:space="preserve">강북삼성지점         </t>
  </si>
  <si>
    <t>국물티백:문경희</t>
  </si>
  <si>
    <t>국물티백:신승자</t>
  </si>
  <si>
    <t>고등어:김옥순님외4</t>
  </si>
  <si>
    <t>해초류세트:김결이,정은정</t>
  </si>
  <si>
    <t>해초류세트:남덕수, 서경숙 </t>
  </si>
  <si>
    <t>해초류세트:김미영</t>
  </si>
  <si>
    <t>해초류세트:임순희,최정순,박홍매,이순희,박정화,최유정,조줄연,김명화</t>
  </si>
  <si>
    <t>완도명가:이남임, 박정하,김보영 </t>
  </si>
  <si>
    <t>4월계산서합계</t>
  </si>
  <si>
    <t xml:space="preserve">김윤희프로 yunhee21.kim@samsung.com </t>
  </si>
  <si>
    <t>카레세트:김희진,이미영,김미정</t>
  </si>
  <si>
    <t>한장으로발행~</t>
  </si>
  <si>
    <t>국물티백:김희진,이미영,김미정</t>
  </si>
  <si>
    <t>광천맛김:1월0차월:박영주,이수목,이혜경</t>
  </si>
  <si>
    <t>국물티백:차희연</t>
  </si>
  <si>
    <t>국물티백:박형신</t>
  </si>
  <si>
    <t>국물티백:장다연, 이주영</t>
  </si>
  <si>
    <t>쌀진도각세트:신명희,양명희,이춘희,신혜정,신수강</t>
  </si>
  <si>
    <t>국물티백:최복경</t>
  </si>
  <si>
    <t>국물티백:김근혜</t>
  </si>
  <si>
    <t>해초류세트:차윤희FC님,노순희팀장</t>
  </si>
  <si>
    <t>완도명가:이명희,장윤자,박경숙</t>
  </si>
  <si>
    <t>완도명가:윤순덕,김춘재,김정희,이미정FC님</t>
  </si>
  <si>
    <t>해초류세트:박연자,백미라,김심복,장홍희,최순복</t>
  </si>
  <si>
    <t>해초류세트:김혜정,김율희</t>
  </si>
  <si>
    <t>해초류세트:김경은,윤영미,임은선,이재영</t>
  </si>
  <si>
    <t>뻥튀기(한장으로)</t>
  </si>
  <si>
    <t>마카로니(한장으로)</t>
  </si>
  <si>
    <t>김빛나 프로 bitna0406.kim@samsung.com</t>
  </si>
  <si>
    <t>정수지프로 suzie22.jeong@samsung.com</t>
  </si>
  <si>
    <t>안은옥프로 eunok216.ahn@samsung.com</t>
  </si>
  <si>
    <t>minjin31.kim@samsung.com</t>
  </si>
  <si>
    <t>hyehyun.min@samsung.com</t>
  </si>
  <si>
    <t>pilgyu.jung@samsung.com</t>
  </si>
  <si>
    <t>yurim.yoon@samsung.com</t>
  </si>
  <si>
    <t>sm0210.kim@samsung.com</t>
  </si>
  <si>
    <t>gaun.lee@samsung.com</t>
  </si>
  <si>
    <t>soojung78.kim@samsung.com</t>
  </si>
  <si>
    <t>6월발행예정</t>
  </si>
  <si>
    <t>은갈치특판세트:현금입금예정</t>
  </si>
  <si>
    <t>은갈치 정산은 지점과 FC 2:1로 진행</t>
  </si>
  <si>
    <t>통화5/24</t>
  </si>
  <si>
    <t>정경숙팀장 카드결제</t>
  </si>
  <si>
    <t>강나나</t>
  </si>
  <si>
    <t>나나마켓</t>
  </si>
  <si>
    <t>파프리카:현금입금예정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</si>
</sst>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4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3"/>
      <color rgb="FF0070C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3"/>
      <color rgb="FF000000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B05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1"/>
      <color rgb="FF375623"/>
      <name val="맑은 고딕"/>
      <family val="3"/>
      <charset val="129"/>
      <scheme val="minor"/>
    </font>
    <font>
      <b/>
      <sz val="14"/>
      <color rgb="FF00B05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5"/>
      <color rgb="FF00000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color rgb="FF002060"/>
      <name val="맑은 고딕"/>
      <family val="3"/>
      <charset val="129"/>
      <scheme val="minor"/>
    </font>
    <font>
      <b/>
      <sz val="15"/>
      <color rgb="FFFF00FF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sz val="12"/>
      <color rgb="FF7030A0"/>
      <name val="맑은 고딕"/>
      <family val="3"/>
      <charset val="129"/>
      <scheme val="minor"/>
    </font>
    <font>
      <b/>
      <sz val="11"/>
      <color rgb="FF548235"/>
      <name val="맑은 고딕"/>
      <family val="3"/>
      <charset val="129"/>
      <scheme val="minor"/>
    </font>
    <font>
      <b/>
      <sz val="12"/>
      <color rgb="FF375623"/>
      <name val="맑은 고딕"/>
      <family val="3"/>
      <charset val="129"/>
      <scheme val="minor"/>
    </font>
    <font>
      <b/>
      <sz val="12"/>
      <color rgb="FF00B050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rgb="FF0070C0"/>
      <name val="맑은 고딕"/>
      <family val="3"/>
      <charset val="129"/>
      <scheme val="minor"/>
    </font>
    <font>
      <b/>
      <sz val="10"/>
      <color rgb="FF00B05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8"/>
      <color rgb="FF000000"/>
      <name val="맑은 고딕"/>
      <family val="3"/>
      <charset val="129"/>
      <scheme val="minor"/>
    </font>
    <font>
      <sz val="11"/>
      <color rgb="FF0563C1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6"/>
      <color rgb="FF000000"/>
      <name val="맑은 고딕"/>
      <family val="3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CE4D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7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>
      <alignment vertical="center"/>
    </xf>
    <xf numFmtId="0" fontId="4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5" borderId="0" xfId="0" applyFont="1" applyFill="1">
      <alignment vertical="center"/>
    </xf>
    <xf numFmtId="0" fontId="5" fillId="3" borderId="0" xfId="0" applyFont="1" applyFill="1">
      <alignment vertical="center"/>
    </xf>
    <xf numFmtId="0" fontId="8" fillId="3" borderId="0" xfId="0" applyFont="1" applyFill="1">
      <alignment vertical="center"/>
    </xf>
    <xf numFmtId="0" fontId="5" fillId="2" borderId="0" xfId="0" applyFont="1" applyFill="1">
      <alignment vertical="center"/>
    </xf>
    <xf numFmtId="0" fontId="4" fillId="6" borderId="0" xfId="0" applyFont="1" applyFill="1">
      <alignment vertical="center"/>
    </xf>
    <xf numFmtId="0" fontId="5" fillId="6" borderId="0" xfId="0" applyFont="1" applyFill="1">
      <alignment vertical="center"/>
    </xf>
    <xf numFmtId="0" fontId="4" fillId="7" borderId="0" xfId="0" applyFont="1" applyFill="1">
      <alignment vertical="center"/>
    </xf>
    <xf numFmtId="0" fontId="5" fillId="7" borderId="0" xfId="0" applyFont="1" applyFill="1">
      <alignment vertical="center"/>
    </xf>
    <xf numFmtId="0" fontId="9" fillId="7" borderId="0" xfId="0" applyFont="1" applyFill="1">
      <alignment vertical="center"/>
    </xf>
    <xf numFmtId="0" fontId="10" fillId="7" borderId="0" xfId="0" applyFont="1" applyFill="1">
      <alignment vertical="center"/>
    </xf>
    <xf numFmtId="0" fontId="1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2" fillId="4" borderId="0" xfId="0" applyFont="1" applyFill="1">
      <alignment vertical="center"/>
    </xf>
    <xf numFmtId="0" fontId="4" fillId="8" borderId="0" xfId="0" applyFont="1" applyFill="1">
      <alignment vertical="center"/>
    </xf>
    <xf numFmtId="0" fontId="8" fillId="4" borderId="0" xfId="0" applyFont="1" applyFill="1">
      <alignment vertical="center"/>
    </xf>
    <xf numFmtId="0" fontId="13" fillId="4" borderId="0" xfId="0" applyFont="1" applyFill="1">
      <alignment vertical="center"/>
    </xf>
    <xf numFmtId="0" fontId="14" fillId="0" borderId="0" xfId="0" applyFont="1" applyFill="1">
      <alignment vertical="center"/>
    </xf>
    <xf numFmtId="0" fontId="2" fillId="4" borderId="0" xfId="0" applyFont="1" applyFill="1">
      <alignment vertical="center"/>
    </xf>
    <xf numFmtId="0" fontId="15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18" fillId="4" borderId="0" xfId="0" applyFont="1" applyFill="1">
      <alignment vertical="center"/>
    </xf>
    <xf numFmtId="0" fontId="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20" fillId="4" borderId="0" xfId="0" applyFont="1" applyFill="1">
      <alignment vertical="center"/>
    </xf>
    <xf numFmtId="0" fontId="21" fillId="4" borderId="0" xfId="0" applyFont="1" applyFill="1">
      <alignment vertical="center"/>
    </xf>
    <xf numFmtId="0" fontId="10" fillId="0" borderId="0" xfId="0" applyFont="1" applyFill="1">
      <alignment vertical="center"/>
    </xf>
    <xf numFmtId="0" fontId="22" fillId="4" borderId="0" xfId="0" applyFont="1" applyFill="1">
      <alignment vertical="center"/>
    </xf>
    <xf numFmtId="0" fontId="13" fillId="0" borderId="0" xfId="0" applyFont="1" applyFill="1">
      <alignment vertical="center"/>
    </xf>
    <xf numFmtId="0" fontId="23" fillId="4" borderId="0" xfId="0" applyFont="1" applyFill="1">
      <alignment vertical="center"/>
    </xf>
    <xf numFmtId="0" fontId="24" fillId="4" borderId="0" xfId="0" applyFont="1" applyFill="1">
      <alignment vertical="center"/>
    </xf>
    <xf numFmtId="0" fontId="25" fillId="0" borderId="0" xfId="0" applyFont="1" applyFill="1">
      <alignment vertical="center"/>
    </xf>
    <xf numFmtId="0" fontId="26" fillId="0" borderId="0" xfId="0" applyFont="1" applyFill="1">
      <alignment vertical="center"/>
    </xf>
    <xf numFmtId="0" fontId="27" fillId="0" borderId="0" xfId="0" applyFont="1" applyFill="1">
      <alignment vertical="center"/>
    </xf>
    <xf numFmtId="0" fontId="28" fillId="4" borderId="0" xfId="0" applyFont="1" applyFill="1">
      <alignment vertical="center"/>
    </xf>
    <xf numFmtId="0" fontId="29" fillId="4" borderId="0" xfId="0" applyFont="1" applyFill="1">
      <alignment vertical="center"/>
    </xf>
    <xf numFmtId="0" fontId="30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1" fillId="4" borderId="0" xfId="0" applyFont="1" applyFill="1">
      <alignment vertical="center"/>
    </xf>
    <xf numFmtId="0" fontId="27" fillId="2" borderId="0" xfId="0" applyFont="1" applyFill="1">
      <alignment vertical="center"/>
    </xf>
    <xf numFmtId="0" fontId="32" fillId="0" borderId="0" xfId="0" applyFont="1" applyFill="1">
      <alignment vertical="center"/>
    </xf>
    <xf numFmtId="0" fontId="33" fillId="4" borderId="0" xfId="0" applyFont="1" applyFill="1">
      <alignment vertical="center"/>
    </xf>
    <xf numFmtId="0" fontId="34" fillId="0" borderId="0" xfId="0" applyFont="1" applyFill="1">
      <alignment vertical="center"/>
    </xf>
    <xf numFmtId="0" fontId="35" fillId="4" borderId="0" xfId="0" applyFont="1" applyFill="1">
      <alignment vertical="center"/>
    </xf>
    <xf numFmtId="0" fontId="36" fillId="0" borderId="0" xfId="0" applyFont="1" applyFill="1">
      <alignment vertical="center"/>
    </xf>
    <xf numFmtId="0" fontId="4" fillId="9" borderId="0" xfId="0" applyFont="1" applyFill="1">
      <alignment vertical="center"/>
    </xf>
    <xf numFmtId="0" fontId="8" fillId="9" borderId="0" xfId="0" applyFont="1" applyFill="1">
      <alignment vertical="center"/>
    </xf>
    <xf numFmtId="0" fontId="31" fillId="0" borderId="0" xfId="0" applyFont="1" applyFill="1">
      <alignment vertical="center"/>
    </xf>
    <xf numFmtId="0" fontId="37" fillId="4" borderId="0" xfId="0" applyFont="1" applyFill="1">
      <alignment vertical="center"/>
    </xf>
    <xf numFmtId="0" fontId="34" fillId="4" borderId="0" xfId="0" applyFont="1" applyFill="1">
      <alignment vertical="center"/>
    </xf>
    <xf numFmtId="0" fontId="38" fillId="4" borderId="0" xfId="0" applyFont="1" applyFill="1">
      <alignment vertical="center"/>
    </xf>
    <xf numFmtId="0" fontId="34" fillId="2" borderId="0" xfId="0" applyFont="1" applyFill="1">
      <alignment vertical="center"/>
    </xf>
    <xf numFmtId="0" fontId="34" fillId="8" borderId="0" xfId="0" applyFont="1" applyFill="1">
      <alignment vertical="center"/>
    </xf>
    <xf numFmtId="0" fontId="39" fillId="4" borderId="0" xfId="0" applyFont="1" applyFill="1">
      <alignment vertical="center"/>
    </xf>
    <xf numFmtId="0" fontId="9" fillId="0" borderId="0" xfId="0" applyFont="1" applyFill="1">
      <alignment vertical="center"/>
    </xf>
    <xf numFmtId="0" fontId="9" fillId="2" borderId="0" xfId="0" applyFont="1" applyFill="1">
      <alignment vertical="center"/>
    </xf>
    <xf numFmtId="0" fontId="40" fillId="2" borderId="0" xfId="0" applyFont="1" applyFill="1">
      <alignment vertical="center"/>
    </xf>
    <xf numFmtId="0" fontId="9" fillId="4" borderId="0" xfId="0" applyFont="1" applyFill="1">
      <alignment vertical="center"/>
    </xf>
    <xf numFmtId="0" fontId="17" fillId="0" borderId="0" xfId="0" applyFont="1" applyFill="1">
      <alignment vertical="center"/>
    </xf>
    <xf numFmtId="0" fontId="40" fillId="0" borderId="0" xfId="0" applyFont="1" applyFill="1">
      <alignment vertical="center"/>
    </xf>
    <xf numFmtId="0" fontId="41" fillId="0" borderId="0" xfId="0" applyFont="1" applyFill="1">
      <alignment vertical="center"/>
    </xf>
    <xf numFmtId="0" fontId="42" fillId="0" borderId="0" xfId="0" applyFont="1" applyFill="1">
      <alignment vertical="center"/>
    </xf>
    <xf numFmtId="0" fontId="10" fillId="4" borderId="0" xfId="0" applyFont="1" applyFill="1">
      <alignment vertical="center"/>
    </xf>
    <xf numFmtId="0" fontId="4" fillId="10" borderId="0" xfId="0" applyFont="1" applyFill="1">
      <alignment vertical="center"/>
    </xf>
    <xf numFmtId="0" fontId="10" fillId="10" borderId="0" xfId="0" applyFont="1" applyFill="1">
      <alignment vertical="center"/>
    </xf>
    <xf numFmtId="0" fontId="24" fillId="2" borderId="0" xfId="0" applyFont="1" applyFill="1">
      <alignment vertical="center"/>
    </xf>
    <xf numFmtId="0" fontId="43" fillId="0" borderId="0" xfId="0" applyFont="1" applyFill="1">
      <alignment vertical="center"/>
    </xf>
    <xf numFmtId="0" fontId="10" fillId="11" borderId="0" xfId="0" applyFont="1" applyFill="1">
      <alignment vertical="center"/>
    </xf>
    <xf numFmtId="0" fontId="15" fillId="11" borderId="0" xfId="0" applyFont="1" applyFill="1">
      <alignment vertical="center"/>
    </xf>
    <xf numFmtId="0" fontId="44" fillId="4" borderId="0" xfId="0" applyFont="1" applyFill="1">
      <alignment vertical="center"/>
    </xf>
    <xf numFmtId="0" fontId="2" fillId="9" borderId="0" xfId="0" applyFont="1" applyFill="1">
      <alignment vertical="center"/>
    </xf>
    <xf numFmtId="0" fontId="10" fillId="2" borderId="0" xfId="0" applyFont="1" applyFill="1">
      <alignment vertical="center"/>
    </xf>
    <xf numFmtId="0" fontId="45" fillId="0" borderId="0" xfId="0" applyFont="1" applyFill="1">
      <alignment vertical="center"/>
    </xf>
    <xf numFmtId="0" fontId="46" fillId="11" borderId="0" xfId="0" applyFont="1" applyFill="1">
      <alignment vertical="center"/>
    </xf>
    <xf numFmtId="0" fontId="45" fillId="11" borderId="0" xfId="0" applyFont="1" applyFill="1">
      <alignment vertical="center"/>
    </xf>
    <xf numFmtId="0" fontId="44" fillId="4" borderId="0" xfId="0" applyFont="1" applyFill="1" applyAlignment="1">
      <alignment vertical="center" wrapText="1"/>
    </xf>
    <xf numFmtId="0" fontId="47" fillId="0" borderId="0" xfId="0" applyFont="1" applyFill="1">
      <alignment vertical="center"/>
    </xf>
    <xf numFmtId="0" fontId="4" fillId="12" borderId="0" xfId="0" applyFont="1" applyFill="1">
      <alignment vertical="center"/>
    </xf>
    <xf numFmtId="0" fontId="48" fillId="0" borderId="0" xfId="0" applyFont="1" applyFill="1">
      <alignment vertical="center"/>
    </xf>
    <xf numFmtId="0" fontId="4" fillId="13" borderId="0" xfId="0" applyFont="1" applyFill="1">
      <alignment vertical="center"/>
    </xf>
    <xf numFmtId="0" fontId="5" fillId="14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10" borderId="0" xfId="0" applyFont="1" applyFill="1">
      <alignment vertical="center"/>
    </xf>
    <xf numFmtId="0" fontId="5" fillId="15" borderId="0" xfId="0" applyFont="1" applyFill="1">
      <alignment vertical="center"/>
    </xf>
    <xf numFmtId="0" fontId="5" fillId="11" borderId="0" xfId="0" applyFont="1" applyFill="1">
      <alignment vertical="center"/>
    </xf>
    <xf numFmtId="0" fontId="5" fillId="16" borderId="0" xfId="0" applyFont="1" applyFill="1">
      <alignment vertical="center"/>
    </xf>
    <xf numFmtId="0" fontId="5" fillId="17" borderId="0" xfId="0" applyFont="1" applyFill="1">
      <alignment vertical="center"/>
    </xf>
    <xf numFmtId="0" fontId="5" fillId="12" borderId="0" xfId="0" applyFont="1" applyFill="1">
      <alignment vertical="center"/>
    </xf>
    <xf numFmtId="0" fontId="49" fillId="8" borderId="0" xfId="0" applyFont="1" applyFill="1">
      <alignment vertical="center"/>
    </xf>
    <xf numFmtId="0" fontId="10" fillId="18" borderId="0" xfId="0" applyFont="1" applyFill="1">
      <alignment vertical="center"/>
    </xf>
    <xf numFmtId="0" fontId="4" fillId="4" borderId="0" xfId="0" applyFont="1" applyFill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4" fillId="19" borderId="0" xfId="0" applyFont="1" applyFill="1">
      <alignment vertical="center"/>
    </xf>
    <xf numFmtId="0" fontId="8" fillId="19" borderId="0" xfId="0" applyFont="1" applyFill="1">
      <alignment vertical="center"/>
    </xf>
    <xf numFmtId="0" fontId="50" fillId="4" borderId="0" xfId="0" applyFont="1" applyFill="1">
      <alignment vertical="center"/>
    </xf>
    <xf numFmtId="0" fontId="5" fillId="20" borderId="0" xfId="0" applyFont="1" applyFill="1">
      <alignment vertical="center"/>
    </xf>
    <xf numFmtId="0" fontId="7" fillId="2" borderId="0" xfId="0" applyFont="1" applyFill="1">
      <alignment vertical="center"/>
    </xf>
    <xf numFmtId="0" fontId="21" fillId="5" borderId="0" xfId="0" applyFont="1" applyFill="1">
      <alignment vertical="center"/>
    </xf>
    <xf numFmtId="0" fontId="21" fillId="3" borderId="0" xfId="0" applyFont="1" applyFill="1">
      <alignment vertical="center"/>
    </xf>
    <xf numFmtId="0" fontId="51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47" fillId="4" borderId="0" xfId="0" applyFont="1" applyFill="1">
      <alignment vertical="center"/>
    </xf>
    <xf numFmtId="0" fontId="52" fillId="4" borderId="0" xfId="0" applyFont="1" applyFill="1">
      <alignment vertical="center"/>
    </xf>
    <xf numFmtId="0" fontId="34" fillId="21" borderId="0" xfId="0" applyFont="1" applyFill="1">
      <alignment vertical="center"/>
    </xf>
    <xf numFmtId="0" fontId="5" fillId="19" borderId="0" xfId="0" applyFont="1" applyFill="1">
      <alignment vertical="center"/>
    </xf>
    <xf numFmtId="0" fontId="21" fillId="0" borderId="0" xfId="0" applyFont="1" applyFill="1">
      <alignment vertical="center"/>
    </xf>
    <xf numFmtId="0" fontId="4" fillId="22" borderId="0" xfId="0" applyFont="1" applyFill="1">
      <alignment vertical="center"/>
    </xf>
    <xf numFmtId="0" fontId="5" fillId="22" borderId="0" xfId="0" applyFont="1" applyFill="1">
      <alignment vertical="center"/>
    </xf>
    <xf numFmtId="0" fontId="4" fillId="23" borderId="0" xfId="0" applyFont="1" applyFill="1">
      <alignment vertical="center"/>
    </xf>
    <xf numFmtId="0" fontId="2" fillId="23" borderId="0" xfId="0" applyFont="1" applyFill="1">
      <alignment vertical="center"/>
    </xf>
    <xf numFmtId="0" fontId="5" fillId="23" borderId="0" xfId="0" applyFont="1" applyFill="1">
      <alignment vertical="center"/>
    </xf>
    <xf numFmtId="0" fontId="9" fillId="23" borderId="0" xfId="0" applyFont="1" applyFill="1">
      <alignment vertical="center"/>
    </xf>
    <xf numFmtId="0" fontId="5" fillId="8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11447-C3A3-4D19-AB91-3522E75E61D0}">
  <dimension ref="B1:T850"/>
  <sheetViews>
    <sheetView tabSelected="1" workbookViewId="0"/>
  </sheetViews>
  <sheetFormatPr defaultRowHeight="17.399999999999999" x14ac:dyDescent="0.4"/>
  <cols>
    <col min="1" max="1" width="2.09765625" customWidth="1"/>
    <col min="2" max="2" width="27.69921875" customWidth="1"/>
    <col min="3" max="6" width="7" customWidth="1"/>
    <col min="7" max="7" width="30.8984375" customWidth="1"/>
    <col min="8" max="8" width="6.3984375" customWidth="1"/>
    <col min="9" max="9" width="18.69921875" customWidth="1"/>
    <col min="10" max="10" width="6.8984375" customWidth="1"/>
    <col min="11" max="11" width="36.796875" customWidth="1"/>
    <col min="12" max="12" width="11.19921875" customWidth="1"/>
    <col min="13" max="13" width="9.796875" customWidth="1"/>
    <col min="14" max="14" width="13.796875" customWidth="1"/>
    <col min="15" max="16" width="9.796875" customWidth="1"/>
    <col min="17" max="17" width="11.796875" customWidth="1"/>
    <col min="18" max="18" width="12.19921875" customWidth="1"/>
    <col min="19" max="19" width="33.296875" customWidth="1"/>
    <col min="20" max="20" width="57.59765625" customWidth="1"/>
    <col min="21" max="30" width="8.8984375" customWidth="1"/>
  </cols>
  <sheetData>
    <row r="1" spans="2:20" ht="23.25" customHeight="1" x14ac:dyDescent="0.4">
      <c r="B1" s="107" t="s">
        <v>2385</v>
      </c>
      <c r="C1" s="109">
        <v>11.01</v>
      </c>
      <c r="D1" s="15" t="s">
        <v>23</v>
      </c>
      <c r="E1" s="90" t="s">
        <v>2386</v>
      </c>
      <c r="I1" s="44" t="s">
        <v>2387</v>
      </c>
      <c r="L1" s="5">
        <v>1</v>
      </c>
      <c r="M1" s="5">
        <v>6000</v>
      </c>
      <c r="N1" s="5">
        <f>+M1*L1</f>
        <v>6000</v>
      </c>
      <c r="Q1" s="5">
        <f>+N1</f>
        <v>6000</v>
      </c>
      <c r="R1" s="8" t="s">
        <v>2388</v>
      </c>
    </row>
    <row r="2" spans="2:20" ht="23.25" customHeight="1" x14ac:dyDescent="0.4">
      <c r="B2" s="107" t="s">
        <v>2389</v>
      </c>
      <c r="C2" s="18">
        <v>3.24</v>
      </c>
      <c r="D2" s="16" t="s">
        <v>28</v>
      </c>
      <c r="E2" s="20">
        <v>9.0299999999999994</v>
      </c>
      <c r="I2" s="44" t="s">
        <v>2390</v>
      </c>
      <c r="L2" s="5">
        <v>1</v>
      </c>
      <c r="M2" s="5">
        <v>6000</v>
      </c>
      <c r="N2" s="5">
        <f>+M2*L2</f>
        <v>6000</v>
      </c>
      <c r="O2" s="5">
        <f>+N2/1.1</f>
        <v>5454.545454545454</v>
      </c>
      <c r="P2" s="5">
        <f>+N2-O2</f>
        <v>545.45454545454595</v>
      </c>
      <c r="Q2" s="5">
        <f>+N2</f>
        <v>6000</v>
      </c>
      <c r="R2" s="8" t="s">
        <v>2391</v>
      </c>
    </row>
    <row r="3" spans="2:20" ht="23.25" customHeight="1" x14ac:dyDescent="0.4">
      <c r="B3" s="4" t="s">
        <v>701</v>
      </c>
      <c r="M3" s="109" t="s">
        <v>24</v>
      </c>
      <c r="N3" s="20" t="s">
        <v>24</v>
      </c>
      <c r="O3" s="18" t="s">
        <v>24</v>
      </c>
      <c r="P3" s="95" t="s">
        <v>2557</v>
      </c>
      <c r="Q3" s="121" t="s">
        <v>2592</v>
      </c>
      <c r="R3" s="18" t="s">
        <v>2394</v>
      </c>
      <c r="S3" s="5" t="s">
        <v>2559</v>
      </c>
    </row>
    <row r="4" spans="2:20" ht="24.75" customHeight="1" x14ac:dyDescent="0.4">
      <c r="K4" s="65" t="s">
        <v>2473</v>
      </c>
    </row>
    <row r="5" spans="2:20" ht="24.75" customHeight="1" x14ac:dyDescent="0.4">
      <c r="B5" s="108" t="s">
        <v>2396</v>
      </c>
      <c r="G5" s="113" t="s">
        <v>2397</v>
      </c>
      <c r="K5" s="65" t="s">
        <v>2398</v>
      </c>
    </row>
    <row r="6" spans="2:20" ht="36" customHeight="1" x14ac:dyDescent="0.4">
      <c r="B6" s="10" t="s">
        <v>30</v>
      </c>
      <c r="C6" s="110" t="s">
        <v>31</v>
      </c>
      <c r="D6" s="10" t="s">
        <v>32</v>
      </c>
      <c r="E6" s="10" t="s">
        <v>33</v>
      </c>
      <c r="F6" s="10" t="s">
        <v>34</v>
      </c>
      <c r="G6" s="16" t="s">
        <v>2399</v>
      </c>
      <c r="H6" s="114" t="s">
        <v>1</v>
      </c>
      <c r="I6" s="9" t="s">
        <v>36</v>
      </c>
      <c r="J6" s="10" t="s">
        <v>37</v>
      </c>
      <c r="K6" s="10" t="s">
        <v>38</v>
      </c>
      <c r="L6" s="10" t="s">
        <v>39</v>
      </c>
      <c r="M6" s="10" t="s">
        <v>40</v>
      </c>
      <c r="N6" s="10" t="s">
        <v>41</v>
      </c>
      <c r="O6" s="10" t="s">
        <v>42</v>
      </c>
      <c r="P6" s="10" t="s">
        <v>43</v>
      </c>
      <c r="Q6" s="10" t="s">
        <v>44</v>
      </c>
      <c r="R6" s="10" t="s">
        <v>45</v>
      </c>
      <c r="S6" s="9" t="s">
        <v>2400</v>
      </c>
      <c r="T6" s="10" t="s">
        <v>2401</v>
      </c>
    </row>
    <row r="7" spans="2:20" ht="24" customHeight="1" x14ac:dyDescent="0.4">
      <c r="B7" s="7" t="s">
        <v>639</v>
      </c>
      <c r="C7" s="8">
        <v>5.03</v>
      </c>
      <c r="D7" s="15" t="s">
        <v>23</v>
      </c>
      <c r="F7" s="8" t="s">
        <v>2368</v>
      </c>
      <c r="G7" s="5" t="s">
        <v>2623</v>
      </c>
      <c r="H7" s="4">
        <v>786</v>
      </c>
      <c r="I7" s="28" t="s">
        <v>938</v>
      </c>
      <c r="J7" s="4">
        <v>3.23</v>
      </c>
      <c r="K7" s="4" t="s">
        <v>2624</v>
      </c>
      <c r="L7" s="5">
        <v>15</v>
      </c>
      <c r="M7" s="68">
        <v>6000</v>
      </c>
      <c r="N7" s="126">
        <f>+M7*L7</f>
        <v>90000</v>
      </c>
      <c r="O7" s="5">
        <f>+N7/1.1</f>
        <v>81818.181818181809</v>
      </c>
      <c r="P7" s="5">
        <f>+N7-O7</f>
        <v>8181.8181818181911</v>
      </c>
      <c r="Q7" s="5">
        <f>+N7</f>
        <v>90000</v>
      </c>
      <c r="R7" s="18">
        <v>5.12</v>
      </c>
      <c r="S7" s="28" t="s">
        <v>2625</v>
      </c>
    </row>
    <row r="8" spans="2:20" ht="24" customHeight="1" x14ac:dyDescent="0.4">
      <c r="B8" s="7" t="s">
        <v>639</v>
      </c>
      <c r="C8" s="8">
        <v>5.03</v>
      </c>
      <c r="D8" s="15" t="s">
        <v>23</v>
      </c>
      <c r="F8" s="8" t="s">
        <v>2368</v>
      </c>
      <c r="G8" s="5" t="s">
        <v>2623</v>
      </c>
      <c r="H8" s="4">
        <v>786</v>
      </c>
      <c r="I8" s="28" t="s">
        <v>938</v>
      </c>
      <c r="J8" s="4">
        <v>3.23</v>
      </c>
      <c r="K8" s="4" t="s">
        <v>2626</v>
      </c>
      <c r="L8" s="5">
        <v>15</v>
      </c>
      <c r="M8" s="68">
        <v>6000</v>
      </c>
      <c r="N8" s="126">
        <f>+M8*L8</f>
        <v>90000</v>
      </c>
      <c r="O8" s="5">
        <f>+N8/1.1</f>
        <v>81818.181818181809</v>
      </c>
      <c r="P8" s="5">
        <f>+N8-O8</f>
        <v>8181.8181818181911</v>
      </c>
      <c r="Q8" s="5">
        <f>+N8</f>
        <v>90000</v>
      </c>
      <c r="R8" s="18">
        <v>5.12</v>
      </c>
      <c r="S8" s="28" t="s">
        <v>2625</v>
      </c>
    </row>
    <row r="9" spans="2:20" ht="24" customHeight="1" x14ac:dyDescent="0.4">
      <c r="B9" s="7" t="s">
        <v>639</v>
      </c>
      <c r="C9" s="8">
        <v>5.03</v>
      </c>
      <c r="D9" s="15" t="s">
        <v>23</v>
      </c>
      <c r="F9" s="8" t="s">
        <v>2368</v>
      </c>
      <c r="G9" s="5" t="s">
        <v>2623</v>
      </c>
      <c r="H9" s="4">
        <v>786</v>
      </c>
      <c r="I9" s="28" t="s">
        <v>938</v>
      </c>
      <c r="J9" s="4">
        <v>2.21</v>
      </c>
      <c r="K9" s="4" t="s">
        <v>2627</v>
      </c>
      <c r="L9" s="5">
        <v>30</v>
      </c>
      <c r="M9" s="68">
        <v>6000</v>
      </c>
      <c r="N9" s="126">
        <f>+M9*L9</f>
        <v>180000</v>
      </c>
      <c r="O9" s="5">
        <f>+N9/1.1</f>
        <v>163636.36363636362</v>
      </c>
      <c r="P9" s="5">
        <f>+N9-O9</f>
        <v>16363.636363636382</v>
      </c>
      <c r="Q9" s="5">
        <f>+N9</f>
        <v>180000</v>
      </c>
      <c r="R9" s="18">
        <v>5.12</v>
      </c>
      <c r="S9" s="28" t="s">
        <v>2625</v>
      </c>
    </row>
    <row r="10" spans="2:20" ht="24" customHeight="1" x14ac:dyDescent="0.4">
      <c r="B10" s="7" t="s">
        <v>639</v>
      </c>
      <c r="C10" s="18">
        <v>5.03</v>
      </c>
      <c r="D10" s="16" t="s">
        <v>28</v>
      </c>
      <c r="F10" s="8" t="s">
        <v>2368</v>
      </c>
      <c r="G10" s="5" t="s">
        <v>928</v>
      </c>
      <c r="H10" s="4">
        <v>786</v>
      </c>
      <c r="I10" s="120" t="s">
        <v>929</v>
      </c>
      <c r="J10" s="4">
        <v>4.21</v>
      </c>
      <c r="K10" s="4" t="s">
        <v>2628</v>
      </c>
      <c r="L10" s="5">
        <v>10</v>
      </c>
      <c r="M10" s="68">
        <v>6000</v>
      </c>
      <c r="N10" s="8">
        <f>+M10*L10</f>
        <v>60000</v>
      </c>
      <c r="Q10" s="5">
        <f>+N10</f>
        <v>60000</v>
      </c>
      <c r="R10" s="18">
        <v>5.12</v>
      </c>
      <c r="S10" s="4" t="s">
        <v>544</v>
      </c>
    </row>
    <row r="11" spans="2:20" ht="24" customHeight="1" x14ac:dyDescent="0.4">
      <c r="B11" s="7" t="s">
        <v>639</v>
      </c>
      <c r="C11" s="8">
        <v>5.03</v>
      </c>
      <c r="D11" s="15" t="s">
        <v>23</v>
      </c>
      <c r="F11" s="8" t="s">
        <v>2368</v>
      </c>
      <c r="G11" s="5" t="s">
        <v>2623</v>
      </c>
      <c r="H11" s="4">
        <v>786</v>
      </c>
      <c r="I11" s="28" t="s">
        <v>938</v>
      </c>
      <c r="J11" s="4">
        <v>4.21</v>
      </c>
      <c r="K11" s="4" t="s">
        <v>2629</v>
      </c>
      <c r="L11" s="5">
        <v>10</v>
      </c>
      <c r="M11" s="68">
        <v>6000</v>
      </c>
      <c r="N11" s="126">
        <f>+M11*L11</f>
        <v>60000</v>
      </c>
      <c r="O11" s="5">
        <f>+N11/1.1</f>
        <v>54545.454545454544</v>
      </c>
      <c r="P11" s="5">
        <f>+N11-O11</f>
        <v>5454.5454545454559</v>
      </c>
      <c r="Q11" s="5">
        <f>+N11</f>
        <v>60000</v>
      </c>
      <c r="R11" s="18">
        <v>5.12</v>
      </c>
      <c r="S11" s="28" t="s">
        <v>2625</v>
      </c>
    </row>
    <row r="12" spans="2:20" ht="24" customHeight="1" x14ac:dyDescent="0.4">
      <c r="B12" s="7" t="s">
        <v>639</v>
      </c>
      <c r="C12" s="8">
        <v>5.04</v>
      </c>
      <c r="D12" s="16" t="s">
        <v>28</v>
      </c>
      <c r="F12" s="8" t="s">
        <v>2368</v>
      </c>
      <c r="G12" s="5" t="s">
        <v>948</v>
      </c>
      <c r="H12" s="4">
        <v>786</v>
      </c>
      <c r="I12" s="120" t="s">
        <v>949</v>
      </c>
      <c r="J12" s="4">
        <v>4.21</v>
      </c>
      <c r="K12" s="4" t="s">
        <v>2630</v>
      </c>
      <c r="L12" s="5">
        <v>20</v>
      </c>
      <c r="M12" s="68">
        <v>6000</v>
      </c>
      <c r="N12" s="8">
        <f>+M12*L12</f>
        <v>120000</v>
      </c>
      <c r="Q12" s="5">
        <f>+N12</f>
        <v>120000</v>
      </c>
      <c r="R12" s="18">
        <v>5.1100000000000003</v>
      </c>
      <c r="S12" s="4" t="s">
        <v>544</v>
      </c>
    </row>
    <row r="13" spans="2:20" ht="24" customHeight="1" x14ac:dyDescent="0.4">
      <c r="B13" s="8" t="s">
        <v>26</v>
      </c>
      <c r="C13" s="8">
        <v>5.04</v>
      </c>
      <c r="D13" s="16" t="s">
        <v>28</v>
      </c>
      <c r="F13" s="5" t="s">
        <v>1559</v>
      </c>
      <c r="G13" s="5" t="s">
        <v>2531</v>
      </c>
      <c r="H13" s="4">
        <v>1324</v>
      </c>
      <c r="I13" s="4" t="s">
        <v>2440</v>
      </c>
      <c r="J13" s="4">
        <v>3.3</v>
      </c>
      <c r="K13" s="4" t="s">
        <v>2631</v>
      </c>
      <c r="L13" s="5">
        <v>5</v>
      </c>
      <c r="M13" s="68">
        <f>23000+4000</f>
        <v>27000</v>
      </c>
      <c r="N13" s="5">
        <f>+M13*L13</f>
        <v>135000</v>
      </c>
      <c r="Q13" s="5">
        <f>+N13</f>
        <v>135000</v>
      </c>
      <c r="R13" s="18">
        <v>5.12</v>
      </c>
      <c r="S13" s="7" t="s">
        <v>97</v>
      </c>
    </row>
    <row r="14" spans="2:20" ht="24" customHeight="1" x14ac:dyDescent="0.4">
      <c r="B14" s="8" t="s">
        <v>26</v>
      </c>
      <c r="C14" s="8">
        <v>5.04</v>
      </c>
      <c r="D14" s="16" t="s">
        <v>28</v>
      </c>
      <c r="F14" s="5" t="s">
        <v>1559</v>
      </c>
      <c r="G14" s="5" t="s">
        <v>2531</v>
      </c>
      <c r="H14" s="4">
        <v>1324</v>
      </c>
      <c r="I14" s="4" t="s">
        <v>2440</v>
      </c>
      <c r="J14" s="4">
        <v>4.18</v>
      </c>
      <c r="K14" s="4" t="s">
        <v>214</v>
      </c>
      <c r="L14" s="5">
        <v>45</v>
      </c>
      <c r="M14" s="68">
        <v>6000</v>
      </c>
      <c r="N14" s="8">
        <f>+M14*L14</f>
        <v>270000</v>
      </c>
      <c r="Q14" s="5">
        <f>+N14</f>
        <v>270000</v>
      </c>
      <c r="R14" s="18">
        <v>5.12</v>
      </c>
      <c r="S14" s="7" t="s">
        <v>97</v>
      </c>
    </row>
    <row r="15" spans="2:20" ht="24" customHeight="1" x14ac:dyDescent="0.4">
      <c r="B15" s="8" t="s">
        <v>26</v>
      </c>
      <c r="C15" s="8">
        <v>5.04</v>
      </c>
      <c r="D15" s="16" t="s">
        <v>28</v>
      </c>
      <c r="F15" s="5" t="s">
        <v>1559</v>
      </c>
      <c r="G15" s="5" t="s">
        <v>2531</v>
      </c>
      <c r="H15" s="4">
        <v>1324</v>
      </c>
      <c r="I15" s="4" t="s">
        <v>2440</v>
      </c>
      <c r="J15" s="4">
        <v>4.0599999999999996</v>
      </c>
      <c r="K15" s="4" t="s">
        <v>531</v>
      </c>
      <c r="L15" s="5">
        <v>20</v>
      </c>
      <c r="M15" s="68">
        <v>7000</v>
      </c>
      <c r="N15" s="5">
        <f>+M15*L15</f>
        <v>140000</v>
      </c>
      <c r="Q15" s="5">
        <f>+N15</f>
        <v>140000</v>
      </c>
      <c r="R15" s="18">
        <v>5.12</v>
      </c>
      <c r="S15" s="7" t="s">
        <v>97</v>
      </c>
    </row>
    <row r="16" spans="2:20" ht="24" customHeight="1" x14ac:dyDescent="0.4">
      <c r="B16" s="8" t="s">
        <v>26</v>
      </c>
      <c r="C16" s="8">
        <v>5.04</v>
      </c>
      <c r="D16" s="15" t="s">
        <v>23</v>
      </c>
      <c r="F16" s="8" t="s">
        <v>2368</v>
      </c>
      <c r="G16" s="5" t="s">
        <v>2436</v>
      </c>
      <c r="H16" s="4">
        <v>729</v>
      </c>
      <c r="I16" s="4" t="s">
        <v>746</v>
      </c>
      <c r="J16" s="4">
        <v>4.0599999999999996</v>
      </c>
      <c r="K16" s="4" t="s">
        <v>672</v>
      </c>
      <c r="L16" s="5">
        <v>5</v>
      </c>
      <c r="M16" s="68">
        <v>18000</v>
      </c>
      <c r="N16" s="5">
        <f>+M16*L16</f>
        <v>90000</v>
      </c>
      <c r="O16" s="5">
        <f>+N16/1.1</f>
        <v>81818.181818181809</v>
      </c>
      <c r="P16" s="5">
        <f>+N16-O16</f>
        <v>8181.8181818181911</v>
      </c>
      <c r="Q16" s="5">
        <f>+N16</f>
        <v>90000</v>
      </c>
      <c r="R16" s="18">
        <v>5.31</v>
      </c>
      <c r="S16" s="83" t="s">
        <v>734</v>
      </c>
    </row>
    <row r="17" spans="2:19" ht="24" customHeight="1" x14ac:dyDescent="0.4">
      <c r="B17" s="8" t="s">
        <v>26</v>
      </c>
      <c r="C17" s="8">
        <v>5.04</v>
      </c>
      <c r="D17" s="16" t="s">
        <v>28</v>
      </c>
      <c r="F17" s="8" t="s">
        <v>2368</v>
      </c>
      <c r="G17" s="5" t="s">
        <v>2436</v>
      </c>
      <c r="H17" s="4">
        <v>729</v>
      </c>
      <c r="I17" s="12" t="s">
        <v>746</v>
      </c>
      <c r="J17" s="4">
        <v>2.2799999999999998</v>
      </c>
      <c r="K17" s="4" t="s">
        <v>531</v>
      </c>
      <c r="L17" s="5">
        <v>102</v>
      </c>
      <c r="M17" s="68">
        <v>5000</v>
      </c>
      <c r="N17" s="8">
        <f>+M17*L17</f>
        <v>510000</v>
      </c>
      <c r="Q17" s="5">
        <f>+N17</f>
        <v>510000</v>
      </c>
      <c r="R17" s="18">
        <v>5.31</v>
      </c>
      <c r="S17" s="83" t="s">
        <v>734</v>
      </c>
    </row>
    <row r="18" spans="2:19" ht="24" customHeight="1" x14ac:dyDescent="0.4">
      <c r="B18" s="8" t="s">
        <v>26</v>
      </c>
      <c r="C18" s="8">
        <v>5.04</v>
      </c>
      <c r="D18" s="16" t="s">
        <v>28</v>
      </c>
      <c r="F18" s="5" t="s">
        <v>1559</v>
      </c>
      <c r="G18" s="5" t="s">
        <v>2498</v>
      </c>
      <c r="H18" s="4">
        <v>2865</v>
      </c>
      <c r="I18" s="4" t="s">
        <v>1328</v>
      </c>
      <c r="J18" s="4">
        <v>4.26</v>
      </c>
      <c r="K18" s="4" t="s">
        <v>708</v>
      </c>
      <c r="L18" s="5">
        <v>1</v>
      </c>
      <c r="M18" s="68">
        <v>29000</v>
      </c>
      <c r="N18" s="8">
        <f>+M18*L18</f>
        <v>29000</v>
      </c>
      <c r="Q18" s="5">
        <f>+N18</f>
        <v>29000</v>
      </c>
      <c r="R18" s="18">
        <v>5.26</v>
      </c>
      <c r="S18" s="83" t="s">
        <v>734</v>
      </c>
    </row>
    <row r="19" spans="2:19" ht="24" customHeight="1" x14ac:dyDescent="0.4">
      <c r="B19" s="7" t="s">
        <v>639</v>
      </c>
      <c r="C19" s="8">
        <v>5.04</v>
      </c>
      <c r="D19" s="16" t="s">
        <v>28</v>
      </c>
      <c r="F19" s="8" t="s">
        <v>2368</v>
      </c>
      <c r="G19" s="5" t="s">
        <v>919</v>
      </c>
      <c r="H19" s="4">
        <v>786</v>
      </c>
      <c r="I19" s="120" t="s">
        <v>744</v>
      </c>
      <c r="J19" s="4">
        <v>4.21</v>
      </c>
      <c r="K19" s="4" t="s">
        <v>2632</v>
      </c>
      <c r="L19" s="5">
        <v>10</v>
      </c>
      <c r="M19" s="71">
        <v>6000</v>
      </c>
      <c r="N19" s="8">
        <f>+M19*L19</f>
        <v>60000</v>
      </c>
      <c r="Q19" s="5">
        <f>+N19</f>
        <v>60000</v>
      </c>
      <c r="R19" s="18">
        <v>5.26</v>
      </c>
      <c r="S19" s="83" t="s">
        <v>734</v>
      </c>
    </row>
    <row r="20" spans="2:19" ht="24" customHeight="1" x14ac:dyDescent="0.4">
      <c r="B20" s="7" t="s">
        <v>639</v>
      </c>
      <c r="C20" s="8">
        <v>5.04</v>
      </c>
      <c r="D20" s="16" t="s">
        <v>28</v>
      </c>
      <c r="F20" s="5" t="s">
        <v>2368</v>
      </c>
      <c r="G20" s="5" t="s">
        <v>893</v>
      </c>
      <c r="H20" s="4">
        <v>786</v>
      </c>
      <c r="I20" s="120" t="s">
        <v>923</v>
      </c>
      <c r="J20" s="4">
        <v>4.21</v>
      </c>
      <c r="K20" s="4" t="s">
        <v>2633</v>
      </c>
      <c r="L20" s="5">
        <v>10</v>
      </c>
      <c r="M20" s="68">
        <v>6000</v>
      </c>
      <c r="N20" s="8">
        <f>+M20*L20</f>
        <v>60000</v>
      </c>
      <c r="Q20" s="5">
        <f>+N20</f>
        <v>60000</v>
      </c>
      <c r="R20" s="18">
        <v>5.25</v>
      </c>
      <c r="S20" s="83" t="s">
        <v>734</v>
      </c>
    </row>
    <row r="21" spans="2:19" ht="24" customHeight="1" x14ac:dyDescent="0.4">
      <c r="B21" s="7" t="s">
        <v>157</v>
      </c>
      <c r="C21" s="8">
        <v>5.09</v>
      </c>
      <c r="D21" s="16" t="s">
        <v>28</v>
      </c>
      <c r="F21" s="8" t="s">
        <v>2368</v>
      </c>
      <c r="G21" s="5" t="s">
        <v>964</v>
      </c>
      <c r="H21" s="4">
        <v>209</v>
      </c>
      <c r="I21" s="4" t="s">
        <v>157</v>
      </c>
      <c r="J21" s="4">
        <v>5.09</v>
      </c>
      <c r="K21" s="4" t="s">
        <v>191</v>
      </c>
      <c r="L21" s="5">
        <v>96</v>
      </c>
      <c r="M21" s="68">
        <v>6000</v>
      </c>
      <c r="N21" s="8">
        <f>+M21*L21</f>
        <v>576000</v>
      </c>
      <c r="Q21" s="5">
        <f>+N21</f>
        <v>576000</v>
      </c>
      <c r="R21" s="18">
        <v>5.1100000000000003</v>
      </c>
      <c r="S21" s="4" t="s">
        <v>727</v>
      </c>
    </row>
    <row r="22" spans="2:19" ht="24" customHeight="1" x14ac:dyDescent="0.4">
      <c r="B22" s="8" t="s">
        <v>26</v>
      </c>
      <c r="C22" s="8">
        <v>5.1100000000000003</v>
      </c>
      <c r="D22" s="16" t="s">
        <v>28</v>
      </c>
      <c r="F22" s="4" t="s">
        <v>1559</v>
      </c>
      <c r="G22" s="5" t="s">
        <v>2476</v>
      </c>
      <c r="H22" s="4">
        <v>865</v>
      </c>
      <c r="I22" s="4" t="s">
        <v>1537</v>
      </c>
      <c r="J22" s="4">
        <v>4.13</v>
      </c>
      <c r="K22" s="4" t="s">
        <v>298</v>
      </c>
      <c r="L22" s="5">
        <v>30</v>
      </c>
      <c r="M22" s="68">
        <v>6000</v>
      </c>
      <c r="N22" s="8">
        <f>+M22*L22</f>
        <v>180000</v>
      </c>
      <c r="Q22" s="5">
        <f>+N22</f>
        <v>180000</v>
      </c>
      <c r="R22" s="18">
        <v>5.17</v>
      </c>
      <c r="S22" s="7" t="s">
        <v>688</v>
      </c>
    </row>
    <row r="23" spans="2:19" ht="24" customHeight="1" x14ac:dyDescent="0.4">
      <c r="B23" s="8" t="s">
        <v>26</v>
      </c>
      <c r="C23" s="8">
        <v>5.1100000000000003</v>
      </c>
      <c r="D23" s="16" t="s">
        <v>28</v>
      </c>
      <c r="F23" s="4" t="s">
        <v>1559</v>
      </c>
      <c r="G23" s="5" t="s">
        <v>2476</v>
      </c>
      <c r="H23" s="4">
        <v>865</v>
      </c>
      <c r="I23" s="4" t="s">
        <v>1537</v>
      </c>
      <c r="J23" s="4">
        <v>4.13</v>
      </c>
      <c r="K23" s="4" t="s">
        <v>686</v>
      </c>
      <c r="L23" s="5">
        <v>30</v>
      </c>
      <c r="M23" s="68">
        <v>6000</v>
      </c>
      <c r="N23" s="8">
        <f>+M23*L23</f>
        <v>180000</v>
      </c>
      <c r="Q23" s="5">
        <f>+N23</f>
        <v>180000</v>
      </c>
      <c r="R23" s="18">
        <v>5.17</v>
      </c>
      <c r="S23" s="7" t="s">
        <v>688</v>
      </c>
    </row>
    <row r="24" spans="2:19" ht="24" customHeight="1" x14ac:dyDescent="0.4">
      <c r="B24" s="8" t="s">
        <v>26</v>
      </c>
      <c r="C24" s="8">
        <v>5.12</v>
      </c>
      <c r="D24" s="15" t="s">
        <v>23</v>
      </c>
      <c r="F24" s="8" t="s">
        <v>2368</v>
      </c>
      <c r="G24" s="5" t="s">
        <v>988</v>
      </c>
      <c r="H24" s="4">
        <v>1870</v>
      </c>
      <c r="I24" s="4" t="s">
        <v>739</v>
      </c>
      <c r="J24" s="4">
        <v>5.12</v>
      </c>
      <c r="K24" s="4" t="s">
        <v>304</v>
      </c>
      <c r="L24" s="5">
        <v>20</v>
      </c>
      <c r="M24" s="68">
        <v>6000</v>
      </c>
      <c r="N24" s="8">
        <f>+M24*L24</f>
        <v>120000</v>
      </c>
      <c r="O24" s="5">
        <f>+N24/1.1</f>
        <v>109090.90909090909</v>
      </c>
      <c r="P24" s="5">
        <f>+N24-O24</f>
        <v>10909.090909090912</v>
      </c>
      <c r="Q24" s="5">
        <f>+N24</f>
        <v>120000</v>
      </c>
      <c r="R24" s="18">
        <v>5.16</v>
      </c>
      <c r="S24" s="4" t="s">
        <v>470</v>
      </c>
    </row>
    <row r="25" spans="2:19" ht="24" customHeight="1" x14ac:dyDescent="0.4">
      <c r="B25" s="8" t="s">
        <v>26</v>
      </c>
      <c r="C25" s="8">
        <v>5.13</v>
      </c>
      <c r="D25" s="16" t="s">
        <v>28</v>
      </c>
      <c r="F25" s="8" t="s">
        <v>2368</v>
      </c>
      <c r="G25" s="5" t="s">
        <v>988</v>
      </c>
      <c r="H25" s="4">
        <v>1870</v>
      </c>
      <c r="I25" s="4" t="s">
        <v>739</v>
      </c>
      <c r="J25" s="4">
        <v>4.3</v>
      </c>
      <c r="K25" s="4" t="s">
        <v>2634</v>
      </c>
      <c r="L25" s="5">
        <v>2</v>
      </c>
      <c r="M25" s="68">
        <f>12000+3000</f>
        <v>15000</v>
      </c>
      <c r="N25" s="8">
        <f>+M25*L25</f>
        <v>30000</v>
      </c>
      <c r="Q25" s="5">
        <f>+N25</f>
        <v>30000</v>
      </c>
      <c r="R25" s="18">
        <v>5.18</v>
      </c>
      <c r="S25" s="7" t="s">
        <v>470</v>
      </c>
    </row>
    <row r="26" spans="2:19" ht="24" customHeight="1" x14ac:dyDescent="0.4">
      <c r="B26" s="8" t="s">
        <v>26</v>
      </c>
      <c r="C26" s="8">
        <v>5.13</v>
      </c>
      <c r="D26" s="16" t="s">
        <v>28</v>
      </c>
      <c r="F26" s="8" t="s">
        <v>2368</v>
      </c>
      <c r="G26" s="5" t="s">
        <v>826</v>
      </c>
      <c r="H26" s="4">
        <v>182</v>
      </c>
      <c r="I26" s="4" t="s">
        <v>828</v>
      </c>
      <c r="J26" s="4">
        <v>4.28</v>
      </c>
      <c r="K26" s="4" t="s">
        <v>214</v>
      </c>
      <c r="L26" s="5">
        <v>145</v>
      </c>
      <c r="M26" s="68">
        <v>6000</v>
      </c>
      <c r="N26" s="8">
        <f>+M26*L26</f>
        <v>870000</v>
      </c>
      <c r="Q26" s="5">
        <f>+N26</f>
        <v>870000</v>
      </c>
      <c r="R26" s="18">
        <v>5.31</v>
      </c>
      <c r="S26" s="83" t="s">
        <v>734</v>
      </c>
    </row>
    <row r="27" spans="2:19" ht="24" customHeight="1" x14ac:dyDescent="0.4">
      <c r="B27" s="8" t="s">
        <v>26</v>
      </c>
      <c r="C27" s="8">
        <v>5.24</v>
      </c>
      <c r="D27" s="16" t="s">
        <v>28</v>
      </c>
      <c r="F27" s="8" t="s">
        <v>2368</v>
      </c>
      <c r="G27" s="5" t="s">
        <v>904</v>
      </c>
      <c r="H27" s="4">
        <v>602</v>
      </c>
      <c r="I27" s="4" t="s">
        <v>735</v>
      </c>
      <c r="J27" s="4">
        <v>5.1100000000000003</v>
      </c>
      <c r="K27" s="4" t="s">
        <v>2635</v>
      </c>
      <c r="L27" s="5">
        <v>3</v>
      </c>
      <c r="M27" s="68">
        <f>20000+3000</f>
        <v>23000</v>
      </c>
      <c r="N27" s="8">
        <f>+M27*L27</f>
        <v>69000</v>
      </c>
      <c r="Q27" s="5">
        <f>+N27</f>
        <v>69000</v>
      </c>
      <c r="R27" s="18">
        <v>5.3</v>
      </c>
      <c r="S27" s="83" t="s">
        <v>734</v>
      </c>
    </row>
    <row r="28" spans="2:19" ht="24" customHeight="1" x14ac:dyDescent="0.4">
      <c r="B28" s="8" t="s">
        <v>26</v>
      </c>
      <c r="C28" s="8">
        <v>5.24</v>
      </c>
      <c r="D28" s="16" t="s">
        <v>28</v>
      </c>
      <c r="F28" s="8" t="s">
        <v>2368</v>
      </c>
      <c r="G28" s="5" t="s">
        <v>2120</v>
      </c>
      <c r="H28" s="4">
        <v>930</v>
      </c>
      <c r="I28" s="4" t="s">
        <v>740</v>
      </c>
      <c r="J28" s="4">
        <v>5.12</v>
      </c>
      <c r="K28" s="4" t="s">
        <v>2636</v>
      </c>
      <c r="L28" s="5">
        <v>4</v>
      </c>
      <c r="M28" s="68">
        <f>20000+3000</f>
        <v>23000</v>
      </c>
      <c r="N28" s="8">
        <f>+M28*L28</f>
        <v>92000</v>
      </c>
      <c r="Q28" s="5">
        <f>+N28</f>
        <v>92000</v>
      </c>
      <c r="R28" s="18">
        <v>5.26</v>
      </c>
      <c r="S28" s="7" t="s">
        <v>394</v>
      </c>
    </row>
    <row r="29" spans="2:19" ht="24" customHeight="1" x14ac:dyDescent="0.4">
      <c r="B29" s="8" t="s">
        <v>26</v>
      </c>
      <c r="C29" s="8">
        <v>5.24</v>
      </c>
      <c r="D29" s="16" t="s">
        <v>28</v>
      </c>
      <c r="F29" s="8" t="s">
        <v>2368</v>
      </c>
      <c r="G29" s="5" t="s">
        <v>839</v>
      </c>
      <c r="H29" s="4">
        <v>148</v>
      </c>
      <c r="I29" s="4" t="s">
        <v>123</v>
      </c>
      <c r="J29" s="4">
        <v>4.2699999999999996</v>
      </c>
      <c r="K29" s="4" t="s">
        <v>2637</v>
      </c>
      <c r="L29" s="5">
        <v>5</v>
      </c>
      <c r="M29" s="68">
        <f>12000+3000</f>
        <v>15000</v>
      </c>
      <c r="N29" s="8">
        <f>+M29*L29</f>
        <v>75000</v>
      </c>
      <c r="Q29" s="5">
        <f>+N29</f>
        <v>75000</v>
      </c>
      <c r="R29" s="18">
        <v>5.3</v>
      </c>
      <c r="S29" s="7" t="s">
        <v>117</v>
      </c>
    </row>
    <row r="30" spans="2:19" ht="24" customHeight="1" x14ac:dyDescent="0.4">
      <c r="B30" s="8" t="s">
        <v>26</v>
      </c>
      <c r="C30" s="8">
        <v>5.24</v>
      </c>
      <c r="D30" s="16" t="s">
        <v>28</v>
      </c>
      <c r="F30" s="8" t="s">
        <v>2368</v>
      </c>
      <c r="G30" s="5" t="s">
        <v>926</v>
      </c>
      <c r="H30" s="4">
        <v>540</v>
      </c>
      <c r="I30" s="4" t="s">
        <v>943</v>
      </c>
      <c r="J30" s="4">
        <v>3.29</v>
      </c>
      <c r="K30" s="4" t="s">
        <v>658</v>
      </c>
      <c r="L30" s="5">
        <v>1</v>
      </c>
      <c r="M30" s="68">
        <v>23000</v>
      </c>
      <c r="N30" s="8">
        <f>+M30*L30</f>
        <v>23000</v>
      </c>
      <c r="Q30" s="5">
        <f>+N30</f>
        <v>23000</v>
      </c>
      <c r="R30" s="18">
        <v>5.3</v>
      </c>
      <c r="S30" s="7" t="s">
        <v>416</v>
      </c>
    </row>
    <row r="31" spans="2:19" ht="24" customHeight="1" x14ac:dyDescent="0.4">
      <c r="B31" s="8" t="s">
        <v>26</v>
      </c>
      <c r="C31" s="8">
        <v>5.24</v>
      </c>
      <c r="D31" s="16" t="s">
        <v>28</v>
      </c>
      <c r="F31" s="8" t="s">
        <v>2368</v>
      </c>
      <c r="G31" s="5" t="s">
        <v>926</v>
      </c>
      <c r="H31" s="4">
        <v>540</v>
      </c>
      <c r="I31" s="4" t="s">
        <v>943</v>
      </c>
      <c r="J31" s="4">
        <v>3.29</v>
      </c>
      <c r="K31" s="4" t="s">
        <v>659</v>
      </c>
      <c r="L31" s="5">
        <v>1</v>
      </c>
      <c r="M31" s="68">
        <v>27000</v>
      </c>
      <c r="N31" s="8">
        <f>+M31*L31</f>
        <v>27000</v>
      </c>
      <c r="Q31" s="5">
        <f>+N31</f>
        <v>27000</v>
      </c>
      <c r="R31" s="18">
        <v>5.3</v>
      </c>
      <c r="S31" s="7" t="s">
        <v>416</v>
      </c>
    </row>
    <row r="32" spans="2:19" ht="24" customHeight="1" x14ac:dyDescent="0.4">
      <c r="B32" s="8" t="s">
        <v>26</v>
      </c>
      <c r="C32" s="8">
        <v>5.24</v>
      </c>
      <c r="D32" s="16" t="s">
        <v>28</v>
      </c>
      <c r="F32" s="8" t="s">
        <v>2368</v>
      </c>
      <c r="G32" s="5" t="s">
        <v>926</v>
      </c>
      <c r="H32" s="4">
        <v>540</v>
      </c>
      <c r="I32" s="4" t="s">
        <v>943</v>
      </c>
      <c r="J32" s="4">
        <v>4.2</v>
      </c>
      <c r="K32" s="4" t="s">
        <v>2638</v>
      </c>
      <c r="L32" s="5">
        <v>2</v>
      </c>
      <c r="M32" s="68">
        <f>12000+3000</f>
        <v>15000</v>
      </c>
      <c r="N32" s="8">
        <f>+M32*L32</f>
        <v>30000</v>
      </c>
      <c r="Q32" s="5">
        <f>+N32</f>
        <v>30000</v>
      </c>
      <c r="R32" s="18">
        <v>5.3</v>
      </c>
      <c r="S32" s="7" t="s">
        <v>416</v>
      </c>
    </row>
    <row r="33" spans="2:19" ht="24" customHeight="1" x14ac:dyDescent="0.4">
      <c r="B33" s="8" t="s">
        <v>26</v>
      </c>
      <c r="C33" s="8">
        <v>5.24</v>
      </c>
      <c r="D33" s="16" t="s">
        <v>28</v>
      </c>
      <c r="F33" s="8" t="s">
        <v>2368</v>
      </c>
      <c r="G33" s="5" t="s">
        <v>919</v>
      </c>
      <c r="H33" s="4">
        <v>532</v>
      </c>
      <c r="I33" s="4" t="s">
        <v>744</v>
      </c>
      <c r="J33" s="4">
        <v>4.3</v>
      </c>
      <c r="K33" s="4" t="s">
        <v>2639</v>
      </c>
      <c r="L33" s="5">
        <v>4</v>
      </c>
      <c r="M33" s="68">
        <f>12000+3000</f>
        <v>15000</v>
      </c>
      <c r="N33" s="8">
        <f>+M33*L33</f>
        <v>60000</v>
      </c>
      <c r="Q33" s="5">
        <f>+N33</f>
        <v>60000</v>
      </c>
      <c r="R33" s="18">
        <v>5.3</v>
      </c>
      <c r="S33" s="7" t="s">
        <v>131</v>
      </c>
    </row>
    <row r="34" spans="2:19" ht="24" customHeight="1" x14ac:dyDescent="0.4">
      <c r="B34" s="8" t="s">
        <v>26</v>
      </c>
      <c r="C34" s="8">
        <v>5.24</v>
      </c>
      <c r="D34" s="15" t="s">
        <v>23</v>
      </c>
      <c r="F34" s="8" t="s">
        <v>2368</v>
      </c>
      <c r="G34" s="5" t="s">
        <v>988</v>
      </c>
      <c r="H34" s="4">
        <v>1870</v>
      </c>
      <c r="I34" s="4" t="s">
        <v>739</v>
      </c>
      <c r="J34" s="4">
        <v>5.04</v>
      </c>
      <c r="K34" s="126" t="s">
        <v>2640</v>
      </c>
      <c r="L34" s="5">
        <v>1</v>
      </c>
      <c r="M34" s="68">
        <v>20000</v>
      </c>
      <c r="N34" s="8">
        <f>+M34*L34</f>
        <v>20000</v>
      </c>
      <c r="O34" s="5">
        <f>+N34/1.1</f>
        <v>18181.81818181818</v>
      </c>
      <c r="P34" s="5">
        <f>+N34-O34</f>
        <v>1818.1818181818198</v>
      </c>
      <c r="Q34" s="5">
        <f>+N34</f>
        <v>20000</v>
      </c>
      <c r="R34" s="18">
        <v>5.27</v>
      </c>
      <c r="S34" s="4" t="s">
        <v>470</v>
      </c>
    </row>
    <row r="35" spans="2:19" ht="24" customHeight="1" x14ac:dyDescent="0.4">
      <c r="B35" s="8" t="s">
        <v>26</v>
      </c>
      <c r="C35" s="8">
        <v>5.24</v>
      </c>
      <c r="D35" s="15" t="s">
        <v>23</v>
      </c>
      <c r="F35" s="8" t="s">
        <v>2368</v>
      </c>
      <c r="G35" s="5" t="s">
        <v>988</v>
      </c>
      <c r="H35" s="4">
        <v>1870</v>
      </c>
      <c r="I35" s="4" t="s">
        <v>739</v>
      </c>
      <c r="J35" s="4">
        <v>5.04</v>
      </c>
      <c r="K35" s="126" t="s">
        <v>2641</v>
      </c>
      <c r="L35" s="5">
        <v>1</v>
      </c>
      <c r="M35" s="68">
        <v>20000</v>
      </c>
      <c r="N35" s="8">
        <f>+M35*L35</f>
        <v>20000</v>
      </c>
      <c r="O35" s="5">
        <f>+N35/1.1</f>
        <v>18181.81818181818</v>
      </c>
      <c r="P35" s="5">
        <f>+N35-O35</f>
        <v>1818.1818181818198</v>
      </c>
      <c r="Q35" s="5">
        <f>+N35</f>
        <v>20000</v>
      </c>
      <c r="R35" s="18">
        <v>5.27</v>
      </c>
      <c r="S35" s="4" t="s">
        <v>470</v>
      </c>
    </row>
    <row r="36" spans="2:19" ht="24" customHeight="1" x14ac:dyDescent="0.4">
      <c r="B36" s="8" t="s">
        <v>26</v>
      </c>
      <c r="C36" s="8">
        <v>5.24</v>
      </c>
      <c r="D36" s="16" t="s">
        <v>28</v>
      </c>
      <c r="F36" s="8" t="s">
        <v>2368</v>
      </c>
      <c r="G36" s="5" t="s">
        <v>1917</v>
      </c>
      <c r="H36" s="4">
        <v>1025</v>
      </c>
      <c r="I36" s="4" t="s">
        <v>1918</v>
      </c>
      <c r="J36" s="4">
        <v>5.04</v>
      </c>
      <c r="K36" s="4" t="s">
        <v>724</v>
      </c>
      <c r="L36" s="5">
        <v>1</v>
      </c>
      <c r="M36" s="68">
        <f>12000+3000</f>
        <v>15000</v>
      </c>
      <c r="N36" s="8">
        <f>+M36*L36</f>
        <v>15000</v>
      </c>
      <c r="Q36" s="5">
        <f>+N36</f>
        <v>15000</v>
      </c>
      <c r="R36" s="18">
        <v>5.26</v>
      </c>
      <c r="S36" s="7" t="s">
        <v>322</v>
      </c>
    </row>
    <row r="37" spans="2:19" ht="24" customHeight="1" x14ac:dyDescent="0.4">
      <c r="B37" s="8" t="s">
        <v>26</v>
      </c>
      <c r="C37" s="8">
        <v>5.24</v>
      </c>
      <c r="D37" s="16" t="s">
        <v>28</v>
      </c>
      <c r="F37" s="4" t="s">
        <v>2368</v>
      </c>
      <c r="G37" s="5" t="s">
        <v>2608</v>
      </c>
      <c r="H37" s="4">
        <v>389</v>
      </c>
      <c r="I37" s="4" t="s">
        <v>726</v>
      </c>
      <c r="J37" s="4">
        <v>5.09</v>
      </c>
      <c r="K37" s="4" t="s">
        <v>592</v>
      </c>
      <c r="L37" s="5">
        <v>5</v>
      </c>
      <c r="M37" s="68">
        <v>10000</v>
      </c>
      <c r="N37" s="8">
        <f>+M37*L37</f>
        <v>50000</v>
      </c>
      <c r="Q37" s="5">
        <f>+N37</f>
        <v>50000</v>
      </c>
      <c r="R37" s="18">
        <v>5.27</v>
      </c>
      <c r="S37" s="4" t="s">
        <v>685</v>
      </c>
    </row>
    <row r="38" spans="2:19" ht="24" customHeight="1" x14ac:dyDescent="0.4">
      <c r="B38" s="8" t="s">
        <v>26</v>
      </c>
      <c r="C38" s="8">
        <v>5.24</v>
      </c>
      <c r="D38" s="15" t="s">
        <v>23</v>
      </c>
      <c r="F38" s="8" t="s">
        <v>2368</v>
      </c>
      <c r="G38" s="5" t="s">
        <v>2120</v>
      </c>
      <c r="H38" s="4">
        <v>930</v>
      </c>
      <c r="I38" s="4" t="s">
        <v>740</v>
      </c>
      <c r="J38" s="4">
        <v>5.19</v>
      </c>
      <c r="K38" s="4" t="s">
        <v>750</v>
      </c>
      <c r="L38" s="5">
        <v>3</v>
      </c>
      <c r="M38" s="71">
        <f>5000+4000</f>
        <v>9000</v>
      </c>
      <c r="N38" s="8">
        <f>+M38*L38</f>
        <v>27000</v>
      </c>
      <c r="O38" s="5">
        <f>+N38/1.1</f>
        <v>24545.454545454544</v>
      </c>
      <c r="P38" s="5">
        <f>+N38-O38</f>
        <v>2454.5454545454559</v>
      </c>
      <c r="Q38" s="5">
        <f>+N38</f>
        <v>27000</v>
      </c>
      <c r="R38" s="18">
        <v>5.26</v>
      </c>
      <c r="S38" s="7" t="s">
        <v>394</v>
      </c>
    </row>
    <row r="39" spans="2:19" ht="23.25" customHeight="1" x14ac:dyDescent="0.4">
      <c r="B39" s="8" t="s">
        <v>26</v>
      </c>
      <c r="C39" s="8">
        <v>5.24</v>
      </c>
      <c r="D39" s="15" t="s">
        <v>23</v>
      </c>
      <c r="F39" s="8" t="s">
        <v>2368</v>
      </c>
      <c r="G39" s="5" t="s">
        <v>2120</v>
      </c>
      <c r="H39" s="4">
        <v>930</v>
      </c>
      <c r="I39" s="4" t="s">
        <v>740</v>
      </c>
      <c r="J39" s="4">
        <v>5.19</v>
      </c>
      <c r="K39" s="4" t="s">
        <v>751</v>
      </c>
      <c r="L39" s="5">
        <v>18</v>
      </c>
      <c r="M39" s="71">
        <f>5500+4000</f>
        <v>9500</v>
      </c>
      <c r="N39" s="8">
        <f>+M39*L39</f>
        <v>171000</v>
      </c>
      <c r="O39" s="5">
        <f>+N39/1.1</f>
        <v>155454.54545454544</v>
      </c>
      <c r="P39" s="5">
        <f>+N39-O39</f>
        <v>15545.454545454559</v>
      </c>
      <c r="Q39" s="5">
        <f>+N39</f>
        <v>171000</v>
      </c>
      <c r="R39" s="18">
        <v>5.26</v>
      </c>
      <c r="S39" s="7" t="s">
        <v>394</v>
      </c>
    </row>
    <row r="40" spans="2:19" ht="24" customHeight="1" x14ac:dyDescent="0.4">
      <c r="B40" s="8" t="s">
        <v>26</v>
      </c>
      <c r="C40" s="8">
        <v>5.24</v>
      </c>
      <c r="D40" s="15" t="s">
        <v>23</v>
      </c>
      <c r="F40" s="4" t="s">
        <v>1559</v>
      </c>
      <c r="G40" s="5" t="s">
        <v>2642</v>
      </c>
      <c r="H40" s="4">
        <v>775</v>
      </c>
      <c r="I40" s="4" t="s">
        <v>757</v>
      </c>
      <c r="J40" s="4">
        <v>5.0999999999999996</v>
      </c>
      <c r="K40" s="4" t="s">
        <v>198</v>
      </c>
      <c r="L40" s="5">
        <v>10</v>
      </c>
      <c r="M40" s="68">
        <v>10000</v>
      </c>
      <c r="N40" s="8">
        <f>+M40*L40</f>
        <v>100000</v>
      </c>
      <c r="O40" s="5">
        <f>+N40/1.1</f>
        <v>90909.090909090897</v>
      </c>
      <c r="P40" s="5">
        <f>+N40-O40</f>
        <v>9090.9090909091028</v>
      </c>
      <c r="Q40" s="5">
        <f>+N40</f>
        <v>100000</v>
      </c>
      <c r="R40" s="18">
        <v>5.3</v>
      </c>
      <c r="S40" s="7" t="s">
        <v>202</v>
      </c>
    </row>
    <row r="41" spans="2:19" ht="24" customHeight="1" x14ac:dyDescent="0.4">
      <c r="B41" s="8" t="s">
        <v>26</v>
      </c>
      <c r="C41" s="8">
        <v>5.25</v>
      </c>
      <c r="D41" s="16" t="s">
        <v>28</v>
      </c>
      <c r="F41" s="8" t="s">
        <v>2368</v>
      </c>
      <c r="G41" s="5" t="s">
        <v>2436</v>
      </c>
      <c r="H41" s="4">
        <v>729</v>
      </c>
      <c r="I41" s="5" t="s">
        <v>746</v>
      </c>
      <c r="J41" s="4">
        <v>5.17</v>
      </c>
      <c r="K41" s="4" t="s">
        <v>747</v>
      </c>
      <c r="L41" s="5">
        <v>60</v>
      </c>
      <c r="M41" s="68">
        <v>5000</v>
      </c>
      <c r="N41" s="8">
        <f>+M41*L41</f>
        <v>300000</v>
      </c>
      <c r="Q41" s="5">
        <f>+N41</f>
        <v>300000</v>
      </c>
      <c r="R41" s="18">
        <v>5.31</v>
      </c>
      <c r="S41" s="4" t="s">
        <v>110</v>
      </c>
    </row>
    <row r="42" spans="2:19" ht="24" customHeight="1" x14ac:dyDescent="0.4">
      <c r="B42" s="8" t="s">
        <v>26</v>
      </c>
      <c r="C42" s="8">
        <v>5.25</v>
      </c>
      <c r="D42" s="15" t="s">
        <v>23</v>
      </c>
      <c r="F42" s="4" t="s">
        <v>1559</v>
      </c>
      <c r="G42" s="5" t="s">
        <v>2643</v>
      </c>
      <c r="H42" s="4">
        <v>709</v>
      </c>
      <c r="I42" s="4" t="s">
        <v>758</v>
      </c>
      <c r="J42" s="4">
        <v>5.0999999999999996</v>
      </c>
      <c r="K42" s="4" t="s">
        <v>198</v>
      </c>
      <c r="L42" s="5">
        <v>10</v>
      </c>
      <c r="M42" s="68">
        <v>10000</v>
      </c>
      <c r="N42" s="8">
        <f>+M42*L42</f>
        <v>100000</v>
      </c>
      <c r="O42" s="5">
        <f>+N42/1.1</f>
        <v>90909.090909090897</v>
      </c>
      <c r="P42" s="5">
        <f>+N42-O42</f>
        <v>9090.9090909091028</v>
      </c>
      <c r="Q42" s="5">
        <f>+N42</f>
        <v>100000</v>
      </c>
      <c r="R42" s="18">
        <v>5</v>
      </c>
      <c r="S42" s="4" t="s">
        <v>759</v>
      </c>
    </row>
    <row r="43" spans="2:19" ht="24" customHeight="1" x14ac:dyDescent="0.4">
      <c r="B43" s="8" t="s">
        <v>26</v>
      </c>
      <c r="C43" s="8">
        <v>5.25</v>
      </c>
      <c r="D43" s="15" t="s">
        <v>23</v>
      </c>
      <c r="F43" s="4" t="s">
        <v>1559</v>
      </c>
      <c r="G43" s="5" t="s">
        <v>2644</v>
      </c>
      <c r="H43" s="4">
        <v>863</v>
      </c>
      <c r="I43" s="4" t="s">
        <v>760</v>
      </c>
      <c r="J43" s="4">
        <v>5.0999999999999996</v>
      </c>
      <c r="K43" s="4" t="s">
        <v>198</v>
      </c>
      <c r="L43" s="5">
        <v>10</v>
      </c>
      <c r="M43" s="68">
        <v>10000</v>
      </c>
      <c r="N43" s="8">
        <f>+M43*L43</f>
        <v>100000</v>
      </c>
      <c r="O43" s="5">
        <f>+N43/1.1</f>
        <v>90909.090909090897</v>
      </c>
      <c r="P43" s="5">
        <f>+N43-O43</f>
        <v>9090.9090909091028</v>
      </c>
      <c r="Q43" s="5">
        <f>+N43</f>
        <v>100000</v>
      </c>
      <c r="R43" s="18">
        <v>5.31</v>
      </c>
      <c r="S43" s="4" t="s">
        <v>761</v>
      </c>
    </row>
    <row r="44" spans="2:19" ht="24" customHeight="1" x14ac:dyDescent="0.4">
      <c r="B44" s="8" t="s">
        <v>26</v>
      </c>
      <c r="C44" s="8">
        <v>5.27</v>
      </c>
      <c r="D44" s="15" t="s">
        <v>23</v>
      </c>
      <c r="F44" s="8" t="s">
        <v>2368</v>
      </c>
      <c r="G44" s="5" t="s">
        <v>988</v>
      </c>
      <c r="H44" s="4">
        <v>1870</v>
      </c>
      <c r="I44" s="4" t="s">
        <v>739</v>
      </c>
      <c r="J44" s="4">
        <v>5.04</v>
      </c>
      <c r="K44" s="5" t="s">
        <v>304</v>
      </c>
      <c r="L44" s="5">
        <v>20</v>
      </c>
      <c r="M44" s="68">
        <v>6000</v>
      </c>
      <c r="N44" s="8">
        <f>+M44*L44</f>
        <v>120000</v>
      </c>
      <c r="O44" s="5">
        <f>+N44/1.1</f>
        <v>109090.90909090909</v>
      </c>
      <c r="P44" s="5">
        <f>+N44-O44</f>
        <v>10909.090909090912</v>
      </c>
      <c r="Q44" s="5">
        <f>+N44</f>
        <v>120000</v>
      </c>
      <c r="R44" s="18">
        <v>5.31</v>
      </c>
      <c r="S44" s="4" t="s">
        <v>470</v>
      </c>
    </row>
    <row r="45" spans="2:19" ht="24" customHeight="1" x14ac:dyDescent="0.4">
      <c r="B45" s="8" t="s">
        <v>26</v>
      </c>
      <c r="C45" s="8">
        <v>6.03</v>
      </c>
      <c r="D45" s="16" t="s">
        <v>28</v>
      </c>
      <c r="F45" s="8" t="s">
        <v>1559</v>
      </c>
      <c r="G45" s="5" t="s">
        <v>2499</v>
      </c>
      <c r="H45" s="4">
        <v>782</v>
      </c>
      <c r="I45" s="4" t="s">
        <v>730</v>
      </c>
      <c r="J45" s="4">
        <v>5.0999999999999996</v>
      </c>
      <c r="K45" s="4" t="s">
        <v>649</v>
      </c>
      <c r="L45" s="5">
        <v>12</v>
      </c>
      <c r="M45" s="68">
        <v>6000</v>
      </c>
      <c r="N45" s="8">
        <f>+M45*L45</f>
        <v>72000</v>
      </c>
      <c r="Q45" s="5">
        <f>+N45</f>
        <v>72000</v>
      </c>
      <c r="R45" s="18" t="s">
        <v>2394</v>
      </c>
      <c r="S45" s="4" t="s">
        <v>199</v>
      </c>
    </row>
    <row r="46" spans="2:19" ht="24" customHeight="1" x14ac:dyDescent="0.4">
      <c r="B46" s="8" t="s">
        <v>26</v>
      </c>
      <c r="C46" s="8">
        <v>6.03</v>
      </c>
      <c r="D46" s="16" t="s">
        <v>28</v>
      </c>
      <c r="F46" s="8" t="s">
        <v>1559</v>
      </c>
      <c r="G46" s="5" t="s">
        <v>2499</v>
      </c>
      <c r="H46" s="4">
        <v>782</v>
      </c>
      <c r="I46" s="4" t="s">
        <v>730</v>
      </c>
      <c r="J46" s="4">
        <v>5.17</v>
      </c>
      <c r="K46" s="4" t="s">
        <v>747</v>
      </c>
      <c r="L46" s="5">
        <v>40</v>
      </c>
      <c r="M46" s="68">
        <v>5000</v>
      </c>
      <c r="N46" s="8">
        <f>+M46*L46</f>
        <v>200000</v>
      </c>
      <c r="Q46" s="5">
        <f>+N46</f>
        <v>200000</v>
      </c>
      <c r="R46" s="18" t="s">
        <v>2394</v>
      </c>
      <c r="S46" s="4" t="s">
        <v>199</v>
      </c>
    </row>
    <row r="47" spans="2:19" ht="24" customHeight="1" x14ac:dyDescent="0.4">
      <c r="B47" s="8" t="s">
        <v>26</v>
      </c>
      <c r="C47" s="8">
        <v>6.03</v>
      </c>
      <c r="D47" s="16" t="s">
        <v>28</v>
      </c>
      <c r="F47" s="8" t="s">
        <v>1559</v>
      </c>
      <c r="G47" s="5" t="s">
        <v>2499</v>
      </c>
      <c r="H47" s="4">
        <v>782</v>
      </c>
      <c r="I47" s="4" t="s">
        <v>730</v>
      </c>
      <c r="J47" s="4">
        <v>5.2</v>
      </c>
      <c r="K47" s="4" t="s">
        <v>649</v>
      </c>
      <c r="L47" s="5">
        <v>51</v>
      </c>
      <c r="M47" s="68">
        <v>6000</v>
      </c>
      <c r="N47" s="8">
        <f>+M47*L47</f>
        <v>306000</v>
      </c>
      <c r="Q47" s="5">
        <f>+N47</f>
        <v>306000</v>
      </c>
      <c r="R47" s="18" t="s">
        <v>2394</v>
      </c>
      <c r="S47" s="4" t="s">
        <v>199</v>
      </c>
    </row>
    <row r="48" spans="2:19" ht="24" customHeight="1" x14ac:dyDescent="0.4">
      <c r="B48" s="7" t="s">
        <v>733</v>
      </c>
      <c r="C48" s="8">
        <v>6.03</v>
      </c>
      <c r="D48" s="16" t="s">
        <v>28</v>
      </c>
      <c r="F48" s="4" t="s">
        <v>1559</v>
      </c>
      <c r="G48" s="5" t="s">
        <v>2645</v>
      </c>
      <c r="H48" s="4">
        <v>1338</v>
      </c>
      <c r="I48" s="4" t="s">
        <v>782</v>
      </c>
      <c r="J48" s="4">
        <v>5.1100000000000003</v>
      </c>
      <c r="K48" s="4" t="s">
        <v>440</v>
      </c>
      <c r="L48" s="5">
        <v>8</v>
      </c>
      <c r="M48" s="69">
        <f>60000-10000</f>
        <v>50000</v>
      </c>
      <c r="N48" s="8">
        <f>+M48*L48</f>
        <v>400000</v>
      </c>
      <c r="Q48" s="5">
        <f>+N48</f>
        <v>400000</v>
      </c>
      <c r="R48" s="18" t="s">
        <v>24</v>
      </c>
      <c r="S48" s="83" t="s">
        <v>734</v>
      </c>
    </row>
    <row r="49" spans="2:19" ht="24" customHeight="1" x14ac:dyDescent="0.4">
      <c r="B49" s="7" t="s">
        <v>733</v>
      </c>
      <c r="C49" s="8">
        <v>6.03</v>
      </c>
      <c r="D49" s="16" t="s">
        <v>28</v>
      </c>
      <c r="F49" s="4" t="s">
        <v>1559</v>
      </c>
      <c r="G49" s="5" t="s">
        <v>2646</v>
      </c>
      <c r="H49" s="4">
        <v>1338</v>
      </c>
      <c r="I49" s="4" t="s">
        <v>784</v>
      </c>
      <c r="J49" s="4">
        <v>5.1100000000000003</v>
      </c>
      <c r="K49" s="4" t="s">
        <v>440</v>
      </c>
      <c r="L49" s="5">
        <v>16</v>
      </c>
      <c r="M49" s="69">
        <f>60000-10000</f>
        <v>50000</v>
      </c>
      <c r="N49" s="8">
        <f>+M49*L49</f>
        <v>800000</v>
      </c>
      <c r="Q49" s="5">
        <f>+N49</f>
        <v>800000</v>
      </c>
      <c r="R49" s="18" t="s">
        <v>24</v>
      </c>
      <c r="S49" s="83" t="s">
        <v>734</v>
      </c>
    </row>
    <row r="50" spans="2:19" ht="24" customHeight="1" x14ac:dyDescent="0.4">
      <c r="B50" s="7" t="s">
        <v>733</v>
      </c>
      <c r="C50" s="8">
        <v>6.03</v>
      </c>
      <c r="D50" s="16" t="s">
        <v>28</v>
      </c>
      <c r="F50" s="4" t="s">
        <v>1559</v>
      </c>
      <c r="G50" s="5" t="s">
        <v>2647</v>
      </c>
      <c r="H50" s="4">
        <v>1338</v>
      </c>
      <c r="I50" s="4" t="s">
        <v>2535</v>
      </c>
      <c r="J50" s="4">
        <v>5.1100000000000003</v>
      </c>
      <c r="K50" s="4" t="s">
        <v>440</v>
      </c>
      <c r="L50" s="5">
        <v>14</v>
      </c>
      <c r="M50" s="69">
        <f>60000-10000</f>
        <v>50000</v>
      </c>
      <c r="N50" s="8">
        <f>+M50*L50</f>
        <v>700000</v>
      </c>
      <c r="Q50" s="5">
        <f>+N50</f>
        <v>700000</v>
      </c>
      <c r="R50" s="18" t="s">
        <v>24</v>
      </c>
      <c r="S50" s="83" t="s">
        <v>734</v>
      </c>
    </row>
    <row r="51" spans="2:19" ht="24" customHeight="1" x14ac:dyDescent="0.4">
      <c r="B51" s="7" t="s">
        <v>733</v>
      </c>
      <c r="C51" s="8">
        <v>6.03</v>
      </c>
      <c r="D51" s="16" t="s">
        <v>28</v>
      </c>
      <c r="F51" s="4" t="s">
        <v>1559</v>
      </c>
      <c r="G51" s="5" t="s">
        <v>2648</v>
      </c>
      <c r="H51" s="4">
        <v>1338</v>
      </c>
      <c r="I51" s="4" t="s">
        <v>788</v>
      </c>
      <c r="J51" s="4">
        <v>5.1100000000000003</v>
      </c>
      <c r="K51" s="4" t="s">
        <v>440</v>
      </c>
      <c r="L51" s="5">
        <v>10</v>
      </c>
      <c r="M51" s="69">
        <f>60000-10000</f>
        <v>50000</v>
      </c>
      <c r="N51" s="8">
        <f>+M51*L51</f>
        <v>500000</v>
      </c>
      <c r="Q51" s="5">
        <f>+N51</f>
        <v>500000</v>
      </c>
      <c r="R51" s="18" t="s">
        <v>24</v>
      </c>
      <c r="S51" s="83" t="s">
        <v>734</v>
      </c>
    </row>
    <row r="52" spans="2:19" ht="24" customHeight="1" x14ac:dyDescent="0.4">
      <c r="B52" s="7" t="s">
        <v>733</v>
      </c>
      <c r="C52" s="8">
        <v>6.03</v>
      </c>
      <c r="D52" s="16" t="s">
        <v>28</v>
      </c>
      <c r="F52" s="4" t="s">
        <v>1559</v>
      </c>
      <c r="G52" s="5" t="s">
        <v>2649</v>
      </c>
      <c r="H52" s="4">
        <v>1338</v>
      </c>
      <c r="I52" s="4" t="s">
        <v>790</v>
      </c>
      <c r="J52" s="4">
        <v>5.1100000000000003</v>
      </c>
      <c r="K52" s="4" t="s">
        <v>440</v>
      </c>
      <c r="L52" s="5">
        <v>6</v>
      </c>
      <c r="M52" s="69">
        <f>60000-10000</f>
        <v>50000</v>
      </c>
      <c r="N52" s="8">
        <f>+M52*L52</f>
        <v>300000</v>
      </c>
      <c r="Q52" s="5">
        <f>+N52</f>
        <v>300000</v>
      </c>
      <c r="R52" s="18" t="s">
        <v>24</v>
      </c>
      <c r="S52" s="83" t="s">
        <v>734</v>
      </c>
    </row>
    <row r="53" spans="2:19" ht="24" customHeight="1" x14ac:dyDescent="0.4">
      <c r="B53" s="7" t="s">
        <v>733</v>
      </c>
      <c r="C53" s="8">
        <v>6.03</v>
      </c>
      <c r="D53" s="16" t="s">
        <v>28</v>
      </c>
      <c r="F53" s="4" t="s">
        <v>1559</v>
      </c>
      <c r="G53" s="5" t="s">
        <v>2650</v>
      </c>
      <c r="H53" s="4">
        <v>1338</v>
      </c>
      <c r="I53" s="4" t="s">
        <v>792</v>
      </c>
      <c r="J53" s="4">
        <v>5.1100000000000003</v>
      </c>
      <c r="K53" s="4" t="s">
        <v>440</v>
      </c>
      <c r="L53" s="5">
        <v>12</v>
      </c>
      <c r="M53" s="69">
        <f>60000-10000</f>
        <v>50000</v>
      </c>
      <c r="N53" s="8">
        <f>+M53*L53</f>
        <v>600000</v>
      </c>
      <c r="Q53" s="5">
        <f>+N53</f>
        <v>600000</v>
      </c>
      <c r="R53" s="18" t="s">
        <v>24</v>
      </c>
      <c r="S53" s="83" t="s">
        <v>734</v>
      </c>
    </row>
    <row r="54" spans="2:19" ht="24" customHeight="1" x14ac:dyDescent="0.4">
      <c r="B54" s="7" t="s">
        <v>733</v>
      </c>
      <c r="C54" s="8">
        <v>6.03</v>
      </c>
      <c r="D54" s="16" t="s">
        <v>28</v>
      </c>
      <c r="F54" s="4" t="s">
        <v>1559</v>
      </c>
      <c r="G54" s="5" t="s">
        <v>2651</v>
      </c>
      <c r="H54" s="4">
        <v>1338</v>
      </c>
      <c r="I54" s="4" t="s">
        <v>797</v>
      </c>
      <c r="J54" s="4">
        <v>5.1100000000000003</v>
      </c>
      <c r="K54" s="4" t="s">
        <v>440</v>
      </c>
      <c r="L54" s="5">
        <v>14</v>
      </c>
      <c r="M54" s="69">
        <f>60000-10000</f>
        <v>50000</v>
      </c>
      <c r="N54" s="8">
        <f>+M54*L54</f>
        <v>700000</v>
      </c>
      <c r="Q54" s="5">
        <f>+N54</f>
        <v>700000</v>
      </c>
      <c r="R54" s="18" t="s">
        <v>24</v>
      </c>
      <c r="S54" s="83" t="s">
        <v>734</v>
      </c>
    </row>
    <row r="55" spans="2:19" ht="24" customHeight="1" x14ac:dyDescent="0.4">
      <c r="B55" s="8" t="s">
        <v>26</v>
      </c>
      <c r="C55" s="8">
        <v>6.03</v>
      </c>
      <c r="D55" s="16" t="s">
        <v>28</v>
      </c>
      <c r="F55" s="8" t="s">
        <v>1559</v>
      </c>
      <c r="G55" s="5" t="s">
        <v>2499</v>
      </c>
      <c r="H55" s="4">
        <v>782</v>
      </c>
      <c r="I55" s="4" t="s">
        <v>730</v>
      </c>
      <c r="J55" s="4">
        <v>5.31</v>
      </c>
      <c r="K55" s="4" t="s">
        <v>747</v>
      </c>
      <c r="L55" s="5">
        <v>39</v>
      </c>
      <c r="M55" s="68">
        <v>5000</v>
      </c>
      <c r="N55" s="8">
        <f>+M55*L55</f>
        <v>195000</v>
      </c>
      <c r="Q55" s="5">
        <f>+N55</f>
        <v>195000</v>
      </c>
      <c r="R55" s="18" t="s">
        <v>2394</v>
      </c>
      <c r="S55" s="4" t="s">
        <v>199</v>
      </c>
    </row>
    <row r="56" spans="2:19" ht="24" customHeight="1" x14ac:dyDescent="0.4">
      <c r="B56" s="7" t="s">
        <v>639</v>
      </c>
      <c r="C56" s="8" t="s">
        <v>27</v>
      </c>
      <c r="D56" s="16" t="s">
        <v>28</v>
      </c>
      <c r="G56" s="5" t="s">
        <v>2652</v>
      </c>
      <c r="H56" s="4">
        <v>786</v>
      </c>
      <c r="I56" s="4" t="s">
        <v>639</v>
      </c>
      <c r="J56" s="4">
        <v>5.24</v>
      </c>
      <c r="K56" s="4" t="s">
        <v>641</v>
      </c>
      <c r="L56" s="5">
        <v>25</v>
      </c>
      <c r="M56" s="68">
        <v>6000</v>
      </c>
      <c r="N56" s="8">
        <f>+M56*L56</f>
        <v>150000</v>
      </c>
      <c r="Q56" s="5">
        <f>+N56</f>
        <v>150000</v>
      </c>
      <c r="R56" s="121" t="s">
        <v>2652</v>
      </c>
      <c r="S56" s="4" t="s">
        <v>446</v>
      </c>
    </row>
    <row r="57" spans="2:19" ht="24" customHeight="1" x14ac:dyDescent="0.4">
      <c r="B57" s="7" t="s">
        <v>639</v>
      </c>
      <c r="C57" s="8" t="s">
        <v>27</v>
      </c>
      <c r="D57" s="15" t="s">
        <v>23</v>
      </c>
      <c r="G57" s="5" t="s">
        <v>2652</v>
      </c>
      <c r="H57" s="4">
        <v>786</v>
      </c>
      <c r="I57" s="4" t="s">
        <v>639</v>
      </c>
      <c r="J57" s="4">
        <v>5.24</v>
      </c>
      <c r="K57" s="4" t="s">
        <v>538</v>
      </c>
      <c r="L57" s="5">
        <v>25</v>
      </c>
      <c r="M57" s="68">
        <v>6000</v>
      </c>
      <c r="N57" s="8">
        <f>+M57*L57</f>
        <v>150000</v>
      </c>
      <c r="O57" s="5">
        <f>+N57/1.1</f>
        <v>136363.63636363635</v>
      </c>
      <c r="P57" s="5">
        <f>+N57-O57</f>
        <v>13636.363636363647</v>
      </c>
      <c r="Q57" s="5">
        <f>+N57</f>
        <v>150000</v>
      </c>
      <c r="R57" s="121" t="s">
        <v>2652</v>
      </c>
      <c r="S57" s="4" t="s">
        <v>446</v>
      </c>
    </row>
    <row r="58" spans="2:19" ht="24" customHeight="1" x14ac:dyDescent="0.4">
      <c r="B58" s="7" t="s">
        <v>733</v>
      </c>
      <c r="C58" s="8" t="s">
        <v>27</v>
      </c>
      <c r="D58" s="16" t="s">
        <v>28</v>
      </c>
      <c r="F58" s="4" t="s">
        <v>1559</v>
      </c>
      <c r="H58" s="4">
        <v>1338</v>
      </c>
      <c r="I58" s="4" t="s">
        <v>733</v>
      </c>
      <c r="J58" s="4">
        <v>5.0999999999999996</v>
      </c>
      <c r="K58" s="4" t="s">
        <v>2653</v>
      </c>
      <c r="L58" s="5">
        <v>40</v>
      </c>
      <c r="M58" s="69">
        <f>60000-10000</f>
        <v>50000</v>
      </c>
      <c r="N58" s="8">
        <f>+M58*L58</f>
        <v>2000000</v>
      </c>
      <c r="Q58" s="5">
        <f>+N58</f>
        <v>2000000</v>
      </c>
      <c r="R58" s="83" t="s">
        <v>734</v>
      </c>
      <c r="S58" s="113" t="s">
        <v>2654</v>
      </c>
    </row>
    <row r="59" spans="2:19" ht="24" customHeight="1" x14ac:dyDescent="0.4">
      <c r="B59" s="8" t="s">
        <v>26</v>
      </c>
      <c r="C59" s="8" t="s">
        <v>27</v>
      </c>
      <c r="D59" s="16" t="s">
        <v>28</v>
      </c>
      <c r="F59" s="5" t="s">
        <v>1559</v>
      </c>
      <c r="G59" s="5" t="s">
        <v>2467</v>
      </c>
      <c r="H59" s="4">
        <v>1325</v>
      </c>
      <c r="I59" s="5" t="s">
        <v>728</v>
      </c>
      <c r="J59" s="4">
        <v>5.1100000000000003</v>
      </c>
      <c r="K59" s="4" t="s">
        <v>737</v>
      </c>
      <c r="L59" s="5">
        <v>3</v>
      </c>
      <c r="M59" s="68">
        <f>47000+4000</f>
        <v>51000</v>
      </c>
      <c r="N59" s="8">
        <f>+M59*L59</f>
        <v>153000</v>
      </c>
      <c r="Q59" s="5">
        <f>+N59</f>
        <v>153000</v>
      </c>
      <c r="R59" s="126" t="s">
        <v>2655</v>
      </c>
      <c r="S59" s="4" t="s">
        <v>83</v>
      </c>
    </row>
    <row r="60" spans="2:19" ht="24" customHeight="1" x14ac:dyDescent="0.4">
      <c r="B60" s="8" t="s">
        <v>26</v>
      </c>
      <c r="C60" s="8" t="s">
        <v>27</v>
      </c>
      <c r="D60" s="16" t="s">
        <v>28</v>
      </c>
      <c r="F60" s="5" t="s">
        <v>1559</v>
      </c>
      <c r="G60" s="5" t="s">
        <v>2467</v>
      </c>
      <c r="H60" s="4">
        <v>1325</v>
      </c>
      <c r="I60" s="4" t="s">
        <v>728</v>
      </c>
      <c r="J60" s="4">
        <v>4.29</v>
      </c>
      <c r="K60" s="4" t="s">
        <v>715</v>
      </c>
      <c r="L60" s="5">
        <v>3</v>
      </c>
      <c r="M60" s="68">
        <f>40000+4000</f>
        <v>44000</v>
      </c>
      <c r="N60" s="8">
        <f>+M60*L60</f>
        <v>132000</v>
      </c>
      <c r="Q60" s="5">
        <f>+N60</f>
        <v>132000</v>
      </c>
      <c r="R60" s="126" t="s">
        <v>2655</v>
      </c>
      <c r="S60" s="4" t="s">
        <v>83</v>
      </c>
    </row>
    <row r="61" spans="2:19" ht="24" customHeight="1" x14ac:dyDescent="0.4">
      <c r="B61" s="8" t="s">
        <v>26</v>
      </c>
      <c r="C61" s="8" t="s">
        <v>27</v>
      </c>
      <c r="D61" s="16" t="s">
        <v>28</v>
      </c>
      <c r="F61" s="5" t="s">
        <v>1559</v>
      </c>
      <c r="G61" s="5" t="s">
        <v>2467</v>
      </c>
      <c r="H61" s="4">
        <v>1325</v>
      </c>
      <c r="I61" s="4" t="s">
        <v>728</v>
      </c>
      <c r="J61" s="4">
        <v>5.09</v>
      </c>
      <c r="K61" s="4" t="s">
        <v>729</v>
      </c>
      <c r="L61" s="5">
        <v>2</v>
      </c>
      <c r="M61" s="68">
        <f>50000+4000</f>
        <v>54000</v>
      </c>
      <c r="N61" s="8">
        <f>+M61*L61</f>
        <v>108000</v>
      </c>
      <c r="Q61" s="5">
        <f>+N61</f>
        <v>108000</v>
      </c>
      <c r="R61" s="126" t="s">
        <v>2655</v>
      </c>
      <c r="S61" s="4" t="s">
        <v>83</v>
      </c>
    </row>
    <row r="62" spans="2:19" ht="24" customHeight="1" x14ac:dyDescent="0.4">
      <c r="B62" s="8" t="s">
        <v>26</v>
      </c>
      <c r="C62" s="8" t="s">
        <v>27</v>
      </c>
      <c r="D62" s="16" t="s">
        <v>28</v>
      </c>
      <c r="F62" s="8" t="s">
        <v>2368</v>
      </c>
      <c r="G62" s="5" t="s">
        <v>826</v>
      </c>
      <c r="H62" s="4">
        <v>182</v>
      </c>
      <c r="I62" s="4" t="s">
        <v>828</v>
      </c>
      <c r="J62" s="4">
        <v>2.25</v>
      </c>
      <c r="K62" s="4" t="s">
        <v>2656</v>
      </c>
      <c r="N62" s="5">
        <v>-165000</v>
      </c>
      <c r="Q62" s="5">
        <f>+N62</f>
        <v>-165000</v>
      </c>
      <c r="R62" s="121" t="s">
        <v>2592</v>
      </c>
      <c r="S62" s="4" t="s">
        <v>249</v>
      </c>
    </row>
    <row r="63" spans="2:19" ht="24" customHeight="1" x14ac:dyDescent="0.4">
      <c r="B63" s="8" t="s">
        <v>26</v>
      </c>
      <c r="C63" s="8" t="s">
        <v>27</v>
      </c>
      <c r="D63" s="16" t="s">
        <v>28</v>
      </c>
      <c r="F63" s="8" t="s">
        <v>2368</v>
      </c>
      <c r="G63" s="5" t="s">
        <v>826</v>
      </c>
      <c r="H63" s="4">
        <v>182</v>
      </c>
      <c r="I63" s="4" t="s">
        <v>828</v>
      </c>
      <c r="J63" s="4">
        <v>2.25</v>
      </c>
      <c r="K63" s="4" t="s">
        <v>2657</v>
      </c>
      <c r="N63" s="8">
        <v>36000</v>
      </c>
      <c r="Q63" s="5">
        <f>+N63</f>
        <v>36000</v>
      </c>
      <c r="R63" s="121" t="s">
        <v>2592</v>
      </c>
      <c r="S63" s="4" t="s">
        <v>249</v>
      </c>
    </row>
    <row r="64" spans="2:19" ht="24" customHeight="1" x14ac:dyDescent="0.4">
      <c r="B64" s="8" t="s">
        <v>26</v>
      </c>
      <c r="C64" s="8" t="s">
        <v>27</v>
      </c>
      <c r="D64" s="16" t="s">
        <v>28</v>
      </c>
      <c r="F64" s="8" t="s">
        <v>2368</v>
      </c>
      <c r="G64" s="5" t="s">
        <v>826</v>
      </c>
      <c r="H64" s="4">
        <v>182</v>
      </c>
      <c r="I64" s="4" t="s">
        <v>828</v>
      </c>
      <c r="J64" s="4">
        <v>2.25</v>
      </c>
      <c r="K64" s="4" t="s">
        <v>2658</v>
      </c>
      <c r="N64" s="8">
        <v>29800</v>
      </c>
      <c r="Q64" s="5">
        <f>+N64</f>
        <v>29800</v>
      </c>
      <c r="R64" s="121" t="s">
        <v>2592</v>
      </c>
      <c r="S64" s="4" t="s">
        <v>249</v>
      </c>
    </row>
    <row r="65" spans="2:19" ht="24" customHeight="1" x14ac:dyDescent="0.4">
      <c r="B65" s="8" t="s">
        <v>26</v>
      </c>
      <c r="C65" s="8" t="s">
        <v>27</v>
      </c>
      <c r="D65" s="16" t="s">
        <v>28</v>
      </c>
      <c r="F65" s="8" t="s">
        <v>2368</v>
      </c>
      <c r="G65" s="5" t="s">
        <v>826</v>
      </c>
      <c r="H65" s="4">
        <v>182</v>
      </c>
      <c r="I65" s="4" t="s">
        <v>828</v>
      </c>
      <c r="J65" s="4">
        <v>5.0199999999999996</v>
      </c>
      <c r="K65" s="4" t="s">
        <v>2659</v>
      </c>
      <c r="L65" s="5">
        <v>80</v>
      </c>
      <c r="M65" s="68">
        <v>6000</v>
      </c>
      <c r="N65" s="8">
        <f>+M65*L65</f>
        <v>480000</v>
      </c>
      <c r="Q65" s="5">
        <f>+N65</f>
        <v>480000</v>
      </c>
      <c r="R65" s="18" t="s">
        <v>311</v>
      </c>
      <c r="S65" s="4" t="s">
        <v>249</v>
      </c>
    </row>
    <row r="66" spans="2:19" ht="24" customHeight="1" x14ac:dyDescent="0.4">
      <c r="N66" s="12">
        <f>SUBTOTAL(9,N20:N65)</f>
        <v>11261800</v>
      </c>
      <c r="Q66" s="4">
        <f>+N66</f>
        <v>11261800</v>
      </c>
    </row>
    <row r="67" spans="2:19" ht="23.25" customHeight="1" x14ac:dyDescent="0.4"/>
    <row r="68" spans="2:19" ht="23.25" customHeight="1" x14ac:dyDescent="0.4"/>
    <row r="69" spans="2:19" ht="24" customHeight="1" x14ac:dyDescent="0.4">
      <c r="K69" s="117" t="s">
        <v>2508</v>
      </c>
    </row>
    <row r="70" spans="2:19" ht="23.25" customHeight="1" x14ac:dyDescent="0.4"/>
    <row r="71" spans="2:19" ht="23.25" customHeight="1" x14ac:dyDescent="0.4"/>
    <row r="72" spans="2:19" ht="23.25" customHeight="1" x14ac:dyDescent="0.4"/>
    <row r="73" spans="2:19" ht="23.25" customHeight="1" x14ac:dyDescent="0.4"/>
    <row r="74" spans="2:19" ht="23.25" customHeight="1" x14ac:dyDescent="0.4"/>
    <row r="75" spans="2:19" ht="23.25" customHeight="1" x14ac:dyDescent="0.4"/>
    <row r="76" spans="2:19" ht="23.25" customHeight="1" x14ac:dyDescent="0.4"/>
    <row r="77" spans="2:19" ht="23.25" customHeight="1" x14ac:dyDescent="0.4"/>
    <row r="78" spans="2:19" ht="23.25" customHeight="1" x14ac:dyDescent="0.4"/>
    <row r="79" spans="2:19" ht="23.25" customHeight="1" x14ac:dyDescent="0.4"/>
    <row r="80" spans="2:19" ht="23.25" customHeight="1" x14ac:dyDescent="0.4"/>
    <row r="81" ht="23.25" customHeight="1" x14ac:dyDescent="0.4"/>
    <row r="82" ht="23.25" customHeight="1" x14ac:dyDescent="0.4"/>
    <row r="83" ht="23.25" customHeight="1" x14ac:dyDescent="0.4"/>
    <row r="84" ht="23.25" customHeight="1" x14ac:dyDescent="0.4"/>
    <row r="85" ht="23.25" customHeight="1" x14ac:dyDescent="0.4"/>
    <row r="86" ht="23.25" customHeight="1" x14ac:dyDescent="0.4"/>
    <row r="87" ht="23.25" customHeight="1" x14ac:dyDescent="0.4"/>
    <row r="88" ht="23.25" customHeight="1" x14ac:dyDescent="0.4"/>
    <row r="89" ht="23.25" customHeight="1" x14ac:dyDescent="0.4"/>
    <row r="90" ht="23.25" customHeight="1" x14ac:dyDescent="0.4"/>
    <row r="91" ht="23.25" customHeight="1" x14ac:dyDescent="0.4"/>
    <row r="92" ht="23.25" customHeight="1" x14ac:dyDescent="0.4"/>
    <row r="93" ht="23.25" customHeight="1" x14ac:dyDescent="0.4"/>
    <row r="94" ht="23.25" customHeight="1" x14ac:dyDescent="0.4"/>
    <row r="95" ht="23.25" customHeight="1" x14ac:dyDescent="0.4"/>
    <row r="96" ht="23.25" customHeight="1" x14ac:dyDescent="0.4"/>
    <row r="97" ht="23.25" customHeight="1" x14ac:dyDescent="0.4"/>
    <row r="98" ht="23.25" customHeight="1" x14ac:dyDescent="0.4"/>
    <row r="99" ht="23.25" customHeight="1" x14ac:dyDescent="0.4"/>
    <row r="100" ht="23.25" customHeight="1" x14ac:dyDescent="0.4"/>
    <row r="101" ht="23.25" customHeight="1" x14ac:dyDescent="0.4"/>
    <row r="102" ht="23.25" customHeight="1" x14ac:dyDescent="0.4"/>
    <row r="103" ht="23.25" customHeight="1" x14ac:dyDescent="0.4"/>
    <row r="104" ht="23.25" customHeight="1" x14ac:dyDescent="0.4"/>
    <row r="105" ht="23.25" customHeight="1" x14ac:dyDescent="0.4"/>
    <row r="106" ht="23.25" customHeight="1" x14ac:dyDescent="0.4"/>
    <row r="107" ht="23.25" customHeight="1" x14ac:dyDescent="0.4"/>
    <row r="108" ht="23.25" customHeight="1" x14ac:dyDescent="0.4"/>
    <row r="109" ht="23.25" customHeight="1" x14ac:dyDescent="0.4"/>
    <row r="110" ht="23.25" customHeight="1" x14ac:dyDescent="0.4"/>
    <row r="111" ht="23.25" customHeight="1" x14ac:dyDescent="0.4"/>
    <row r="112" ht="23.25" customHeight="1" x14ac:dyDescent="0.4"/>
    <row r="113" ht="23.25" customHeight="1" x14ac:dyDescent="0.4"/>
    <row r="114" ht="23.25" customHeight="1" x14ac:dyDescent="0.4"/>
    <row r="115" ht="23.25" customHeight="1" x14ac:dyDescent="0.4"/>
    <row r="116" ht="23.25" customHeight="1" x14ac:dyDescent="0.4"/>
    <row r="117" ht="23.25" customHeight="1" x14ac:dyDescent="0.4"/>
    <row r="118" ht="23.25" customHeight="1" x14ac:dyDescent="0.4"/>
    <row r="119" ht="23.25" customHeight="1" x14ac:dyDescent="0.4"/>
    <row r="120" ht="23.25" customHeight="1" x14ac:dyDescent="0.4"/>
    <row r="121" ht="23.25" customHeight="1" x14ac:dyDescent="0.4"/>
    <row r="122" ht="23.25" customHeight="1" x14ac:dyDescent="0.4"/>
    <row r="123" ht="23.25" customHeight="1" x14ac:dyDescent="0.4"/>
    <row r="124" ht="23.25" customHeight="1" x14ac:dyDescent="0.4"/>
    <row r="125" ht="23.25" customHeight="1" x14ac:dyDescent="0.4"/>
    <row r="126" ht="23.25" customHeight="1" x14ac:dyDescent="0.4"/>
    <row r="127" ht="23.25" customHeight="1" x14ac:dyDescent="0.4"/>
    <row r="128" ht="23.25" customHeight="1" x14ac:dyDescent="0.4"/>
    <row r="129" ht="23.25" customHeight="1" x14ac:dyDescent="0.4"/>
    <row r="130" ht="23.25" customHeight="1" x14ac:dyDescent="0.4"/>
    <row r="131" ht="23.25" customHeight="1" x14ac:dyDescent="0.4"/>
    <row r="132" ht="23.25" customHeight="1" x14ac:dyDescent="0.4"/>
    <row r="133" ht="23.25" customHeight="1" x14ac:dyDescent="0.4"/>
    <row r="134" ht="23.25" customHeight="1" x14ac:dyDescent="0.4"/>
    <row r="135" ht="23.25" customHeight="1" x14ac:dyDescent="0.4"/>
    <row r="136" ht="23.25" customHeight="1" x14ac:dyDescent="0.4"/>
    <row r="137" ht="23.25" customHeight="1" x14ac:dyDescent="0.4"/>
    <row r="138" ht="23.25" customHeight="1" x14ac:dyDescent="0.4"/>
    <row r="139" ht="23.25" customHeight="1" x14ac:dyDescent="0.4"/>
    <row r="140" ht="23.25" customHeight="1" x14ac:dyDescent="0.4"/>
    <row r="141" ht="23.25" customHeight="1" x14ac:dyDescent="0.4"/>
    <row r="142" ht="23.25" customHeight="1" x14ac:dyDescent="0.4"/>
    <row r="143" ht="23.25" customHeight="1" x14ac:dyDescent="0.4"/>
    <row r="144" ht="23.25" customHeight="1" x14ac:dyDescent="0.4"/>
    <row r="145" ht="23.25" customHeight="1" x14ac:dyDescent="0.4"/>
    <row r="146" ht="23.25" customHeight="1" x14ac:dyDescent="0.4"/>
    <row r="147" ht="23.25" customHeight="1" x14ac:dyDescent="0.4"/>
    <row r="148" ht="23.25" customHeight="1" x14ac:dyDescent="0.4"/>
    <row r="149" ht="23.25" customHeight="1" x14ac:dyDescent="0.4"/>
    <row r="150" ht="23.25" customHeight="1" x14ac:dyDescent="0.4"/>
    <row r="151" ht="23.25" customHeight="1" x14ac:dyDescent="0.4"/>
    <row r="152" ht="23.25" customHeight="1" x14ac:dyDescent="0.4"/>
    <row r="153" ht="23.25" customHeight="1" x14ac:dyDescent="0.4"/>
    <row r="154" ht="23.25" customHeight="1" x14ac:dyDescent="0.4"/>
    <row r="155" ht="23.25" customHeight="1" x14ac:dyDescent="0.4"/>
    <row r="156" ht="23.25" customHeight="1" x14ac:dyDescent="0.4"/>
    <row r="157" ht="23.25" customHeight="1" x14ac:dyDescent="0.4"/>
    <row r="158" ht="23.25" customHeight="1" x14ac:dyDescent="0.4"/>
    <row r="159" ht="23.25" customHeight="1" x14ac:dyDescent="0.4"/>
    <row r="160" ht="23.25" customHeight="1" x14ac:dyDescent="0.4"/>
    <row r="161" ht="23.25" customHeight="1" x14ac:dyDescent="0.4"/>
    <row r="162" ht="23.25" customHeight="1" x14ac:dyDescent="0.4"/>
    <row r="163" ht="23.25" customHeight="1" x14ac:dyDescent="0.4"/>
    <row r="164" ht="23.25" customHeight="1" x14ac:dyDescent="0.4"/>
    <row r="165" ht="23.25" customHeight="1" x14ac:dyDescent="0.4"/>
    <row r="166" ht="23.25" customHeight="1" x14ac:dyDescent="0.4"/>
    <row r="167" ht="23.25" customHeight="1" x14ac:dyDescent="0.4"/>
    <row r="168" ht="23.25" customHeight="1" x14ac:dyDescent="0.4"/>
    <row r="169" ht="23.25" customHeight="1" x14ac:dyDescent="0.4"/>
    <row r="170" ht="23.25" customHeight="1" x14ac:dyDescent="0.4"/>
    <row r="171" ht="23.25" customHeight="1" x14ac:dyDescent="0.4"/>
    <row r="172" ht="23.25" customHeight="1" x14ac:dyDescent="0.4"/>
    <row r="173" ht="23.25" customHeight="1" x14ac:dyDescent="0.4"/>
    <row r="174" ht="23.25" customHeight="1" x14ac:dyDescent="0.4"/>
    <row r="175" ht="23.25" customHeight="1" x14ac:dyDescent="0.4"/>
    <row r="176" ht="23.25" customHeight="1" x14ac:dyDescent="0.4"/>
    <row r="177" ht="23.25" customHeight="1" x14ac:dyDescent="0.4"/>
    <row r="178" ht="23.25" customHeight="1" x14ac:dyDescent="0.4"/>
    <row r="179" ht="23.25" customHeight="1" x14ac:dyDescent="0.4"/>
    <row r="180" ht="23.25" customHeight="1" x14ac:dyDescent="0.4"/>
    <row r="181" ht="23.25" customHeight="1" x14ac:dyDescent="0.4"/>
    <row r="182" ht="23.25" customHeight="1" x14ac:dyDescent="0.4"/>
    <row r="183" ht="23.25" customHeight="1" x14ac:dyDescent="0.4"/>
    <row r="184" ht="23.25" customHeight="1" x14ac:dyDescent="0.4"/>
    <row r="185" ht="23.25" customHeight="1" x14ac:dyDescent="0.4"/>
    <row r="186" ht="23.25" customHeight="1" x14ac:dyDescent="0.4"/>
    <row r="187" ht="23.25" customHeight="1" x14ac:dyDescent="0.4"/>
    <row r="188" ht="23.25" customHeight="1" x14ac:dyDescent="0.4"/>
    <row r="189" ht="23.25" customHeight="1" x14ac:dyDescent="0.4"/>
    <row r="190" ht="23.25" customHeight="1" x14ac:dyDescent="0.4"/>
    <row r="191" ht="23.25" customHeight="1" x14ac:dyDescent="0.4"/>
    <row r="192" ht="23.25" customHeight="1" x14ac:dyDescent="0.4"/>
    <row r="193" ht="23.25" customHeight="1" x14ac:dyDescent="0.4"/>
    <row r="194" ht="23.25" customHeight="1" x14ac:dyDescent="0.4"/>
    <row r="195" ht="23.25" customHeight="1" x14ac:dyDescent="0.4"/>
    <row r="196" ht="23.25" customHeight="1" x14ac:dyDescent="0.4"/>
    <row r="197" ht="23.25" customHeight="1" x14ac:dyDescent="0.4"/>
    <row r="198" ht="23.25" customHeight="1" x14ac:dyDescent="0.4"/>
    <row r="199" ht="23.25" customHeight="1" x14ac:dyDescent="0.4"/>
    <row r="200" ht="23.25" customHeight="1" x14ac:dyDescent="0.4"/>
    <row r="201" ht="23.25" customHeight="1" x14ac:dyDescent="0.4"/>
    <row r="202" ht="23.25" customHeight="1" x14ac:dyDescent="0.4"/>
    <row r="203" ht="23.25" customHeight="1" x14ac:dyDescent="0.4"/>
    <row r="204" ht="23.25" customHeight="1" x14ac:dyDescent="0.4"/>
    <row r="205" ht="23.25" customHeight="1" x14ac:dyDescent="0.4"/>
    <row r="206" ht="23.25" customHeight="1" x14ac:dyDescent="0.4"/>
    <row r="207" ht="23.25" customHeight="1" x14ac:dyDescent="0.4"/>
    <row r="208" ht="23.25" customHeight="1" x14ac:dyDescent="0.4"/>
    <row r="209" ht="23.25" customHeight="1" x14ac:dyDescent="0.4"/>
    <row r="210" ht="23.25" customHeight="1" x14ac:dyDescent="0.4"/>
    <row r="211" ht="23.25" customHeight="1" x14ac:dyDescent="0.4"/>
    <row r="212" ht="23.25" customHeight="1" x14ac:dyDescent="0.4"/>
    <row r="213" ht="23.25" customHeight="1" x14ac:dyDescent="0.4"/>
    <row r="214" ht="23.25" customHeight="1" x14ac:dyDescent="0.4"/>
    <row r="215" ht="23.25" customHeight="1" x14ac:dyDescent="0.4"/>
    <row r="216" ht="23.25" customHeight="1" x14ac:dyDescent="0.4"/>
    <row r="217" ht="23.25" customHeight="1" x14ac:dyDescent="0.4"/>
    <row r="218" ht="23.25" customHeight="1" x14ac:dyDescent="0.4"/>
    <row r="219" ht="23.25" customHeight="1" x14ac:dyDescent="0.4"/>
    <row r="220" ht="23.25" customHeight="1" x14ac:dyDescent="0.4"/>
    <row r="221" ht="23.25" customHeight="1" x14ac:dyDescent="0.4"/>
    <row r="222" ht="23.25" customHeight="1" x14ac:dyDescent="0.4"/>
    <row r="223" ht="23.25" customHeight="1" x14ac:dyDescent="0.4"/>
    <row r="224" ht="23.25" customHeight="1" x14ac:dyDescent="0.4"/>
    <row r="225" ht="23.25" customHeight="1" x14ac:dyDescent="0.4"/>
    <row r="226" ht="23.25" customHeight="1" x14ac:dyDescent="0.4"/>
    <row r="227" ht="23.25" customHeight="1" x14ac:dyDescent="0.4"/>
    <row r="228" ht="23.25" customHeight="1" x14ac:dyDescent="0.4"/>
    <row r="229" ht="23.25" customHeight="1" x14ac:dyDescent="0.4"/>
    <row r="230" ht="23.25" customHeight="1" x14ac:dyDescent="0.4"/>
    <row r="231" ht="23.25" customHeight="1" x14ac:dyDescent="0.4"/>
    <row r="232" ht="23.25" customHeight="1" x14ac:dyDescent="0.4"/>
    <row r="233" ht="23.25" customHeight="1" x14ac:dyDescent="0.4"/>
    <row r="234" ht="23.25" customHeight="1" x14ac:dyDescent="0.4"/>
    <row r="235" ht="23.25" customHeight="1" x14ac:dyDescent="0.4"/>
    <row r="236" ht="23.25" customHeight="1" x14ac:dyDescent="0.4"/>
    <row r="237" ht="23.25" customHeight="1" x14ac:dyDescent="0.4"/>
    <row r="238" ht="23.25" customHeight="1" x14ac:dyDescent="0.4"/>
    <row r="239" ht="23.25" customHeight="1" x14ac:dyDescent="0.4"/>
    <row r="240" ht="23.25" customHeight="1" x14ac:dyDescent="0.4"/>
    <row r="241" ht="23.25" customHeight="1" x14ac:dyDescent="0.4"/>
    <row r="242" ht="23.25" customHeight="1" x14ac:dyDescent="0.4"/>
    <row r="243" ht="23.25" customHeight="1" x14ac:dyDescent="0.4"/>
    <row r="244" ht="23.25" customHeight="1" x14ac:dyDescent="0.4"/>
    <row r="245" ht="23.25" customHeight="1" x14ac:dyDescent="0.4"/>
    <row r="246" ht="23.25" customHeight="1" x14ac:dyDescent="0.4"/>
    <row r="247" ht="23.25" customHeight="1" x14ac:dyDescent="0.4"/>
    <row r="248" ht="23.25" customHeight="1" x14ac:dyDescent="0.4"/>
    <row r="249" ht="23.25" customHeight="1" x14ac:dyDescent="0.4"/>
    <row r="250" ht="23.25" customHeight="1" x14ac:dyDescent="0.4"/>
    <row r="251" ht="23.25" customHeight="1" x14ac:dyDescent="0.4"/>
    <row r="252" ht="23.25" customHeight="1" x14ac:dyDescent="0.4"/>
    <row r="253" ht="23.25" customHeight="1" x14ac:dyDescent="0.4"/>
    <row r="254" ht="23.25" customHeight="1" x14ac:dyDescent="0.4"/>
    <row r="255" ht="23.25" customHeight="1" x14ac:dyDescent="0.4"/>
    <row r="256" ht="23.25" customHeight="1" x14ac:dyDescent="0.4"/>
    <row r="257" ht="23.25" customHeight="1" x14ac:dyDescent="0.4"/>
    <row r="258" ht="23.25" customHeight="1" x14ac:dyDescent="0.4"/>
    <row r="259" ht="23.25" customHeight="1" x14ac:dyDescent="0.4"/>
    <row r="260" ht="23.25" customHeight="1" x14ac:dyDescent="0.4"/>
    <row r="261" ht="23.25" customHeight="1" x14ac:dyDescent="0.4"/>
    <row r="262" ht="23.25" customHeight="1" x14ac:dyDescent="0.4"/>
    <row r="263" ht="23.25" customHeight="1" x14ac:dyDescent="0.4"/>
    <row r="264" ht="23.25" customHeight="1" x14ac:dyDescent="0.4"/>
    <row r="265" ht="23.25" customHeight="1" x14ac:dyDescent="0.4"/>
    <row r="266" ht="23.25" customHeight="1" x14ac:dyDescent="0.4"/>
    <row r="267" ht="23.25" customHeight="1" x14ac:dyDescent="0.4"/>
    <row r="268" ht="23.25" customHeight="1" x14ac:dyDescent="0.4"/>
    <row r="269" ht="23.25" customHeight="1" x14ac:dyDescent="0.4"/>
    <row r="270" ht="23.25" customHeight="1" x14ac:dyDescent="0.4"/>
    <row r="271" ht="23.25" customHeight="1" x14ac:dyDescent="0.4"/>
    <row r="272" ht="23.25" customHeight="1" x14ac:dyDescent="0.4"/>
    <row r="273" ht="23.25" customHeight="1" x14ac:dyDescent="0.4"/>
    <row r="274" ht="23.25" customHeight="1" x14ac:dyDescent="0.4"/>
    <row r="275" ht="23.25" customHeight="1" x14ac:dyDescent="0.4"/>
    <row r="276" ht="23.25" customHeight="1" x14ac:dyDescent="0.4"/>
    <row r="277" ht="23.25" customHeight="1" x14ac:dyDescent="0.4"/>
    <row r="278" ht="23.25" customHeight="1" x14ac:dyDescent="0.4"/>
    <row r="279" ht="23.25" customHeight="1" x14ac:dyDescent="0.4"/>
    <row r="280" ht="23.25" customHeight="1" x14ac:dyDescent="0.4"/>
    <row r="281" ht="23.25" customHeight="1" x14ac:dyDescent="0.4"/>
    <row r="282" ht="23.25" customHeight="1" x14ac:dyDescent="0.4"/>
    <row r="283" ht="23.25" customHeight="1" x14ac:dyDescent="0.4"/>
    <row r="284" ht="23.25" customHeight="1" x14ac:dyDescent="0.4"/>
    <row r="285" ht="23.25" customHeight="1" x14ac:dyDescent="0.4"/>
    <row r="286" ht="23.25" customHeight="1" x14ac:dyDescent="0.4"/>
    <row r="287" ht="23.25" customHeight="1" x14ac:dyDescent="0.4"/>
    <row r="288" ht="23.25" customHeight="1" x14ac:dyDescent="0.4"/>
    <row r="289" ht="23.25" customHeight="1" x14ac:dyDescent="0.4"/>
    <row r="290" ht="23.25" customHeight="1" x14ac:dyDescent="0.4"/>
    <row r="291" ht="23.25" customHeight="1" x14ac:dyDescent="0.4"/>
    <row r="292" ht="23.25" customHeight="1" x14ac:dyDescent="0.4"/>
    <row r="293" ht="23.25" customHeight="1" x14ac:dyDescent="0.4"/>
    <row r="294" ht="23.25" customHeight="1" x14ac:dyDescent="0.4"/>
    <row r="295" ht="23.25" customHeight="1" x14ac:dyDescent="0.4"/>
    <row r="296" ht="23.25" customHeight="1" x14ac:dyDescent="0.4"/>
    <row r="297" ht="23.25" customHeight="1" x14ac:dyDescent="0.4"/>
    <row r="298" ht="23.25" customHeight="1" x14ac:dyDescent="0.4"/>
    <row r="299" ht="23.25" customHeight="1" x14ac:dyDescent="0.4"/>
    <row r="300" ht="23.25" customHeight="1" x14ac:dyDescent="0.4"/>
    <row r="301" ht="23.25" customHeight="1" x14ac:dyDescent="0.4"/>
    <row r="302" ht="23.25" customHeight="1" x14ac:dyDescent="0.4"/>
    <row r="303" ht="23.25" customHeight="1" x14ac:dyDescent="0.4"/>
    <row r="304" ht="23.25" customHeight="1" x14ac:dyDescent="0.4"/>
    <row r="305" ht="23.25" customHeight="1" x14ac:dyDescent="0.4"/>
    <row r="306" ht="23.25" customHeight="1" x14ac:dyDescent="0.4"/>
    <row r="307" ht="23.25" customHeight="1" x14ac:dyDescent="0.4"/>
    <row r="308" ht="23.25" customHeight="1" x14ac:dyDescent="0.4"/>
    <row r="309" ht="23.25" customHeight="1" x14ac:dyDescent="0.4"/>
    <row r="310" ht="23.25" customHeight="1" x14ac:dyDescent="0.4"/>
    <row r="311" ht="23.25" customHeight="1" x14ac:dyDescent="0.4"/>
    <row r="312" ht="23.25" customHeight="1" x14ac:dyDescent="0.4"/>
    <row r="313" ht="23.25" customHeight="1" x14ac:dyDescent="0.4"/>
    <row r="314" ht="23.25" customHeight="1" x14ac:dyDescent="0.4"/>
    <row r="315" ht="23.25" customHeight="1" x14ac:dyDescent="0.4"/>
    <row r="316" ht="23.25" customHeight="1" x14ac:dyDescent="0.4"/>
    <row r="317" ht="23.25" customHeight="1" x14ac:dyDescent="0.4"/>
    <row r="318" ht="23.25" customHeight="1" x14ac:dyDescent="0.4"/>
    <row r="319" ht="23.25" customHeight="1" x14ac:dyDescent="0.4"/>
    <row r="320" ht="23.25" customHeight="1" x14ac:dyDescent="0.4"/>
    <row r="321" ht="23.25" customHeight="1" x14ac:dyDescent="0.4"/>
    <row r="322" ht="23.25" customHeight="1" x14ac:dyDescent="0.4"/>
    <row r="323" ht="23.25" customHeight="1" x14ac:dyDescent="0.4"/>
    <row r="324" ht="23.25" customHeight="1" x14ac:dyDescent="0.4"/>
    <row r="325" ht="23.25" customHeight="1" x14ac:dyDescent="0.4"/>
    <row r="326" ht="23.25" customHeight="1" x14ac:dyDescent="0.4"/>
    <row r="327" ht="23.25" customHeight="1" x14ac:dyDescent="0.4"/>
    <row r="328" ht="23.25" customHeight="1" x14ac:dyDescent="0.4"/>
    <row r="329" ht="23.25" customHeight="1" x14ac:dyDescent="0.4"/>
    <row r="330" ht="23.25" customHeight="1" x14ac:dyDescent="0.4"/>
    <row r="331" ht="23.25" customHeight="1" x14ac:dyDescent="0.4"/>
    <row r="332" ht="23.25" customHeight="1" x14ac:dyDescent="0.4"/>
    <row r="333" ht="23.25" customHeight="1" x14ac:dyDescent="0.4"/>
    <row r="334" ht="23.25" customHeight="1" x14ac:dyDescent="0.4"/>
    <row r="335" ht="23.25" customHeight="1" x14ac:dyDescent="0.4"/>
    <row r="336" ht="23.25" customHeight="1" x14ac:dyDescent="0.4"/>
    <row r="337" ht="23.25" customHeight="1" x14ac:dyDescent="0.4"/>
    <row r="338" ht="23.25" customHeight="1" x14ac:dyDescent="0.4"/>
    <row r="339" ht="23.25" customHeight="1" x14ac:dyDescent="0.4"/>
    <row r="340" ht="23.25" customHeight="1" x14ac:dyDescent="0.4"/>
    <row r="341" ht="23.25" customHeight="1" x14ac:dyDescent="0.4"/>
    <row r="342" ht="23.25" customHeight="1" x14ac:dyDescent="0.4"/>
    <row r="343" ht="23.25" customHeight="1" x14ac:dyDescent="0.4"/>
    <row r="344" ht="23.25" customHeight="1" x14ac:dyDescent="0.4"/>
    <row r="345" ht="23.25" customHeight="1" x14ac:dyDescent="0.4"/>
    <row r="346" ht="23.25" customHeight="1" x14ac:dyDescent="0.4"/>
    <row r="347" ht="23.25" customHeight="1" x14ac:dyDescent="0.4"/>
    <row r="348" ht="23.25" customHeight="1" x14ac:dyDescent="0.4"/>
    <row r="349" ht="23.25" customHeight="1" x14ac:dyDescent="0.4"/>
    <row r="350" ht="23.25" customHeight="1" x14ac:dyDescent="0.4"/>
    <row r="351" ht="23.25" customHeight="1" x14ac:dyDescent="0.4"/>
    <row r="352" ht="23.25" customHeight="1" x14ac:dyDescent="0.4"/>
    <row r="353" ht="23.25" customHeight="1" x14ac:dyDescent="0.4"/>
    <row r="354" ht="23.25" customHeight="1" x14ac:dyDescent="0.4"/>
    <row r="355" ht="23.25" customHeight="1" x14ac:dyDescent="0.4"/>
    <row r="356" ht="23.25" customHeight="1" x14ac:dyDescent="0.4"/>
    <row r="357" ht="23.25" customHeight="1" x14ac:dyDescent="0.4"/>
    <row r="358" ht="23.25" customHeight="1" x14ac:dyDescent="0.4"/>
    <row r="359" ht="23.25" customHeight="1" x14ac:dyDescent="0.4"/>
    <row r="360" ht="23.25" customHeight="1" x14ac:dyDescent="0.4"/>
    <row r="361" ht="23.25" customHeight="1" x14ac:dyDescent="0.4"/>
    <row r="362" ht="23.25" customHeight="1" x14ac:dyDescent="0.4"/>
    <row r="363" ht="23.25" customHeight="1" x14ac:dyDescent="0.4"/>
    <row r="364" ht="23.25" customHeight="1" x14ac:dyDescent="0.4"/>
    <row r="365" ht="23.25" customHeight="1" x14ac:dyDescent="0.4"/>
    <row r="366" ht="23.25" customHeight="1" x14ac:dyDescent="0.4"/>
    <row r="367" ht="23.25" customHeight="1" x14ac:dyDescent="0.4"/>
    <row r="368" ht="23.25" customHeight="1" x14ac:dyDescent="0.4"/>
    <row r="369" ht="23.25" customHeight="1" x14ac:dyDescent="0.4"/>
    <row r="370" ht="23.25" customHeight="1" x14ac:dyDescent="0.4"/>
    <row r="371" ht="23.25" customHeight="1" x14ac:dyDescent="0.4"/>
    <row r="372" ht="23.25" customHeight="1" x14ac:dyDescent="0.4"/>
    <row r="373" ht="23.25" customHeight="1" x14ac:dyDescent="0.4"/>
    <row r="374" ht="23.25" customHeight="1" x14ac:dyDescent="0.4"/>
    <row r="375" ht="23.25" customHeight="1" x14ac:dyDescent="0.4"/>
    <row r="376" ht="23.25" customHeight="1" x14ac:dyDescent="0.4"/>
    <row r="377" ht="23.25" customHeight="1" x14ac:dyDescent="0.4"/>
    <row r="378" ht="23.25" customHeight="1" x14ac:dyDescent="0.4"/>
    <row r="379" ht="23.25" customHeight="1" x14ac:dyDescent="0.4"/>
    <row r="380" ht="23.25" customHeight="1" x14ac:dyDescent="0.4"/>
    <row r="381" ht="23.25" customHeight="1" x14ac:dyDescent="0.4"/>
    <row r="382" ht="23.25" customHeight="1" x14ac:dyDescent="0.4"/>
    <row r="383" ht="23.25" customHeight="1" x14ac:dyDescent="0.4"/>
    <row r="384" ht="23.25" customHeight="1" x14ac:dyDescent="0.4"/>
    <row r="385" ht="23.25" customHeight="1" x14ac:dyDescent="0.4"/>
    <row r="386" ht="23.25" customHeight="1" x14ac:dyDescent="0.4"/>
    <row r="387" ht="23.25" customHeight="1" x14ac:dyDescent="0.4"/>
    <row r="388" ht="23.25" customHeight="1" x14ac:dyDescent="0.4"/>
    <row r="389" ht="23.25" customHeight="1" x14ac:dyDescent="0.4"/>
    <row r="390" ht="23.25" customHeight="1" x14ac:dyDescent="0.4"/>
    <row r="391" ht="23.25" customHeight="1" x14ac:dyDescent="0.4"/>
    <row r="392" ht="23.25" customHeight="1" x14ac:dyDescent="0.4"/>
    <row r="393" ht="23.25" customHeight="1" x14ac:dyDescent="0.4"/>
    <row r="394" ht="23.25" customHeight="1" x14ac:dyDescent="0.4"/>
    <row r="395" ht="23.25" customHeight="1" x14ac:dyDescent="0.4"/>
    <row r="396" ht="23.25" customHeight="1" x14ac:dyDescent="0.4"/>
    <row r="397" ht="23.25" customHeight="1" x14ac:dyDescent="0.4"/>
    <row r="398" ht="23.25" customHeight="1" x14ac:dyDescent="0.4"/>
    <row r="399" ht="23.25" customHeight="1" x14ac:dyDescent="0.4"/>
    <row r="400" ht="23.25" customHeight="1" x14ac:dyDescent="0.4"/>
    <row r="401" ht="23.25" customHeight="1" x14ac:dyDescent="0.4"/>
    <row r="402" ht="23.25" customHeight="1" x14ac:dyDescent="0.4"/>
    <row r="403" ht="23.25" customHeight="1" x14ac:dyDescent="0.4"/>
    <row r="404" ht="23.25" customHeight="1" x14ac:dyDescent="0.4"/>
    <row r="405" ht="23.25" customHeight="1" x14ac:dyDescent="0.4"/>
    <row r="406" ht="23.25" customHeight="1" x14ac:dyDescent="0.4"/>
    <row r="407" ht="23.25" customHeight="1" x14ac:dyDescent="0.4"/>
    <row r="408" ht="23.25" customHeight="1" x14ac:dyDescent="0.4"/>
    <row r="409" ht="23.25" customHeight="1" x14ac:dyDescent="0.4"/>
    <row r="410" ht="23.25" customHeight="1" x14ac:dyDescent="0.4"/>
    <row r="411" ht="23.25" customHeight="1" x14ac:dyDescent="0.4"/>
    <row r="412" ht="23.25" customHeight="1" x14ac:dyDescent="0.4"/>
    <row r="413" ht="23.25" customHeight="1" x14ac:dyDescent="0.4"/>
    <row r="414" ht="23.25" customHeight="1" x14ac:dyDescent="0.4"/>
    <row r="415" ht="23.25" customHeight="1" x14ac:dyDescent="0.4"/>
    <row r="416" ht="23.25" customHeight="1" x14ac:dyDescent="0.4"/>
    <row r="417" ht="23.25" customHeight="1" x14ac:dyDescent="0.4"/>
    <row r="418" ht="23.25" customHeight="1" x14ac:dyDescent="0.4"/>
    <row r="419" ht="23.25" customHeight="1" x14ac:dyDescent="0.4"/>
    <row r="420" ht="23.25" customHeight="1" x14ac:dyDescent="0.4"/>
    <row r="421" ht="23.25" customHeight="1" x14ac:dyDescent="0.4"/>
    <row r="422" ht="23.25" customHeight="1" x14ac:dyDescent="0.4"/>
    <row r="423" ht="23.25" customHeight="1" x14ac:dyDescent="0.4"/>
    <row r="424" ht="23.25" customHeight="1" x14ac:dyDescent="0.4"/>
    <row r="425" ht="23.25" customHeight="1" x14ac:dyDescent="0.4"/>
    <row r="426" ht="23.25" customHeight="1" x14ac:dyDescent="0.4"/>
    <row r="427" ht="23.25" customHeight="1" x14ac:dyDescent="0.4"/>
    <row r="428" ht="23.25" customHeight="1" x14ac:dyDescent="0.4"/>
    <row r="429" ht="23.25" customHeight="1" x14ac:dyDescent="0.4"/>
    <row r="430" ht="23.25" customHeight="1" x14ac:dyDescent="0.4"/>
    <row r="431" ht="23.25" customHeight="1" x14ac:dyDescent="0.4"/>
    <row r="432" ht="23.25" customHeight="1" x14ac:dyDescent="0.4"/>
    <row r="433" ht="23.25" customHeight="1" x14ac:dyDescent="0.4"/>
    <row r="434" ht="23.25" customHeight="1" x14ac:dyDescent="0.4"/>
    <row r="435" ht="23.25" customHeight="1" x14ac:dyDescent="0.4"/>
    <row r="436" ht="23.25" customHeight="1" x14ac:dyDescent="0.4"/>
    <row r="437" ht="23.25" customHeight="1" x14ac:dyDescent="0.4"/>
    <row r="438" ht="23.25" customHeight="1" x14ac:dyDescent="0.4"/>
    <row r="439" ht="23.25" customHeight="1" x14ac:dyDescent="0.4"/>
    <row r="440" ht="23.25" customHeight="1" x14ac:dyDescent="0.4"/>
    <row r="441" ht="23.25" customHeight="1" x14ac:dyDescent="0.4"/>
    <row r="442" ht="23.25" customHeight="1" x14ac:dyDescent="0.4"/>
    <row r="443" ht="23.25" customHeight="1" x14ac:dyDescent="0.4"/>
    <row r="444" ht="23.25" customHeight="1" x14ac:dyDescent="0.4"/>
    <row r="445" ht="23.25" customHeight="1" x14ac:dyDescent="0.4"/>
    <row r="446" ht="23.25" customHeight="1" x14ac:dyDescent="0.4"/>
    <row r="447" ht="23.25" customHeight="1" x14ac:dyDescent="0.4"/>
    <row r="448" ht="23.25" customHeight="1" x14ac:dyDescent="0.4"/>
    <row r="449" ht="23.25" customHeight="1" x14ac:dyDescent="0.4"/>
    <row r="450" ht="23.25" customHeight="1" x14ac:dyDescent="0.4"/>
    <row r="451" ht="23.25" customHeight="1" x14ac:dyDescent="0.4"/>
    <row r="452" ht="23.25" customHeight="1" x14ac:dyDescent="0.4"/>
    <row r="453" ht="23.25" customHeight="1" x14ac:dyDescent="0.4"/>
    <row r="454" ht="23.25" customHeight="1" x14ac:dyDescent="0.4"/>
    <row r="455" ht="23.25" customHeight="1" x14ac:dyDescent="0.4"/>
    <row r="456" ht="23.25" customHeight="1" x14ac:dyDescent="0.4"/>
    <row r="457" ht="23.25" customHeight="1" x14ac:dyDescent="0.4"/>
    <row r="458" ht="23.25" customHeight="1" x14ac:dyDescent="0.4"/>
    <row r="459" ht="23.25" customHeight="1" x14ac:dyDescent="0.4"/>
    <row r="460" ht="23.25" customHeight="1" x14ac:dyDescent="0.4"/>
    <row r="461" ht="23.25" customHeight="1" x14ac:dyDescent="0.4"/>
    <row r="462" ht="23.25" customHeight="1" x14ac:dyDescent="0.4"/>
    <row r="463" ht="23.25" customHeight="1" x14ac:dyDescent="0.4"/>
    <row r="464" ht="23.25" customHeight="1" x14ac:dyDescent="0.4"/>
    <row r="465" ht="23.25" customHeight="1" x14ac:dyDescent="0.4"/>
    <row r="466" ht="23.25" customHeight="1" x14ac:dyDescent="0.4"/>
    <row r="467" ht="23.25" customHeight="1" x14ac:dyDescent="0.4"/>
    <row r="468" ht="23.25" customHeight="1" x14ac:dyDescent="0.4"/>
    <row r="469" ht="23.25" customHeight="1" x14ac:dyDescent="0.4"/>
    <row r="470" ht="23.25" customHeight="1" x14ac:dyDescent="0.4"/>
    <row r="471" ht="23.25" customHeight="1" x14ac:dyDescent="0.4"/>
    <row r="472" ht="23.25" customHeight="1" x14ac:dyDescent="0.4"/>
    <row r="473" ht="23.25" customHeight="1" x14ac:dyDescent="0.4"/>
    <row r="474" ht="23.25" customHeight="1" x14ac:dyDescent="0.4"/>
    <row r="475" ht="23.25" customHeight="1" x14ac:dyDescent="0.4"/>
    <row r="476" ht="23.25" customHeight="1" x14ac:dyDescent="0.4"/>
    <row r="477" ht="23.25" customHeight="1" x14ac:dyDescent="0.4"/>
    <row r="478" ht="23.25" customHeight="1" x14ac:dyDescent="0.4"/>
    <row r="479" ht="23.25" customHeight="1" x14ac:dyDescent="0.4"/>
    <row r="480" ht="23.25" customHeight="1" x14ac:dyDescent="0.4"/>
    <row r="481" ht="23.25" customHeight="1" x14ac:dyDescent="0.4"/>
    <row r="482" ht="23.25" customHeight="1" x14ac:dyDescent="0.4"/>
    <row r="483" ht="23.25" customHeight="1" x14ac:dyDescent="0.4"/>
    <row r="484" ht="23.25" customHeight="1" x14ac:dyDescent="0.4"/>
    <row r="485" ht="23.25" customHeight="1" x14ac:dyDescent="0.4"/>
    <row r="486" ht="23.25" customHeight="1" x14ac:dyDescent="0.4"/>
    <row r="487" ht="23.25" customHeight="1" x14ac:dyDescent="0.4"/>
    <row r="488" ht="23.25" customHeight="1" x14ac:dyDescent="0.4"/>
    <row r="489" ht="23.25" customHeight="1" x14ac:dyDescent="0.4"/>
    <row r="490" ht="23.25" customHeight="1" x14ac:dyDescent="0.4"/>
    <row r="491" ht="23.25" customHeight="1" x14ac:dyDescent="0.4"/>
    <row r="492" ht="23.25" customHeight="1" x14ac:dyDescent="0.4"/>
    <row r="493" ht="23.25" customHeight="1" x14ac:dyDescent="0.4"/>
    <row r="494" ht="23.25" customHeight="1" x14ac:dyDescent="0.4"/>
    <row r="495" ht="23.25" customHeight="1" x14ac:dyDescent="0.4"/>
    <row r="496" ht="23.25" customHeight="1" x14ac:dyDescent="0.4"/>
    <row r="497" ht="23.25" customHeight="1" x14ac:dyDescent="0.4"/>
    <row r="498" ht="23.25" customHeight="1" x14ac:dyDescent="0.4"/>
    <row r="499" ht="23.25" customHeight="1" x14ac:dyDescent="0.4"/>
    <row r="500" ht="23.25" customHeight="1" x14ac:dyDescent="0.4"/>
    <row r="501" ht="23.25" customHeight="1" x14ac:dyDescent="0.4"/>
    <row r="502" ht="23.25" customHeight="1" x14ac:dyDescent="0.4"/>
    <row r="503" ht="23.25" customHeight="1" x14ac:dyDescent="0.4"/>
    <row r="504" ht="23.25" customHeight="1" x14ac:dyDescent="0.4"/>
    <row r="505" ht="23.25" customHeight="1" x14ac:dyDescent="0.4"/>
    <row r="506" ht="23.25" customHeight="1" x14ac:dyDescent="0.4"/>
    <row r="507" ht="23.25" customHeight="1" x14ac:dyDescent="0.4"/>
    <row r="508" ht="23.25" customHeight="1" x14ac:dyDescent="0.4"/>
    <row r="509" ht="23.25" customHeight="1" x14ac:dyDescent="0.4"/>
    <row r="510" ht="23.25" customHeight="1" x14ac:dyDescent="0.4"/>
    <row r="511" ht="23.25" customHeight="1" x14ac:dyDescent="0.4"/>
    <row r="512" ht="23.25" customHeight="1" x14ac:dyDescent="0.4"/>
    <row r="513" ht="23.25" customHeight="1" x14ac:dyDescent="0.4"/>
    <row r="514" ht="23.25" customHeight="1" x14ac:dyDescent="0.4"/>
    <row r="515" ht="23.25" customHeight="1" x14ac:dyDescent="0.4"/>
    <row r="516" ht="23.25" customHeight="1" x14ac:dyDescent="0.4"/>
    <row r="517" ht="23.25" customHeight="1" x14ac:dyDescent="0.4"/>
    <row r="518" ht="23.25" customHeight="1" x14ac:dyDescent="0.4"/>
    <row r="519" ht="23.25" customHeight="1" x14ac:dyDescent="0.4"/>
    <row r="520" ht="23.25" customHeight="1" x14ac:dyDescent="0.4"/>
    <row r="521" ht="23.25" customHeight="1" x14ac:dyDescent="0.4"/>
    <row r="522" ht="23.25" customHeight="1" x14ac:dyDescent="0.4"/>
    <row r="523" ht="23.25" customHeight="1" x14ac:dyDescent="0.4"/>
    <row r="524" ht="23.25" customHeight="1" x14ac:dyDescent="0.4"/>
    <row r="525" ht="23.25" customHeight="1" x14ac:dyDescent="0.4"/>
    <row r="526" ht="23.25" customHeight="1" x14ac:dyDescent="0.4"/>
    <row r="527" ht="23.25" customHeight="1" x14ac:dyDescent="0.4"/>
    <row r="528" ht="23.25" customHeight="1" x14ac:dyDescent="0.4"/>
    <row r="529" ht="23.25" customHeight="1" x14ac:dyDescent="0.4"/>
    <row r="530" ht="23.25" customHeight="1" x14ac:dyDescent="0.4"/>
    <row r="531" ht="23.25" customHeight="1" x14ac:dyDescent="0.4"/>
    <row r="532" ht="23.25" customHeight="1" x14ac:dyDescent="0.4"/>
    <row r="533" ht="23.25" customHeight="1" x14ac:dyDescent="0.4"/>
    <row r="534" ht="23.25" customHeight="1" x14ac:dyDescent="0.4"/>
    <row r="535" ht="23.25" customHeight="1" x14ac:dyDescent="0.4"/>
    <row r="536" ht="23.25" customHeight="1" x14ac:dyDescent="0.4"/>
    <row r="537" ht="23.25" customHeight="1" x14ac:dyDescent="0.4"/>
    <row r="538" ht="23.25" customHeight="1" x14ac:dyDescent="0.4"/>
    <row r="539" ht="23.25" customHeight="1" x14ac:dyDescent="0.4"/>
    <row r="540" ht="23.25" customHeight="1" x14ac:dyDescent="0.4"/>
    <row r="541" ht="23.25" customHeight="1" x14ac:dyDescent="0.4"/>
    <row r="542" ht="23.25" customHeight="1" x14ac:dyDescent="0.4"/>
    <row r="543" ht="23.25" customHeight="1" x14ac:dyDescent="0.4"/>
    <row r="544" ht="23.25" customHeight="1" x14ac:dyDescent="0.4"/>
    <row r="545" ht="23.25" customHeight="1" x14ac:dyDescent="0.4"/>
    <row r="546" ht="23.25" customHeight="1" x14ac:dyDescent="0.4"/>
    <row r="547" ht="23.25" customHeight="1" x14ac:dyDescent="0.4"/>
    <row r="548" ht="23.25" customHeight="1" x14ac:dyDescent="0.4"/>
    <row r="549" ht="23.25" customHeight="1" x14ac:dyDescent="0.4"/>
    <row r="550" ht="23.25" customHeight="1" x14ac:dyDescent="0.4"/>
    <row r="551" ht="23.25" customHeight="1" x14ac:dyDescent="0.4"/>
    <row r="552" ht="23.25" customHeight="1" x14ac:dyDescent="0.4"/>
    <row r="553" ht="23.25" customHeight="1" x14ac:dyDescent="0.4"/>
    <row r="554" ht="23.25" customHeight="1" x14ac:dyDescent="0.4"/>
    <row r="555" ht="23.25" customHeight="1" x14ac:dyDescent="0.4"/>
    <row r="556" ht="23.25" customHeight="1" x14ac:dyDescent="0.4"/>
    <row r="557" ht="23.25" customHeight="1" x14ac:dyDescent="0.4"/>
    <row r="558" ht="23.25" customHeight="1" x14ac:dyDescent="0.4"/>
    <row r="559" ht="23.25" customHeight="1" x14ac:dyDescent="0.4"/>
    <row r="560" ht="23.25" customHeight="1" x14ac:dyDescent="0.4"/>
    <row r="561" ht="23.25" customHeight="1" x14ac:dyDescent="0.4"/>
    <row r="562" ht="23.25" customHeight="1" x14ac:dyDescent="0.4"/>
    <row r="563" ht="23.25" customHeight="1" x14ac:dyDescent="0.4"/>
    <row r="564" ht="23.25" customHeight="1" x14ac:dyDescent="0.4"/>
    <row r="565" ht="23.25" customHeight="1" x14ac:dyDescent="0.4"/>
    <row r="566" ht="23.25" customHeight="1" x14ac:dyDescent="0.4"/>
    <row r="567" ht="23.25" customHeight="1" x14ac:dyDescent="0.4"/>
    <row r="568" ht="23.25" customHeight="1" x14ac:dyDescent="0.4"/>
    <row r="569" ht="23.25" customHeight="1" x14ac:dyDescent="0.4"/>
    <row r="570" ht="23.25" customHeight="1" x14ac:dyDescent="0.4"/>
    <row r="571" ht="23.25" customHeight="1" x14ac:dyDescent="0.4"/>
    <row r="572" ht="23.25" customHeight="1" x14ac:dyDescent="0.4"/>
    <row r="573" ht="23.25" customHeight="1" x14ac:dyDescent="0.4"/>
    <row r="574" ht="23.25" customHeight="1" x14ac:dyDescent="0.4"/>
    <row r="575" ht="23.25" customHeight="1" x14ac:dyDescent="0.4"/>
    <row r="576" ht="23.25" customHeight="1" x14ac:dyDescent="0.4"/>
    <row r="577" ht="23.25" customHeight="1" x14ac:dyDescent="0.4"/>
    <row r="578" ht="23.25" customHeight="1" x14ac:dyDescent="0.4"/>
    <row r="579" ht="23.25" customHeight="1" x14ac:dyDescent="0.4"/>
    <row r="580" ht="23.25" customHeight="1" x14ac:dyDescent="0.4"/>
    <row r="581" ht="23.25" customHeight="1" x14ac:dyDescent="0.4"/>
    <row r="582" ht="23.25" customHeight="1" x14ac:dyDescent="0.4"/>
    <row r="583" ht="23.25" customHeight="1" x14ac:dyDescent="0.4"/>
    <row r="584" ht="23.25" customHeight="1" x14ac:dyDescent="0.4"/>
    <row r="585" ht="23.25" customHeight="1" x14ac:dyDescent="0.4"/>
    <row r="586" ht="23.25" customHeight="1" x14ac:dyDescent="0.4"/>
    <row r="587" ht="23.25" customHeight="1" x14ac:dyDescent="0.4"/>
    <row r="588" ht="23.25" customHeight="1" x14ac:dyDescent="0.4"/>
    <row r="589" ht="23.25" customHeight="1" x14ac:dyDescent="0.4"/>
    <row r="590" ht="23.25" customHeight="1" x14ac:dyDescent="0.4"/>
    <row r="591" ht="23.25" customHeight="1" x14ac:dyDescent="0.4"/>
    <row r="592" ht="23.25" customHeight="1" x14ac:dyDescent="0.4"/>
    <row r="593" ht="23.25" customHeight="1" x14ac:dyDescent="0.4"/>
    <row r="594" ht="23.25" customHeight="1" x14ac:dyDescent="0.4"/>
    <row r="595" ht="23.25" customHeight="1" x14ac:dyDescent="0.4"/>
    <row r="596" ht="23.25" customHeight="1" x14ac:dyDescent="0.4"/>
    <row r="597" ht="23.25" customHeight="1" x14ac:dyDescent="0.4"/>
    <row r="598" ht="23.25" customHeight="1" x14ac:dyDescent="0.4"/>
    <row r="599" ht="23.25" customHeight="1" x14ac:dyDescent="0.4"/>
    <row r="600" ht="23.25" customHeight="1" x14ac:dyDescent="0.4"/>
    <row r="601" ht="23.25" customHeight="1" x14ac:dyDescent="0.4"/>
    <row r="602" ht="23.25" customHeight="1" x14ac:dyDescent="0.4"/>
    <row r="603" ht="23.25" customHeight="1" x14ac:dyDescent="0.4"/>
    <row r="604" ht="23.25" customHeight="1" x14ac:dyDescent="0.4"/>
    <row r="605" ht="23.25" customHeight="1" x14ac:dyDescent="0.4"/>
    <row r="606" ht="23.25" customHeight="1" x14ac:dyDescent="0.4"/>
    <row r="607" ht="23.25" customHeight="1" x14ac:dyDescent="0.4"/>
    <row r="608" ht="23.25" customHeight="1" x14ac:dyDescent="0.4"/>
    <row r="609" ht="23.25" customHeight="1" x14ac:dyDescent="0.4"/>
    <row r="610" ht="23.25" customHeight="1" x14ac:dyDescent="0.4"/>
    <row r="611" ht="23.25" customHeight="1" x14ac:dyDescent="0.4"/>
    <row r="612" ht="23.25" customHeight="1" x14ac:dyDescent="0.4"/>
    <row r="613" ht="23.25" customHeight="1" x14ac:dyDescent="0.4"/>
    <row r="614" ht="23.25" customHeight="1" x14ac:dyDescent="0.4"/>
    <row r="615" ht="23.25" customHeight="1" x14ac:dyDescent="0.4"/>
    <row r="616" ht="23.25" customHeight="1" x14ac:dyDescent="0.4"/>
    <row r="617" ht="23.25" customHeight="1" x14ac:dyDescent="0.4"/>
    <row r="618" ht="23.25" customHeight="1" x14ac:dyDescent="0.4"/>
    <row r="619" ht="23.25" customHeight="1" x14ac:dyDescent="0.4"/>
    <row r="620" ht="23.25" customHeight="1" x14ac:dyDescent="0.4"/>
    <row r="621" ht="23.25" customHeight="1" x14ac:dyDescent="0.4"/>
    <row r="622" ht="23.25" customHeight="1" x14ac:dyDescent="0.4"/>
    <row r="623" ht="23.25" customHeight="1" x14ac:dyDescent="0.4"/>
    <row r="624" ht="23.25" customHeight="1" x14ac:dyDescent="0.4"/>
    <row r="625" ht="23.25" customHeight="1" x14ac:dyDescent="0.4"/>
    <row r="626" ht="23.25" customHeight="1" x14ac:dyDescent="0.4"/>
    <row r="627" ht="23.25" customHeight="1" x14ac:dyDescent="0.4"/>
    <row r="628" ht="23.25" customHeight="1" x14ac:dyDescent="0.4"/>
    <row r="629" ht="23.25" customHeight="1" x14ac:dyDescent="0.4"/>
    <row r="630" ht="23.25" customHeight="1" x14ac:dyDescent="0.4"/>
    <row r="631" ht="23.25" customHeight="1" x14ac:dyDescent="0.4"/>
    <row r="632" ht="23.25" customHeight="1" x14ac:dyDescent="0.4"/>
    <row r="633" ht="23.25" customHeight="1" x14ac:dyDescent="0.4"/>
    <row r="634" ht="23.25" customHeight="1" x14ac:dyDescent="0.4"/>
    <row r="635" ht="23.25" customHeight="1" x14ac:dyDescent="0.4"/>
    <row r="636" ht="23.25" customHeight="1" x14ac:dyDescent="0.4"/>
    <row r="637" ht="23.25" customHeight="1" x14ac:dyDescent="0.4"/>
    <row r="638" ht="23.25" customHeight="1" x14ac:dyDescent="0.4"/>
    <row r="639" ht="23.25" customHeight="1" x14ac:dyDescent="0.4"/>
    <row r="640" ht="23.25" customHeight="1" x14ac:dyDescent="0.4"/>
    <row r="641" ht="23.25" customHeight="1" x14ac:dyDescent="0.4"/>
    <row r="642" ht="23.25" customHeight="1" x14ac:dyDescent="0.4"/>
    <row r="643" ht="23.25" customHeight="1" x14ac:dyDescent="0.4"/>
    <row r="644" ht="23.25" customHeight="1" x14ac:dyDescent="0.4"/>
    <row r="645" ht="23.25" customHeight="1" x14ac:dyDescent="0.4"/>
    <row r="646" ht="23.25" customHeight="1" x14ac:dyDescent="0.4"/>
    <row r="647" ht="23.25" customHeight="1" x14ac:dyDescent="0.4"/>
    <row r="648" ht="23.25" customHeight="1" x14ac:dyDescent="0.4"/>
    <row r="649" ht="23.25" customHeight="1" x14ac:dyDescent="0.4"/>
    <row r="650" ht="23.25" customHeight="1" x14ac:dyDescent="0.4"/>
    <row r="651" ht="23.25" customHeight="1" x14ac:dyDescent="0.4"/>
    <row r="652" ht="23.25" customHeight="1" x14ac:dyDescent="0.4"/>
    <row r="653" ht="23.25" customHeight="1" x14ac:dyDescent="0.4"/>
    <row r="654" ht="23.25" customHeight="1" x14ac:dyDescent="0.4"/>
    <row r="655" ht="23.25" customHeight="1" x14ac:dyDescent="0.4"/>
    <row r="656" ht="23.25" customHeight="1" x14ac:dyDescent="0.4"/>
    <row r="657" ht="23.25" customHeight="1" x14ac:dyDescent="0.4"/>
    <row r="658" ht="23.25" customHeight="1" x14ac:dyDescent="0.4"/>
    <row r="659" ht="23.25" customHeight="1" x14ac:dyDescent="0.4"/>
    <row r="660" ht="23.25" customHeight="1" x14ac:dyDescent="0.4"/>
    <row r="661" ht="23.25" customHeight="1" x14ac:dyDescent="0.4"/>
    <row r="662" ht="23.25" customHeight="1" x14ac:dyDescent="0.4"/>
    <row r="663" ht="23.25" customHeight="1" x14ac:dyDescent="0.4"/>
    <row r="664" ht="23.25" customHeight="1" x14ac:dyDescent="0.4"/>
    <row r="665" ht="23.25" customHeight="1" x14ac:dyDescent="0.4"/>
    <row r="666" ht="23.25" customHeight="1" x14ac:dyDescent="0.4"/>
    <row r="667" ht="23.25" customHeight="1" x14ac:dyDescent="0.4"/>
    <row r="668" ht="23.25" customHeight="1" x14ac:dyDescent="0.4"/>
    <row r="669" ht="23.25" customHeight="1" x14ac:dyDescent="0.4"/>
    <row r="670" ht="23.25" customHeight="1" x14ac:dyDescent="0.4"/>
    <row r="671" ht="23.25" customHeight="1" x14ac:dyDescent="0.4"/>
    <row r="672" ht="23.25" customHeight="1" x14ac:dyDescent="0.4"/>
    <row r="673" ht="23.25" customHeight="1" x14ac:dyDescent="0.4"/>
    <row r="674" ht="23.25" customHeight="1" x14ac:dyDescent="0.4"/>
    <row r="675" ht="23.25" customHeight="1" x14ac:dyDescent="0.4"/>
    <row r="676" ht="23.25" customHeight="1" x14ac:dyDescent="0.4"/>
    <row r="677" ht="23.25" customHeight="1" x14ac:dyDescent="0.4"/>
    <row r="678" ht="23.25" customHeight="1" x14ac:dyDescent="0.4"/>
    <row r="679" ht="23.25" customHeight="1" x14ac:dyDescent="0.4"/>
    <row r="680" ht="23.25" customHeight="1" x14ac:dyDescent="0.4"/>
    <row r="681" ht="23.25" customHeight="1" x14ac:dyDescent="0.4"/>
    <row r="682" ht="23.25" customHeight="1" x14ac:dyDescent="0.4"/>
    <row r="683" ht="23.25" customHeight="1" x14ac:dyDescent="0.4"/>
    <row r="684" ht="23.25" customHeight="1" x14ac:dyDescent="0.4"/>
    <row r="685" ht="23.25" customHeight="1" x14ac:dyDescent="0.4"/>
    <row r="686" ht="23.25" customHeight="1" x14ac:dyDescent="0.4"/>
    <row r="687" ht="23.25" customHeight="1" x14ac:dyDescent="0.4"/>
    <row r="688" ht="23.25" customHeight="1" x14ac:dyDescent="0.4"/>
    <row r="689" ht="23.25" customHeight="1" x14ac:dyDescent="0.4"/>
    <row r="690" ht="23.25" customHeight="1" x14ac:dyDescent="0.4"/>
    <row r="691" ht="23.25" customHeight="1" x14ac:dyDescent="0.4"/>
    <row r="692" ht="23.25" customHeight="1" x14ac:dyDescent="0.4"/>
    <row r="693" ht="23.25" customHeight="1" x14ac:dyDescent="0.4"/>
    <row r="694" ht="23.25" customHeight="1" x14ac:dyDescent="0.4"/>
    <row r="695" ht="23.25" customHeight="1" x14ac:dyDescent="0.4"/>
    <row r="696" ht="23.25" customHeight="1" x14ac:dyDescent="0.4"/>
    <row r="697" ht="23.25" customHeight="1" x14ac:dyDescent="0.4"/>
    <row r="698" ht="23.25" customHeight="1" x14ac:dyDescent="0.4"/>
    <row r="699" ht="23.25" customHeight="1" x14ac:dyDescent="0.4"/>
    <row r="700" ht="23.25" customHeight="1" x14ac:dyDescent="0.4"/>
    <row r="701" ht="23.25" customHeight="1" x14ac:dyDescent="0.4"/>
    <row r="702" ht="23.25" customHeight="1" x14ac:dyDescent="0.4"/>
    <row r="703" ht="23.25" customHeight="1" x14ac:dyDescent="0.4"/>
    <row r="704" ht="23.25" customHeight="1" x14ac:dyDescent="0.4"/>
    <row r="705" ht="23.25" customHeight="1" x14ac:dyDescent="0.4"/>
    <row r="706" ht="23.25" customHeight="1" x14ac:dyDescent="0.4"/>
    <row r="707" ht="23.25" customHeight="1" x14ac:dyDescent="0.4"/>
    <row r="708" ht="23.25" customHeight="1" x14ac:dyDescent="0.4"/>
    <row r="709" ht="23.25" customHeight="1" x14ac:dyDescent="0.4"/>
    <row r="710" ht="23.25" customHeight="1" x14ac:dyDescent="0.4"/>
    <row r="711" ht="23.25" customHeight="1" x14ac:dyDescent="0.4"/>
    <row r="712" ht="23.25" customHeight="1" x14ac:dyDescent="0.4"/>
    <row r="713" ht="23.25" customHeight="1" x14ac:dyDescent="0.4"/>
    <row r="714" ht="23.25" customHeight="1" x14ac:dyDescent="0.4"/>
    <row r="715" ht="23.25" customHeight="1" x14ac:dyDescent="0.4"/>
    <row r="716" ht="23.25" customHeight="1" x14ac:dyDescent="0.4"/>
    <row r="717" ht="23.25" customHeight="1" x14ac:dyDescent="0.4"/>
    <row r="718" ht="23.25" customHeight="1" x14ac:dyDescent="0.4"/>
    <row r="719" ht="23.25" customHeight="1" x14ac:dyDescent="0.4"/>
    <row r="720" ht="23.25" customHeight="1" x14ac:dyDescent="0.4"/>
    <row r="721" ht="23.25" customHeight="1" x14ac:dyDescent="0.4"/>
    <row r="722" ht="23.25" customHeight="1" x14ac:dyDescent="0.4"/>
    <row r="723" ht="23.25" customHeight="1" x14ac:dyDescent="0.4"/>
    <row r="724" ht="23.25" customHeight="1" x14ac:dyDescent="0.4"/>
    <row r="725" ht="23.25" customHeight="1" x14ac:dyDescent="0.4"/>
    <row r="726" ht="23.25" customHeight="1" x14ac:dyDescent="0.4"/>
    <row r="727" ht="23.25" customHeight="1" x14ac:dyDescent="0.4"/>
    <row r="728" ht="23.25" customHeight="1" x14ac:dyDescent="0.4"/>
    <row r="729" ht="23.25" customHeight="1" x14ac:dyDescent="0.4"/>
    <row r="730" ht="23.25" customHeight="1" x14ac:dyDescent="0.4"/>
    <row r="731" ht="23.25" customHeight="1" x14ac:dyDescent="0.4"/>
    <row r="732" ht="23.25" customHeight="1" x14ac:dyDescent="0.4"/>
    <row r="733" ht="23.25" customHeight="1" x14ac:dyDescent="0.4"/>
    <row r="734" ht="23.25" customHeight="1" x14ac:dyDescent="0.4"/>
    <row r="735" ht="23.25" customHeight="1" x14ac:dyDescent="0.4"/>
    <row r="736" ht="23.25" customHeight="1" x14ac:dyDescent="0.4"/>
    <row r="737" ht="23.25" customHeight="1" x14ac:dyDescent="0.4"/>
    <row r="738" ht="23.25" customHeight="1" x14ac:dyDescent="0.4"/>
    <row r="739" ht="23.25" customHeight="1" x14ac:dyDescent="0.4"/>
    <row r="740" ht="23.25" customHeight="1" x14ac:dyDescent="0.4"/>
    <row r="741" ht="23.25" customHeight="1" x14ac:dyDescent="0.4"/>
    <row r="742" ht="23.25" customHeight="1" x14ac:dyDescent="0.4"/>
    <row r="743" ht="23.25" customHeight="1" x14ac:dyDescent="0.4"/>
    <row r="744" ht="23.25" customHeight="1" x14ac:dyDescent="0.4"/>
    <row r="745" ht="23.25" customHeight="1" x14ac:dyDescent="0.4"/>
    <row r="746" ht="23.25" customHeight="1" x14ac:dyDescent="0.4"/>
    <row r="747" ht="23.25" customHeight="1" x14ac:dyDescent="0.4"/>
    <row r="748" ht="23.25" customHeight="1" x14ac:dyDescent="0.4"/>
    <row r="749" ht="23.25" customHeight="1" x14ac:dyDescent="0.4"/>
    <row r="750" ht="23.25" customHeight="1" x14ac:dyDescent="0.4"/>
    <row r="751" ht="23.25" customHeight="1" x14ac:dyDescent="0.4"/>
    <row r="752" ht="23.25" customHeight="1" x14ac:dyDescent="0.4"/>
    <row r="753" ht="23.25" customHeight="1" x14ac:dyDescent="0.4"/>
    <row r="754" ht="23.25" customHeight="1" x14ac:dyDescent="0.4"/>
    <row r="755" ht="23.25" customHeight="1" x14ac:dyDescent="0.4"/>
    <row r="756" ht="23.25" customHeight="1" x14ac:dyDescent="0.4"/>
    <row r="757" ht="23.25" customHeight="1" x14ac:dyDescent="0.4"/>
    <row r="758" ht="23.25" customHeight="1" x14ac:dyDescent="0.4"/>
    <row r="759" ht="23.25" customHeight="1" x14ac:dyDescent="0.4"/>
    <row r="760" ht="23.25" customHeight="1" x14ac:dyDescent="0.4"/>
    <row r="761" ht="23.25" customHeight="1" x14ac:dyDescent="0.4"/>
    <row r="762" ht="23.25" customHeight="1" x14ac:dyDescent="0.4"/>
    <row r="763" ht="23.25" customHeight="1" x14ac:dyDescent="0.4"/>
    <row r="764" ht="23.25" customHeight="1" x14ac:dyDescent="0.4"/>
    <row r="765" ht="23.25" customHeight="1" x14ac:dyDescent="0.4"/>
    <row r="766" ht="23.25" customHeight="1" x14ac:dyDescent="0.4"/>
    <row r="767" ht="23.25" customHeight="1" x14ac:dyDescent="0.4"/>
    <row r="768" ht="23.25" customHeight="1" x14ac:dyDescent="0.4"/>
    <row r="769" ht="23.25" customHeight="1" x14ac:dyDescent="0.4"/>
    <row r="770" ht="23.25" customHeight="1" x14ac:dyDescent="0.4"/>
    <row r="771" ht="23.25" customHeight="1" x14ac:dyDescent="0.4"/>
    <row r="772" ht="23.25" customHeight="1" x14ac:dyDescent="0.4"/>
    <row r="773" ht="23.25" customHeight="1" x14ac:dyDescent="0.4"/>
    <row r="774" ht="23.25" customHeight="1" x14ac:dyDescent="0.4"/>
    <row r="775" ht="23.25" customHeight="1" x14ac:dyDescent="0.4"/>
    <row r="776" ht="23.25" customHeight="1" x14ac:dyDescent="0.4"/>
    <row r="777" ht="23.25" customHeight="1" x14ac:dyDescent="0.4"/>
    <row r="778" ht="23.25" customHeight="1" x14ac:dyDescent="0.4"/>
    <row r="779" ht="23.25" customHeight="1" x14ac:dyDescent="0.4"/>
    <row r="780" ht="23.25" customHeight="1" x14ac:dyDescent="0.4"/>
    <row r="781" ht="23.25" customHeight="1" x14ac:dyDescent="0.4"/>
    <row r="782" ht="23.25" customHeight="1" x14ac:dyDescent="0.4"/>
    <row r="783" ht="23.25" customHeight="1" x14ac:dyDescent="0.4"/>
    <row r="784" ht="23.25" customHeight="1" x14ac:dyDescent="0.4"/>
    <row r="785" ht="23.25" customHeight="1" x14ac:dyDescent="0.4"/>
    <row r="786" ht="23.25" customHeight="1" x14ac:dyDescent="0.4"/>
    <row r="787" ht="23.25" customHeight="1" x14ac:dyDescent="0.4"/>
    <row r="788" ht="23.25" customHeight="1" x14ac:dyDescent="0.4"/>
    <row r="789" ht="23.25" customHeight="1" x14ac:dyDescent="0.4"/>
    <row r="790" ht="23.25" customHeight="1" x14ac:dyDescent="0.4"/>
    <row r="791" ht="23.25" customHeight="1" x14ac:dyDescent="0.4"/>
    <row r="792" ht="23.25" customHeight="1" x14ac:dyDescent="0.4"/>
    <row r="793" ht="23.25" customHeight="1" x14ac:dyDescent="0.4"/>
    <row r="794" ht="23.25" customHeight="1" x14ac:dyDescent="0.4"/>
    <row r="795" ht="23.25" customHeight="1" x14ac:dyDescent="0.4"/>
    <row r="796" ht="23.25" customHeight="1" x14ac:dyDescent="0.4"/>
    <row r="797" ht="23.25" customHeight="1" x14ac:dyDescent="0.4"/>
    <row r="798" ht="23.25" customHeight="1" x14ac:dyDescent="0.4"/>
    <row r="799" ht="23.25" customHeight="1" x14ac:dyDescent="0.4"/>
    <row r="800" ht="23.25" customHeight="1" x14ac:dyDescent="0.4"/>
    <row r="801" ht="23.25" customHeight="1" x14ac:dyDescent="0.4"/>
    <row r="802" ht="23.25" customHeight="1" x14ac:dyDescent="0.4"/>
    <row r="803" ht="23.25" customHeight="1" x14ac:dyDescent="0.4"/>
    <row r="804" ht="23.25" customHeight="1" x14ac:dyDescent="0.4"/>
    <row r="805" ht="23.25" customHeight="1" x14ac:dyDescent="0.4"/>
    <row r="806" ht="23.25" customHeight="1" x14ac:dyDescent="0.4"/>
    <row r="807" ht="23.25" customHeight="1" x14ac:dyDescent="0.4"/>
    <row r="808" ht="23.25" customHeight="1" x14ac:dyDescent="0.4"/>
    <row r="809" ht="23.25" customHeight="1" x14ac:dyDescent="0.4"/>
    <row r="810" ht="23.25" customHeight="1" x14ac:dyDescent="0.4"/>
    <row r="811" ht="23.25" customHeight="1" x14ac:dyDescent="0.4"/>
    <row r="812" ht="23.25" customHeight="1" x14ac:dyDescent="0.4"/>
    <row r="813" ht="23.25" customHeight="1" x14ac:dyDescent="0.4"/>
    <row r="814" ht="23.25" customHeight="1" x14ac:dyDescent="0.4"/>
    <row r="815" ht="23.25" customHeight="1" x14ac:dyDescent="0.4"/>
    <row r="816" ht="23.25" customHeight="1" x14ac:dyDescent="0.4"/>
    <row r="817" ht="23.25" customHeight="1" x14ac:dyDescent="0.4"/>
    <row r="818" ht="23.25" customHeight="1" x14ac:dyDescent="0.4"/>
    <row r="819" ht="23.25" customHeight="1" x14ac:dyDescent="0.4"/>
    <row r="820" ht="23.25" customHeight="1" x14ac:dyDescent="0.4"/>
    <row r="821" ht="23.25" customHeight="1" x14ac:dyDescent="0.4"/>
    <row r="822" ht="23.25" customHeight="1" x14ac:dyDescent="0.4"/>
    <row r="823" ht="23.25" customHeight="1" x14ac:dyDescent="0.4"/>
    <row r="824" ht="23.25" customHeight="1" x14ac:dyDescent="0.4"/>
    <row r="825" ht="23.25" customHeight="1" x14ac:dyDescent="0.4"/>
    <row r="826" ht="23.25" customHeight="1" x14ac:dyDescent="0.4"/>
    <row r="827" ht="23.25" customHeight="1" x14ac:dyDescent="0.4"/>
    <row r="828" ht="23.25" customHeight="1" x14ac:dyDescent="0.4"/>
    <row r="829" ht="23.25" customHeight="1" x14ac:dyDescent="0.4"/>
    <row r="830" ht="23.25" customHeight="1" x14ac:dyDescent="0.4"/>
    <row r="831" ht="23.25" customHeight="1" x14ac:dyDescent="0.4"/>
    <row r="832" ht="23.25" customHeight="1" x14ac:dyDescent="0.4"/>
    <row r="833" ht="23.25" customHeight="1" x14ac:dyDescent="0.4"/>
    <row r="834" ht="23.25" customHeight="1" x14ac:dyDescent="0.4"/>
    <row r="835" ht="23.25" customHeight="1" x14ac:dyDescent="0.4"/>
    <row r="836" ht="23.25" customHeight="1" x14ac:dyDescent="0.4"/>
    <row r="837" ht="23.25" customHeight="1" x14ac:dyDescent="0.4"/>
    <row r="838" ht="23.25" customHeight="1" x14ac:dyDescent="0.4"/>
    <row r="839" ht="23.25" customHeight="1" x14ac:dyDescent="0.4"/>
    <row r="840" ht="23.25" customHeight="1" x14ac:dyDescent="0.4"/>
    <row r="841" ht="23.25" customHeight="1" x14ac:dyDescent="0.4"/>
    <row r="842" ht="23.25" customHeight="1" x14ac:dyDescent="0.4"/>
    <row r="843" ht="23.25" customHeight="1" x14ac:dyDescent="0.4"/>
    <row r="844" ht="23.25" customHeight="1" x14ac:dyDescent="0.4"/>
    <row r="845" ht="23.25" customHeight="1" x14ac:dyDescent="0.4"/>
    <row r="846" ht="23.25" customHeight="1" x14ac:dyDescent="0.4"/>
    <row r="847" ht="23.25" customHeight="1" x14ac:dyDescent="0.4"/>
    <row r="848" ht="23.25" customHeight="1" x14ac:dyDescent="0.4"/>
    <row r="849" ht="23.25" customHeight="1" x14ac:dyDescent="0.4"/>
    <row r="850" ht="23.25" customHeight="1" x14ac:dyDescent="0.4"/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01EEF-BC38-47D7-A64D-68710481C1DB}">
  <dimension ref="B1:D850"/>
  <sheetViews>
    <sheetView workbookViewId="0"/>
  </sheetViews>
  <sheetFormatPr defaultRowHeight="17.399999999999999" x14ac:dyDescent="0.4"/>
  <cols>
    <col min="1" max="1" width="5.19921875" customWidth="1"/>
    <col min="2" max="2" width="5.796875" customWidth="1"/>
    <col min="3" max="3" width="35.19921875" customWidth="1"/>
    <col min="4" max="4" width="13.8984375" customWidth="1"/>
    <col min="5" max="30" width="8.8984375" customWidth="1"/>
  </cols>
  <sheetData>
    <row r="1" spans="2:4" ht="22.5" customHeight="1" x14ac:dyDescent="0.4">
      <c r="B1" s="1" t="s">
        <v>0</v>
      </c>
    </row>
    <row r="2" spans="2:4" ht="26.25" customHeight="1" x14ac:dyDescent="0.4">
      <c r="B2" s="2" t="s">
        <v>1</v>
      </c>
      <c r="C2" s="2">
        <v>44705</v>
      </c>
      <c r="D2" s="2" t="s">
        <v>2</v>
      </c>
    </row>
    <row r="3" spans="2:4" ht="27" customHeight="1" x14ac:dyDescent="0.4">
      <c r="B3" s="5">
        <v>148</v>
      </c>
      <c r="C3" s="5" t="s">
        <v>3</v>
      </c>
      <c r="D3" s="5">
        <v>75000</v>
      </c>
    </row>
    <row r="4" spans="2:4" ht="27" customHeight="1" x14ac:dyDescent="0.4">
      <c r="B4" s="5">
        <v>182</v>
      </c>
      <c r="C4" s="5" t="s">
        <v>4</v>
      </c>
      <c r="D4" s="5">
        <v>980800</v>
      </c>
    </row>
    <row r="5" spans="2:4" ht="27" customHeight="1" x14ac:dyDescent="0.4">
      <c r="B5" s="5">
        <v>389</v>
      </c>
      <c r="C5" s="5" t="s">
        <v>5</v>
      </c>
      <c r="D5" s="5">
        <v>50000</v>
      </c>
    </row>
    <row r="6" spans="2:4" ht="27" customHeight="1" x14ac:dyDescent="0.4">
      <c r="B6" s="5">
        <v>532</v>
      </c>
      <c r="C6" s="5" t="s">
        <v>6</v>
      </c>
      <c r="D6" s="5">
        <v>60000</v>
      </c>
    </row>
    <row r="7" spans="2:4" ht="27" customHeight="1" x14ac:dyDescent="0.4">
      <c r="B7" s="5">
        <v>540</v>
      </c>
      <c r="C7" s="5" t="s">
        <v>7</v>
      </c>
      <c r="D7" s="5">
        <v>80000</v>
      </c>
    </row>
    <row r="8" spans="2:4" ht="27" customHeight="1" x14ac:dyDescent="0.4">
      <c r="B8" s="5">
        <v>550</v>
      </c>
      <c r="C8" s="5" t="s">
        <v>8</v>
      </c>
      <c r="D8" s="5">
        <v>374000</v>
      </c>
    </row>
    <row r="9" spans="2:4" ht="27" customHeight="1" x14ac:dyDescent="0.4">
      <c r="B9" s="5">
        <v>602</v>
      </c>
      <c r="C9" s="5" t="s">
        <v>9</v>
      </c>
      <c r="D9" s="5">
        <v>46000</v>
      </c>
    </row>
    <row r="10" spans="2:4" ht="27" customHeight="1" x14ac:dyDescent="0.4">
      <c r="B10" s="5">
        <v>709</v>
      </c>
      <c r="C10" s="5" t="s">
        <v>10</v>
      </c>
      <c r="D10" s="5">
        <v>100000</v>
      </c>
    </row>
    <row r="11" spans="2:4" ht="26.25" customHeight="1" x14ac:dyDescent="0.4">
      <c r="B11" s="5">
        <v>729</v>
      </c>
      <c r="C11" s="5" t="s">
        <v>11</v>
      </c>
      <c r="D11" s="5">
        <v>900000</v>
      </c>
    </row>
    <row r="12" spans="2:4" ht="26.25" customHeight="1" x14ac:dyDescent="0.4">
      <c r="B12" s="5">
        <v>775</v>
      </c>
      <c r="C12" s="5" t="s">
        <v>12</v>
      </c>
      <c r="D12" s="5">
        <v>100000</v>
      </c>
    </row>
    <row r="13" spans="2:4" ht="26.25" customHeight="1" x14ac:dyDescent="0.4">
      <c r="B13" s="5">
        <v>782</v>
      </c>
      <c r="C13" s="5" t="s">
        <v>13</v>
      </c>
      <c r="D13" s="5">
        <v>938000</v>
      </c>
    </row>
    <row r="14" spans="2:4" ht="26.25" customHeight="1" x14ac:dyDescent="0.4">
      <c r="B14" s="5">
        <v>786</v>
      </c>
      <c r="C14" s="5" t="s">
        <v>14</v>
      </c>
      <c r="D14" s="5">
        <v>120000</v>
      </c>
    </row>
    <row r="15" spans="2:4" ht="26.25" customHeight="1" x14ac:dyDescent="0.4">
      <c r="B15" s="5">
        <v>863</v>
      </c>
      <c r="C15" s="5" t="s">
        <v>15</v>
      </c>
      <c r="D15" s="5">
        <v>100000</v>
      </c>
    </row>
    <row r="16" spans="2:4" ht="26.25" customHeight="1" x14ac:dyDescent="0.4">
      <c r="B16" s="5">
        <v>930</v>
      </c>
      <c r="C16" s="5" t="s">
        <v>16</v>
      </c>
      <c r="D16" s="5">
        <v>267000</v>
      </c>
    </row>
    <row r="17" spans="2:4" ht="26.25" customHeight="1" x14ac:dyDescent="0.4">
      <c r="B17" s="5">
        <v>1025</v>
      </c>
      <c r="C17" s="5" t="s">
        <v>17</v>
      </c>
      <c r="D17" s="5">
        <v>15000</v>
      </c>
    </row>
    <row r="18" spans="2:4" ht="26.25" customHeight="1" x14ac:dyDescent="0.4">
      <c r="B18" s="5">
        <v>1325</v>
      </c>
      <c r="C18" s="5" t="s">
        <v>18</v>
      </c>
      <c r="D18" s="5">
        <v>393000</v>
      </c>
    </row>
    <row r="19" spans="2:4" ht="26.25" customHeight="1" x14ac:dyDescent="0.4">
      <c r="B19" s="5">
        <v>1338</v>
      </c>
      <c r="C19" s="5" t="s">
        <v>19</v>
      </c>
      <c r="D19" s="5">
        <v>6000000</v>
      </c>
    </row>
    <row r="20" spans="2:4" ht="26.25" customHeight="1" x14ac:dyDescent="0.4">
      <c r="B20" s="5">
        <v>1870</v>
      </c>
      <c r="C20" s="5" t="s">
        <v>20</v>
      </c>
      <c r="D20" s="5">
        <v>40000</v>
      </c>
    </row>
    <row r="21" spans="2:4" ht="26.25" customHeight="1" x14ac:dyDescent="0.4">
      <c r="B21" s="5">
        <v>2865</v>
      </c>
      <c r="C21" s="5" t="s">
        <v>21</v>
      </c>
      <c r="D21" s="5">
        <v>29000</v>
      </c>
    </row>
    <row r="22" spans="2:4" ht="26.25" customHeight="1" x14ac:dyDescent="0.4">
      <c r="B22" s="5">
        <v>2899</v>
      </c>
      <c r="C22" s="5" t="s">
        <v>22</v>
      </c>
      <c r="D22" s="5">
        <v>2482500</v>
      </c>
    </row>
    <row r="23" spans="2:4" ht="26.25" customHeight="1" x14ac:dyDescent="0.4">
      <c r="D23" s="4">
        <f>SUM(D3:D22)</f>
        <v>13150300</v>
      </c>
    </row>
    <row r="24" spans="2:4" ht="26.25" customHeight="1" x14ac:dyDescent="0.4"/>
    <row r="25" spans="2:4" ht="26.25" customHeight="1" x14ac:dyDescent="0.4"/>
    <row r="26" spans="2:4" ht="26.25" customHeight="1" x14ac:dyDescent="0.4"/>
    <row r="27" spans="2:4" ht="26.25" customHeight="1" x14ac:dyDescent="0.4"/>
    <row r="28" spans="2:4" ht="26.25" customHeight="1" x14ac:dyDescent="0.4"/>
    <row r="29" spans="2:4" ht="26.25" customHeight="1" x14ac:dyDescent="0.4"/>
    <row r="30" spans="2:4" ht="26.25" customHeight="1" x14ac:dyDescent="0.4"/>
    <row r="31" spans="2:4" ht="26.25" customHeight="1" x14ac:dyDescent="0.4"/>
    <row r="32" spans="2:4" ht="26.25" customHeight="1" x14ac:dyDescent="0.4"/>
    <row r="33" ht="26.25" customHeight="1" x14ac:dyDescent="0.4"/>
    <row r="34" ht="26.25" customHeight="1" x14ac:dyDescent="0.4"/>
    <row r="35" ht="26.25" customHeight="1" x14ac:dyDescent="0.4"/>
    <row r="36" ht="26.25" customHeight="1" x14ac:dyDescent="0.4"/>
    <row r="37" ht="26.25" customHeight="1" x14ac:dyDescent="0.4"/>
    <row r="38" ht="26.25" customHeight="1" x14ac:dyDescent="0.4"/>
    <row r="39" ht="26.25" customHeight="1" x14ac:dyDescent="0.4"/>
    <row r="40" ht="26.25" customHeight="1" x14ac:dyDescent="0.4"/>
    <row r="41" ht="26.25" customHeight="1" x14ac:dyDescent="0.4"/>
    <row r="42" ht="26.25" customHeight="1" x14ac:dyDescent="0.4"/>
    <row r="43" ht="26.25" customHeight="1" x14ac:dyDescent="0.4"/>
    <row r="44" ht="26.25" customHeight="1" x14ac:dyDescent="0.4"/>
    <row r="45" ht="26.25" customHeight="1" x14ac:dyDescent="0.4"/>
    <row r="46" ht="26.25" customHeight="1" x14ac:dyDescent="0.4"/>
    <row r="47" ht="26.25" customHeight="1" x14ac:dyDescent="0.4"/>
    <row r="48" ht="26.25" customHeight="1" x14ac:dyDescent="0.4"/>
    <row r="49" ht="26.25" customHeight="1" x14ac:dyDescent="0.4"/>
    <row r="50" ht="26.25" customHeight="1" x14ac:dyDescent="0.4"/>
    <row r="51" ht="26.25" customHeight="1" x14ac:dyDescent="0.4"/>
    <row r="52" ht="26.25" customHeight="1" x14ac:dyDescent="0.4"/>
    <row r="53" ht="26.25" customHeight="1" x14ac:dyDescent="0.4"/>
    <row r="54" ht="26.25" customHeight="1" x14ac:dyDescent="0.4"/>
    <row r="55" ht="26.25" customHeight="1" x14ac:dyDescent="0.4"/>
    <row r="56" ht="26.25" customHeight="1" x14ac:dyDescent="0.4"/>
    <row r="57" ht="26.25" customHeight="1" x14ac:dyDescent="0.4"/>
    <row r="58" ht="26.25" customHeight="1" x14ac:dyDescent="0.4"/>
    <row r="59" ht="26.25" customHeight="1" x14ac:dyDescent="0.4"/>
    <row r="60" ht="26.25" customHeight="1" x14ac:dyDescent="0.4"/>
    <row r="61" ht="26.25" customHeight="1" x14ac:dyDescent="0.4"/>
    <row r="62" ht="26.25" customHeight="1" x14ac:dyDescent="0.4"/>
    <row r="63" ht="26.25" customHeight="1" x14ac:dyDescent="0.4"/>
    <row r="64" ht="26.25" customHeight="1" x14ac:dyDescent="0.4"/>
    <row r="65" ht="26.25" customHeight="1" x14ac:dyDescent="0.4"/>
    <row r="66" ht="26.25" customHeight="1" x14ac:dyDescent="0.4"/>
    <row r="67" ht="26.25" customHeight="1" x14ac:dyDescent="0.4"/>
    <row r="68" ht="26.25" customHeight="1" x14ac:dyDescent="0.4"/>
    <row r="69" ht="26.25" customHeight="1" x14ac:dyDescent="0.4"/>
    <row r="70" ht="26.25" customHeight="1" x14ac:dyDescent="0.4"/>
    <row r="71" ht="26.25" customHeight="1" x14ac:dyDescent="0.4"/>
    <row r="72" ht="26.25" customHeight="1" x14ac:dyDescent="0.4"/>
    <row r="73" ht="26.25" customHeight="1" x14ac:dyDescent="0.4"/>
    <row r="74" ht="26.25" customHeight="1" x14ac:dyDescent="0.4"/>
    <row r="75" ht="26.25" customHeight="1" x14ac:dyDescent="0.4"/>
    <row r="76" ht="26.25" customHeight="1" x14ac:dyDescent="0.4"/>
    <row r="77" ht="26.25" customHeight="1" x14ac:dyDescent="0.4"/>
    <row r="78" ht="26.25" customHeight="1" x14ac:dyDescent="0.4"/>
    <row r="79" ht="26.25" customHeight="1" x14ac:dyDescent="0.4"/>
    <row r="80" ht="26.25" customHeight="1" x14ac:dyDescent="0.4"/>
    <row r="81" ht="26.25" customHeight="1" x14ac:dyDescent="0.4"/>
    <row r="82" ht="26.25" customHeight="1" x14ac:dyDescent="0.4"/>
    <row r="83" ht="26.25" customHeight="1" x14ac:dyDescent="0.4"/>
    <row r="84" ht="26.25" customHeight="1" x14ac:dyDescent="0.4"/>
    <row r="85" ht="26.25" customHeight="1" x14ac:dyDescent="0.4"/>
    <row r="86" ht="26.25" customHeight="1" x14ac:dyDescent="0.4"/>
    <row r="87" ht="26.25" customHeight="1" x14ac:dyDescent="0.4"/>
    <row r="88" ht="26.25" customHeight="1" x14ac:dyDescent="0.4"/>
    <row r="89" ht="26.25" customHeight="1" x14ac:dyDescent="0.4"/>
    <row r="90" ht="26.25" customHeight="1" x14ac:dyDescent="0.4"/>
    <row r="91" ht="26.25" customHeight="1" x14ac:dyDescent="0.4"/>
    <row r="92" ht="26.25" customHeight="1" x14ac:dyDescent="0.4"/>
    <row r="93" ht="26.25" customHeight="1" x14ac:dyDescent="0.4"/>
    <row r="94" ht="26.25" customHeight="1" x14ac:dyDescent="0.4"/>
    <row r="95" ht="26.25" customHeight="1" x14ac:dyDescent="0.4"/>
    <row r="96" ht="26.25" customHeight="1" x14ac:dyDescent="0.4"/>
    <row r="97" ht="26.25" customHeight="1" x14ac:dyDescent="0.4"/>
    <row r="98" ht="26.25" customHeight="1" x14ac:dyDescent="0.4"/>
    <row r="99" ht="26.25" customHeight="1" x14ac:dyDescent="0.4"/>
    <row r="100" ht="26.25" customHeight="1" x14ac:dyDescent="0.4"/>
    <row r="101" ht="26.25" customHeight="1" x14ac:dyDescent="0.4"/>
    <row r="102" ht="26.25" customHeight="1" x14ac:dyDescent="0.4"/>
    <row r="103" ht="26.25" customHeight="1" x14ac:dyDescent="0.4"/>
    <row r="104" ht="26.25" customHeight="1" x14ac:dyDescent="0.4"/>
    <row r="105" ht="26.25" customHeight="1" x14ac:dyDescent="0.4"/>
    <row r="106" ht="26.25" customHeight="1" x14ac:dyDescent="0.4"/>
    <row r="107" ht="26.25" customHeight="1" x14ac:dyDescent="0.4"/>
    <row r="108" ht="26.25" customHeight="1" x14ac:dyDescent="0.4"/>
    <row r="109" ht="26.25" customHeight="1" x14ac:dyDescent="0.4"/>
    <row r="110" ht="26.25" customHeight="1" x14ac:dyDescent="0.4"/>
    <row r="111" ht="26.25" customHeight="1" x14ac:dyDescent="0.4"/>
    <row r="112" ht="26.25" customHeight="1" x14ac:dyDescent="0.4"/>
    <row r="113" ht="26.25" customHeight="1" x14ac:dyDescent="0.4"/>
    <row r="114" ht="26.25" customHeight="1" x14ac:dyDescent="0.4"/>
    <row r="115" ht="26.25" customHeight="1" x14ac:dyDescent="0.4"/>
    <row r="116" ht="26.25" customHeight="1" x14ac:dyDescent="0.4"/>
    <row r="117" ht="26.25" customHeight="1" x14ac:dyDescent="0.4"/>
    <row r="118" ht="26.25" customHeight="1" x14ac:dyDescent="0.4"/>
    <row r="119" ht="26.25" customHeight="1" x14ac:dyDescent="0.4"/>
    <row r="120" ht="26.25" customHeight="1" x14ac:dyDescent="0.4"/>
    <row r="121" ht="26.25" customHeight="1" x14ac:dyDescent="0.4"/>
    <row r="122" ht="26.25" customHeight="1" x14ac:dyDescent="0.4"/>
    <row r="123" ht="26.25" customHeight="1" x14ac:dyDescent="0.4"/>
    <row r="124" ht="26.25" customHeight="1" x14ac:dyDescent="0.4"/>
    <row r="125" ht="26.25" customHeight="1" x14ac:dyDescent="0.4"/>
    <row r="126" ht="26.25" customHeight="1" x14ac:dyDescent="0.4"/>
    <row r="127" ht="26.25" customHeight="1" x14ac:dyDescent="0.4"/>
    <row r="128" ht="26.25" customHeight="1" x14ac:dyDescent="0.4"/>
    <row r="129" ht="26.25" customHeight="1" x14ac:dyDescent="0.4"/>
    <row r="130" ht="26.25" customHeight="1" x14ac:dyDescent="0.4"/>
    <row r="131" ht="26.25" customHeight="1" x14ac:dyDescent="0.4"/>
    <row r="132" ht="26.25" customHeight="1" x14ac:dyDescent="0.4"/>
    <row r="133" ht="26.25" customHeight="1" x14ac:dyDescent="0.4"/>
    <row r="134" ht="26.25" customHeight="1" x14ac:dyDescent="0.4"/>
    <row r="135" ht="26.25" customHeight="1" x14ac:dyDescent="0.4"/>
    <row r="136" ht="26.25" customHeight="1" x14ac:dyDescent="0.4"/>
    <row r="137" ht="26.25" customHeight="1" x14ac:dyDescent="0.4"/>
    <row r="138" ht="26.25" customHeight="1" x14ac:dyDescent="0.4"/>
    <row r="139" ht="26.25" customHeight="1" x14ac:dyDescent="0.4"/>
    <row r="140" ht="26.25" customHeight="1" x14ac:dyDescent="0.4"/>
    <row r="141" ht="26.25" customHeight="1" x14ac:dyDescent="0.4"/>
    <row r="142" ht="26.25" customHeight="1" x14ac:dyDescent="0.4"/>
    <row r="143" ht="26.25" customHeight="1" x14ac:dyDescent="0.4"/>
    <row r="144" ht="26.25" customHeight="1" x14ac:dyDescent="0.4"/>
    <row r="145" ht="26.25" customHeight="1" x14ac:dyDescent="0.4"/>
    <row r="146" ht="26.25" customHeight="1" x14ac:dyDescent="0.4"/>
    <row r="147" ht="26.25" customHeight="1" x14ac:dyDescent="0.4"/>
    <row r="148" ht="26.25" customHeight="1" x14ac:dyDescent="0.4"/>
    <row r="149" ht="26.25" customHeight="1" x14ac:dyDescent="0.4"/>
    <row r="150" ht="26.25" customHeight="1" x14ac:dyDescent="0.4"/>
    <row r="151" ht="26.25" customHeight="1" x14ac:dyDescent="0.4"/>
    <row r="152" ht="26.25" customHeight="1" x14ac:dyDescent="0.4"/>
    <row r="153" ht="26.25" customHeight="1" x14ac:dyDescent="0.4"/>
    <row r="154" ht="26.25" customHeight="1" x14ac:dyDescent="0.4"/>
    <row r="155" ht="26.25" customHeight="1" x14ac:dyDescent="0.4"/>
    <row r="156" ht="26.25" customHeight="1" x14ac:dyDescent="0.4"/>
    <row r="157" ht="26.25" customHeight="1" x14ac:dyDescent="0.4"/>
    <row r="158" ht="26.25" customHeight="1" x14ac:dyDescent="0.4"/>
    <row r="159" ht="26.25" customHeight="1" x14ac:dyDescent="0.4"/>
    <row r="160" ht="26.25" customHeight="1" x14ac:dyDescent="0.4"/>
    <row r="161" ht="26.25" customHeight="1" x14ac:dyDescent="0.4"/>
    <row r="162" ht="26.25" customHeight="1" x14ac:dyDescent="0.4"/>
    <row r="163" ht="26.25" customHeight="1" x14ac:dyDescent="0.4"/>
    <row r="164" ht="26.25" customHeight="1" x14ac:dyDescent="0.4"/>
    <row r="165" ht="26.25" customHeight="1" x14ac:dyDescent="0.4"/>
    <row r="166" ht="26.25" customHeight="1" x14ac:dyDescent="0.4"/>
    <row r="167" ht="26.25" customHeight="1" x14ac:dyDescent="0.4"/>
    <row r="168" ht="26.25" customHeight="1" x14ac:dyDescent="0.4"/>
    <row r="169" ht="26.25" customHeight="1" x14ac:dyDescent="0.4"/>
    <row r="170" ht="26.25" customHeight="1" x14ac:dyDescent="0.4"/>
    <row r="171" ht="26.25" customHeight="1" x14ac:dyDescent="0.4"/>
    <row r="172" ht="26.25" customHeight="1" x14ac:dyDescent="0.4"/>
    <row r="173" ht="26.25" customHeight="1" x14ac:dyDescent="0.4"/>
    <row r="174" ht="26.25" customHeight="1" x14ac:dyDescent="0.4"/>
    <row r="175" ht="26.25" customHeight="1" x14ac:dyDescent="0.4"/>
    <row r="176" ht="26.25" customHeight="1" x14ac:dyDescent="0.4"/>
    <row r="177" ht="26.25" customHeight="1" x14ac:dyDescent="0.4"/>
    <row r="178" ht="26.25" customHeight="1" x14ac:dyDescent="0.4"/>
    <row r="179" ht="26.25" customHeight="1" x14ac:dyDescent="0.4"/>
    <row r="180" ht="26.25" customHeight="1" x14ac:dyDescent="0.4"/>
    <row r="181" ht="26.25" customHeight="1" x14ac:dyDescent="0.4"/>
    <row r="182" ht="26.25" customHeight="1" x14ac:dyDescent="0.4"/>
    <row r="183" ht="26.25" customHeight="1" x14ac:dyDescent="0.4"/>
    <row r="184" ht="26.25" customHeight="1" x14ac:dyDescent="0.4"/>
    <row r="185" ht="26.25" customHeight="1" x14ac:dyDescent="0.4"/>
    <row r="186" ht="26.25" customHeight="1" x14ac:dyDescent="0.4"/>
    <row r="187" ht="26.25" customHeight="1" x14ac:dyDescent="0.4"/>
    <row r="188" ht="26.25" customHeight="1" x14ac:dyDescent="0.4"/>
    <row r="189" ht="26.25" customHeight="1" x14ac:dyDescent="0.4"/>
    <row r="190" ht="26.25" customHeight="1" x14ac:dyDescent="0.4"/>
    <row r="191" ht="26.25" customHeight="1" x14ac:dyDescent="0.4"/>
    <row r="192" ht="26.25" customHeight="1" x14ac:dyDescent="0.4"/>
    <row r="193" ht="26.25" customHeight="1" x14ac:dyDescent="0.4"/>
    <row r="194" ht="26.25" customHeight="1" x14ac:dyDescent="0.4"/>
    <row r="195" ht="26.25" customHeight="1" x14ac:dyDescent="0.4"/>
    <row r="196" ht="26.25" customHeight="1" x14ac:dyDescent="0.4"/>
    <row r="197" ht="26.25" customHeight="1" x14ac:dyDescent="0.4"/>
    <row r="198" ht="26.25" customHeight="1" x14ac:dyDescent="0.4"/>
    <row r="199" ht="26.25" customHeight="1" x14ac:dyDescent="0.4"/>
    <row r="200" ht="26.25" customHeight="1" x14ac:dyDescent="0.4"/>
    <row r="201" ht="26.25" customHeight="1" x14ac:dyDescent="0.4"/>
    <row r="202" ht="26.25" customHeight="1" x14ac:dyDescent="0.4"/>
    <row r="203" ht="26.25" customHeight="1" x14ac:dyDescent="0.4"/>
    <row r="204" ht="26.25" customHeight="1" x14ac:dyDescent="0.4"/>
    <row r="205" ht="26.25" customHeight="1" x14ac:dyDescent="0.4"/>
    <row r="206" ht="26.25" customHeight="1" x14ac:dyDescent="0.4"/>
    <row r="207" ht="26.25" customHeight="1" x14ac:dyDescent="0.4"/>
    <row r="208" ht="26.25" customHeight="1" x14ac:dyDescent="0.4"/>
    <row r="209" ht="26.25" customHeight="1" x14ac:dyDescent="0.4"/>
    <row r="210" ht="26.25" customHeight="1" x14ac:dyDescent="0.4"/>
    <row r="211" ht="26.25" customHeight="1" x14ac:dyDescent="0.4"/>
    <row r="212" ht="26.25" customHeight="1" x14ac:dyDescent="0.4"/>
    <row r="213" ht="26.25" customHeight="1" x14ac:dyDescent="0.4"/>
    <row r="214" ht="26.25" customHeight="1" x14ac:dyDescent="0.4"/>
    <row r="215" ht="26.25" customHeight="1" x14ac:dyDescent="0.4"/>
    <row r="216" ht="26.25" customHeight="1" x14ac:dyDescent="0.4"/>
    <row r="217" ht="26.25" customHeight="1" x14ac:dyDescent="0.4"/>
    <row r="218" ht="26.25" customHeight="1" x14ac:dyDescent="0.4"/>
    <row r="219" ht="26.25" customHeight="1" x14ac:dyDescent="0.4"/>
    <row r="220" ht="26.25" customHeight="1" x14ac:dyDescent="0.4"/>
    <row r="221" ht="26.25" customHeight="1" x14ac:dyDescent="0.4"/>
    <row r="222" ht="26.25" customHeight="1" x14ac:dyDescent="0.4"/>
    <row r="223" ht="26.25" customHeight="1" x14ac:dyDescent="0.4"/>
    <row r="224" ht="26.25" customHeight="1" x14ac:dyDescent="0.4"/>
    <row r="225" ht="26.25" customHeight="1" x14ac:dyDescent="0.4"/>
    <row r="226" ht="26.25" customHeight="1" x14ac:dyDescent="0.4"/>
    <row r="227" ht="26.25" customHeight="1" x14ac:dyDescent="0.4"/>
    <row r="228" ht="26.25" customHeight="1" x14ac:dyDescent="0.4"/>
    <row r="229" ht="26.25" customHeight="1" x14ac:dyDescent="0.4"/>
    <row r="230" ht="26.25" customHeight="1" x14ac:dyDescent="0.4"/>
    <row r="231" ht="26.25" customHeight="1" x14ac:dyDescent="0.4"/>
    <row r="232" ht="26.25" customHeight="1" x14ac:dyDescent="0.4"/>
    <row r="233" ht="26.25" customHeight="1" x14ac:dyDescent="0.4"/>
    <row r="234" ht="26.25" customHeight="1" x14ac:dyDescent="0.4"/>
    <row r="235" ht="26.25" customHeight="1" x14ac:dyDescent="0.4"/>
    <row r="236" ht="26.25" customHeight="1" x14ac:dyDescent="0.4"/>
    <row r="237" ht="26.25" customHeight="1" x14ac:dyDescent="0.4"/>
    <row r="238" ht="26.25" customHeight="1" x14ac:dyDescent="0.4"/>
    <row r="239" ht="26.25" customHeight="1" x14ac:dyDescent="0.4"/>
    <row r="240" ht="26.25" customHeight="1" x14ac:dyDescent="0.4"/>
    <row r="241" ht="26.25" customHeight="1" x14ac:dyDescent="0.4"/>
    <row r="242" ht="26.25" customHeight="1" x14ac:dyDescent="0.4"/>
    <row r="243" ht="26.25" customHeight="1" x14ac:dyDescent="0.4"/>
    <row r="244" ht="26.25" customHeight="1" x14ac:dyDescent="0.4"/>
    <row r="245" ht="26.25" customHeight="1" x14ac:dyDescent="0.4"/>
    <row r="246" ht="26.25" customHeight="1" x14ac:dyDescent="0.4"/>
    <row r="247" ht="26.25" customHeight="1" x14ac:dyDescent="0.4"/>
    <row r="248" ht="26.25" customHeight="1" x14ac:dyDescent="0.4"/>
    <row r="249" ht="26.25" customHeight="1" x14ac:dyDescent="0.4"/>
    <row r="250" ht="26.25" customHeight="1" x14ac:dyDescent="0.4"/>
    <row r="251" ht="26.25" customHeight="1" x14ac:dyDescent="0.4"/>
    <row r="252" ht="26.25" customHeight="1" x14ac:dyDescent="0.4"/>
    <row r="253" ht="26.25" customHeight="1" x14ac:dyDescent="0.4"/>
    <row r="254" ht="26.25" customHeight="1" x14ac:dyDescent="0.4"/>
    <row r="255" ht="26.25" customHeight="1" x14ac:dyDescent="0.4"/>
    <row r="256" ht="26.25" customHeight="1" x14ac:dyDescent="0.4"/>
    <row r="257" ht="26.25" customHeight="1" x14ac:dyDescent="0.4"/>
    <row r="258" ht="26.25" customHeight="1" x14ac:dyDescent="0.4"/>
    <row r="259" ht="26.25" customHeight="1" x14ac:dyDescent="0.4"/>
    <row r="260" ht="26.25" customHeight="1" x14ac:dyDescent="0.4"/>
    <row r="261" ht="26.25" customHeight="1" x14ac:dyDescent="0.4"/>
    <row r="262" ht="26.25" customHeight="1" x14ac:dyDescent="0.4"/>
    <row r="263" ht="26.25" customHeight="1" x14ac:dyDescent="0.4"/>
    <row r="264" ht="26.25" customHeight="1" x14ac:dyDescent="0.4"/>
    <row r="265" ht="26.25" customHeight="1" x14ac:dyDescent="0.4"/>
    <row r="266" ht="26.25" customHeight="1" x14ac:dyDescent="0.4"/>
    <row r="267" ht="26.25" customHeight="1" x14ac:dyDescent="0.4"/>
    <row r="268" ht="26.25" customHeight="1" x14ac:dyDescent="0.4"/>
    <row r="269" ht="26.25" customHeight="1" x14ac:dyDescent="0.4"/>
    <row r="270" ht="26.25" customHeight="1" x14ac:dyDescent="0.4"/>
    <row r="271" ht="26.25" customHeight="1" x14ac:dyDescent="0.4"/>
    <row r="272" ht="26.25" customHeight="1" x14ac:dyDescent="0.4"/>
    <row r="273" ht="26.25" customHeight="1" x14ac:dyDescent="0.4"/>
    <row r="274" ht="26.25" customHeight="1" x14ac:dyDescent="0.4"/>
    <row r="275" ht="26.25" customHeight="1" x14ac:dyDescent="0.4"/>
    <row r="276" ht="26.25" customHeight="1" x14ac:dyDescent="0.4"/>
    <row r="277" ht="26.25" customHeight="1" x14ac:dyDescent="0.4"/>
    <row r="278" ht="26.25" customHeight="1" x14ac:dyDescent="0.4"/>
    <row r="279" ht="26.25" customHeight="1" x14ac:dyDescent="0.4"/>
    <row r="280" ht="26.25" customHeight="1" x14ac:dyDescent="0.4"/>
    <row r="281" ht="26.25" customHeight="1" x14ac:dyDescent="0.4"/>
    <row r="282" ht="26.25" customHeight="1" x14ac:dyDescent="0.4"/>
    <row r="283" ht="26.25" customHeight="1" x14ac:dyDescent="0.4"/>
    <row r="284" ht="26.25" customHeight="1" x14ac:dyDescent="0.4"/>
    <row r="285" ht="26.25" customHeight="1" x14ac:dyDescent="0.4"/>
    <row r="286" ht="26.25" customHeight="1" x14ac:dyDescent="0.4"/>
    <row r="287" ht="26.25" customHeight="1" x14ac:dyDescent="0.4"/>
    <row r="288" ht="26.25" customHeight="1" x14ac:dyDescent="0.4"/>
    <row r="289" ht="26.25" customHeight="1" x14ac:dyDescent="0.4"/>
    <row r="290" ht="26.25" customHeight="1" x14ac:dyDescent="0.4"/>
    <row r="291" ht="26.25" customHeight="1" x14ac:dyDescent="0.4"/>
    <row r="292" ht="26.25" customHeight="1" x14ac:dyDescent="0.4"/>
    <row r="293" ht="26.25" customHeight="1" x14ac:dyDescent="0.4"/>
    <row r="294" ht="26.25" customHeight="1" x14ac:dyDescent="0.4"/>
    <row r="295" ht="26.25" customHeight="1" x14ac:dyDescent="0.4"/>
    <row r="296" ht="26.25" customHeight="1" x14ac:dyDescent="0.4"/>
    <row r="297" ht="26.25" customHeight="1" x14ac:dyDescent="0.4"/>
    <row r="298" ht="26.25" customHeight="1" x14ac:dyDescent="0.4"/>
    <row r="299" ht="26.25" customHeight="1" x14ac:dyDescent="0.4"/>
    <row r="300" ht="26.25" customHeight="1" x14ac:dyDescent="0.4"/>
    <row r="301" ht="26.25" customHeight="1" x14ac:dyDescent="0.4"/>
    <row r="302" ht="26.25" customHeight="1" x14ac:dyDescent="0.4"/>
    <row r="303" ht="26.25" customHeight="1" x14ac:dyDescent="0.4"/>
    <row r="304" ht="26.25" customHeight="1" x14ac:dyDescent="0.4"/>
    <row r="305" ht="26.25" customHeight="1" x14ac:dyDescent="0.4"/>
    <row r="306" ht="26.25" customHeight="1" x14ac:dyDescent="0.4"/>
    <row r="307" ht="26.25" customHeight="1" x14ac:dyDescent="0.4"/>
    <row r="308" ht="26.25" customHeight="1" x14ac:dyDescent="0.4"/>
    <row r="309" ht="26.25" customHeight="1" x14ac:dyDescent="0.4"/>
    <row r="310" ht="26.25" customHeight="1" x14ac:dyDescent="0.4"/>
    <row r="311" ht="26.25" customHeight="1" x14ac:dyDescent="0.4"/>
    <row r="312" ht="26.25" customHeight="1" x14ac:dyDescent="0.4"/>
    <row r="313" ht="26.25" customHeight="1" x14ac:dyDescent="0.4"/>
    <row r="314" ht="26.25" customHeight="1" x14ac:dyDescent="0.4"/>
    <row r="315" ht="26.25" customHeight="1" x14ac:dyDescent="0.4"/>
    <row r="316" ht="26.25" customHeight="1" x14ac:dyDescent="0.4"/>
    <row r="317" ht="26.25" customHeight="1" x14ac:dyDescent="0.4"/>
    <row r="318" ht="26.25" customHeight="1" x14ac:dyDescent="0.4"/>
    <row r="319" ht="26.25" customHeight="1" x14ac:dyDescent="0.4"/>
    <row r="320" ht="26.25" customHeight="1" x14ac:dyDescent="0.4"/>
    <row r="321" ht="26.25" customHeight="1" x14ac:dyDescent="0.4"/>
    <row r="322" ht="26.25" customHeight="1" x14ac:dyDescent="0.4"/>
    <row r="323" ht="26.25" customHeight="1" x14ac:dyDescent="0.4"/>
    <row r="324" ht="26.25" customHeight="1" x14ac:dyDescent="0.4"/>
    <row r="325" ht="26.25" customHeight="1" x14ac:dyDescent="0.4"/>
    <row r="326" ht="26.25" customHeight="1" x14ac:dyDescent="0.4"/>
    <row r="327" ht="26.25" customHeight="1" x14ac:dyDescent="0.4"/>
    <row r="328" ht="26.25" customHeight="1" x14ac:dyDescent="0.4"/>
    <row r="329" ht="26.25" customHeight="1" x14ac:dyDescent="0.4"/>
    <row r="330" ht="26.25" customHeight="1" x14ac:dyDescent="0.4"/>
    <row r="331" ht="26.25" customHeight="1" x14ac:dyDescent="0.4"/>
    <row r="332" ht="26.25" customHeight="1" x14ac:dyDescent="0.4"/>
    <row r="333" ht="26.25" customHeight="1" x14ac:dyDescent="0.4"/>
    <row r="334" ht="26.25" customHeight="1" x14ac:dyDescent="0.4"/>
    <row r="335" ht="26.25" customHeight="1" x14ac:dyDescent="0.4"/>
    <row r="336" ht="26.25" customHeight="1" x14ac:dyDescent="0.4"/>
    <row r="337" ht="26.25" customHeight="1" x14ac:dyDescent="0.4"/>
    <row r="338" ht="26.25" customHeight="1" x14ac:dyDescent="0.4"/>
    <row r="339" ht="26.25" customHeight="1" x14ac:dyDescent="0.4"/>
    <row r="340" ht="26.25" customHeight="1" x14ac:dyDescent="0.4"/>
    <row r="341" ht="26.25" customHeight="1" x14ac:dyDescent="0.4"/>
    <row r="342" ht="26.25" customHeight="1" x14ac:dyDescent="0.4"/>
    <row r="343" ht="26.25" customHeight="1" x14ac:dyDescent="0.4"/>
    <row r="344" ht="26.25" customHeight="1" x14ac:dyDescent="0.4"/>
    <row r="345" ht="26.25" customHeight="1" x14ac:dyDescent="0.4"/>
    <row r="346" ht="26.25" customHeight="1" x14ac:dyDescent="0.4"/>
    <row r="347" ht="26.25" customHeight="1" x14ac:dyDescent="0.4"/>
    <row r="348" ht="26.25" customHeight="1" x14ac:dyDescent="0.4"/>
    <row r="349" ht="26.25" customHeight="1" x14ac:dyDescent="0.4"/>
    <row r="350" ht="26.25" customHeight="1" x14ac:dyDescent="0.4"/>
    <row r="351" ht="26.25" customHeight="1" x14ac:dyDescent="0.4"/>
    <row r="352" ht="26.25" customHeight="1" x14ac:dyDescent="0.4"/>
    <row r="353" ht="26.25" customHeight="1" x14ac:dyDescent="0.4"/>
    <row r="354" ht="26.25" customHeight="1" x14ac:dyDescent="0.4"/>
    <row r="355" ht="26.25" customHeight="1" x14ac:dyDescent="0.4"/>
    <row r="356" ht="26.25" customHeight="1" x14ac:dyDescent="0.4"/>
    <row r="357" ht="26.25" customHeight="1" x14ac:dyDescent="0.4"/>
    <row r="358" ht="26.25" customHeight="1" x14ac:dyDescent="0.4"/>
    <row r="359" ht="26.25" customHeight="1" x14ac:dyDescent="0.4"/>
    <row r="360" ht="26.25" customHeight="1" x14ac:dyDescent="0.4"/>
    <row r="361" ht="26.25" customHeight="1" x14ac:dyDescent="0.4"/>
    <row r="362" ht="26.25" customHeight="1" x14ac:dyDescent="0.4"/>
    <row r="363" ht="26.25" customHeight="1" x14ac:dyDescent="0.4"/>
    <row r="364" ht="26.25" customHeight="1" x14ac:dyDescent="0.4"/>
    <row r="365" ht="26.25" customHeight="1" x14ac:dyDescent="0.4"/>
    <row r="366" ht="26.25" customHeight="1" x14ac:dyDescent="0.4"/>
    <row r="367" ht="26.25" customHeight="1" x14ac:dyDescent="0.4"/>
    <row r="368" ht="26.25" customHeight="1" x14ac:dyDescent="0.4"/>
    <row r="369" ht="26.25" customHeight="1" x14ac:dyDescent="0.4"/>
    <row r="370" ht="26.25" customHeight="1" x14ac:dyDescent="0.4"/>
    <row r="371" ht="26.25" customHeight="1" x14ac:dyDescent="0.4"/>
    <row r="372" ht="26.25" customHeight="1" x14ac:dyDescent="0.4"/>
    <row r="373" ht="26.25" customHeight="1" x14ac:dyDescent="0.4"/>
    <row r="374" ht="26.25" customHeight="1" x14ac:dyDescent="0.4"/>
    <row r="375" ht="26.25" customHeight="1" x14ac:dyDescent="0.4"/>
    <row r="376" ht="26.25" customHeight="1" x14ac:dyDescent="0.4"/>
    <row r="377" ht="26.25" customHeight="1" x14ac:dyDescent="0.4"/>
    <row r="378" ht="26.25" customHeight="1" x14ac:dyDescent="0.4"/>
    <row r="379" ht="26.25" customHeight="1" x14ac:dyDescent="0.4"/>
    <row r="380" ht="26.25" customHeight="1" x14ac:dyDescent="0.4"/>
    <row r="381" ht="26.25" customHeight="1" x14ac:dyDescent="0.4"/>
    <row r="382" ht="26.25" customHeight="1" x14ac:dyDescent="0.4"/>
    <row r="383" ht="26.25" customHeight="1" x14ac:dyDescent="0.4"/>
    <row r="384" ht="26.25" customHeight="1" x14ac:dyDescent="0.4"/>
    <row r="385" ht="26.25" customHeight="1" x14ac:dyDescent="0.4"/>
    <row r="386" ht="26.25" customHeight="1" x14ac:dyDescent="0.4"/>
    <row r="387" ht="26.25" customHeight="1" x14ac:dyDescent="0.4"/>
    <row r="388" ht="26.25" customHeight="1" x14ac:dyDescent="0.4"/>
    <row r="389" ht="26.25" customHeight="1" x14ac:dyDescent="0.4"/>
    <row r="390" ht="26.25" customHeight="1" x14ac:dyDescent="0.4"/>
    <row r="391" ht="26.25" customHeight="1" x14ac:dyDescent="0.4"/>
    <row r="392" ht="26.25" customHeight="1" x14ac:dyDescent="0.4"/>
    <row r="393" ht="26.25" customHeight="1" x14ac:dyDescent="0.4"/>
    <row r="394" ht="26.25" customHeight="1" x14ac:dyDescent="0.4"/>
    <row r="395" ht="26.25" customHeight="1" x14ac:dyDescent="0.4"/>
    <row r="396" ht="26.25" customHeight="1" x14ac:dyDescent="0.4"/>
    <row r="397" ht="26.25" customHeight="1" x14ac:dyDescent="0.4"/>
    <row r="398" ht="26.25" customHeight="1" x14ac:dyDescent="0.4"/>
    <row r="399" ht="26.25" customHeight="1" x14ac:dyDescent="0.4"/>
    <row r="400" ht="26.25" customHeight="1" x14ac:dyDescent="0.4"/>
    <row r="401" ht="26.25" customHeight="1" x14ac:dyDescent="0.4"/>
    <row r="402" ht="26.25" customHeight="1" x14ac:dyDescent="0.4"/>
    <row r="403" ht="26.25" customHeight="1" x14ac:dyDescent="0.4"/>
    <row r="404" ht="26.25" customHeight="1" x14ac:dyDescent="0.4"/>
    <row r="405" ht="26.25" customHeight="1" x14ac:dyDescent="0.4"/>
    <row r="406" ht="26.25" customHeight="1" x14ac:dyDescent="0.4"/>
    <row r="407" ht="26.25" customHeight="1" x14ac:dyDescent="0.4"/>
    <row r="408" ht="26.25" customHeight="1" x14ac:dyDescent="0.4"/>
    <row r="409" ht="26.25" customHeight="1" x14ac:dyDescent="0.4"/>
    <row r="410" ht="26.25" customHeight="1" x14ac:dyDescent="0.4"/>
    <row r="411" ht="26.25" customHeight="1" x14ac:dyDescent="0.4"/>
    <row r="412" ht="26.25" customHeight="1" x14ac:dyDescent="0.4"/>
    <row r="413" ht="26.25" customHeight="1" x14ac:dyDescent="0.4"/>
    <row r="414" ht="26.25" customHeight="1" x14ac:dyDescent="0.4"/>
    <row r="415" ht="26.25" customHeight="1" x14ac:dyDescent="0.4"/>
    <row r="416" ht="26.25" customHeight="1" x14ac:dyDescent="0.4"/>
    <row r="417" ht="26.25" customHeight="1" x14ac:dyDescent="0.4"/>
    <row r="418" ht="26.25" customHeight="1" x14ac:dyDescent="0.4"/>
    <row r="419" ht="26.25" customHeight="1" x14ac:dyDescent="0.4"/>
    <row r="420" ht="26.25" customHeight="1" x14ac:dyDescent="0.4"/>
    <row r="421" ht="26.25" customHeight="1" x14ac:dyDescent="0.4"/>
    <row r="422" ht="26.25" customHeight="1" x14ac:dyDescent="0.4"/>
    <row r="423" ht="26.25" customHeight="1" x14ac:dyDescent="0.4"/>
    <row r="424" ht="26.25" customHeight="1" x14ac:dyDescent="0.4"/>
    <row r="425" ht="26.25" customHeight="1" x14ac:dyDescent="0.4"/>
    <row r="426" ht="26.25" customHeight="1" x14ac:dyDescent="0.4"/>
    <row r="427" ht="26.25" customHeight="1" x14ac:dyDescent="0.4"/>
    <row r="428" ht="26.25" customHeight="1" x14ac:dyDescent="0.4"/>
    <row r="429" ht="26.25" customHeight="1" x14ac:dyDescent="0.4"/>
    <row r="430" ht="26.25" customHeight="1" x14ac:dyDescent="0.4"/>
    <row r="431" ht="26.25" customHeight="1" x14ac:dyDescent="0.4"/>
    <row r="432" ht="26.25" customHeight="1" x14ac:dyDescent="0.4"/>
    <row r="433" ht="26.25" customHeight="1" x14ac:dyDescent="0.4"/>
    <row r="434" ht="26.25" customHeight="1" x14ac:dyDescent="0.4"/>
    <row r="435" ht="26.25" customHeight="1" x14ac:dyDescent="0.4"/>
    <row r="436" ht="26.25" customHeight="1" x14ac:dyDescent="0.4"/>
    <row r="437" ht="26.25" customHeight="1" x14ac:dyDescent="0.4"/>
    <row r="438" ht="26.25" customHeight="1" x14ac:dyDescent="0.4"/>
    <row r="439" ht="26.25" customHeight="1" x14ac:dyDescent="0.4"/>
    <row r="440" ht="26.25" customHeight="1" x14ac:dyDescent="0.4"/>
    <row r="441" ht="26.25" customHeight="1" x14ac:dyDescent="0.4"/>
    <row r="442" ht="26.25" customHeight="1" x14ac:dyDescent="0.4"/>
    <row r="443" ht="26.25" customHeight="1" x14ac:dyDescent="0.4"/>
    <row r="444" ht="26.25" customHeight="1" x14ac:dyDescent="0.4"/>
    <row r="445" ht="26.25" customHeight="1" x14ac:dyDescent="0.4"/>
    <row r="446" ht="26.25" customHeight="1" x14ac:dyDescent="0.4"/>
    <row r="447" ht="26.25" customHeight="1" x14ac:dyDescent="0.4"/>
    <row r="448" ht="26.25" customHeight="1" x14ac:dyDescent="0.4"/>
    <row r="449" ht="26.25" customHeight="1" x14ac:dyDescent="0.4"/>
    <row r="450" ht="26.25" customHeight="1" x14ac:dyDescent="0.4"/>
    <row r="451" ht="26.25" customHeight="1" x14ac:dyDescent="0.4"/>
    <row r="452" ht="26.25" customHeight="1" x14ac:dyDescent="0.4"/>
    <row r="453" ht="26.25" customHeight="1" x14ac:dyDescent="0.4"/>
    <row r="454" ht="26.25" customHeight="1" x14ac:dyDescent="0.4"/>
    <row r="455" ht="26.25" customHeight="1" x14ac:dyDescent="0.4"/>
    <row r="456" ht="26.25" customHeight="1" x14ac:dyDescent="0.4"/>
    <row r="457" ht="26.25" customHeight="1" x14ac:dyDescent="0.4"/>
    <row r="458" ht="26.25" customHeight="1" x14ac:dyDescent="0.4"/>
    <row r="459" ht="26.25" customHeight="1" x14ac:dyDescent="0.4"/>
    <row r="460" ht="26.25" customHeight="1" x14ac:dyDescent="0.4"/>
    <row r="461" ht="26.25" customHeight="1" x14ac:dyDescent="0.4"/>
    <row r="462" ht="26.25" customHeight="1" x14ac:dyDescent="0.4"/>
    <row r="463" ht="26.25" customHeight="1" x14ac:dyDescent="0.4"/>
    <row r="464" ht="26.25" customHeight="1" x14ac:dyDescent="0.4"/>
    <row r="465" ht="26.25" customHeight="1" x14ac:dyDescent="0.4"/>
    <row r="466" ht="26.25" customHeight="1" x14ac:dyDescent="0.4"/>
    <row r="467" ht="26.25" customHeight="1" x14ac:dyDescent="0.4"/>
    <row r="468" ht="26.25" customHeight="1" x14ac:dyDescent="0.4"/>
    <row r="469" ht="26.25" customHeight="1" x14ac:dyDescent="0.4"/>
    <row r="470" ht="26.25" customHeight="1" x14ac:dyDescent="0.4"/>
    <row r="471" ht="26.25" customHeight="1" x14ac:dyDescent="0.4"/>
    <row r="472" ht="26.25" customHeight="1" x14ac:dyDescent="0.4"/>
    <row r="473" ht="26.25" customHeight="1" x14ac:dyDescent="0.4"/>
    <row r="474" ht="26.25" customHeight="1" x14ac:dyDescent="0.4"/>
    <row r="475" ht="26.25" customHeight="1" x14ac:dyDescent="0.4"/>
    <row r="476" ht="26.25" customHeight="1" x14ac:dyDescent="0.4"/>
    <row r="477" ht="26.25" customHeight="1" x14ac:dyDescent="0.4"/>
    <row r="478" ht="26.25" customHeight="1" x14ac:dyDescent="0.4"/>
    <row r="479" ht="26.25" customHeight="1" x14ac:dyDescent="0.4"/>
    <row r="480" ht="26.25" customHeight="1" x14ac:dyDescent="0.4"/>
    <row r="481" ht="26.25" customHeight="1" x14ac:dyDescent="0.4"/>
    <row r="482" ht="26.25" customHeight="1" x14ac:dyDescent="0.4"/>
    <row r="483" ht="26.25" customHeight="1" x14ac:dyDescent="0.4"/>
    <row r="484" ht="26.25" customHeight="1" x14ac:dyDescent="0.4"/>
    <row r="485" ht="26.25" customHeight="1" x14ac:dyDescent="0.4"/>
    <row r="486" ht="26.25" customHeight="1" x14ac:dyDescent="0.4"/>
    <row r="487" ht="26.25" customHeight="1" x14ac:dyDescent="0.4"/>
    <row r="488" ht="26.25" customHeight="1" x14ac:dyDescent="0.4"/>
    <row r="489" ht="26.25" customHeight="1" x14ac:dyDescent="0.4"/>
    <row r="490" ht="26.25" customHeight="1" x14ac:dyDescent="0.4"/>
    <row r="491" ht="26.25" customHeight="1" x14ac:dyDescent="0.4"/>
    <row r="492" ht="26.25" customHeight="1" x14ac:dyDescent="0.4"/>
    <row r="493" ht="26.25" customHeight="1" x14ac:dyDescent="0.4"/>
    <row r="494" ht="26.25" customHeight="1" x14ac:dyDescent="0.4"/>
    <row r="495" ht="26.25" customHeight="1" x14ac:dyDescent="0.4"/>
    <row r="496" ht="26.25" customHeight="1" x14ac:dyDescent="0.4"/>
    <row r="497" ht="26.25" customHeight="1" x14ac:dyDescent="0.4"/>
    <row r="498" ht="26.25" customHeight="1" x14ac:dyDescent="0.4"/>
    <row r="499" ht="26.25" customHeight="1" x14ac:dyDescent="0.4"/>
    <row r="500" ht="26.25" customHeight="1" x14ac:dyDescent="0.4"/>
    <row r="501" ht="26.25" customHeight="1" x14ac:dyDescent="0.4"/>
    <row r="502" ht="26.25" customHeight="1" x14ac:dyDescent="0.4"/>
    <row r="503" ht="26.25" customHeight="1" x14ac:dyDescent="0.4"/>
    <row r="504" ht="26.25" customHeight="1" x14ac:dyDescent="0.4"/>
    <row r="505" ht="26.25" customHeight="1" x14ac:dyDescent="0.4"/>
    <row r="506" ht="26.25" customHeight="1" x14ac:dyDescent="0.4"/>
    <row r="507" ht="26.25" customHeight="1" x14ac:dyDescent="0.4"/>
    <row r="508" ht="26.25" customHeight="1" x14ac:dyDescent="0.4"/>
    <row r="509" ht="26.25" customHeight="1" x14ac:dyDescent="0.4"/>
    <row r="510" ht="26.25" customHeight="1" x14ac:dyDescent="0.4"/>
    <row r="511" ht="26.25" customHeight="1" x14ac:dyDescent="0.4"/>
    <row r="512" ht="26.25" customHeight="1" x14ac:dyDescent="0.4"/>
    <row r="513" ht="26.25" customHeight="1" x14ac:dyDescent="0.4"/>
    <row r="514" ht="26.25" customHeight="1" x14ac:dyDescent="0.4"/>
    <row r="515" ht="26.25" customHeight="1" x14ac:dyDescent="0.4"/>
    <row r="516" ht="26.25" customHeight="1" x14ac:dyDescent="0.4"/>
    <row r="517" ht="26.25" customHeight="1" x14ac:dyDescent="0.4"/>
    <row r="518" ht="26.25" customHeight="1" x14ac:dyDescent="0.4"/>
    <row r="519" ht="26.25" customHeight="1" x14ac:dyDescent="0.4"/>
    <row r="520" ht="26.25" customHeight="1" x14ac:dyDescent="0.4"/>
    <row r="521" ht="26.25" customHeight="1" x14ac:dyDescent="0.4"/>
    <row r="522" ht="26.25" customHeight="1" x14ac:dyDescent="0.4"/>
    <row r="523" ht="26.25" customHeight="1" x14ac:dyDescent="0.4"/>
    <row r="524" ht="26.25" customHeight="1" x14ac:dyDescent="0.4"/>
    <row r="525" ht="26.25" customHeight="1" x14ac:dyDescent="0.4"/>
    <row r="526" ht="26.25" customHeight="1" x14ac:dyDescent="0.4"/>
    <row r="527" ht="26.25" customHeight="1" x14ac:dyDescent="0.4"/>
    <row r="528" ht="26.25" customHeight="1" x14ac:dyDescent="0.4"/>
    <row r="529" ht="26.25" customHeight="1" x14ac:dyDescent="0.4"/>
    <row r="530" ht="26.25" customHeight="1" x14ac:dyDescent="0.4"/>
    <row r="531" ht="26.25" customHeight="1" x14ac:dyDescent="0.4"/>
    <row r="532" ht="26.25" customHeight="1" x14ac:dyDescent="0.4"/>
    <row r="533" ht="26.25" customHeight="1" x14ac:dyDescent="0.4"/>
    <row r="534" ht="26.25" customHeight="1" x14ac:dyDescent="0.4"/>
    <row r="535" ht="26.25" customHeight="1" x14ac:dyDescent="0.4"/>
    <row r="536" ht="26.25" customHeight="1" x14ac:dyDescent="0.4"/>
    <row r="537" ht="26.25" customHeight="1" x14ac:dyDescent="0.4"/>
    <row r="538" ht="26.25" customHeight="1" x14ac:dyDescent="0.4"/>
    <row r="539" ht="26.25" customHeight="1" x14ac:dyDescent="0.4"/>
    <row r="540" ht="26.25" customHeight="1" x14ac:dyDescent="0.4"/>
    <row r="541" ht="26.25" customHeight="1" x14ac:dyDescent="0.4"/>
    <row r="542" ht="26.25" customHeight="1" x14ac:dyDescent="0.4"/>
    <row r="543" ht="26.25" customHeight="1" x14ac:dyDescent="0.4"/>
    <row r="544" ht="26.25" customHeight="1" x14ac:dyDescent="0.4"/>
    <row r="545" ht="26.25" customHeight="1" x14ac:dyDescent="0.4"/>
    <row r="546" ht="26.25" customHeight="1" x14ac:dyDescent="0.4"/>
    <row r="547" ht="26.25" customHeight="1" x14ac:dyDescent="0.4"/>
    <row r="548" ht="26.25" customHeight="1" x14ac:dyDescent="0.4"/>
    <row r="549" ht="26.25" customHeight="1" x14ac:dyDescent="0.4"/>
    <row r="550" ht="26.25" customHeight="1" x14ac:dyDescent="0.4"/>
    <row r="551" ht="26.25" customHeight="1" x14ac:dyDescent="0.4"/>
    <row r="552" ht="26.25" customHeight="1" x14ac:dyDescent="0.4"/>
    <row r="553" ht="26.25" customHeight="1" x14ac:dyDescent="0.4"/>
    <row r="554" ht="26.25" customHeight="1" x14ac:dyDescent="0.4"/>
    <row r="555" ht="26.25" customHeight="1" x14ac:dyDescent="0.4"/>
    <row r="556" ht="26.25" customHeight="1" x14ac:dyDescent="0.4"/>
    <row r="557" ht="26.25" customHeight="1" x14ac:dyDescent="0.4"/>
    <row r="558" ht="26.25" customHeight="1" x14ac:dyDescent="0.4"/>
    <row r="559" ht="26.25" customHeight="1" x14ac:dyDescent="0.4"/>
    <row r="560" ht="26.25" customHeight="1" x14ac:dyDescent="0.4"/>
    <row r="561" ht="26.25" customHeight="1" x14ac:dyDescent="0.4"/>
    <row r="562" ht="26.25" customHeight="1" x14ac:dyDescent="0.4"/>
    <row r="563" ht="26.25" customHeight="1" x14ac:dyDescent="0.4"/>
    <row r="564" ht="26.25" customHeight="1" x14ac:dyDescent="0.4"/>
    <row r="565" ht="26.25" customHeight="1" x14ac:dyDescent="0.4"/>
    <row r="566" ht="26.25" customHeight="1" x14ac:dyDescent="0.4"/>
    <row r="567" ht="26.25" customHeight="1" x14ac:dyDescent="0.4"/>
    <row r="568" ht="26.25" customHeight="1" x14ac:dyDescent="0.4"/>
    <row r="569" ht="26.25" customHeight="1" x14ac:dyDescent="0.4"/>
    <row r="570" ht="26.25" customHeight="1" x14ac:dyDescent="0.4"/>
    <row r="571" ht="26.25" customHeight="1" x14ac:dyDescent="0.4"/>
    <row r="572" ht="26.25" customHeight="1" x14ac:dyDescent="0.4"/>
    <row r="573" ht="26.25" customHeight="1" x14ac:dyDescent="0.4"/>
    <row r="574" ht="26.25" customHeight="1" x14ac:dyDescent="0.4"/>
    <row r="575" ht="26.25" customHeight="1" x14ac:dyDescent="0.4"/>
    <row r="576" ht="26.25" customHeight="1" x14ac:dyDescent="0.4"/>
    <row r="577" ht="26.25" customHeight="1" x14ac:dyDescent="0.4"/>
    <row r="578" ht="26.25" customHeight="1" x14ac:dyDescent="0.4"/>
    <row r="579" ht="26.25" customHeight="1" x14ac:dyDescent="0.4"/>
    <row r="580" ht="26.25" customHeight="1" x14ac:dyDescent="0.4"/>
    <row r="581" ht="26.25" customHeight="1" x14ac:dyDescent="0.4"/>
    <row r="582" ht="26.25" customHeight="1" x14ac:dyDescent="0.4"/>
    <row r="583" ht="26.25" customHeight="1" x14ac:dyDescent="0.4"/>
    <row r="584" ht="26.25" customHeight="1" x14ac:dyDescent="0.4"/>
    <row r="585" ht="26.25" customHeight="1" x14ac:dyDescent="0.4"/>
    <row r="586" ht="26.25" customHeight="1" x14ac:dyDescent="0.4"/>
    <row r="587" ht="26.25" customHeight="1" x14ac:dyDescent="0.4"/>
    <row r="588" ht="26.25" customHeight="1" x14ac:dyDescent="0.4"/>
    <row r="589" ht="26.25" customHeight="1" x14ac:dyDescent="0.4"/>
    <row r="590" ht="26.25" customHeight="1" x14ac:dyDescent="0.4"/>
    <row r="591" ht="26.25" customHeight="1" x14ac:dyDescent="0.4"/>
    <row r="592" ht="26.25" customHeight="1" x14ac:dyDescent="0.4"/>
    <row r="593" ht="26.25" customHeight="1" x14ac:dyDescent="0.4"/>
    <row r="594" ht="26.25" customHeight="1" x14ac:dyDescent="0.4"/>
    <row r="595" ht="26.25" customHeight="1" x14ac:dyDescent="0.4"/>
    <row r="596" ht="26.25" customHeight="1" x14ac:dyDescent="0.4"/>
    <row r="597" ht="26.25" customHeight="1" x14ac:dyDescent="0.4"/>
    <row r="598" ht="26.25" customHeight="1" x14ac:dyDescent="0.4"/>
    <row r="599" ht="26.25" customHeight="1" x14ac:dyDescent="0.4"/>
    <row r="600" ht="26.25" customHeight="1" x14ac:dyDescent="0.4"/>
    <row r="601" ht="26.25" customHeight="1" x14ac:dyDescent="0.4"/>
    <row r="602" ht="26.25" customHeight="1" x14ac:dyDescent="0.4"/>
    <row r="603" ht="26.25" customHeight="1" x14ac:dyDescent="0.4"/>
    <row r="604" ht="26.25" customHeight="1" x14ac:dyDescent="0.4"/>
    <row r="605" ht="26.25" customHeight="1" x14ac:dyDescent="0.4"/>
    <row r="606" ht="26.25" customHeight="1" x14ac:dyDescent="0.4"/>
    <row r="607" ht="26.25" customHeight="1" x14ac:dyDescent="0.4"/>
    <row r="608" ht="26.25" customHeight="1" x14ac:dyDescent="0.4"/>
    <row r="609" ht="26.25" customHeight="1" x14ac:dyDescent="0.4"/>
    <row r="610" ht="26.25" customHeight="1" x14ac:dyDescent="0.4"/>
    <row r="611" ht="26.25" customHeight="1" x14ac:dyDescent="0.4"/>
    <row r="612" ht="26.25" customHeight="1" x14ac:dyDescent="0.4"/>
    <row r="613" ht="26.25" customHeight="1" x14ac:dyDescent="0.4"/>
    <row r="614" ht="26.25" customHeight="1" x14ac:dyDescent="0.4"/>
    <row r="615" ht="26.25" customHeight="1" x14ac:dyDescent="0.4"/>
    <row r="616" ht="26.25" customHeight="1" x14ac:dyDescent="0.4"/>
    <row r="617" ht="26.25" customHeight="1" x14ac:dyDescent="0.4"/>
    <row r="618" ht="26.25" customHeight="1" x14ac:dyDescent="0.4"/>
    <row r="619" ht="26.25" customHeight="1" x14ac:dyDescent="0.4"/>
    <row r="620" ht="26.25" customHeight="1" x14ac:dyDescent="0.4"/>
    <row r="621" ht="26.25" customHeight="1" x14ac:dyDescent="0.4"/>
    <row r="622" ht="26.25" customHeight="1" x14ac:dyDescent="0.4"/>
    <row r="623" ht="26.25" customHeight="1" x14ac:dyDescent="0.4"/>
    <row r="624" ht="26.25" customHeight="1" x14ac:dyDescent="0.4"/>
    <row r="625" ht="26.25" customHeight="1" x14ac:dyDescent="0.4"/>
    <row r="626" ht="26.25" customHeight="1" x14ac:dyDescent="0.4"/>
    <row r="627" ht="26.25" customHeight="1" x14ac:dyDescent="0.4"/>
    <row r="628" ht="26.25" customHeight="1" x14ac:dyDescent="0.4"/>
    <row r="629" ht="26.25" customHeight="1" x14ac:dyDescent="0.4"/>
    <row r="630" ht="26.25" customHeight="1" x14ac:dyDescent="0.4"/>
    <row r="631" ht="26.25" customHeight="1" x14ac:dyDescent="0.4"/>
    <row r="632" ht="26.25" customHeight="1" x14ac:dyDescent="0.4"/>
    <row r="633" ht="26.25" customHeight="1" x14ac:dyDescent="0.4"/>
    <row r="634" ht="26.25" customHeight="1" x14ac:dyDescent="0.4"/>
    <row r="635" ht="26.25" customHeight="1" x14ac:dyDescent="0.4"/>
    <row r="636" ht="26.25" customHeight="1" x14ac:dyDescent="0.4"/>
    <row r="637" ht="26.25" customHeight="1" x14ac:dyDescent="0.4"/>
    <row r="638" ht="26.25" customHeight="1" x14ac:dyDescent="0.4"/>
    <row r="639" ht="26.25" customHeight="1" x14ac:dyDescent="0.4"/>
    <row r="640" ht="26.25" customHeight="1" x14ac:dyDescent="0.4"/>
    <row r="641" ht="26.25" customHeight="1" x14ac:dyDescent="0.4"/>
    <row r="642" ht="26.25" customHeight="1" x14ac:dyDescent="0.4"/>
    <row r="643" ht="26.25" customHeight="1" x14ac:dyDescent="0.4"/>
    <row r="644" ht="26.25" customHeight="1" x14ac:dyDescent="0.4"/>
    <row r="645" ht="26.25" customHeight="1" x14ac:dyDescent="0.4"/>
    <row r="646" ht="26.25" customHeight="1" x14ac:dyDescent="0.4"/>
    <row r="647" ht="26.25" customHeight="1" x14ac:dyDescent="0.4"/>
    <row r="648" ht="26.25" customHeight="1" x14ac:dyDescent="0.4"/>
    <row r="649" ht="26.25" customHeight="1" x14ac:dyDescent="0.4"/>
    <row r="650" ht="26.25" customHeight="1" x14ac:dyDescent="0.4"/>
    <row r="651" ht="26.25" customHeight="1" x14ac:dyDescent="0.4"/>
    <row r="652" ht="26.25" customHeight="1" x14ac:dyDescent="0.4"/>
    <row r="653" ht="26.25" customHeight="1" x14ac:dyDescent="0.4"/>
    <row r="654" ht="26.25" customHeight="1" x14ac:dyDescent="0.4"/>
    <row r="655" ht="26.25" customHeight="1" x14ac:dyDescent="0.4"/>
    <row r="656" ht="26.25" customHeight="1" x14ac:dyDescent="0.4"/>
    <row r="657" ht="26.25" customHeight="1" x14ac:dyDescent="0.4"/>
    <row r="658" ht="26.25" customHeight="1" x14ac:dyDescent="0.4"/>
    <row r="659" ht="26.25" customHeight="1" x14ac:dyDescent="0.4"/>
    <row r="660" ht="26.25" customHeight="1" x14ac:dyDescent="0.4"/>
    <row r="661" ht="26.25" customHeight="1" x14ac:dyDescent="0.4"/>
    <row r="662" ht="26.25" customHeight="1" x14ac:dyDescent="0.4"/>
    <row r="663" ht="26.25" customHeight="1" x14ac:dyDescent="0.4"/>
    <row r="664" ht="26.25" customHeight="1" x14ac:dyDescent="0.4"/>
    <row r="665" ht="26.25" customHeight="1" x14ac:dyDescent="0.4"/>
    <row r="666" ht="26.25" customHeight="1" x14ac:dyDescent="0.4"/>
    <row r="667" ht="26.25" customHeight="1" x14ac:dyDescent="0.4"/>
    <row r="668" ht="26.25" customHeight="1" x14ac:dyDescent="0.4"/>
    <row r="669" ht="26.25" customHeight="1" x14ac:dyDescent="0.4"/>
    <row r="670" ht="26.25" customHeight="1" x14ac:dyDescent="0.4"/>
    <row r="671" ht="26.25" customHeight="1" x14ac:dyDescent="0.4"/>
    <row r="672" ht="26.25" customHeight="1" x14ac:dyDescent="0.4"/>
    <row r="673" ht="26.25" customHeight="1" x14ac:dyDescent="0.4"/>
    <row r="674" ht="26.25" customHeight="1" x14ac:dyDescent="0.4"/>
    <row r="675" ht="26.25" customHeight="1" x14ac:dyDescent="0.4"/>
    <row r="676" ht="26.25" customHeight="1" x14ac:dyDescent="0.4"/>
    <row r="677" ht="26.25" customHeight="1" x14ac:dyDescent="0.4"/>
    <row r="678" ht="26.25" customHeight="1" x14ac:dyDescent="0.4"/>
    <row r="679" ht="26.25" customHeight="1" x14ac:dyDescent="0.4"/>
    <row r="680" ht="26.25" customHeight="1" x14ac:dyDescent="0.4"/>
    <row r="681" ht="26.25" customHeight="1" x14ac:dyDescent="0.4"/>
    <row r="682" ht="26.25" customHeight="1" x14ac:dyDescent="0.4"/>
    <row r="683" ht="26.25" customHeight="1" x14ac:dyDescent="0.4"/>
    <row r="684" ht="26.25" customHeight="1" x14ac:dyDescent="0.4"/>
    <row r="685" ht="26.25" customHeight="1" x14ac:dyDescent="0.4"/>
    <row r="686" ht="26.25" customHeight="1" x14ac:dyDescent="0.4"/>
    <row r="687" ht="26.25" customHeight="1" x14ac:dyDescent="0.4"/>
    <row r="688" ht="26.25" customHeight="1" x14ac:dyDescent="0.4"/>
    <row r="689" ht="26.25" customHeight="1" x14ac:dyDescent="0.4"/>
    <row r="690" ht="26.25" customHeight="1" x14ac:dyDescent="0.4"/>
    <row r="691" ht="26.25" customHeight="1" x14ac:dyDescent="0.4"/>
    <row r="692" ht="26.25" customHeight="1" x14ac:dyDescent="0.4"/>
    <row r="693" ht="26.25" customHeight="1" x14ac:dyDescent="0.4"/>
    <row r="694" ht="26.25" customHeight="1" x14ac:dyDescent="0.4"/>
    <row r="695" ht="26.25" customHeight="1" x14ac:dyDescent="0.4"/>
    <row r="696" ht="26.25" customHeight="1" x14ac:dyDescent="0.4"/>
    <row r="697" ht="26.25" customHeight="1" x14ac:dyDescent="0.4"/>
    <row r="698" ht="26.25" customHeight="1" x14ac:dyDescent="0.4"/>
    <row r="699" ht="26.25" customHeight="1" x14ac:dyDescent="0.4"/>
    <row r="700" ht="26.25" customHeight="1" x14ac:dyDescent="0.4"/>
    <row r="701" ht="26.25" customHeight="1" x14ac:dyDescent="0.4"/>
    <row r="702" ht="26.25" customHeight="1" x14ac:dyDescent="0.4"/>
    <row r="703" ht="26.25" customHeight="1" x14ac:dyDescent="0.4"/>
    <row r="704" ht="26.25" customHeight="1" x14ac:dyDescent="0.4"/>
    <row r="705" ht="26.25" customHeight="1" x14ac:dyDescent="0.4"/>
    <row r="706" ht="26.25" customHeight="1" x14ac:dyDescent="0.4"/>
    <row r="707" ht="26.25" customHeight="1" x14ac:dyDescent="0.4"/>
    <row r="708" ht="26.25" customHeight="1" x14ac:dyDescent="0.4"/>
    <row r="709" ht="26.25" customHeight="1" x14ac:dyDescent="0.4"/>
    <row r="710" ht="26.25" customHeight="1" x14ac:dyDescent="0.4"/>
    <row r="711" ht="26.25" customHeight="1" x14ac:dyDescent="0.4"/>
    <row r="712" ht="26.25" customHeight="1" x14ac:dyDescent="0.4"/>
    <row r="713" ht="26.25" customHeight="1" x14ac:dyDescent="0.4"/>
    <row r="714" ht="26.25" customHeight="1" x14ac:dyDescent="0.4"/>
    <row r="715" ht="26.25" customHeight="1" x14ac:dyDescent="0.4"/>
    <row r="716" ht="26.25" customHeight="1" x14ac:dyDescent="0.4"/>
    <row r="717" ht="26.25" customHeight="1" x14ac:dyDescent="0.4"/>
    <row r="718" ht="26.25" customHeight="1" x14ac:dyDescent="0.4"/>
    <row r="719" ht="26.25" customHeight="1" x14ac:dyDescent="0.4"/>
    <row r="720" ht="26.25" customHeight="1" x14ac:dyDescent="0.4"/>
    <row r="721" ht="26.25" customHeight="1" x14ac:dyDescent="0.4"/>
    <row r="722" ht="26.25" customHeight="1" x14ac:dyDescent="0.4"/>
    <row r="723" ht="26.25" customHeight="1" x14ac:dyDescent="0.4"/>
    <row r="724" ht="26.25" customHeight="1" x14ac:dyDescent="0.4"/>
    <row r="725" ht="26.25" customHeight="1" x14ac:dyDescent="0.4"/>
    <row r="726" ht="26.25" customHeight="1" x14ac:dyDescent="0.4"/>
    <row r="727" ht="26.25" customHeight="1" x14ac:dyDescent="0.4"/>
    <row r="728" ht="26.25" customHeight="1" x14ac:dyDescent="0.4"/>
    <row r="729" ht="26.25" customHeight="1" x14ac:dyDescent="0.4"/>
    <row r="730" ht="26.25" customHeight="1" x14ac:dyDescent="0.4"/>
    <row r="731" ht="26.25" customHeight="1" x14ac:dyDescent="0.4"/>
    <row r="732" ht="26.25" customHeight="1" x14ac:dyDescent="0.4"/>
    <row r="733" ht="26.25" customHeight="1" x14ac:dyDescent="0.4"/>
    <row r="734" ht="26.25" customHeight="1" x14ac:dyDescent="0.4"/>
    <row r="735" ht="26.25" customHeight="1" x14ac:dyDescent="0.4"/>
    <row r="736" ht="26.25" customHeight="1" x14ac:dyDescent="0.4"/>
    <row r="737" ht="26.25" customHeight="1" x14ac:dyDescent="0.4"/>
    <row r="738" ht="26.25" customHeight="1" x14ac:dyDescent="0.4"/>
    <row r="739" ht="26.25" customHeight="1" x14ac:dyDescent="0.4"/>
    <row r="740" ht="26.25" customHeight="1" x14ac:dyDescent="0.4"/>
    <row r="741" ht="26.25" customHeight="1" x14ac:dyDescent="0.4"/>
    <row r="742" ht="26.25" customHeight="1" x14ac:dyDescent="0.4"/>
    <row r="743" ht="26.25" customHeight="1" x14ac:dyDescent="0.4"/>
    <row r="744" ht="26.25" customHeight="1" x14ac:dyDescent="0.4"/>
    <row r="745" ht="26.25" customHeight="1" x14ac:dyDescent="0.4"/>
    <row r="746" ht="26.25" customHeight="1" x14ac:dyDescent="0.4"/>
    <row r="747" ht="26.25" customHeight="1" x14ac:dyDescent="0.4"/>
    <row r="748" ht="26.25" customHeight="1" x14ac:dyDescent="0.4"/>
    <row r="749" ht="26.25" customHeight="1" x14ac:dyDescent="0.4"/>
    <row r="750" ht="26.25" customHeight="1" x14ac:dyDescent="0.4"/>
    <row r="751" ht="26.25" customHeight="1" x14ac:dyDescent="0.4"/>
    <row r="752" ht="26.25" customHeight="1" x14ac:dyDescent="0.4"/>
    <row r="753" ht="26.25" customHeight="1" x14ac:dyDescent="0.4"/>
    <row r="754" ht="26.25" customHeight="1" x14ac:dyDescent="0.4"/>
    <row r="755" ht="26.25" customHeight="1" x14ac:dyDescent="0.4"/>
    <row r="756" ht="26.25" customHeight="1" x14ac:dyDescent="0.4"/>
    <row r="757" ht="26.25" customHeight="1" x14ac:dyDescent="0.4"/>
    <row r="758" ht="26.25" customHeight="1" x14ac:dyDescent="0.4"/>
    <row r="759" ht="26.25" customHeight="1" x14ac:dyDescent="0.4"/>
    <row r="760" ht="26.25" customHeight="1" x14ac:dyDescent="0.4"/>
    <row r="761" ht="26.25" customHeight="1" x14ac:dyDescent="0.4"/>
    <row r="762" ht="26.25" customHeight="1" x14ac:dyDescent="0.4"/>
    <row r="763" ht="26.25" customHeight="1" x14ac:dyDescent="0.4"/>
    <row r="764" ht="26.25" customHeight="1" x14ac:dyDescent="0.4"/>
    <row r="765" ht="26.25" customHeight="1" x14ac:dyDescent="0.4"/>
    <row r="766" ht="26.25" customHeight="1" x14ac:dyDescent="0.4"/>
    <row r="767" ht="26.25" customHeight="1" x14ac:dyDescent="0.4"/>
    <row r="768" ht="26.25" customHeight="1" x14ac:dyDescent="0.4"/>
    <row r="769" ht="26.25" customHeight="1" x14ac:dyDescent="0.4"/>
    <row r="770" ht="26.25" customHeight="1" x14ac:dyDescent="0.4"/>
    <row r="771" ht="26.25" customHeight="1" x14ac:dyDescent="0.4"/>
    <row r="772" ht="26.25" customHeight="1" x14ac:dyDescent="0.4"/>
    <row r="773" ht="26.25" customHeight="1" x14ac:dyDescent="0.4"/>
    <row r="774" ht="26.25" customHeight="1" x14ac:dyDescent="0.4"/>
    <row r="775" ht="26.25" customHeight="1" x14ac:dyDescent="0.4"/>
    <row r="776" ht="26.25" customHeight="1" x14ac:dyDescent="0.4"/>
    <row r="777" ht="26.25" customHeight="1" x14ac:dyDescent="0.4"/>
    <row r="778" ht="26.25" customHeight="1" x14ac:dyDescent="0.4"/>
    <row r="779" ht="26.25" customHeight="1" x14ac:dyDescent="0.4"/>
    <row r="780" ht="26.25" customHeight="1" x14ac:dyDescent="0.4"/>
    <row r="781" ht="26.25" customHeight="1" x14ac:dyDescent="0.4"/>
    <row r="782" ht="26.25" customHeight="1" x14ac:dyDescent="0.4"/>
    <row r="783" ht="26.25" customHeight="1" x14ac:dyDescent="0.4"/>
    <row r="784" ht="26.25" customHeight="1" x14ac:dyDescent="0.4"/>
    <row r="785" ht="26.25" customHeight="1" x14ac:dyDescent="0.4"/>
    <row r="786" ht="26.25" customHeight="1" x14ac:dyDescent="0.4"/>
    <row r="787" ht="26.25" customHeight="1" x14ac:dyDescent="0.4"/>
    <row r="788" ht="26.25" customHeight="1" x14ac:dyDescent="0.4"/>
    <row r="789" ht="26.25" customHeight="1" x14ac:dyDescent="0.4"/>
    <row r="790" ht="26.25" customHeight="1" x14ac:dyDescent="0.4"/>
    <row r="791" ht="26.25" customHeight="1" x14ac:dyDescent="0.4"/>
    <row r="792" ht="26.25" customHeight="1" x14ac:dyDescent="0.4"/>
    <row r="793" ht="26.25" customHeight="1" x14ac:dyDescent="0.4"/>
    <row r="794" ht="26.25" customHeight="1" x14ac:dyDescent="0.4"/>
    <row r="795" ht="26.25" customHeight="1" x14ac:dyDescent="0.4"/>
    <row r="796" ht="26.25" customHeight="1" x14ac:dyDescent="0.4"/>
    <row r="797" ht="26.25" customHeight="1" x14ac:dyDescent="0.4"/>
    <row r="798" ht="26.25" customHeight="1" x14ac:dyDescent="0.4"/>
    <row r="799" ht="26.25" customHeight="1" x14ac:dyDescent="0.4"/>
    <row r="800" ht="26.25" customHeight="1" x14ac:dyDescent="0.4"/>
    <row r="801" ht="26.25" customHeight="1" x14ac:dyDescent="0.4"/>
    <row r="802" ht="26.25" customHeight="1" x14ac:dyDescent="0.4"/>
    <row r="803" ht="26.25" customHeight="1" x14ac:dyDescent="0.4"/>
    <row r="804" ht="26.25" customHeight="1" x14ac:dyDescent="0.4"/>
    <row r="805" ht="26.25" customHeight="1" x14ac:dyDescent="0.4"/>
    <row r="806" ht="26.25" customHeight="1" x14ac:dyDescent="0.4"/>
    <row r="807" ht="26.25" customHeight="1" x14ac:dyDescent="0.4"/>
    <row r="808" ht="26.25" customHeight="1" x14ac:dyDescent="0.4"/>
    <row r="809" ht="26.25" customHeight="1" x14ac:dyDescent="0.4"/>
    <row r="810" ht="26.25" customHeight="1" x14ac:dyDescent="0.4"/>
    <row r="811" ht="26.25" customHeight="1" x14ac:dyDescent="0.4"/>
    <row r="812" ht="26.25" customHeight="1" x14ac:dyDescent="0.4"/>
    <row r="813" ht="26.25" customHeight="1" x14ac:dyDescent="0.4"/>
    <row r="814" ht="26.25" customHeight="1" x14ac:dyDescent="0.4"/>
    <row r="815" ht="26.25" customHeight="1" x14ac:dyDescent="0.4"/>
    <row r="816" ht="26.25" customHeight="1" x14ac:dyDescent="0.4"/>
    <row r="817" ht="26.25" customHeight="1" x14ac:dyDescent="0.4"/>
    <row r="818" ht="26.25" customHeight="1" x14ac:dyDescent="0.4"/>
    <row r="819" ht="26.25" customHeight="1" x14ac:dyDescent="0.4"/>
    <row r="820" ht="26.25" customHeight="1" x14ac:dyDescent="0.4"/>
    <row r="821" ht="26.25" customHeight="1" x14ac:dyDescent="0.4"/>
    <row r="822" ht="26.25" customHeight="1" x14ac:dyDescent="0.4"/>
    <row r="823" ht="26.25" customHeight="1" x14ac:dyDescent="0.4"/>
    <row r="824" ht="26.25" customHeight="1" x14ac:dyDescent="0.4"/>
    <row r="825" ht="26.25" customHeight="1" x14ac:dyDescent="0.4"/>
    <row r="826" ht="26.25" customHeight="1" x14ac:dyDescent="0.4"/>
    <row r="827" ht="26.25" customHeight="1" x14ac:dyDescent="0.4"/>
    <row r="828" ht="26.25" customHeight="1" x14ac:dyDescent="0.4"/>
    <row r="829" ht="26.25" customHeight="1" x14ac:dyDescent="0.4"/>
    <row r="830" ht="26.25" customHeight="1" x14ac:dyDescent="0.4"/>
    <row r="831" ht="26.25" customHeight="1" x14ac:dyDescent="0.4"/>
    <row r="832" ht="26.25" customHeight="1" x14ac:dyDescent="0.4"/>
    <row r="833" ht="26.25" customHeight="1" x14ac:dyDescent="0.4"/>
    <row r="834" ht="26.25" customHeight="1" x14ac:dyDescent="0.4"/>
    <row r="835" ht="26.25" customHeight="1" x14ac:dyDescent="0.4"/>
    <row r="836" ht="26.25" customHeight="1" x14ac:dyDescent="0.4"/>
    <row r="837" ht="26.25" customHeight="1" x14ac:dyDescent="0.4"/>
    <row r="838" ht="26.25" customHeight="1" x14ac:dyDescent="0.4"/>
    <row r="839" ht="26.25" customHeight="1" x14ac:dyDescent="0.4"/>
    <row r="840" ht="26.25" customHeight="1" x14ac:dyDescent="0.4"/>
    <row r="841" ht="26.25" customHeight="1" x14ac:dyDescent="0.4"/>
    <row r="842" ht="26.25" customHeight="1" x14ac:dyDescent="0.4"/>
    <row r="843" ht="26.25" customHeight="1" x14ac:dyDescent="0.4"/>
    <row r="844" ht="26.25" customHeight="1" x14ac:dyDescent="0.4"/>
    <row r="845" ht="26.25" customHeight="1" x14ac:dyDescent="0.4"/>
    <row r="846" ht="26.25" customHeight="1" x14ac:dyDescent="0.4"/>
    <row r="847" ht="26.25" customHeight="1" x14ac:dyDescent="0.4"/>
    <row r="848" ht="26.25" customHeight="1" x14ac:dyDescent="0.4"/>
    <row r="849" ht="26.25" customHeight="1" x14ac:dyDescent="0.4"/>
    <row r="850" ht="26.25" customHeight="1" x14ac:dyDescent="0.4"/>
  </sheetData>
  <phoneticPr fontId="6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09D9D-5B7B-420E-B68A-DF45780B4F99}">
  <dimension ref="A1"/>
  <sheetViews>
    <sheetView workbookViewId="0"/>
  </sheetViews>
  <sheetFormatPr defaultRowHeight="17.399999999999999" x14ac:dyDescent="0.4"/>
  <sheetData/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BB19F-5C6D-41B8-A543-C5D493F9E5CF}">
  <dimension ref="B1:T850"/>
  <sheetViews>
    <sheetView workbookViewId="0"/>
  </sheetViews>
  <sheetFormatPr defaultRowHeight="17.399999999999999" x14ac:dyDescent="0.4"/>
  <cols>
    <col min="1" max="1" width="2.09765625" customWidth="1"/>
    <col min="2" max="2" width="27.69921875" customWidth="1"/>
    <col min="3" max="6" width="7" customWidth="1"/>
    <col min="7" max="7" width="30.8984375" customWidth="1"/>
    <col min="8" max="8" width="6.3984375" customWidth="1"/>
    <col min="9" max="9" width="18.69921875" customWidth="1"/>
    <col min="10" max="10" width="6.8984375" customWidth="1"/>
    <col min="11" max="11" width="49.19921875" customWidth="1"/>
    <col min="12" max="12" width="11.19921875" customWidth="1"/>
    <col min="13" max="13" width="9.796875" customWidth="1"/>
    <col min="14" max="14" width="13.796875" customWidth="1"/>
    <col min="15" max="16" width="9.796875" customWidth="1"/>
    <col min="17" max="17" width="11.796875" customWidth="1"/>
    <col min="18" max="18" width="12.19921875" customWidth="1"/>
    <col min="19" max="19" width="33.296875" customWidth="1"/>
    <col min="20" max="20" width="57.59765625" customWidth="1"/>
    <col min="21" max="30" width="8.8984375" customWidth="1"/>
  </cols>
  <sheetData>
    <row r="1" spans="2:20" ht="23.25" customHeight="1" x14ac:dyDescent="0.4">
      <c r="B1" s="107" t="s">
        <v>2385</v>
      </c>
      <c r="C1" s="109">
        <v>11.01</v>
      </c>
      <c r="D1" s="15" t="s">
        <v>23</v>
      </c>
      <c r="E1" s="90" t="s">
        <v>2386</v>
      </c>
      <c r="I1" s="44" t="s">
        <v>2387</v>
      </c>
      <c r="L1" s="5">
        <v>1</v>
      </c>
      <c r="M1" s="5">
        <v>6000</v>
      </c>
      <c r="N1" s="5">
        <f>+M1*L1</f>
        <v>6000</v>
      </c>
      <c r="Q1" s="5">
        <f>+N1</f>
        <v>6000</v>
      </c>
      <c r="R1" s="8" t="s">
        <v>2388</v>
      </c>
    </row>
    <row r="2" spans="2:20" ht="23.25" customHeight="1" x14ac:dyDescent="0.4">
      <c r="B2" s="107" t="s">
        <v>2389</v>
      </c>
      <c r="C2" s="18">
        <v>3.24</v>
      </c>
      <c r="D2" s="16" t="s">
        <v>28</v>
      </c>
      <c r="E2" s="20">
        <v>9.0299999999999994</v>
      </c>
      <c r="I2" s="44" t="s">
        <v>2390</v>
      </c>
      <c r="L2" s="5">
        <v>1</v>
      </c>
      <c r="M2" s="5">
        <v>6000</v>
      </c>
      <c r="N2" s="5">
        <f>+M2*L2</f>
        <v>6000</v>
      </c>
      <c r="O2" s="5">
        <f>+N2/1.1</f>
        <v>5454.545454545454</v>
      </c>
      <c r="P2" s="5">
        <f>+N2-O2</f>
        <v>545.45454545454595</v>
      </c>
      <c r="Q2" s="5">
        <f>+N2</f>
        <v>6000</v>
      </c>
      <c r="R2" s="8" t="s">
        <v>2391</v>
      </c>
    </row>
    <row r="3" spans="2:20" ht="23.25" customHeight="1" x14ac:dyDescent="0.4">
      <c r="B3" s="4" t="s">
        <v>701</v>
      </c>
      <c r="M3" s="109" t="s">
        <v>24</v>
      </c>
      <c r="N3" s="20" t="s">
        <v>24</v>
      </c>
      <c r="O3" s="18" t="s">
        <v>24</v>
      </c>
      <c r="P3" s="95" t="s">
        <v>2557</v>
      </c>
      <c r="Q3" s="121" t="s">
        <v>2592</v>
      </c>
      <c r="R3" s="18" t="s">
        <v>2394</v>
      </c>
      <c r="S3" s="5" t="s">
        <v>2559</v>
      </c>
    </row>
    <row r="4" spans="2:20" ht="24.75" customHeight="1" x14ac:dyDescent="0.4">
      <c r="K4" s="65" t="s">
        <v>2473</v>
      </c>
    </row>
    <row r="5" spans="2:20" ht="24.75" customHeight="1" x14ac:dyDescent="0.4">
      <c r="B5" s="108" t="s">
        <v>2396</v>
      </c>
      <c r="G5" s="113" t="s">
        <v>2397</v>
      </c>
      <c r="K5" s="65" t="s">
        <v>2398</v>
      </c>
      <c r="M5" s="7" t="s">
        <v>2560</v>
      </c>
    </row>
    <row r="6" spans="2:20" ht="36" customHeight="1" x14ac:dyDescent="0.4">
      <c r="B6" s="10" t="s">
        <v>30</v>
      </c>
      <c r="C6" s="110" t="s">
        <v>31</v>
      </c>
      <c r="D6" s="10" t="s">
        <v>32</v>
      </c>
      <c r="E6" s="10" t="s">
        <v>33</v>
      </c>
      <c r="F6" s="10" t="s">
        <v>34</v>
      </c>
      <c r="G6" s="16" t="s">
        <v>2399</v>
      </c>
      <c r="H6" s="114" t="s">
        <v>1</v>
      </c>
      <c r="I6" s="9" t="s">
        <v>36</v>
      </c>
      <c r="J6" s="10" t="s">
        <v>37</v>
      </c>
      <c r="K6" s="10" t="s">
        <v>38</v>
      </c>
      <c r="L6" s="10" t="s">
        <v>39</v>
      </c>
      <c r="M6" s="10" t="s">
        <v>40</v>
      </c>
      <c r="N6" s="10" t="s">
        <v>41</v>
      </c>
      <c r="O6" s="10" t="s">
        <v>42</v>
      </c>
      <c r="P6" s="10" t="s">
        <v>43</v>
      </c>
      <c r="Q6" s="10" t="s">
        <v>44</v>
      </c>
      <c r="R6" s="10" t="s">
        <v>45</v>
      </c>
      <c r="S6" s="9" t="s">
        <v>2400</v>
      </c>
      <c r="T6" s="10" t="s">
        <v>2401</v>
      </c>
    </row>
    <row r="7" spans="2:20" hidden="1" x14ac:dyDescent="0.4">
      <c r="B7" s="7" t="s">
        <v>639</v>
      </c>
      <c r="C7" s="8">
        <v>4.04</v>
      </c>
      <c r="D7" s="15" t="s">
        <v>23</v>
      </c>
      <c r="F7" s="8" t="s">
        <v>2368</v>
      </c>
      <c r="G7" s="8" t="s">
        <v>919</v>
      </c>
      <c r="H7" s="4">
        <v>786</v>
      </c>
      <c r="I7" s="4" t="s">
        <v>744</v>
      </c>
      <c r="J7" s="4">
        <v>3.23</v>
      </c>
      <c r="K7" s="4" t="s">
        <v>2593</v>
      </c>
      <c r="L7" s="5">
        <v>5</v>
      </c>
      <c r="M7" s="68">
        <v>6000</v>
      </c>
      <c r="N7" s="8">
        <f>+M7*L7</f>
        <v>30000</v>
      </c>
      <c r="O7" s="5">
        <f>+N7/1.1</f>
        <v>27272.727272727272</v>
      </c>
      <c r="P7" s="5">
        <f>+N7-O7</f>
        <v>2727.2727272727279</v>
      </c>
      <c r="Q7" s="5">
        <f>+N7</f>
        <v>30000</v>
      </c>
      <c r="R7" s="18">
        <v>4.07</v>
      </c>
      <c r="S7" s="4" t="s">
        <v>2594</v>
      </c>
    </row>
    <row r="8" spans="2:20" hidden="1" x14ac:dyDescent="0.4">
      <c r="B8" s="5" t="s">
        <v>26</v>
      </c>
      <c r="C8" s="8">
        <v>4.04</v>
      </c>
      <c r="D8" s="5" t="s">
        <v>23</v>
      </c>
      <c r="F8" s="5" t="s">
        <v>2368</v>
      </c>
      <c r="G8" s="5" t="s">
        <v>893</v>
      </c>
      <c r="H8" s="4">
        <v>786</v>
      </c>
      <c r="I8" s="4" t="s">
        <v>923</v>
      </c>
      <c r="J8" s="4">
        <v>1.19</v>
      </c>
      <c r="K8" s="4" t="s">
        <v>2595</v>
      </c>
      <c r="L8" s="5">
        <v>10</v>
      </c>
      <c r="M8" s="71">
        <v>6000</v>
      </c>
      <c r="N8" s="5">
        <f>+M8*L8</f>
        <v>60000</v>
      </c>
      <c r="O8" s="5">
        <f>+N8/1.1</f>
        <v>54545.454545454544</v>
      </c>
      <c r="P8" s="5">
        <f>+N8-O8</f>
        <v>5454.5454545454559</v>
      </c>
      <c r="Q8" s="5">
        <f>+N8</f>
        <v>60000</v>
      </c>
      <c r="R8" s="18">
        <v>4.12</v>
      </c>
      <c r="S8" s="4" t="s">
        <v>2596</v>
      </c>
    </row>
    <row r="9" spans="2:20" hidden="1" x14ac:dyDescent="0.4">
      <c r="B9" s="8" t="s">
        <v>26</v>
      </c>
      <c r="C9" s="8">
        <v>4.04</v>
      </c>
      <c r="D9" s="15" t="s">
        <v>23</v>
      </c>
      <c r="F9" s="5" t="s">
        <v>2368</v>
      </c>
      <c r="G9" s="5" t="s">
        <v>893</v>
      </c>
      <c r="H9" s="4">
        <v>786</v>
      </c>
      <c r="I9" s="4" t="s">
        <v>923</v>
      </c>
      <c r="J9" s="4">
        <v>2.21</v>
      </c>
      <c r="K9" s="4" t="s">
        <v>2597</v>
      </c>
      <c r="L9" s="5">
        <v>10</v>
      </c>
      <c r="M9" s="68">
        <v>6000</v>
      </c>
      <c r="N9" s="8">
        <f>+M9*L9</f>
        <v>60000</v>
      </c>
      <c r="O9" s="5">
        <f>+N9/1.1</f>
        <v>54545.454545454544</v>
      </c>
      <c r="P9" s="5">
        <f>+N9-O9</f>
        <v>5454.5454545454559</v>
      </c>
      <c r="Q9" s="5">
        <f>+N9</f>
        <v>60000</v>
      </c>
      <c r="R9" s="18">
        <v>4.12</v>
      </c>
      <c r="S9" s="4" t="s">
        <v>544</v>
      </c>
    </row>
    <row r="10" spans="2:20" hidden="1" x14ac:dyDescent="0.4">
      <c r="B10" s="7" t="s">
        <v>639</v>
      </c>
      <c r="C10" s="8">
        <v>4.04</v>
      </c>
      <c r="D10" s="15" t="s">
        <v>23</v>
      </c>
      <c r="F10" s="5" t="s">
        <v>2368</v>
      </c>
      <c r="G10" s="5" t="s">
        <v>893</v>
      </c>
      <c r="H10" s="4">
        <v>786</v>
      </c>
      <c r="I10" s="4" t="s">
        <v>923</v>
      </c>
      <c r="J10" s="4">
        <v>3.23</v>
      </c>
      <c r="K10" s="4" t="s">
        <v>2598</v>
      </c>
      <c r="L10" s="5">
        <v>5</v>
      </c>
      <c r="M10" s="68">
        <v>6000</v>
      </c>
      <c r="N10" s="8">
        <f>+M10*L10</f>
        <v>30000</v>
      </c>
      <c r="O10" s="5">
        <f>+N10/1.1</f>
        <v>27272.727272727272</v>
      </c>
      <c r="P10" s="5">
        <f>+N10-O10</f>
        <v>2727.2727272727279</v>
      </c>
      <c r="Q10" s="5">
        <f>+N10</f>
        <v>30000</v>
      </c>
      <c r="R10" s="18">
        <v>4.13</v>
      </c>
      <c r="S10" s="4" t="s">
        <v>2594</v>
      </c>
    </row>
    <row r="11" spans="2:20" hidden="1" x14ac:dyDescent="0.4">
      <c r="B11" s="7" t="s">
        <v>639</v>
      </c>
      <c r="C11" s="8">
        <v>4.1100000000000003</v>
      </c>
      <c r="D11" s="15" t="s">
        <v>23</v>
      </c>
      <c r="F11" s="8" t="s">
        <v>2368</v>
      </c>
      <c r="G11" s="5" t="s">
        <v>928</v>
      </c>
      <c r="H11" s="4">
        <v>786</v>
      </c>
      <c r="I11" s="12" t="s">
        <v>929</v>
      </c>
      <c r="J11" s="4">
        <v>3.23</v>
      </c>
      <c r="K11" s="4" t="s">
        <v>2599</v>
      </c>
      <c r="L11" s="5">
        <v>5</v>
      </c>
      <c r="M11" s="68">
        <v>6000</v>
      </c>
      <c r="N11" s="8">
        <f>+M11*L11</f>
        <v>30000</v>
      </c>
      <c r="O11" s="5">
        <f>+N11/1.1</f>
        <v>27272.727272727272</v>
      </c>
      <c r="P11" s="5">
        <f>+N11-O11</f>
        <v>2727.2727272727279</v>
      </c>
      <c r="Q11" s="5">
        <f>+N11</f>
        <v>30000</v>
      </c>
      <c r="R11" s="18">
        <v>4.13</v>
      </c>
      <c r="S11" s="4" t="s">
        <v>446</v>
      </c>
    </row>
    <row r="12" spans="2:20" hidden="1" x14ac:dyDescent="0.4">
      <c r="B12" s="8" t="s">
        <v>676</v>
      </c>
      <c r="C12" s="8">
        <v>4.1100000000000003</v>
      </c>
      <c r="D12" s="15" t="s">
        <v>23</v>
      </c>
      <c r="F12" s="4" t="s">
        <v>1845</v>
      </c>
      <c r="G12" s="5" t="s">
        <v>2479</v>
      </c>
      <c r="H12" s="4">
        <v>1123</v>
      </c>
      <c r="I12" s="4" t="s">
        <v>1890</v>
      </c>
      <c r="J12" s="4">
        <v>4.08</v>
      </c>
      <c r="K12" s="4" t="s">
        <v>661</v>
      </c>
      <c r="L12" s="5">
        <v>5</v>
      </c>
      <c r="M12" s="68">
        <v>5000</v>
      </c>
      <c r="N12" s="5">
        <f>+M12*L12</f>
        <v>25000</v>
      </c>
      <c r="O12" s="5">
        <f>+N12/1.1</f>
        <v>22727.272727272724</v>
      </c>
      <c r="P12" s="5">
        <f>+N12-O12</f>
        <v>2272.7272727272757</v>
      </c>
      <c r="Q12" s="5">
        <f>+N12</f>
        <v>25000</v>
      </c>
      <c r="R12" s="18">
        <v>4.1399999999999997</v>
      </c>
      <c r="S12" s="4" t="s">
        <v>2600</v>
      </c>
      <c r="T12" s="7" t="s">
        <v>2601</v>
      </c>
    </row>
    <row r="13" spans="2:20" hidden="1" x14ac:dyDescent="0.4">
      <c r="B13" s="8" t="s">
        <v>676</v>
      </c>
      <c r="C13" s="8">
        <v>4.1100000000000003</v>
      </c>
      <c r="D13" s="15" t="s">
        <v>23</v>
      </c>
      <c r="F13" s="4" t="s">
        <v>1845</v>
      </c>
      <c r="G13" s="5" t="s">
        <v>2479</v>
      </c>
      <c r="H13" s="4">
        <v>1123</v>
      </c>
      <c r="I13" s="4" t="s">
        <v>1890</v>
      </c>
      <c r="J13" s="4">
        <v>4.08</v>
      </c>
      <c r="K13" s="7" t="s">
        <v>636</v>
      </c>
      <c r="L13" s="5">
        <v>5</v>
      </c>
      <c r="M13" s="68">
        <v>5000</v>
      </c>
      <c r="N13" s="5">
        <f>+M13*L13</f>
        <v>25000</v>
      </c>
      <c r="O13" s="5">
        <f>+N13/1.1</f>
        <v>22727.272727272724</v>
      </c>
      <c r="P13" s="5">
        <f>+N13-O13</f>
        <v>2272.7272727272757</v>
      </c>
      <c r="Q13" s="5">
        <f>+N13</f>
        <v>25000</v>
      </c>
      <c r="R13" s="18">
        <v>4.1399999999999997</v>
      </c>
      <c r="S13" s="4" t="s">
        <v>2600</v>
      </c>
    </row>
    <row r="14" spans="2:20" ht="19.2" hidden="1" x14ac:dyDescent="0.4">
      <c r="B14" s="8" t="s">
        <v>26</v>
      </c>
      <c r="C14" s="8">
        <v>4.1900000000000004</v>
      </c>
      <c r="D14" s="15" t="s">
        <v>23</v>
      </c>
      <c r="F14" s="5" t="s">
        <v>2368</v>
      </c>
      <c r="G14" s="5" t="s">
        <v>1011</v>
      </c>
      <c r="H14" s="4">
        <v>550</v>
      </c>
      <c r="I14" s="4" t="s">
        <v>748</v>
      </c>
      <c r="J14" s="4">
        <v>4.04</v>
      </c>
      <c r="K14" s="29" t="s">
        <v>184</v>
      </c>
      <c r="L14" s="5">
        <v>180</v>
      </c>
      <c r="M14" s="69">
        <f>6000-500</f>
        <v>5500</v>
      </c>
      <c r="N14" s="8">
        <f>+M14*L14</f>
        <v>990000</v>
      </c>
      <c r="O14" s="5">
        <f>+N14/1.1</f>
        <v>899999.99999999988</v>
      </c>
      <c r="P14" s="5">
        <f>+N14-O14</f>
        <v>90000.000000000116</v>
      </c>
      <c r="Q14" s="95">
        <f>+N14</f>
        <v>990000</v>
      </c>
      <c r="R14" s="18">
        <v>4.2</v>
      </c>
      <c r="S14" s="7" t="s">
        <v>51</v>
      </c>
    </row>
    <row r="15" spans="2:20" ht="19.2" hidden="1" x14ac:dyDescent="0.4">
      <c r="B15" s="8" t="s">
        <v>26</v>
      </c>
      <c r="C15" s="8">
        <v>4.1900000000000004</v>
      </c>
      <c r="D15" s="15" t="s">
        <v>23</v>
      </c>
      <c r="F15" s="5" t="s">
        <v>2368</v>
      </c>
      <c r="G15" s="5" t="s">
        <v>1011</v>
      </c>
      <c r="H15" s="4">
        <v>550</v>
      </c>
      <c r="I15" s="4" t="s">
        <v>748</v>
      </c>
      <c r="J15" s="4">
        <v>4.1900000000000004</v>
      </c>
      <c r="K15" s="29" t="s">
        <v>304</v>
      </c>
      <c r="L15" s="5">
        <v>50</v>
      </c>
      <c r="M15" s="69">
        <f>6000-500</f>
        <v>5500</v>
      </c>
      <c r="N15" s="8">
        <f>+M15*L15</f>
        <v>275000</v>
      </c>
      <c r="O15" s="5">
        <f>+N15/1.1</f>
        <v>249999.99999999997</v>
      </c>
      <c r="P15" s="5">
        <f>+N15-O15</f>
        <v>25000.000000000029</v>
      </c>
      <c r="Q15" s="95">
        <f>+N15</f>
        <v>275000</v>
      </c>
      <c r="R15" s="18">
        <v>4.2</v>
      </c>
      <c r="S15" s="7" t="s">
        <v>51</v>
      </c>
    </row>
    <row r="16" spans="2:20" ht="19.2" hidden="1" x14ac:dyDescent="0.4">
      <c r="B16" s="8" t="s">
        <v>26</v>
      </c>
      <c r="C16" s="8">
        <v>4.1900000000000004</v>
      </c>
      <c r="D16" s="15" t="s">
        <v>23</v>
      </c>
      <c r="F16" s="5" t="s">
        <v>2368</v>
      </c>
      <c r="G16" s="5" t="s">
        <v>1011</v>
      </c>
      <c r="H16" s="4">
        <v>550</v>
      </c>
      <c r="I16" s="4" t="s">
        <v>748</v>
      </c>
      <c r="J16" s="4">
        <v>4.18</v>
      </c>
      <c r="K16" s="29" t="s">
        <v>695</v>
      </c>
      <c r="L16" s="5">
        <v>3</v>
      </c>
      <c r="M16" s="71">
        <f>14000+4000</f>
        <v>18000</v>
      </c>
      <c r="N16" s="8">
        <f>+M16*L16</f>
        <v>54000</v>
      </c>
      <c r="O16" s="5">
        <f>+N16/1.1</f>
        <v>49090.909090909088</v>
      </c>
      <c r="P16" s="5">
        <f>+N16-O16</f>
        <v>4909.0909090909117</v>
      </c>
      <c r="Q16" s="5">
        <f>+N16</f>
        <v>54000</v>
      </c>
      <c r="R16" s="18">
        <v>4.21</v>
      </c>
      <c r="S16" s="7" t="s">
        <v>51</v>
      </c>
    </row>
    <row r="17" spans="2:19" hidden="1" x14ac:dyDescent="0.4">
      <c r="B17" s="8" t="s">
        <v>676</v>
      </c>
      <c r="C17" s="8">
        <v>4.26</v>
      </c>
      <c r="D17" s="15" t="s">
        <v>23</v>
      </c>
      <c r="F17" s="4" t="s">
        <v>1845</v>
      </c>
      <c r="G17" s="4" t="s">
        <v>2602</v>
      </c>
      <c r="H17" s="4">
        <v>1123</v>
      </c>
      <c r="I17" s="4" t="s">
        <v>1866</v>
      </c>
      <c r="J17" s="4">
        <v>4.08</v>
      </c>
      <c r="K17" s="4" t="s">
        <v>661</v>
      </c>
      <c r="L17" s="5">
        <v>10</v>
      </c>
      <c r="M17" s="71">
        <v>5000</v>
      </c>
      <c r="N17" s="5">
        <f>+M17*L17</f>
        <v>50000</v>
      </c>
      <c r="O17" s="5">
        <f>+N17/1.1</f>
        <v>45454.545454545449</v>
      </c>
      <c r="P17" s="5">
        <f>+N17-O17</f>
        <v>4545.4545454545514</v>
      </c>
      <c r="Q17" s="5">
        <f>+N17</f>
        <v>50000</v>
      </c>
      <c r="R17" s="18">
        <v>4.2699999999999996</v>
      </c>
      <c r="S17" s="4" t="s">
        <v>2600</v>
      </c>
    </row>
    <row r="18" spans="2:19" hidden="1" x14ac:dyDescent="0.4">
      <c r="B18" s="8" t="s">
        <v>676</v>
      </c>
      <c r="C18" s="8">
        <v>4.26</v>
      </c>
      <c r="D18" s="15" t="s">
        <v>23</v>
      </c>
      <c r="F18" s="4" t="s">
        <v>1845</v>
      </c>
      <c r="G18" s="4" t="s">
        <v>2602</v>
      </c>
      <c r="H18" s="4">
        <v>1123</v>
      </c>
      <c r="I18" s="4" t="s">
        <v>1866</v>
      </c>
      <c r="J18" s="4">
        <v>4.08</v>
      </c>
      <c r="K18" s="4" t="s">
        <v>636</v>
      </c>
      <c r="L18" s="5">
        <v>10</v>
      </c>
      <c r="M18" s="71">
        <v>5000</v>
      </c>
      <c r="N18" s="5">
        <f>+M18*L18</f>
        <v>50000</v>
      </c>
      <c r="O18" s="5">
        <f>+N18/1.1</f>
        <v>45454.545454545449</v>
      </c>
      <c r="P18" s="5">
        <f>+N18-O18</f>
        <v>4545.4545454545514</v>
      </c>
      <c r="Q18" s="5">
        <f>+N18</f>
        <v>50000</v>
      </c>
      <c r="R18" s="18">
        <v>4.2699999999999996</v>
      </c>
      <c r="S18" s="4" t="s">
        <v>2600</v>
      </c>
    </row>
    <row r="19" spans="2:19" hidden="1" x14ac:dyDescent="0.4">
      <c r="B19" s="7" t="s">
        <v>639</v>
      </c>
      <c r="C19" s="8">
        <v>4.26</v>
      </c>
      <c r="D19" s="15" t="s">
        <v>23</v>
      </c>
      <c r="F19" s="8" t="s">
        <v>2368</v>
      </c>
      <c r="G19" s="8" t="s">
        <v>919</v>
      </c>
      <c r="H19" s="4">
        <v>786</v>
      </c>
      <c r="I19" s="122" t="s">
        <v>744</v>
      </c>
      <c r="J19" s="122">
        <v>3.23</v>
      </c>
      <c r="K19" s="122" t="s">
        <v>2603</v>
      </c>
      <c r="L19" s="124">
        <v>5</v>
      </c>
      <c r="M19" s="125">
        <v>6000</v>
      </c>
      <c r="N19" s="124">
        <f>+M19*L19</f>
        <v>30000</v>
      </c>
      <c r="O19" s="124">
        <f>+N19/1.1</f>
        <v>27272.727272727272</v>
      </c>
      <c r="P19" s="124">
        <f>+N19-O19</f>
        <v>2727.2727272727279</v>
      </c>
      <c r="Q19" s="124">
        <f>+N19</f>
        <v>30000</v>
      </c>
      <c r="R19" s="18">
        <v>4.2699999999999996</v>
      </c>
      <c r="S19" s="4" t="s">
        <v>2604</v>
      </c>
    </row>
    <row r="20" spans="2:19" ht="19.2" hidden="1" x14ac:dyDescent="0.4">
      <c r="B20" s="8" t="s">
        <v>26</v>
      </c>
      <c r="C20" s="8">
        <v>4.25</v>
      </c>
      <c r="D20" s="15" t="s">
        <v>23</v>
      </c>
      <c r="F20" s="8" t="s">
        <v>2368</v>
      </c>
      <c r="G20" s="5" t="s">
        <v>966</v>
      </c>
      <c r="H20" s="4">
        <v>209</v>
      </c>
      <c r="I20" s="4" t="s">
        <v>157</v>
      </c>
      <c r="J20" s="4">
        <v>4.25</v>
      </c>
      <c r="K20" s="57" t="s">
        <v>184</v>
      </c>
      <c r="L20" s="5">
        <f>7+58</f>
        <v>65</v>
      </c>
      <c r="M20" s="68">
        <v>6000</v>
      </c>
      <c r="N20" s="8">
        <f>+M20*L20</f>
        <v>390000</v>
      </c>
      <c r="O20" s="5">
        <f>+N20/1.1</f>
        <v>354545.45454545453</v>
      </c>
      <c r="P20" s="5">
        <f>+N20-O20</f>
        <v>35454.54545454547</v>
      </c>
      <c r="Q20" s="5">
        <f>+N20</f>
        <v>390000</v>
      </c>
      <c r="R20" s="18">
        <v>4.2699999999999996</v>
      </c>
      <c r="S20" s="4" t="s">
        <v>635</v>
      </c>
    </row>
    <row r="21" spans="2:19" hidden="1" x14ac:dyDescent="0.4">
      <c r="B21" s="8" t="s">
        <v>26</v>
      </c>
      <c r="C21" s="8">
        <v>4.25</v>
      </c>
      <c r="D21" s="15" t="s">
        <v>23</v>
      </c>
      <c r="F21" s="8" t="s">
        <v>2368</v>
      </c>
      <c r="G21" s="5" t="s">
        <v>966</v>
      </c>
      <c r="H21" s="4">
        <v>209</v>
      </c>
      <c r="I21" s="4" t="s">
        <v>157</v>
      </c>
      <c r="J21" s="4">
        <v>4.25</v>
      </c>
      <c r="K21" s="3" t="s">
        <v>705</v>
      </c>
      <c r="L21" s="5">
        <f>14+116</f>
        <v>130</v>
      </c>
      <c r="M21" s="68">
        <v>6000</v>
      </c>
      <c r="N21" s="8">
        <f>+M21*L21</f>
        <v>780000</v>
      </c>
      <c r="O21" s="5">
        <f>+N21/1.1</f>
        <v>709090.90909090906</v>
      </c>
      <c r="P21" s="5">
        <f>+N21-O21</f>
        <v>70909.090909090941</v>
      </c>
      <c r="Q21" s="5">
        <f>+N21</f>
        <v>780000</v>
      </c>
      <c r="R21" s="18">
        <v>4.2699999999999996</v>
      </c>
      <c r="S21" s="4" t="s">
        <v>635</v>
      </c>
    </row>
    <row r="22" spans="2:19" hidden="1" x14ac:dyDescent="0.4">
      <c r="B22" s="7" t="s">
        <v>125</v>
      </c>
      <c r="C22" s="8">
        <v>4.2699999999999996</v>
      </c>
      <c r="D22" s="15" t="s">
        <v>23</v>
      </c>
      <c r="F22" s="4" t="s">
        <v>1559</v>
      </c>
      <c r="G22" s="4" t="s">
        <v>2605</v>
      </c>
      <c r="H22" s="12">
        <v>1665</v>
      </c>
      <c r="I22" s="4" t="s">
        <v>2606</v>
      </c>
      <c r="J22" s="4">
        <v>3.3</v>
      </c>
      <c r="K22" s="4" t="s">
        <v>661</v>
      </c>
      <c r="L22" s="5">
        <v>239</v>
      </c>
      <c r="M22" s="68">
        <v>5000</v>
      </c>
      <c r="N22" s="5">
        <f>+M22*L22</f>
        <v>1195000</v>
      </c>
      <c r="O22" s="5">
        <f>+N22/1.1</f>
        <v>1086363.6363636362</v>
      </c>
      <c r="P22" s="5">
        <f>+N22-O22</f>
        <v>108636.36363636376</v>
      </c>
      <c r="Q22" s="5">
        <f>+N22</f>
        <v>1195000</v>
      </c>
      <c r="R22" s="18">
        <v>4.28</v>
      </c>
      <c r="S22" s="4" t="s">
        <v>110</v>
      </c>
    </row>
    <row r="23" spans="2:19" hidden="1" x14ac:dyDescent="0.4">
      <c r="B23" s="8" t="s">
        <v>676</v>
      </c>
      <c r="C23" s="8">
        <v>4.26</v>
      </c>
      <c r="D23" s="15" t="s">
        <v>23</v>
      </c>
      <c r="F23" s="4" t="s">
        <v>1845</v>
      </c>
      <c r="G23" s="4" t="s">
        <v>2607</v>
      </c>
      <c r="H23" s="4">
        <v>1123</v>
      </c>
      <c r="I23" s="4" t="s">
        <v>1859</v>
      </c>
      <c r="J23" s="4">
        <v>4.08</v>
      </c>
      <c r="K23" s="4" t="s">
        <v>661</v>
      </c>
      <c r="L23" s="5">
        <v>5</v>
      </c>
      <c r="M23" s="71">
        <v>5000</v>
      </c>
      <c r="N23" s="5">
        <f>+M23*L23</f>
        <v>25000</v>
      </c>
      <c r="O23" s="5">
        <f>+N23/1.1</f>
        <v>22727.272727272724</v>
      </c>
      <c r="P23" s="5">
        <f>+N23-O23</f>
        <v>2272.7272727272757</v>
      </c>
      <c r="Q23" s="5">
        <f>+N23</f>
        <v>25000</v>
      </c>
      <c r="R23" s="18">
        <v>4.28</v>
      </c>
      <c r="S23" s="4" t="s">
        <v>2600</v>
      </c>
    </row>
    <row r="24" spans="2:19" hidden="1" x14ac:dyDescent="0.4">
      <c r="B24" s="8" t="s">
        <v>676</v>
      </c>
      <c r="C24" s="8">
        <v>4.26</v>
      </c>
      <c r="D24" s="15" t="s">
        <v>23</v>
      </c>
      <c r="F24" s="4" t="s">
        <v>1845</v>
      </c>
      <c r="G24" s="4" t="s">
        <v>2607</v>
      </c>
      <c r="H24" s="4">
        <v>1123</v>
      </c>
      <c r="I24" s="4" t="s">
        <v>1859</v>
      </c>
      <c r="J24" s="4">
        <v>4.08</v>
      </c>
      <c r="K24" s="4" t="s">
        <v>636</v>
      </c>
      <c r="L24" s="5">
        <v>5</v>
      </c>
      <c r="M24" s="71">
        <v>5000</v>
      </c>
      <c r="N24" s="5">
        <f>+M24*L24</f>
        <v>25000</v>
      </c>
      <c r="O24" s="5">
        <f>+N24/1.1</f>
        <v>22727.272727272724</v>
      </c>
      <c r="P24" s="5">
        <f>+N24-O24</f>
        <v>2272.7272727272757</v>
      </c>
      <c r="Q24" s="5">
        <f>+N24</f>
        <v>25000</v>
      </c>
      <c r="R24" s="18">
        <v>4.28</v>
      </c>
      <c r="S24" s="4" t="s">
        <v>2600</v>
      </c>
    </row>
    <row r="25" spans="2:19" ht="19.2" hidden="1" x14ac:dyDescent="0.4">
      <c r="B25" s="8" t="s">
        <v>26</v>
      </c>
      <c r="C25" s="8">
        <v>4.26</v>
      </c>
      <c r="D25" s="15" t="s">
        <v>23</v>
      </c>
      <c r="F25" s="4" t="s">
        <v>2368</v>
      </c>
      <c r="G25" s="5" t="s">
        <v>2608</v>
      </c>
      <c r="H25" s="4">
        <v>389</v>
      </c>
      <c r="I25" s="4" t="s">
        <v>726</v>
      </c>
      <c r="J25" s="4">
        <v>4.13</v>
      </c>
      <c r="K25" s="29" t="s">
        <v>304</v>
      </c>
      <c r="L25" s="5">
        <v>86</v>
      </c>
      <c r="M25" s="69">
        <f>6000-500</f>
        <v>5500</v>
      </c>
      <c r="N25" s="8">
        <f>+M25*L25</f>
        <v>473000</v>
      </c>
      <c r="O25" s="5">
        <f>+N25/1.1</f>
        <v>429999.99999999994</v>
      </c>
      <c r="P25" s="5">
        <f>+N25-O25</f>
        <v>43000.000000000058</v>
      </c>
      <c r="Q25" s="5">
        <f>+N25</f>
        <v>473000</v>
      </c>
      <c r="R25" s="18">
        <v>4.28</v>
      </c>
      <c r="S25" s="4" t="s">
        <v>685</v>
      </c>
    </row>
    <row r="26" spans="2:19" ht="19.2" hidden="1" x14ac:dyDescent="0.4">
      <c r="B26" s="8" t="s">
        <v>26</v>
      </c>
      <c r="C26" s="8">
        <v>4.26</v>
      </c>
      <c r="D26" s="15" t="s">
        <v>23</v>
      </c>
      <c r="F26" s="4" t="s">
        <v>2368</v>
      </c>
      <c r="G26" s="5" t="s">
        <v>2608</v>
      </c>
      <c r="H26" s="4">
        <v>389</v>
      </c>
      <c r="I26" s="4" t="s">
        <v>726</v>
      </c>
      <c r="J26" s="4">
        <v>4.13</v>
      </c>
      <c r="K26" s="29" t="s">
        <v>184</v>
      </c>
      <c r="L26" s="5">
        <v>50</v>
      </c>
      <c r="M26" s="69">
        <f>6000-500</f>
        <v>5500</v>
      </c>
      <c r="N26" s="8">
        <f>+M26*L26</f>
        <v>275000</v>
      </c>
      <c r="O26" s="5">
        <f>+N26/1.1</f>
        <v>249999.99999999997</v>
      </c>
      <c r="P26" s="5">
        <f>+N26-O26</f>
        <v>25000.000000000029</v>
      </c>
      <c r="Q26" s="5">
        <f>+N26</f>
        <v>275000</v>
      </c>
      <c r="R26" s="18">
        <v>4.28</v>
      </c>
      <c r="S26" s="4" t="s">
        <v>685</v>
      </c>
    </row>
    <row r="27" spans="2:19" hidden="1" x14ac:dyDescent="0.4">
      <c r="B27" s="8" t="s">
        <v>676</v>
      </c>
      <c r="C27" s="8">
        <v>4.26</v>
      </c>
      <c r="D27" s="15" t="s">
        <v>23</v>
      </c>
      <c r="F27" s="4" t="s">
        <v>1845</v>
      </c>
      <c r="G27" s="4" t="s">
        <v>2609</v>
      </c>
      <c r="H27" s="4">
        <v>1123</v>
      </c>
      <c r="I27" s="4" t="s">
        <v>1872</v>
      </c>
      <c r="J27" s="4">
        <v>4.08</v>
      </c>
      <c r="K27" s="4" t="s">
        <v>661</v>
      </c>
      <c r="L27" s="5">
        <v>5</v>
      </c>
      <c r="M27" s="71">
        <v>5000</v>
      </c>
      <c r="N27" s="5">
        <f>+M27*L27</f>
        <v>25000</v>
      </c>
      <c r="O27" s="5">
        <f>+N27/1.1</f>
        <v>22727.272727272724</v>
      </c>
      <c r="P27" s="5">
        <f>+N27-O27</f>
        <v>2272.7272727272757</v>
      </c>
      <c r="Q27" s="5">
        <f>+N27</f>
        <v>25000</v>
      </c>
      <c r="R27" s="18">
        <v>4.29</v>
      </c>
      <c r="S27" s="4" t="s">
        <v>2600</v>
      </c>
    </row>
    <row r="28" spans="2:19" hidden="1" x14ac:dyDescent="0.4">
      <c r="B28" s="8" t="s">
        <v>676</v>
      </c>
      <c r="C28" s="8">
        <v>4.26</v>
      </c>
      <c r="D28" s="15" t="s">
        <v>23</v>
      </c>
      <c r="F28" s="4" t="s">
        <v>1845</v>
      </c>
      <c r="G28" s="4" t="s">
        <v>2609</v>
      </c>
      <c r="H28" s="4">
        <v>1123</v>
      </c>
      <c r="I28" s="4" t="s">
        <v>1872</v>
      </c>
      <c r="J28" s="4">
        <v>4.08</v>
      </c>
      <c r="K28" s="4" t="s">
        <v>636</v>
      </c>
      <c r="L28" s="5">
        <v>5</v>
      </c>
      <c r="M28" s="71">
        <v>5000</v>
      </c>
      <c r="N28" s="5">
        <f>+M28*L28</f>
        <v>25000</v>
      </c>
      <c r="O28" s="5">
        <f>+N28/1.1</f>
        <v>22727.272727272724</v>
      </c>
      <c r="P28" s="5">
        <f>+N28-O28</f>
        <v>2272.7272727272757</v>
      </c>
      <c r="Q28" s="5">
        <f>+N28</f>
        <v>25000</v>
      </c>
      <c r="R28" s="18">
        <v>4.29</v>
      </c>
      <c r="S28" s="4" t="s">
        <v>2600</v>
      </c>
    </row>
    <row r="29" spans="2:19" hidden="1" x14ac:dyDescent="0.4">
      <c r="B29" s="8" t="s">
        <v>676</v>
      </c>
      <c r="C29" s="8">
        <v>4.1500000000000004</v>
      </c>
      <c r="D29" s="15" t="s">
        <v>23</v>
      </c>
      <c r="F29" s="4" t="s">
        <v>2297</v>
      </c>
      <c r="G29" s="4" t="s">
        <v>2610</v>
      </c>
      <c r="H29" s="4">
        <v>4001</v>
      </c>
      <c r="I29" s="4" t="s">
        <v>2611</v>
      </c>
      <c r="J29" s="4">
        <v>4.1100000000000003</v>
      </c>
      <c r="K29" s="7" t="s">
        <v>304</v>
      </c>
      <c r="L29" s="5">
        <v>35</v>
      </c>
      <c r="M29" s="68">
        <v>6000</v>
      </c>
      <c r="N29" s="5">
        <f>+M29*L29</f>
        <v>210000</v>
      </c>
      <c r="O29" s="5">
        <f>+N29/1.1</f>
        <v>190909.09090909088</v>
      </c>
      <c r="P29" s="5">
        <f>+N29-O29</f>
        <v>19090.909090909117</v>
      </c>
      <c r="Q29" s="5">
        <f>+N29</f>
        <v>210000</v>
      </c>
      <c r="R29" s="18">
        <v>4.29</v>
      </c>
      <c r="S29" s="4" t="s">
        <v>2612</v>
      </c>
    </row>
    <row r="30" spans="2:19" hidden="1" x14ac:dyDescent="0.4">
      <c r="B30" s="8" t="s">
        <v>26</v>
      </c>
      <c r="C30" s="8">
        <v>4.26</v>
      </c>
      <c r="D30" s="15" t="s">
        <v>23</v>
      </c>
      <c r="F30" s="8" t="s">
        <v>2368</v>
      </c>
      <c r="G30" s="5" t="s">
        <v>2541</v>
      </c>
      <c r="H30" s="4">
        <v>605</v>
      </c>
      <c r="I30" s="4" t="s">
        <v>2613</v>
      </c>
      <c r="J30" s="4">
        <v>4.22</v>
      </c>
      <c r="K30" s="7" t="s">
        <v>703</v>
      </c>
      <c r="L30" s="5">
        <v>8</v>
      </c>
      <c r="M30" s="68">
        <f>6000+4000</f>
        <v>10000</v>
      </c>
      <c r="N30" s="8">
        <f>+M30*L30</f>
        <v>80000</v>
      </c>
      <c r="O30" s="5">
        <f>+N30/1.1</f>
        <v>72727.272727272721</v>
      </c>
      <c r="P30" s="5">
        <f>+N30-O30</f>
        <v>7272.7272727272793</v>
      </c>
      <c r="Q30" s="5">
        <f>+N30</f>
        <v>80000</v>
      </c>
      <c r="R30" s="18">
        <v>4.29</v>
      </c>
      <c r="S30" s="4" t="s">
        <v>179</v>
      </c>
    </row>
    <row r="31" spans="2:19" ht="19.2" hidden="1" x14ac:dyDescent="0.4">
      <c r="B31" s="8" t="s">
        <v>26</v>
      </c>
      <c r="C31" s="8">
        <v>4.2699999999999996</v>
      </c>
      <c r="D31" s="15" t="s">
        <v>23</v>
      </c>
      <c r="F31" s="5" t="s">
        <v>1559</v>
      </c>
      <c r="G31" s="7" t="s">
        <v>1568</v>
      </c>
      <c r="H31" s="4">
        <v>571</v>
      </c>
      <c r="I31" s="4" t="s">
        <v>360</v>
      </c>
      <c r="J31" s="4">
        <v>4.2699999999999996</v>
      </c>
      <c r="K31" s="29" t="s">
        <v>710</v>
      </c>
      <c r="L31" s="5">
        <v>41</v>
      </c>
      <c r="M31" s="68">
        <v>5000</v>
      </c>
      <c r="N31" s="8">
        <f>+M31*L31</f>
        <v>205000</v>
      </c>
      <c r="O31" s="5">
        <f>+N31/1.1</f>
        <v>186363.63636363635</v>
      </c>
      <c r="P31" s="5">
        <f>+N31-O31</f>
        <v>18636.363636363647</v>
      </c>
      <c r="Q31" s="5">
        <f>+N31</f>
        <v>205000</v>
      </c>
      <c r="R31" s="18">
        <v>4.29</v>
      </c>
      <c r="S31" s="5" t="s">
        <v>81</v>
      </c>
    </row>
    <row r="32" spans="2:19" hidden="1" x14ac:dyDescent="0.4">
      <c r="B32" s="119" t="s">
        <v>2433</v>
      </c>
      <c r="D32" s="111" t="s">
        <v>23</v>
      </c>
      <c r="N32" s="119">
        <f>SUM(N7:N31)</f>
        <v>5417000</v>
      </c>
      <c r="O32" s="39">
        <f>+N32/1.1</f>
        <v>4924545.4545454541</v>
      </c>
      <c r="P32" s="39">
        <f>+N32-O32</f>
        <v>492454.54545454588</v>
      </c>
      <c r="Q32" s="39">
        <f>+N32</f>
        <v>5417000</v>
      </c>
    </row>
    <row r="33" spans="2:19" hidden="1" x14ac:dyDescent="0.4">
      <c r="B33" s="7" t="s">
        <v>639</v>
      </c>
      <c r="C33" s="8">
        <v>4.1100000000000003</v>
      </c>
      <c r="D33" s="16" t="s">
        <v>28</v>
      </c>
      <c r="F33" s="8" t="s">
        <v>2368</v>
      </c>
      <c r="G33" s="5" t="s">
        <v>928</v>
      </c>
      <c r="H33" s="4">
        <v>786</v>
      </c>
      <c r="I33" s="12" t="s">
        <v>929</v>
      </c>
      <c r="J33" s="4">
        <v>3.23</v>
      </c>
      <c r="K33" s="4" t="s">
        <v>2614</v>
      </c>
      <c r="L33" s="5">
        <v>5</v>
      </c>
      <c r="M33" s="68">
        <v>6000</v>
      </c>
      <c r="N33" s="5">
        <f>+M33*L33</f>
        <v>30000</v>
      </c>
      <c r="Q33" s="5">
        <f>+N33</f>
        <v>30000</v>
      </c>
      <c r="R33" s="18">
        <v>4.13</v>
      </c>
      <c r="S33" s="4" t="s">
        <v>446</v>
      </c>
    </row>
    <row r="34" spans="2:19" hidden="1" x14ac:dyDescent="0.4">
      <c r="B34" s="7" t="s">
        <v>639</v>
      </c>
      <c r="C34" s="8">
        <v>4.04</v>
      </c>
      <c r="D34" s="16" t="s">
        <v>28</v>
      </c>
      <c r="F34" s="5" t="s">
        <v>2368</v>
      </c>
      <c r="G34" s="5" t="s">
        <v>893</v>
      </c>
      <c r="H34" s="4">
        <v>786</v>
      </c>
      <c r="I34" s="4" t="s">
        <v>923</v>
      </c>
      <c r="J34" s="4">
        <v>3.23</v>
      </c>
      <c r="K34" s="4" t="s">
        <v>2615</v>
      </c>
      <c r="L34" s="5">
        <v>5</v>
      </c>
      <c r="M34" s="68">
        <v>6000</v>
      </c>
      <c r="N34" s="8">
        <f>+M34*L34</f>
        <v>30000</v>
      </c>
      <c r="Q34" s="5">
        <f>+N34</f>
        <v>30000</v>
      </c>
      <c r="R34" s="18">
        <v>4.13</v>
      </c>
      <c r="S34" s="4" t="s">
        <v>446</v>
      </c>
    </row>
    <row r="35" spans="2:19" hidden="1" x14ac:dyDescent="0.4">
      <c r="B35" s="8" t="s">
        <v>26</v>
      </c>
      <c r="C35" s="8">
        <v>4.12</v>
      </c>
      <c r="D35" s="16" t="s">
        <v>28</v>
      </c>
      <c r="F35" s="8" t="s">
        <v>2368</v>
      </c>
      <c r="G35" s="4" t="s">
        <v>2460</v>
      </c>
      <c r="H35" s="4">
        <v>262</v>
      </c>
      <c r="I35" s="4" t="s">
        <v>836</v>
      </c>
      <c r="J35" s="4">
        <v>4.04</v>
      </c>
      <c r="K35" s="6" t="s">
        <v>2616</v>
      </c>
      <c r="L35" s="5">
        <v>5</v>
      </c>
      <c r="M35" s="68">
        <f>30000+5000</f>
        <v>35000</v>
      </c>
      <c r="N35" s="5">
        <f>+M35*L35</f>
        <v>175000</v>
      </c>
      <c r="Q35" s="5">
        <f>+N35</f>
        <v>175000</v>
      </c>
      <c r="R35" s="18">
        <v>4.1900000000000004</v>
      </c>
      <c r="S35" s="4" t="s">
        <v>346</v>
      </c>
    </row>
    <row r="36" spans="2:19" hidden="1" x14ac:dyDescent="0.4">
      <c r="B36" s="8" t="s">
        <v>26</v>
      </c>
      <c r="C36" s="8">
        <v>4.12</v>
      </c>
      <c r="D36" s="16" t="s">
        <v>28</v>
      </c>
      <c r="F36" s="8" t="s">
        <v>2368</v>
      </c>
      <c r="G36" s="4" t="s">
        <v>2460</v>
      </c>
      <c r="H36" s="4">
        <v>262</v>
      </c>
      <c r="I36" s="4" t="s">
        <v>836</v>
      </c>
      <c r="J36" s="4">
        <v>4.0599999999999996</v>
      </c>
      <c r="K36" s="4" t="s">
        <v>531</v>
      </c>
      <c r="L36" s="5">
        <v>30</v>
      </c>
      <c r="M36" s="68">
        <v>7000</v>
      </c>
      <c r="N36" s="5">
        <f>+M36*L36</f>
        <v>210000</v>
      </c>
      <c r="Q36" s="5">
        <f>+N36</f>
        <v>210000</v>
      </c>
      <c r="R36" s="18">
        <v>4.1900000000000004</v>
      </c>
      <c r="S36" s="4" t="s">
        <v>346</v>
      </c>
    </row>
    <row r="37" spans="2:19" hidden="1" x14ac:dyDescent="0.4">
      <c r="B37" s="8" t="s">
        <v>26</v>
      </c>
      <c r="C37" s="8">
        <v>4.18</v>
      </c>
      <c r="D37" s="16" t="s">
        <v>28</v>
      </c>
      <c r="F37" s="8" t="s">
        <v>2368</v>
      </c>
      <c r="G37" s="4" t="s">
        <v>1917</v>
      </c>
      <c r="H37" s="4">
        <v>1025</v>
      </c>
      <c r="I37" s="4" t="s">
        <v>1918</v>
      </c>
      <c r="J37" s="4">
        <v>3.07</v>
      </c>
      <c r="K37" s="4" t="s">
        <v>578</v>
      </c>
      <c r="L37" s="5">
        <v>9</v>
      </c>
      <c r="M37" s="68">
        <v>6000</v>
      </c>
      <c r="N37" s="8">
        <f>+M37*L37</f>
        <v>54000</v>
      </c>
      <c r="Q37" s="5">
        <f>+N37</f>
        <v>54000</v>
      </c>
      <c r="R37" s="18">
        <v>4.2</v>
      </c>
      <c r="S37" s="7" t="s">
        <v>322</v>
      </c>
    </row>
    <row r="38" spans="2:19" hidden="1" x14ac:dyDescent="0.4">
      <c r="B38" s="8" t="s">
        <v>26</v>
      </c>
      <c r="C38" s="8">
        <v>4.18</v>
      </c>
      <c r="D38" s="16" t="s">
        <v>28</v>
      </c>
      <c r="F38" s="8" t="s">
        <v>2368</v>
      </c>
      <c r="G38" s="98" t="s">
        <v>988</v>
      </c>
      <c r="H38" s="4">
        <v>1870</v>
      </c>
      <c r="I38" s="4" t="s">
        <v>739</v>
      </c>
      <c r="J38" s="4">
        <v>3.29</v>
      </c>
      <c r="K38" s="4" t="s">
        <v>2617</v>
      </c>
      <c r="L38" s="5">
        <v>2</v>
      </c>
      <c r="M38" s="68">
        <f>12000+3000</f>
        <v>15000</v>
      </c>
      <c r="N38" s="8">
        <f>+M38*L38</f>
        <v>30000</v>
      </c>
      <c r="Q38" s="5">
        <f>+N38</f>
        <v>30000</v>
      </c>
      <c r="R38" s="18">
        <v>4.2</v>
      </c>
      <c r="S38" s="7" t="s">
        <v>470</v>
      </c>
    </row>
    <row r="39" spans="2:19" hidden="1" x14ac:dyDescent="0.4">
      <c r="B39" s="8" t="s">
        <v>26</v>
      </c>
      <c r="C39" s="8">
        <v>4.1900000000000004</v>
      </c>
      <c r="D39" s="16" t="s">
        <v>28</v>
      </c>
      <c r="F39" s="5" t="s">
        <v>2368</v>
      </c>
      <c r="G39" s="5" t="s">
        <v>1011</v>
      </c>
      <c r="H39" s="4">
        <v>550</v>
      </c>
      <c r="I39" s="4" t="s">
        <v>748</v>
      </c>
      <c r="J39" s="4">
        <v>3.28</v>
      </c>
      <c r="K39" s="4" t="s">
        <v>654</v>
      </c>
      <c r="L39" s="5">
        <v>1</v>
      </c>
      <c r="M39" s="68">
        <v>26000</v>
      </c>
      <c r="N39" s="8">
        <f>+M39*L39</f>
        <v>26000</v>
      </c>
      <c r="Q39" s="5">
        <f>+N39</f>
        <v>26000</v>
      </c>
      <c r="R39" s="18">
        <v>4.21</v>
      </c>
      <c r="S39" s="7" t="s">
        <v>51</v>
      </c>
    </row>
    <row r="40" spans="2:19" hidden="1" x14ac:dyDescent="0.4">
      <c r="B40" s="8" t="s">
        <v>26</v>
      </c>
      <c r="C40" s="8">
        <v>4.1900000000000004</v>
      </c>
      <c r="D40" s="16" t="s">
        <v>28</v>
      </c>
      <c r="F40" s="5" t="s">
        <v>2368</v>
      </c>
      <c r="G40" s="5" t="s">
        <v>1011</v>
      </c>
      <c r="H40" s="4">
        <v>550</v>
      </c>
      <c r="I40" s="4" t="s">
        <v>748</v>
      </c>
      <c r="J40" s="4">
        <v>4.08</v>
      </c>
      <c r="K40" s="4" t="s">
        <v>680</v>
      </c>
      <c r="L40" s="5">
        <v>2</v>
      </c>
      <c r="M40" s="71">
        <f>12000+4000</f>
        <v>16000</v>
      </c>
      <c r="N40" s="5">
        <f>+M40*L40</f>
        <v>32000</v>
      </c>
      <c r="Q40" s="5">
        <f>+N40</f>
        <v>32000</v>
      </c>
      <c r="R40" s="18">
        <v>4.21</v>
      </c>
      <c r="S40" s="7" t="s">
        <v>51</v>
      </c>
    </row>
    <row r="41" spans="2:19" ht="19.2" hidden="1" x14ac:dyDescent="0.4">
      <c r="B41" s="8" t="s">
        <v>26</v>
      </c>
      <c r="C41" s="8">
        <v>4.1900000000000004</v>
      </c>
      <c r="D41" s="16" t="s">
        <v>28</v>
      </c>
      <c r="F41" s="5" t="s">
        <v>2368</v>
      </c>
      <c r="G41" s="5" t="s">
        <v>1011</v>
      </c>
      <c r="H41" s="4">
        <v>550</v>
      </c>
      <c r="I41" s="4" t="s">
        <v>748</v>
      </c>
      <c r="J41" s="4">
        <v>4.1500000000000004</v>
      </c>
      <c r="K41" s="29" t="s">
        <v>692</v>
      </c>
      <c r="L41" s="5">
        <v>1</v>
      </c>
      <c r="M41" s="68">
        <f>13000+3000</f>
        <v>16000</v>
      </c>
      <c r="N41" s="8">
        <f>+M41*L41</f>
        <v>16000</v>
      </c>
      <c r="Q41" s="5">
        <f>+N41</f>
        <v>16000</v>
      </c>
      <c r="R41" s="18">
        <v>4.21</v>
      </c>
      <c r="S41" s="7" t="s">
        <v>51</v>
      </c>
    </row>
    <row r="42" spans="2:19" ht="19.2" hidden="1" x14ac:dyDescent="0.4">
      <c r="B42" s="8" t="s">
        <v>26</v>
      </c>
      <c r="C42" s="8">
        <v>4.1900000000000004</v>
      </c>
      <c r="D42" s="16" t="s">
        <v>28</v>
      </c>
      <c r="F42" s="5" t="s">
        <v>2368</v>
      </c>
      <c r="G42" s="5" t="s">
        <v>1011</v>
      </c>
      <c r="H42" s="4">
        <v>550</v>
      </c>
      <c r="I42" s="4" t="s">
        <v>748</v>
      </c>
      <c r="J42" s="4">
        <v>4.1500000000000004</v>
      </c>
      <c r="K42" s="29" t="s">
        <v>693</v>
      </c>
      <c r="L42" s="5">
        <v>2</v>
      </c>
      <c r="M42" s="68">
        <f>40000+4000</f>
        <v>44000</v>
      </c>
      <c r="N42" s="8">
        <f>+M42*L42</f>
        <v>88000</v>
      </c>
      <c r="Q42" s="5">
        <f>+N42</f>
        <v>88000</v>
      </c>
      <c r="R42" s="18">
        <v>4.21</v>
      </c>
      <c r="S42" s="7" t="s">
        <v>51</v>
      </c>
    </row>
    <row r="43" spans="2:19" hidden="1" x14ac:dyDescent="0.4">
      <c r="B43" s="8" t="s">
        <v>26</v>
      </c>
      <c r="C43" s="8">
        <v>4.26</v>
      </c>
      <c r="D43" s="16" t="s">
        <v>28</v>
      </c>
      <c r="F43" s="8" t="s">
        <v>2368</v>
      </c>
      <c r="G43" s="4" t="s">
        <v>1917</v>
      </c>
      <c r="H43" s="4">
        <v>1025</v>
      </c>
      <c r="I43" s="4" t="s">
        <v>1918</v>
      </c>
      <c r="J43" s="4">
        <v>4.08</v>
      </c>
      <c r="K43" s="32" t="s">
        <v>2618</v>
      </c>
      <c r="L43" s="5">
        <v>2</v>
      </c>
      <c r="M43" s="68">
        <f>12000+3000</f>
        <v>15000</v>
      </c>
      <c r="N43" s="5">
        <f>+M43*L43</f>
        <v>30000</v>
      </c>
      <c r="Q43" s="5">
        <f>+N43</f>
        <v>30000</v>
      </c>
      <c r="R43" s="18">
        <v>4.2699999999999996</v>
      </c>
      <c r="S43" s="7" t="s">
        <v>322</v>
      </c>
    </row>
    <row r="44" spans="2:19" hidden="1" x14ac:dyDescent="0.4">
      <c r="B44" s="8" t="s">
        <v>26</v>
      </c>
      <c r="C44" s="8">
        <v>4.26</v>
      </c>
      <c r="D44" s="16" t="s">
        <v>28</v>
      </c>
      <c r="F44" s="8" t="s">
        <v>2368</v>
      </c>
      <c r="G44" s="8" t="s">
        <v>919</v>
      </c>
      <c r="H44" s="4">
        <v>532</v>
      </c>
      <c r="I44" s="122" t="s">
        <v>744</v>
      </c>
      <c r="J44" s="122">
        <v>3.18</v>
      </c>
      <c r="K44" s="122" t="s">
        <v>2619</v>
      </c>
      <c r="L44" s="124">
        <v>1</v>
      </c>
      <c r="M44" s="125">
        <f>12000+3000</f>
        <v>15000</v>
      </c>
      <c r="N44" s="124">
        <f>+M44*L44</f>
        <v>15000</v>
      </c>
      <c r="Q44" s="124">
        <f>+N44</f>
        <v>15000</v>
      </c>
      <c r="R44" s="18">
        <v>4.2699999999999996</v>
      </c>
      <c r="S44" s="7" t="s">
        <v>131</v>
      </c>
    </row>
    <row r="45" spans="2:19" hidden="1" x14ac:dyDescent="0.4">
      <c r="B45" s="8" t="s">
        <v>26</v>
      </c>
      <c r="C45" s="8">
        <v>4.26</v>
      </c>
      <c r="D45" s="16" t="s">
        <v>28</v>
      </c>
      <c r="F45" s="8" t="s">
        <v>2368</v>
      </c>
      <c r="G45" s="4" t="s">
        <v>1917</v>
      </c>
      <c r="H45" s="4">
        <v>1025</v>
      </c>
      <c r="I45" s="4" t="s">
        <v>1918</v>
      </c>
      <c r="J45" s="4">
        <v>3.07</v>
      </c>
      <c r="K45" s="4" t="s">
        <v>578</v>
      </c>
      <c r="L45" s="5">
        <v>7</v>
      </c>
      <c r="M45" s="68">
        <v>7000</v>
      </c>
      <c r="N45" s="8">
        <f>+M45*L45</f>
        <v>49000</v>
      </c>
      <c r="Q45" s="5">
        <f>+N45</f>
        <v>49000</v>
      </c>
      <c r="R45" s="18">
        <v>4.2699999999999996</v>
      </c>
      <c r="S45" s="7" t="s">
        <v>322</v>
      </c>
    </row>
    <row r="46" spans="2:19" hidden="1" x14ac:dyDescent="0.4">
      <c r="B46" s="8" t="s">
        <v>26</v>
      </c>
      <c r="C46" s="8">
        <v>4.26</v>
      </c>
      <c r="D46" s="16" t="s">
        <v>28</v>
      </c>
      <c r="F46" s="8" t="s">
        <v>2368</v>
      </c>
      <c r="G46" s="8" t="s">
        <v>919</v>
      </c>
      <c r="H46" s="4">
        <v>532</v>
      </c>
      <c r="I46" s="122" t="s">
        <v>744</v>
      </c>
      <c r="J46" s="122">
        <v>4.2</v>
      </c>
      <c r="K46" s="123" t="s">
        <v>698</v>
      </c>
      <c r="L46" s="124">
        <v>1</v>
      </c>
      <c r="M46" s="125">
        <f>12000+3000</f>
        <v>15000</v>
      </c>
      <c r="N46" s="124">
        <f>+M46*L46</f>
        <v>15000</v>
      </c>
      <c r="Q46" s="124">
        <f>+N46</f>
        <v>15000</v>
      </c>
      <c r="R46" s="18">
        <v>4.2699999999999996</v>
      </c>
      <c r="S46" s="7" t="s">
        <v>131</v>
      </c>
    </row>
    <row r="47" spans="2:19" ht="19.2" hidden="1" x14ac:dyDescent="0.4">
      <c r="B47" s="8" t="s">
        <v>26</v>
      </c>
      <c r="C47" s="8">
        <v>4.26</v>
      </c>
      <c r="D47" s="16" t="s">
        <v>28</v>
      </c>
      <c r="F47" s="4" t="s">
        <v>2368</v>
      </c>
      <c r="G47" s="5" t="s">
        <v>2608</v>
      </c>
      <c r="H47" s="4">
        <v>389</v>
      </c>
      <c r="I47" s="4" t="s">
        <v>726</v>
      </c>
      <c r="J47" s="4">
        <v>4.13</v>
      </c>
      <c r="K47" s="29" t="s">
        <v>686</v>
      </c>
      <c r="L47" s="5">
        <v>20</v>
      </c>
      <c r="M47" s="69">
        <f>6000-500</f>
        <v>5500</v>
      </c>
      <c r="N47" s="8">
        <f>+M47*L47</f>
        <v>110000</v>
      </c>
      <c r="Q47" s="5">
        <f>+N47</f>
        <v>110000</v>
      </c>
      <c r="R47" s="18">
        <v>4.28</v>
      </c>
      <c r="S47" s="4" t="s">
        <v>685</v>
      </c>
    </row>
    <row r="48" spans="2:19" ht="24" customHeight="1" x14ac:dyDescent="0.4">
      <c r="B48" s="8" t="s">
        <v>26</v>
      </c>
      <c r="C48" s="8">
        <v>4.26</v>
      </c>
      <c r="D48" s="16" t="s">
        <v>28</v>
      </c>
      <c r="F48" s="8" t="s">
        <v>1559</v>
      </c>
      <c r="G48" s="5" t="s">
        <v>2499</v>
      </c>
      <c r="H48" s="4">
        <v>782</v>
      </c>
      <c r="I48" s="4" t="s">
        <v>730</v>
      </c>
      <c r="J48" s="4">
        <v>4.08</v>
      </c>
      <c r="K48" s="29" t="s">
        <v>649</v>
      </c>
      <c r="L48" s="5">
        <v>70</v>
      </c>
      <c r="M48" s="71">
        <f>7000-1000</f>
        <v>6000</v>
      </c>
      <c r="N48" s="5">
        <f>+M48*L48</f>
        <v>420000</v>
      </c>
      <c r="Q48" s="5">
        <f>+N48</f>
        <v>420000</v>
      </c>
      <c r="R48" s="18">
        <v>4.28</v>
      </c>
      <c r="S48" s="4" t="s">
        <v>199</v>
      </c>
    </row>
    <row r="49" spans="2:19" ht="24" customHeight="1" x14ac:dyDescent="0.4">
      <c r="B49" s="8" t="s">
        <v>26</v>
      </c>
      <c r="C49" s="8">
        <v>4.26</v>
      </c>
      <c r="D49" s="16" t="s">
        <v>28</v>
      </c>
      <c r="F49" s="8" t="s">
        <v>1559</v>
      </c>
      <c r="G49" s="5" t="s">
        <v>2499</v>
      </c>
      <c r="H49" s="4">
        <v>782</v>
      </c>
      <c r="I49" s="4" t="s">
        <v>730</v>
      </c>
      <c r="J49" s="4">
        <v>3.28</v>
      </c>
      <c r="K49" s="29" t="s">
        <v>649</v>
      </c>
      <c r="L49" s="5">
        <v>200</v>
      </c>
      <c r="M49" s="71">
        <f>7000-1000</f>
        <v>6000</v>
      </c>
      <c r="N49" s="5">
        <f>+M49*L49</f>
        <v>1200000</v>
      </c>
      <c r="Q49" s="5">
        <f>+N49</f>
        <v>1200000</v>
      </c>
      <c r="R49" s="18">
        <v>4.28</v>
      </c>
      <c r="S49" s="4" t="s">
        <v>199</v>
      </c>
    </row>
    <row r="50" spans="2:19" ht="24" customHeight="1" x14ac:dyDescent="0.4">
      <c r="B50" s="8" t="s">
        <v>26</v>
      </c>
      <c r="C50" s="8">
        <v>4.26</v>
      </c>
      <c r="D50" s="16" t="s">
        <v>28</v>
      </c>
      <c r="F50" s="8" t="s">
        <v>1559</v>
      </c>
      <c r="G50" s="5" t="s">
        <v>2499</v>
      </c>
      <c r="H50" s="4">
        <v>782</v>
      </c>
      <c r="I50" s="4" t="s">
        <v>730</v>
      </c>
      <c r="J50" s="4">
        <v>4.05</v>
      </c>
      <c r="K50" s="29" t="s">
        <v>649</v>
      </c>
      <c r="L50" s="5">
        <v>50</v>
      </c>
      <c r="M50" s="71">
        <f>7000-1000</f>
        <v>6000</v>
      </c>
      <c r="N50" s="5">
        <f>+M50*L50</f>
        <v>300000</v>
      </c>
      <c r="Q50" s="5">
        <f>+N50</f>
        <v>300000</v>
      </c>
      <c r="R50" s="18">
        <v>4.28</v>
      </c>
      <c r="S50" s="4" t="s">
        <v>199</v>
      </c>
    </row>
    <row r="51" spans="2:19" ht="24" customHeight="1" x14ac:dyDescent="0.4">
      <c r="B51" s="8" t="s">
        <v>26</v>
      </c>
      <c r="C51" s="8">
        <v>4.26</v>
      </c>
      <c r="D51" s="16" t="s">
        <v>28</v>
      </c>
      <c r="F51" s="8" t="s">
        <v>1559</v>
      </c>
      <c r="G51" s="5" t="s">
        <v>2499</v>
      </c>
      <c r="H51" s="4">
        <v>782</v>
      </c>
      <c r="I51" s="4" t="s">
        <v>730</v>
      </c>
      <c r="J51" s="4">
        <v>4.12</v>
      </c>
      <c r="K51" s="29" t="s">
        <v>649</v>
      </c>
      <c r="L51" s="5">
        <v>44</v>
      </c>
      <c r="M51" s="71">
        <f>7000-1000</f>
        <v>6000</v>
      </c>
      <c r="N51" s="5">
        <f>+M51*L51</f>
        <v>264000</v>
      </c>
      <c r="Q51" s="5">
        <f>+N51</f>
        <v>264000</v>
      </c>
      <c r="R51" s="18">
        <v>4.28</v>
      </c>
      <c r="S51" s="4" t="s">
        <v>199</v>
      </c>
    </row>
    <row r="52" spans="2:19" ht="24" customHeight="1" x14ac:dyDescent="0.4">
      <c r="B52" s="8" t="s">
        <v>26</v>
      </c>
      <c r="C52" s="8">
        <v>4.26</v>
      </c>
      <c r="D52" s="16" t="s">
        <v>28</v>
      </c>
      <c r="F52" s="8" t="s">
        <v>1559</v>
      </c>
      <c r="G52" s="5" t="s">
        <v>2499</v>
      </c>
      <c r="H52" s="4">
        <v>782</v>
      </c>
      <c r="I52" s="4" t="s">
        <v>730</v>
      </c>
      <c r="J52" s="4">
        <v>4.1900000000000004</v>
      </c>
      <c r="K52" s="29" t="s">
        <v>649</v>
      </c>
      <c r="L52" s="5">
        <v>48</v>
      </c>
      <c r="M52" s="71">
        <f>7000-1000</f>
        <v>6000</v>
      </c>
      <c r="N52" s="5">
        <f>+M52*L52</f>
        <v>288000</v>
      </c>
      <c r="Q52" s="5">
        <f>+N52</f>
        <v>288000</v>
      </c>
      <c r="R52" s="18">
        <v>4.28</v>
      </c>
      <c r="S52" s="4" t="s">
        <v>199</v>
      </c>
    </row>
    <row r="53" spans="2:19" ht="19.2" hidden="1" x14ac:dyDescent="0.4">
      <c r="B53" s="8" t="s">
        <v>26</v>
      </c>
      <c r="C53" s="8">
        <v>4.26</v>
      </c>
      <c r="D53" s="16" t="s">
        <v>28</v>
      </c>
      <c r="F53" s="5" t="s">
        <v>1559</v>
      </c>
      <c r="G53" s="5" t="s">
        <v>2498</v>
      </c>
      <c r="H53" s="4">
        <v>2865</v>
      </c>
      <c r="I53" s="4" t="s">
        <v>1328</v>
      </c>
      <c r="J53" s="4">
        <v>4.07</v>
      </c>
      <c r="K53" s="52" t="s">
        <v>675</v>
      </c>
      <c r="L53" s="5">
        <v>2</v>
      </c>
      <c r="M53" s="68">
        <f>25000+4000</f>
        <v>29000</v>
      </c>
      <c r="N53" s="5">
        <f>+M53*L53</f>
        <v>58000</v>
      </c>
      <c r="Q53" s="5">
        <f>+N53</f>
        <v>58000</v>
      </c>
      <c r="R53" s="18">
        <v>4.29</v>
      </c>
      <c r="S53" s="4" t="s">
        <v>171</v>
      </c>
    </row>
    <row r="54" spans="2:19" ht="19.2" hidden="1" x14ac:dyDescent="0.4">
      <c r="B54" s="8" t="s">
        <v>26</v>
      </c>
      <c r="C54" s="8">
        <v>4.01</v>
      </c>
      <c r="D54" s="16" t="s">
        <v>28</v>
      </c>
      <c r="F54" s="5" t="s">
        <v>1559</v>
      </c>
      <c r="G54" s="5" t="s">
        <v>2498</v>
      </c>
      <c r="H54" s="4">
        <v>2865</v>
      </c>
      <c r="I54" s="4" t="s">
        <v>1328</v>
      </c>
      <c r="J54" s="4">
        <v>3.23</v>
      </c>
      <c r="K54" s="63" t="s">
        <v>644</v>
      </c>
      <c r="L54" s="5">
        <v>6</v>
      </c>
      <c r="M54" s="71">
        <f>22000+4000</f>
        <v>26000</v>
      </c>
      <c r="N54" s="8">
        <f>+M54*L54</f>
        <v>156000</v>
      </c>
      <c r="Q54" s="5">
        <f>+N54</f>
        <v>156000</v>
      </c>
      <c r="R54" s="18">
        <v>4.29</v>
      </c>
      <c r="S54" s="4" t="s">
        <v>171</v>
      </c>
    </row>
    <row r="55" spans="2:19" hidden="1" x14ac:dyDescent="0.4">
      <c r="B55" s="8" t="s">
        <v>26</v>
      </c>
      <c r="C55" s="8">
        <v>4.04</v>
      </c>
      <c r="D55" s="16" t="s">
        <v>28</v>
      </c>
      <c r="F55" s="8" t="s">
        <v>2368</v>
      </c>
      <c r="G55" s="97" t="s">
        <v>977</v>
      </c>
      <c r="H55" s="4">
        <v>608</v>
      </c>
      <c r="I55" s="12" t="s">
        <v>985</v>
      </c>
      <c r="J55" s="4">
        <v>2.17</v>
      </c>
      <c r="K55" s="4" t="s">
        <v>531</v>
      </c>
      <c r="L55" s="5">
        <v>50</v>
      </c>
      <c r="M55" s="68">
        <v>5000</v>
      </c>
      <c r="N55" s="8">
        <f>+M55*L55</f>
        <v>250000</v>
      </c>
      <c r="Q55" s="5">
        <f>+N55</f>
        <v>250000</v>
      </c>
      <c r="R55" s="18">
        <v>4.29</v>
      </c>
      <c r="S55" s="4" t="s">
        <v>535</v>
      </c>
    </row>
    <row r="56" spans="2:19" hidden="1" x14ac:dyDescent="0.4">
      <c r="B56" s="8" t="s">
        <v>26</v>
      </c>
      <c r="C56" s="8">
        <v>4.04</v>
      </c>
      <c r="D56" s="16" t="s">
        <v>28</v>
      </c>
      <c r="F56" s="8" t="s">
        <v>2368</v>
      </c>
      <c r="G56" s="97" t="s">
        <v>977</v>
      </c>
      <c r="H56" s="4">
        <v>608</v>
      </c>
      <c r="I56" s="12" t="s">
        <v>985</v>
      </c>
      <c r="J56" s="4">
        <v>2.1800000000000002</v>
      </c>
      <c r="K56" s="4" t="s">
        <v>531</v>
      </c>
      <c r="L56" s="5">
        <v>50</v>
      </c>
      <c r="M56" s="68">
        <v>5000</v>
      </c>
      <c r="N56" s="8">
        <f>+M56*L56</f>
        <v>250000</v>
      </c>
      <c r="Q56" s="5">
        <f>+N56</f>
        <v>250000</v>
      </c>
      <c r="R56" s="18">
        <v>4.29</v>
      </c>
      <c r="S56" s="4" t="s">
        <v>535</v>
      </c>
    </row>
    <row r="57" spans="2:19" ht="19.2" hidden="1" x14ac:dyDescent="0.4">
      <c r="B57" s="8" t="s">
        <v>26</v>
      </c>
      <c r="C57" s="8">
        <v>4.26</v>
      </c>
      <c r="D57" s="16" t="s">
        <v>28</v>
      </c>
      <c r="F57" s="8" t="s">
        <v>2368</v>
      </c>
      <c r="G57" s="5" t="s">
        <v>839</v>
      </c>
      <c r="H57" s="4">
        <v>148</v>
      </c>
      <c r="I57" s="4" t="s">
        <v>123</v>
      </c>
      <c r="J57" s="4">
        <v>4.1900000000000004</v>
      </c>
      <c r="K57" s="29" t="s">
        <v>2620</v>
      </c>
      <c r="L57" s="5">
        <v>8</v>
      </c>
      <c r="M57" s="68">
        <f>12000+3000</f>
        <v>15000</v>
      </c>
      <c r="N57" s="8">
        <f>+M57*L57</f>
        <v>120000</v>
      </c>
      <c r="Q57" s="5">
        <f>+N57</f>
        <v>120000</v>
      </c>
      <c r="R57" s="18">
        <v>4.29</v>
      </c>
      <c r="S57" s="7" t="s">
        <v>117</v>
      </c>
    </row>
    <row r="58" spans="2:19" ht="19.2" hidden="1" x14ac:dyDescent="0.4">
      <c r="B58" s="8" t="s">
        <v>26</v>
      </c>
      <c r="C58" s="8">
        <v>4.26</v>
      </c>
      <c r="D58" s="16" t="s">
        <v>28</v>
      </c>
      <c r="F58" s="5" t="s">
        <v>1559</v>
      </c>
      <c r="G58" s="8" t="s">
        <v>2467</v>
      </c>
      <c r="H58" s="4">
        <v>1325</v>
      </c>
      <c r="I58" s="4" t="s">
        <v>728</v>
      </c>
      <c r="J58" s="4">
        <v>4.1399999999999997</v>
      </c>
      <c r="K58" s="29" t="s">
        <v>691</v>
      </c>
      <c r="L58" s="5">
        <v>2</v>
      </c>
      <c r="M58" s="68">
        <f>20000+3000</f>
        <v>23000</v>
      </c>
      <c r="N58" s="8">
        <f>+M58*L58</f>
        <v>46000</v>
      </c>
      <c r="Q58" s="5">
        <f>+N58</f>
        <v>46000</v>
      </c>
      <c r="R58" s="18">
        <v>4.29</v>
      </c>
      <c r="S58" s="7" t="s">
        <v>83</v>
      </c>
    </row>
    <row r="59" spans="2:19" ht="19.2" hidden="1" x14ac:dyDescent="0.4">
      <c r="B59" s="8" t="s">
        <v>26</v>
      </c>
      <c r="C59" s="8">
        <v>4.26</v>
      </c>
      <c r="D59" s="16" t="s">
        <v>28</v>
      </c>
      <c r="F59" s="5" t="s">
        <v>1559</v>
      </c>
      <c r="G59" s="8" t="s">
        <v>2467</v>
      </c>
      <c r="H59" s="4">
        <v>1325</v>
      </c>
      <c r="I59" s="4" t="s">
        <v>728</v>
      </c>
      <c r="J59" s="4">
        <v>4.18</v>
      </c>
      <c r="K59" s="29" t="s">
        <v>214</v>
      </c>
      <c r="L59" s="5">
        <v>35</v>
      </c>
      <c r="M59" s="68">
        <v>6000</v>
      </c>
      <c r="N59" s="8">
        <f>+M59*L59</f>
        <v>210000</v>
      </c>
      <c r="Q59" s="5">
        <f>+N59</f>
        <v>210000</v>
      </c>
      <c r="R59" s="18">
        <v>4.29</v>
      </c>
      <c r="S59" s="4" t="s">
        <v>83</v>
      </c>
    </row>
    <row r="60" spans="2:19" hidden="1" x14ac:dyDescent="0.4">
      <c r="B60" s="8" t="s">
        <v>26</v>
      </c>
      <c r="C60" s="8">
        <v>4.26</v>
      </c>
      <c r="D60" s="16" t="s">
        <v>28</v>
      </c>
      <c r="F60" s="8" t="s">
        <v>2368</v>
      </c>
      <c r="G60" s="4" t="s">
        <v>904</v>
      </c>
      <c r="H60" s="4">
        <v>602</v>
      </c>
      <c r="I60" s="4" t="s">
        <v>735</v>
      </c>
      <c r="J60" s="4">
        <v>4.07</v>
      </c>
      <c r="K60" s="8" t="s">
        <v>2621</v>
      </c>
      <c r="L60" s="5">
        <v>3</v>
      </c>
      <c r="M60" s="68">
        <f>20000+3000</f>
        <v>23000</v>
      </c>
      <c r="N60" s="5">
        <f>+M60*L60</f>
        <v>69000</v>
      </c>
      <c r="Q60" s="5">
        <f>+N60</f>
        <v>69000</v>
      </c>
      <c r="R60" s="18">
        <v>5.0199999999999996</v>
      </c>
      <c r="S60" s="7" t="s">
        <v>377</v>
      </c>
    </row>
    <row r="61" spans="2:19" hidden="1" x14ac:dyDescent="0.4">
      <c r="B61" s="8" t="s">
        <v>26</v>
      </c>
      <c r="C61" s="8">
        <v>4.26</v>
      </c>
      <c r="D61" s="16" t="s">
        <v>28</v>
      </c>
      <c r="F61" s="5" t="s">
        <v>1559</v>
      </c>
      <c r="G61" s="8" t="s">
        <v>2467</v>
      </c>
      <c r="H61" s="4">
        <v>1325</v>
      </c>
      <c r="I61" s="4" t="s">
        <v>728</v>
      </c>
      <c r="J61" s="4">
        <v>3.29</v>
      </c>
      <c r="K61" s="4" t="s">
        <v>531</v>
      </c>
      <c r="L61" s="5">
        <v>30</v>
      </c>
      <c r="M61" s="68">
        <v>6000</v>
      </c>
      <c r="N61" s="8">
        <f>+M61*L61</f>
        <v>180000</v>
      </c>
      <c r="Q61" s="5">
        <f>+N61</f>
        <v>180000</v>
      </c>
      <c r="R61" s="18">
        <v>5.0199999999999996</v>
      </c>
      <c r="S61" s="4" t="s">
        <v>83</v>
      </c>
    </row>
    <row r="62" spans="2:19" ht="19.2" hidden="1" x14ac:dyDescent="0.4">
      <c r="B62" s="8" t="s">
        <v>26</v>
      </c>
      <c r="C62" s="8">
        <v>4.26</v>
      </c>
      <c r="D62" s="16" t="s">
        <v>28</v>
      </c>
      <c r="F62" s="5" t="s">
        <v>1559</v>
      </c>
      <c r="G62" s="8" t="s">
        <v>2467</v>
      </c>
      <c r="H62" s="4">
        <v>1325</v>
      </c>
      <c r="I62" s="4" t="s">
        <v>728</v>
      </c>
      <c r="J62" s="4">
        <v>4.0599999999999996</v>
      </c>
      <c r="K62" s="29" t="s">
        <v>531</v>
      </c>
      <c r="L62" s="5">
        <f>20+4</f>
        <v>24</v>
      </c>
      <c r="M62" s="68">
        <v>7000</v>
      </c>
      <c r="N62" s="5">
        <f>+M62*L62</f>
        <v>168000</v>
      </c>
      <c r="Q62" s="5">
        <f>+N62</f>
        <v>168000</v>
      </c>
      <c r="R62" s="18">
        <v>5.0199999999999996</v>
      </c>
      <c r="S62" s="4" t="s">
        <v>83</v>
      </c>
    </row>
    <row r="63" spans="2:19" hidden="1" x14ac:dyDescent="0.4">
      <c r="B63" s="90" t="s">
        <v>2447</v>
      </c>
      <c r="D63" s="112" t="s">
        <v>28</v>
      </c>
      <c r="N63" s="90">
        <f>SUM(N33:N62)</f>
        <v>4889000</v>
      </c>
      <c r="Q63" s="90">
        <f>SUM(Q33:Q62)</f>
        <v>4889000</v>
      </c>
    </row>
    <row r="64" spans="2:19" hidden="1" x14ac:dyDescent="0.4">
      <c r="B64" s="90" t="s">
        <v>2622</v>
      </c>
      <c r="N64" s="90">
        <f>N63+N32</f>
        <v>10306000</v>
      </c>
      <c r="Q64" s="90">
        <f>Q63+Q32</f>
        <v>10306000</v>
      </c>
    </row>
    <row r="65" spans="11:11" ht="23.25" customHeight="1" x14ac:dyDescent="0.4"/>
    <row r="66" spans="11:11" ht="23.25" customHeight="1" x14ac:dyDescent="0.4"/>
    <row r="67" spans="11:11" ht="24" customHeight="1" x14ac:dyDescent="0.4">
      <c r="K67" s="117" t="s">
        <v>2508</v>
      </c>
    </row>
    <row r="68" spans="11:11" ht="23.25" customHeight="1" x14ac:dyDescent="0.4"/>
    <row r="69" spans="11:11" ht="23.25" customHeight="1" x14ac:dyDescent="0.4"/>
    <row r="70" spans="11:11" ht="23.25" customHeight="1" x14ac:dyDescent="0.4"/>
    <row r="71" spans="11:11" ht="23.25" customHeight="1" x14ac:dyDescent="0.4"/>
    <row r="72" spans="11:11" ht="23.25" customHeight="1" x14ac:dyDescent="0.4"/>
    <row r="73" spans="11:11" ht="23.25" customHeight="1" x14ac:dyDescent="0.4"/>
    <row r="74" spans="11:11" ht="23.25" customHeight="1" x14ac:dyDescent="0.4"/>
    <row r="75" spans="11:11" ht="23.25" customHeight="1" x14ac:dyDescent="0.4"/>
    <row r="76" spans="11:11" ht="23.25" customHeight="1" x14ac:dyDescent="0.4"/>
    <row r="77" spans="11:11" ht="23.25" customHeight="1" x14ac:dyDescent="0.4"/>
    <row r="78" spans="11:11" ht="23.25" customHeight="1" x14ac:dyDescent="0.4"/>
    <row r="79" spans="11:11" ht="23.25" customHeight="1" x14ac:dyDescent="0.4"/>
    <row r="80" spans="11:11" ht="23.25" customHeight="1" x14ac:dyDescent="0.4"/>
    <row r="81" ht="23.25" customHeight="1" x14ac:dyDescent="0.4"/>
    <row r="82" ht="23.25" customHeight="1" x14ac:dyDescent="0.4"/>
    <row r="83" ht="23.25" customHeight="1" x14ac:dyDescent="0.4"/>
    <row r="84" ht="23.25" customHeight="1" x14ac:dyDescent="0.4"/>
    <row r="85" ht="23.25" customHeight="1" x14ac:dyDescent="0.4"/>
    <row r="86" ht="23.25" customHeight="1" x14ac:dyDescent="0.4"/>
    <row r="87" ht="23.25" customHeight="1" x14ac:dyDescent="0.4"/>
    <row r="88" ht="23.25" customHeight="1" x14ac:dyDescent="0.4"/>
    <row r="89" ht="23.25" customHeight="1" x14ac:dyDescent="0.4"/>
    <row r="90" ht="23.25" customHeight="1" x14ac:dyDescent="0.4"/>
    <row r="91" ht="23.25" customHeight="1" x14ac:dyDescent="0.4"/>
    <row r="92" ht="23.25" customHeight="1" x14ac:dyDescent="0.4"/>
    <row r="93" ht="23.25" customHeight="1" x14ac:dyDescent="0.4"/>
    <row r="94" ht="23.25" customHeight="1" x14ac:dyDescent="0.4"/>
    <row r="95" ht="23.25" customHeight="1" x14ac:dyDescent="0.4"/>
    <row r="96" ht="23.25" customHeight="1" x14ac:dyDescent="0.4"/>
    <row r="97" ht="23.25" customHeight="1" x14ac:dyDescent="0.4"/>
    <row r="98" ht="23.25" customHeight="1" x14ac:dyDescent="0.4"/>
    <row r="99" ht="23.25" customHeight="1" x14ac:dyDescent="0.4"/>
    <row r="100" ht="23.25" customHeight="1" x14ac:dyDescent="0.4"/>
    <row r="101" ht="23.25" customHeight="1" x14ac:dyDescent="0.4"/>
    <row r="102" ht="23.25" customHeight="1" x14ac:dyDescent="0.4"/>
    <row r="103" ht="23.25" customHeight="1" x14ac:dyDescent="0.4"/>
    <row r="104" ht="23.25" customHeight="1" x14ac:dyDescent="0.4"/>
    <row r="105" ht="23.25" customHeight="1" x14ac:dyDescent="0.4"/>
    <row r="106" ht="23.25" customHeight="1" x14ac:dyDescent="0.4"/>
    <row r="107" ht="23.25" customHeight="1" x14ac:dyDescent="0.4"/>
    <row r="108" ht="23.25" customHeight="1" x14ac:dyDescent="0.4"/>
    <row r="109" ht="23.25" customHeight="1" x14ac:dyDescent="0.4"/>
    <row r="110" ht="23.25" customHeight="1" x14ac:dyDescent="0.4"/>
    <row r="111" ht="23.25" customHeight="1" x14ac:dyDescent="0.4"/>
    <row r="112" ht="23.25" customHeight="1" x14ac:dyDescent="0.4"/>
    <row r="113" ht="23.25" customHeight="1" x14ac:dyDescent="0.4"/>
    <row r="114" ht="23.25" customHeight="1" x14ac:dyDescent="0.4"/>
    <row r="115" ht="23.25" customHeight="1" x14ac:dyDescent="0.4"/>
    <row r="116" ht="23.25" customHeight="1" x14ac:dyDescent="0.4"/>
    <row r="117" ht="23.25" customHeight="1" x14ac:dyDescent="0.4"/>
    <row r="118" ht="23.25" customHeight="1" x14ac:dyDescent="0.4"/>
    <row r="119" ht="23.25" customHeight="1" x14ac:dyDescent="0.4"/>
    <row r="120" ht="23.25" customHeight="1" x14ac:dyDescent="0.4"/>
    <row r="121" ht="23.25" customHeight="1" x14ac:dyDescent="0.4"/>
    <row r="122" ht="23.25" customHeight="1" x14ac:dyDescent="0.4"/>
    <row r="123" ht="23.25" customHeight="1" x14ac:dyDescent="0.4"/>
    <row r="124" ht="23.25" customHeight="1" x14ac:dyDescent="0.4"/>
    <row r="125" ht="23.25" customHeight="1" x14ac:dyDescent="0.4"/>
    <row r="126" ht="23.25" customHeight="1" x14ac:dyDescent="0.4"/>
    <row r="127" ht="23.25" customHeight="1" x14ac:dyDescent="0.4"/>
    <row r="128" ht="23.25" customHeight="1" x14ac:dyDescent="0.4"/>
    <row r="129" ht="23.25" customHeight="1" x14ac:dyDescent="0.4"/>
    <row r="130" ht="23.25" customHeight="1" x14ac:dyDescent="0.4"/>
    <row r="131" ht="23.25" customHeight="1" x14ac:dyDescent="0.4"/>
    <row r="132" ht="23.25" customHeight="1" x14ac:dyDescent="0.4"/>
    <row r="133" ht="23.25" customHeight="1" x14ac:dyDescent="0.4"/>
    <row r="134" ht="23.25" customHeight="1" x14ac:dyDescent="0.4"/>
    <row r="135" ht="23.25" customHeight="1" x14ac:dyDescent="0.4"/>
    <row r="136" ht="23.25" customHeight="1" x14ac:dyDescent="0.4"/>
    <row r="137" ht="23.25" customHeight="1" x14ac:dyDescent="0.4"/>
    <row r="138" ht="23.25" customHeight="1" x14ac:dyDescent="0.4"/>
    <row r="139" ht="23.25" customHeight="1" x14ac:dyDescent="0.4"/>
    <row r="140" ht="23.25" customHeight="1" x14ac:dyDescent="0.4"/>
    <row r="141" ht="23.25" customHeight="1" x14ac:dyDescent="0.4"/>
    <row r="142" ht="23.25" customHeight="1" x14ac:dyDescent="0.4"/>
    <row r="143" ht="23.25" customHeight="1" x14ac:dyDescent="0.4"/>
    <row r="144" ht="23.25" customHeight="1" x14ac:dyDescent="0.4"/>
    <row r="145" ht="23.25" customHeight="1" x14ac:dyDescent="0.4"/>
    <row r="146" ht="23.25" customHeight="1" x14ac:dyDescent="0.4"/>
    <row r="147" ht="23.25" customHeight="1" x14ac:dyDescent="0.4"/>
    <row r="148" ht="23.25" customHeight="1" x14ac:dyDescent="0.4"/>
    <row r="149" ht="23.25" customHeight="1" x14ac:dyDescent="0.4"/>
    <row r="150" ht="23.25" customHeight="1" x14ac:dyDescent="0.4"/>
    <row r="151" ht="23.25" customHeight="1" x14ac:dyDescent="0.4"/>
    <row r="152" ht="23.25" customHeight="1" x14ac:dyDescent="0.4"/>
    <row r="153" ht="23.25" customHeight="1" x14ac:dyDescent="0.4"/>
    <row r="154" ht="23.25" customHeight="1" x14ac:dyDescent="0.4"/>
    <row r="155" ht="23.25" customHeight="1" x14ac:dyDescent="0.4"/>
    <row r="156" ht="23.25" customHeight="1" x14ac:dyDescent="0.4"/>
    <row r="157" ht="23.25" customHeight="1" x14ac:dyDescent="0.4"/>
    <row r="158" ht="23.25" customHeight="1" x14ac:dyDescent="0.4"/>
    <row r="159" ht="23.25" customHeight="1" x14ac:dyDescent="0.4"/>
    <row r="160" ht="23.25" customHeight="1" x14ac:dyDescent="0.4"/>
    <row r="161" ht="23.25" customHeight="1" x14ac:dyDescent="0.4"/>
    <row r="162" ht="23.25" customHeight="1" x14ac:dyDescent="0.4"/>
    <row r="163" ht="23.25" customHeight="1" x14ac:dyDescent="0.4"/>
    <row r="164" ht="23.25" customHeight="1" x14ac:dyDescent="0.4"/>
    <row r="165" ht="23.25" customHeight="1" x14ac:dyDescent="0.4"/>
    <row r="166" ht="23.25" customHeight="1" x14ac:dyDescent="0.4"/>
    <row r="167" ht="23.25" customHeight="1" x14ac:dyDescent="0.4"/>
    <row r="168" ht="23.25" customHeight="1" x14ac:dyDescent="0.4"/>
    <row r="169" ht="23.25" customHeight="1" x14ac:dyDescent="0.4"/>
    <row r="170" ht="23.25" customHeight="1" x14ac:dyDescent="0.4"/>
    <row r="171" ht="23.25" customHeight="1" x14ac:dyDescent="0.4"/>
    <row r="172" ht="23.25" customHeight="1" x14ac:dyDescent="0.4"/>
    <row r="173" ht="23.25" customHeight="1" x14ac:dyDescent="0.4"/>
    <row r="174" ht="23.25" customHeight="1" x14ac:dyDescent="0.4"/>
    <row r="175" ht="23.25" customHeight="1" x14ac:dyDescent="0.4"/>
    <row r="176" ht="23.25" customHeight="1" x14ac:dyDescent="0.4"/>
    <row r="177" ht="23.25" customHeight="1" x14ac:dyDescent="0.4"/>
    <row r="178" ht="23.25" customHeight="1" x14ac:dyDescent="0.4"/>
    <row r="179" ht="23.25" customHeight="1" x14ac:dyDescent="0.4"/>
    <row r="180" ht="23.25" customHeight="1" x14ac:dyDescent="0.4"/>
    <row r="181" ht="23.25" customHeight="1" x14ac:dyDescent="0.4"/>
    <row r="182" ht="23.25" customHeight="1" x14ac:dyDescent="0.4"/>
    <row r="183" ht="23.25" customHeight="1" x14ac:dyDescent="0.4"/>
    <row r="184" ht="23.25" customHeight="1" x14ac:dyDescent="0.4"/>
    <row r="185" ht="23.25" customHeight="1" x14ac:dyDescent="0.4"/>
    <row r="186" ht="23.25" customHeight="1" x14ac:dyDescent="0.4"/>
    <row r="187" ht="23.25" customHeight="1" x14ac:dyDescent="0.4"/>
    <row r="188" ht="23.25" customHeight="1" x14ac:dyDescent="0.4"/>
    <row r="189" ht="23.25" customHeight="1" x14ac:dyDescent="0.4"/>
    <row r="190" ht="23.25" customHeight="1" x14ac:dyDescent="0.4"/>
    <row r="191" ht="23.25" customHeight="1" x14ac:dyDescent="0.4"/>
    <row r="192" ht="23.25" customHeight="1" x14ac:dyDescent="0.4"/>
    <row r="193" ht="23.25" customHeight="1" x14ac:dyDescent="0.4"/>
    <row r="194" ht="23.25" customHeight="1" x14ac:dyDescent="0.4"/>
    <row r="195" ht="23.25" customHeight="1" x14ac:dyDescent="0.4"/>
    <row r="196" ht="23.25" customHeight="1" x14ac:dyDescent="0.4"/>
    <row r="197" ht="23.25" customHeight="1" x14ac:dyDescent="0.4"/>
    <row r="198" ht="23.25" customHeight="1" x14ac:dyDescent="0.4"/>
    <row r="199" ht="23.25" customHeight="1" x14ac:dyDescent="0.4"/>
    <row r="200" ht="23.25" customHeight="1" x14ac:dyDescent="0.4"/>
    <row r="201" ht="23.25" customHeight="1" x14ac:dyDescent="0.4"/>
    <row r="202" ht="23.25" customHeight="1" x14ac:dyDescent="0.4"/>
    <row r="203" ht="23.25" customHeight="1" x14ac:dyDescent="0.4"/>
    <row r="204" ht="23.25" customHeight="1" x14ac:dyDescent="0.4"/>
    <row r="205" ht="23.25" customHeight="1" x14ac:dyDescent="0.4"/>
    <row r="206" ht="23.25" customHeight="1" x14ac:dyDescent="0.4"/>
    <row r="207" ht="23.25" customHeight="1" x14ac:dyDescent="0.4"/>
    <row r="208" ht="23.25" customHeight="1" x14ac:dyDescent="0.4"/>
    <row r="209" ht="23.25" customHeight="1" x14ac:dyDescent="0.4"/>
    <row r="210" ht="23.25" customHeight="1" x14ac:dyDescent="0.4"/>
    <row r="211" ht="23.25" customHeight="1" x14ac:dyDescent="0.4"/>
    <row r="212" ht="23.25" customHeight="1" x14ac:dyDescent="0.4"/>
    <row r="213" ht="23.25" customHeight="1" x14ac:dyDescent="0.4"/>
    <row r="214" ht="23.25" customHeight="1" x14ac:dyDescent="0.4"/>
    <row r="215" ht="23.25" customHeight="1" x14ac:dyDescent="0.4"/>
    <row r="216" ht="23.25" customHeight="1" x14ac:dyDescent="0.4"/>
    <row r="217" ht="23.25" customHeight="1" x14ac:dyDescent="0.4"/>
    <row r="218" ht="23.25" customHeight="1" x14ac:dyDescent="0.4"/>
    <row r="219" ht="23.25" customHeight="1" x14ac:dyDescent="0.4"/>
    <row r="220" ht="23.25" customHeight="1" x14ac:dyDescent="0.4"/>
    <row r="221" ht="23.25" customHeight="1" x14ac:dyDescent="0.4"/>
    <row r="222" ht="23.25" customHeight="1" x14ac:dyDescent="0.4"/>
    <row r="223" ht="23.25" customHeight="1" x14ac:dyDescent="0.4"/>
    <row r="224" ht="23.25" customHeight="1" x14ac:dyDescent="0.4"/>
    <row r="225" ht="23.25" customHeight="1" x14ac:dyDescent="0.4"/>
    <row r="226" ht="23.25" customHeight="1" x14ac:dyDescent="0.4"/>
    <row r="227" ht="23.25" customHeight="1" x14ac:dyDescent="0.4"/>
    <row r="228" ht="23.25" customHeight="1" x14ac:dyDescent="0.4"/>
    <row r="229" ht="23.25" customHeight="1" x14ac:dyDescent="0.4"/>
    <row r="230" ht="23.25" customHeight="1" x14ac:dyDescent="0.4"/>
    <row r="231" ht="23.25" customHeight="1" x14ac:dyDescent="0.4"/>
    <row r="232" ht="23.25" customHeight="1" x14ac:dyDescent="0.4"/>
    <row r="233" ht="23.25" customHeight="1" x14ac:dyDescent="0.4"/>
    <row r="234" ht="23.25" customHeight="1" x14ac:dyDescent="0.4"/>
    <row r="235" ht="23.25" customHeight="1" x14ac:dyDescent="0.4"/>
    <row r="236" ht="23.25" customHeight="1" x14ac:dyDescent="0.4"/>
    <row r="237" ht="23.25" customHeight="1" x14ac:dyDescent="0.4"/>
    <row r="238" ht="23.25" customHeight="1" x14ac:dyDescent="0.4"/>
    <row r="239" ht="23.25" customHeight="1" x14ac:dyDescent="0.4"/>
    <row r="240" ht="23.25" customHeight="1" x14ac:dyDescent="0.4"/>
    <row r="241" ht="23.25" customHeight="1" x14ac:dyDescent="0.4"/>
    <row r="242" ht="23.25" customHeight="1" x14ac:dyDescent="0.4"/>
    <row r="243" ht="23.25" customHeight="1" x14ac:dyDescent="0.4"/>
    <row r="244" ht="23.25" customHeight="1" x14ac:dyDescent="0.4"/>
    <row r="245" ht="23.25" customHeight="1" x14ac:dyDescent="0.4"/>
    <row r="246" ht="23.25" customHeight="1" x14ac:dyDescent="0.4"/>
    <row r="247" ht="23.25" customHeight="1" x14ac:dyDescent="0.4"/>
    <row r="248" ht="23.25" customHeight="1" x14ac:dyDescent="0.4"/>
    <row r="249" ht="23.25" customHeight="1" x14ac:dyDescent="0.4"/>
    <row r="250" ht="23.25" customHeight="1" x14ac:dyDescent="0.4"/>
    <row r="251" ht="23.25" customHeight="1" x14ac:dyDescent="0.4"/>
    <row r="252" ht="23.25" customHeight="1" x14ac:dyDescent="0.4"/>
    <row r="253" ht="23.25" customHeight="1" x14ac:dyDescent="0.4"/>
    <row r="254" ht="23.25" customHeight="1" x14ac:dyDescent="0.4"/>
    <row r="255" ht="23.25" customHeight="1" x14ac:dyDescent="0.4"/>
    <row r="256" ht="23.25" customHeight="1" x14ac:dyDescent="0.4"/>
    <row r="257" ht="23.25" customHeight="1" x14ac:dyDescent="0.4"/>
    <row r="258" ht="23.25" customHeight="1" x14ac:dyDescent="0.4"/>
    <row r="259" ht="23.25" customHeight="1" x14ac:dyDescent="0.4"/>
    <row r="260" ht="23.25" customHeight="1" x14ac:dyDescent="0.4"/>
    <row r="261" ht="23.25" customHeight="1" x14ac:dyDescent="0.4"/>
    <row r="262" ht="23.25" customHeight="1" x14ac:dyDescent="0.4"/>
    <row r="263" ht="23.25" customHeight="1" x14ac:dyDescent="0.4"/>
    <row r="264" ht="23.25" customHeight="1" x14ac:dyDescent="0.4"/>
    <row r="265" ht="23.25" customHeight="1" x14ac:dyDescent="0.4"/>
    <row r="266" ht="23.25" customHeight="1" x14ac:dyDescent="0.4"/>
    <row r="267" ht="23.25" customHeight="1" x14ac:dyDescent="0.4"/>
    <row r="268" ht="23.25" customHeight="1" x14ac:dyDescent="0.4"/>
    <row r="269" ht="23.25" customHeight="1" x14ac:dyDescent="0.4"/>
    <row r="270" ht="23.25" customHeight="1" x14ac:dyDescent="0.4"/>
    <row r="271" ht="23.25" customHeight="1" x14ac:dyDescent="0.4"/>
    <row r="272" ht="23.25" customHeight="1" x14ac:dyDescent="0.4"/>
    <row r="273" ht="23.25" customHeight="1" x14ac:dyDescent="0.4"/>
    <row r="274" ht="23.25" customHeight="1" x14ac:dyDescent="0.4"/>
    <row r="275" ht="23.25" customHeight="1" x14ac:dyDescent="0.4"/>
    <row r="276" ht="23.25" customHeight="1" x14ac:dyDescent="0.4"/>
    <row r="277" ht="23.25" customHeight="1" x14ac:dyDescent="0.4"/>
    <row r="278" ht="23.25" customHeight="1" x14ac:dyDescent="0.4"/>
    <row r="279" ht="23.25" customHeight="1" x14ac:dyDescent="0.4"/>
    <row r="280" ht="23.25" customHeight="1" x14ac:dyDescent="0.4"/>
    <row r="281" ht="23.25" customHeight="1" x14ac:dyDescent="0.4"/>
    <row r="282" ht="23.25" customHeight="1" x14ac:dyDescent="0.4"/>
    <row r="283" ht="23.25" customHeight="1" x14ac:dyDescent="0.4"/>
    <row r="284" ht="23.25" customHeight="1" x14ac:dyDescent="0.4"/>
    <row r="285" ht="23.25" customHeight="1" x14ac:dyDescent="0.4"/>
    <row r="286" ht="23.25" customHeight="1" x14ac:dyDescent="0.4"/>
    <row r="287" ht="23.25" customHeight="1" x14ac:dyDescent="0.4"/>
    <row r="288" ht="23.25" customHeight="1" x14ac:dyDescent="0.4"/>
    <row r="289" ht="23.25" customHeight="1" x14ac:dyDescent="0.4"/>
    <row r="290" ht="23.25" customHeight="1" x14ac:dyDescent="0.4"/>
    <row r="291" ht="23.25" customHeight="1" x14ac:dyDescent="0.4"/>
    <row r="292" ht="23.25" customHeight="1" x14ac:dyDescent="0.4"/>
    <row r="293" ht="23.25" customHeight="1" x14ac:dyDescent="0.4"/>
    <row r="294" ht="23.25" customHeight="1" x14ac:dyDescent="0.4"/>
    <row r="295" ht="23.25" customHeight="1" x14ac:dyDescent="0.4"/>
    <row r="296" ht="23.25" customHeight="1" x14ac:dyDescent="0.4"/>
    <row r="297" ht="23.25" customHeight="1" x14ac:dyDescent="0.4"/>
    <row r="298" ht="23.25" customHeight="1" x14ac:dyDescent="0.4"/>
    <row r="299" ht="23.25" customHeight="1" x14ac:dyDescent="0.4"/>
    <row r="300" ht="23.25" customHeight="1" x14ac:dyDescent="0.4"/>
    <row r="301" ht="23.25" customHeight="1" x14ac:dyDescent="0.4"/>
    <row r="302" ht="23.25" customHeight="1" x14ac:dyDescent="0.4"/>
    <row r="303" ht="23.25" customHeight="1" x14ac:dyDescent="0.4"/>
    <row r="304" ht="23.25" customHeight="1" x14ac:dyDescent="0.4"/>
    <row r="305" ht="23.25" customHeight="1" x14ac:dyDescent="0.4"/>
    <row r="306" ht="23.25" customHeight="1" x14ac:dyDescent="0.4"/>
    <row r="307" ht="23.25" customHeight="1" x14ac:dyDescent="0.4"/>
    <row r="308" ht="23.25" customHeight="1" x14ac:dyDescent="0.4"/>
    <row r="309" ht="23.25" customHeight="1" x14ac:dyDescent="0.4"/>
    <row r="310" ht="23.25" customHeight="1" x14ac:dyDescent="0.4"/>
    <row r="311" ht="23.25" customHeight="1" x14ac:dyDescent="0.4"/>
    <row r="312" ht="23.25" customHeight="1" x14ac:dyDescent="0.4"/>
    <row r="313" ht="23.25" customHeight="1" x14ac:dyDescent="0.4"/>
    <row r="314" ht="23.25" customHeight="1" x14ac:dyDescent="0.4"/>
    <row r="315" ht="23.25" customHeight="1" x14ac:dyDescent="0.4"/>
    <row r="316" ht="23.25" customHeight="1" x14ac:dyDescent="0.4"/>
    <row r="317" ht="23.25" customHeight="1" x14ac:dyDescent="0.4"/>
    <row r="318" ht="23.25" customHeight="1" x14ac:dyDescent="0.4"/>
    <row r="319" ht="23.25" customHeight="1" x14ac:dyDescent="0.4"/>
    <row r="320" ht="23.25" customHeight="1" x14ac:dyDescent="0.4"/>
    <row r="321" ht="23.25" customHeight="1" x14ac:dyDescent="0.4"/>
    <row r="322" ht="23.25" customHeight="1" x14ac:dyDescent="0.4"/>
    <row r="323" ht="23.25" customHeight="1" x14ac:dyDescent="0.4"/>
    <row r="324" ht="23.25" customHeight="1" x14ac:dyDescent="0.4"/>
    <row r="325" ht="23.25" customHeight="1" x14ac:dyDescent="0.4"/>
    <row r="326" ht="23.25" customHeight="1" x14ac:dyDescent="0.4"/>
    <row r="327" ht="23.25" customHeight="1" x14ac:dyDescent="0.4"/>
    <row r="328" ht="23.25" customHeight="1" x14ac:dyDescent="0.4"/>
    <row r="329" ht="23.25" customHeight="1" x14ac:dyDescent="0.4"/>
    <row r="330" ht="23.25" customHeight="1" x14ac:dyDescent="0.4"/>
    <row r="331" ht="23.25" customHeight="1" x14ac:dyDescent="0.4"/>
    <row r="332" ht="23.25" customHeight="1" x14ac:dyDescent="0.4"/>
    <row r="333" ht="23.25" customHeight="1" x14ac:dyDescent="0.4"/>
    <row r="334" ht="23.25" customHeight="1" x14ac:dyDescent="0.4"/>
    <row r="335" ht="23.25" customHeight="1" x14ac:dyDescent="0.4"/>
    <row r="336" ht="23.25" customHeight="1" x14ac:dyDescent="0.4"/>
    <row r="337" ht="23.25" customHeight="1" x14ac:dyDescent="0.4"/>
    <row r="338" ht="23.25" customHeight="1" x14ac:dyDescent="0.4"/>
    <row r="339" ht="23.25" customHeight="1" x14ac:dyDescent="0.4"/>
    <row r="340" ht="23.25" customHeight="1" x14ac:dyDescent="0.4"/>
    <row r="341" ht="23.25" customHeight="1" x14ac:dyDescent="0.4"/>
    <row r="342" ht="23.25" customHeight="1" x14ac:dyDescent="0.4"/>
    <row r="343" ht="23.25" customHeight="1" x14ac:dyDescent="0.4"/>
    <row r="344" ht="23.25" customHeight="1" x14ac:dyDescent="0.4"/>
    <row r="345" ht="23.25" customHeight="1" x14ac:dyDescent="0.4"/>
    <row r="346" ht="23.25" customHeight="1" x14ac:dyDescent="0.4"/>
    <row r="347" ht="23.25" customHeight="1" x14ac:dyDescent="0.4"/>
    <row r="348" ht="23.25" customHeight="1" x14ac:dyDescent="0.4"/>
    <row r="349" ht="23.25" customHeight="1" x14ac:dyDescent="0.4"/>
    <row r="350" ht="23.25" customHeight="1" x14ac:dyDescent="0.4"/>
    <row r="351" ht="23.25" customHeight="1" x14ac:dyDescent="0.4"/>
    <row r="352" ht="23.25" customHeight="1" x14ac:dyDescent="0.4"/>
    <row r="353" ht="23.25" customHeight="1" x14ac:dyDescent="0.4"/>
    <row r="354" ht="23.25" customHeight="1" x14ac:dyDescent="0.4"/>
    <row r="355" ht="23.25" customHeight="1" x14ac:dyDescent="0.4"/>
    <row r="356" ht="23.25" customHeight="1" x14ac:dyDescent="0.4"/>
    <row r="357" ht="23.25" customHeight="1" x14ac:dyDescent="0.4"/>
    <row r="358" ht="23.25" customHeight="1" x14ac:dyDescent="0.4"/>
    <row r="359" ht="23.25" customHeight="1" x14ac:dyDescent="0.4"/>
    <row r="360" ht="23.25" customHeight="1" x14ac:dyDescent="0.4"/>
    <row r="361" ht="23.25" customHeight="1" x14ac:dyDescent="0.4"/>
    <row r="362" ht="23.25" customHeight="1" x14ac:dyDescent="0.4"/>
    <row r="363" ht="23.25" customHeight="1" x14ac:dyDescent="0.4"/>
    <row r="364" ht="23.25" customHeight="1" x14ac:dyDescent="0.4"/>
    <row r="365" ht="23.25" customHeight="1" x14ac:dyDescent="0.4"/>
    <row r="366" ht="23.25" customHeight="1" x14ac:dyDescent="0.4"/>
    <row r="367" ht="23.25" customHeight="1" x14ac:dyDescent="0.4"/>
    <row r="368" ht="23.25" customHeight="1" x14ac:dyDescent="0.4"/>
    <row r="369" ht="23.25" customHeight="1" x14ac:dyDescent="0.4"/>
    <row r="370" ht="23.25" customHeight="1" x14ac:dyDescent="0.4"/>
    <row r="371" ht="23.25" customHeight="1" x14ac:dyDescent="0.4"/>
    <row r="372" ht="23.25" customHeight="1" x14ac:dyDescent="0.4"/>
    <row r="373" ht="23.25" customHeight="1" x14ac:dyDescent="0.4"/>
    <row r="374" ht="23.25" customHeight="1" x14ac:dyDescent="0.4"/>
    <row r="375" ht="23.25" customHeight="1" x14ac:dyDescent="0.4"/>
    <row r="376" ht="23.25" customHeight="1" x14ac:dyDescent="0.4"/>
    <row r="377" ht="23.25" customHeight="1" x14ac:dyDescent="0.4"/>
    <row r="378" ht="23.25" customHeight="1" x14ac:dyDescent="0.4"/>
    <row r="379" ht="23.25" customHeight="1" x14ac:dyDescent="0.4"/>
    <row r="380" ht="23.25" customHeight="1" x14ac:dyDescent="0.4"/>
    <row r="381" ht="23.25" customHeight="1" x14ac:dyDescent="0.4"/>
    <row r="382" ht="23.25" customHeight="1" x14ac:dyDescent="0.4"/>
    <row r="383" ht="23.25" customHeight="1" x14ac:dyDescent="0.4"/>
    <row r="384" ht="23.25" customHeight="1" x14ac:dyDescent="0.4"/>
    <row r="385" ht="23.25" customHeight="1" x14ac:dyDescent="0.4"/>
    <row r="386" ht="23.25" customHeight="1" x14ac:dyDescent="0.4"/>
    <row r="387" ht="23.25" customHeight="1" x14ac:dyDescent="0.4"/>
    <row r="388" ht="23.25" customHeight="1" x14ac:dyDescent="0.4"/>
    <row r="389" ht="23.25" customHeight="1" x14ac:dyDescent="0.4"/>
    <row r="390" ht="23.25" customHeight="1" x14ac:dyDescent="0.4"/>
    <row r="391" ht="23.25" customHeight="1" x14ac:dyDescent="0.4"/>
    <row r="392" ht="23.25" customHeight="1" x14ac:dyDescent="0.4"/>
    <row r="393" ht="23.25" customHeight="1" x14ac:dyDescent="0.4"/>
    <row r="394" ht="23.25" customHeight="1" x14ac:dyDescent="0.4"/>
    <row r="395" ht="23.25" customHeight="1" x14ac:dyDescent="0.4"/>
    <row r="396" ht="23.25" customHeight="1" x14ac:dyDescent="0.4"/>
    <row r="397" ht="23.25" customHeight="1" x14ac:dyDescent="0.4"/>
    <row r="398" ht="23.25" customHeight="1" x14ac:dyDescent="0.4"/>
    <row r="399" ht="23.25" customHeight="1" x14ac:dyDescent="0.4"/>
    <row r="400" ht="23.25" customHeight="1" x14ac:dyDescent="0.4"/>
    <row r="401" ht="23.25" customHeight="1" x14ac:dyDescent="0.4"/>
    <row r="402" ht="23.25" customHeight="1" x14ac:dyDescent="0.4"/>
    <row r="403" ht="23.25" customHeight="1" x14ac:dyDescent="0.4"/>
    <row r="404" ht="23.25" customHeight="1" x14ac:dyDescent="0.4"/>
    <row r="405" ht="23.25" customHeight="1" x14ac:dyDescent="0.4"/>
    <row r="406" ht="23.25" customHeight="1" x14ac:dyDescent="0.4"/>
    <row r="407" ht="23.25" customHeight="1" x14ac:dyDescent="0.4"/>
    <row r="408" ht="23.25" customHeight="1" x14ac:dyDescent="0.4"/>
    <row r="409" ht="23.25" customHeight="1" x14ac:dyDescent="0.4"/>
    <row r="410" ht="23.25" customHeight="1" x14ac:dyDescent="0.4"/>
    <row r="411" ht="23.25" customHeight="1" x14ac:dyDescent="0.4"/>
    <row r="412" ht="23.25" customHeight="1" x14ac:dyDescent="0.4"/>
    <row r="413" ht="23.25" customHeight="1" x14ac:dyDescent="0.4"/>
    <row r="414" ht="23.25" customHeight="1" x14ac:dyDescent="0.4"/>
    <row r="415" ht="23.25" customHeight="1" x14ac:dyDescent="0.4"/>
    <row r="416" ht="23.25" customHeight="1" x14ac:dyDescent="0.4"/>
    <row r="417" ht="23.25" customHeight="1" x14ac:dyDescent="0.4"/>
    <row r="418" ht="23.25" customHeight="1" x14ac:dyDescent="0.4"/>
    <row r="419" ht="23.25" customHeight="1" x14ac:dyDescent="0.4"/>
    <row r="420" ht="23.25" customHeight="1" x14ac:dyDescent="0.4"/>
    <row r="421" ht="23.25" customHeight="1" x14ac:dyDescent="0.4"/>
    <row r="422" ht="23.25" customHeight="1" x14ac:dyDescent="0.4"/>
    <row r="423" ht="23.25" customHeight="1" x14ac:dyDescent="0.4"/>
    <row r="424" ht="23.25" customHeight="1" x14ac:dyDescent="0.4"/>
    <row r="425" ht="23.25" customHeight="1" x14ac:dyDescent="0.4"/>
    <row r="426" ht="23.25" customHeight="1" x14ac:dyDescent="0.4"/>
    <row r="427" ht="23.25" customHeight="1" x14ac:dyDescent="0.4"/>
    <row r="428" ht="23.25" customHeight="1" x14ac:dyDescent="0.4"/>
    <row r="429" ht="23.25" customHeight="1" x14ac:dyDescent="0.4"/>
    <row r="430" ht="23.25" customHeight="1" x14ac:dyDescent="0.4"/>
    <row r="431" ht="23.25" customHeight="1" x14ac:dyDescent="0.4"/>
    <row r="432" ht="23.25" customHeight="1" x14ac:dyDescent="0.4"/>
    <row r="433" ht="23.25" customHeight="1" x14ac:dyDescent="0.4"/>
    <row r="434" ht="23.25" customHeight="1" x14ac:dyDescent="0.4"/>
    <row r="435" ht="23.25" customHeight="1" x14ac:dyDescent="0.4"/>
    <row r="436" ht="23.25" customHeight="1" x14ac:dyDescent="0.4"/>
    <row r="437" ht="23.25" customHeight="1" x14ac:dyDescent="0.4"/>
    <row r="438" ht="23.25" customHeight="1" x14ac:dyDescent="0.4"/>
    <row r="439" ht="23.25" customHeight="1" x14ac:dyDescent="0.4"/>
    <row r="440" ht="23.25" customHeight="1" x14ac:dyDescent="0.4"/>
    <row r="441" ht="23.25" customHeight="1" x14ac:dyDescent="0.4"/>
    <row r="442" ht="23.25" customHeight="1" x14ac:dyDescent="0.4"/>
    <row r="443" ht="23.25" customHeight="1" x14ac:dyDescent="0.4"/>
    <row r="444" ht="23.25" customHeight="1" x14ac:dyDescent="0.4"/>
    <row r="445" ht="23.25" customHeight="1" x14ac:dyDescent="0.4"/>
    <row r="446" ht="23.25" customHeight="1" x14ac:dyDescent="0.4"/>
    <row r="447" ht="23.25" customHeight="1" x14ac:dyDescent="0.4"/>
    <row r="448" ht="23.25" customHeight="1" x14ac:dyDescent="0.4"/>
    <row r="449" ht="23.25" customHeight="1" x14ac:dyDescent="0.4"/>
    <row r="450" ht="23.25" customHeight="1" x14ac:dyDescent="0.4"/>
    <row r="451" ht="23.25" customHeight="1" x14ac:dyDescent="0.4"/>
    <row r="452" ht="23.25" customHeight="1" x14ac:dyDescent="0.4"/>
    <row r="453" ht="23.25" customHeight="1" x14ac:dyDescent="0.4"/>
    <row r="454" ht="23.25" customHeight="1" x14ac:dyDescent="0.4"/>
    <row r="455" ht="23.25" customHeight="1" x14ac:dyDescent="0.4"/>
    <row r="456" ht="23.25" customHeight="1" x14ac:dyDescent="0.4"/>
    <row r="457" ht="23.25" customHeight="1" x14ac:dyDescent="0.4"/>
    <row r="458" ht="23.25" customHeight="1" x14ac:dyDescent="0.4"/>
    <row r="459" ht="23.25" customHeight="1" x14ac:dyDescent="0.4"/>
    <row r="460" ht="23.25" customHeight="1" x14ac:dyDescent="0.4"/>
    <row r="461" ht="23.25" customHeight="1" x14ac:dyDescent="0.4"/>
    <row r="462" ht="23.25" customHeight="1" x14ac:dyDescent="0.4"/>
    <row r="463" ht="23.25" customHeight="1" x14ac:dyDescent="0.4"/>
    <row r="464" ht="23.25" customHeight="1" x14ac:dyDescent="0.4"/>
    <row r="465" ht="23.25" customHeight="1" x14ac:dyDescent="0.4"/>
    <row r="466" ht="23.25" customHeight="1" x14ac:dyDescent="0.4"/>
    <row r="467" ht="23.25" customHeight="1" x14ac:dyDescent="0.4"/>
    <row r="468" ht="23.25" customHeight="1" x14ac:dyDescent="0.4"/>
    <row r="469" ht="23.25" customHeight="1" x14ac:dyDescent="0.4"/>
    <row r="470" ht="23.25" customHeight="1" x14ac:dyDescent="0.4"/>
    <row r="471" ht="23.25" customHeight="1" x14ac:dyDescent="0.4"/>
    <row r="472" ht="23.25" customHeight="1" x14ac:dyDescent="0.4"/>
    <row r="473" ht="23.25" customHeight="1" x14ac:dyDescent="0.4"/>
    <row r="474" ht="23.25" customHeight="1" x14ac:dyDescent="0.4"/>
    <row r="475" ht="23.25" customHeight="1" x14ac:dyDescent="0.4"/>
    <row r="476" ht="23.25" customHeight="1" x14ac:dyDescent="0.4"/>
    <row r="477" ht="23.25" customHeight="1" x14ac:dyDescent="0.4"/>
    <row r="478" ht="23.25" customHeight="1" x14ac:dyDescent="0.4"/>
    <row r="479" ht="23.25" customHeight="1" x14ac:dyDescent="0.4"/>
    <row r="480" ht="23.25" customHeight="1" x14ac:dyDescent="0.4"/>
    <row r="481" ht="23.25" customHeight="1" x14ac:dyDescent="0.4"/>
    <row r="482" ht="23.25" customHeight="1" x14ac:dyDescent="0.4"/>
    <row r="483" ht="23.25" customHeight="1" x14ac:dyDescent="0.4"/>
    <row r="484" ht="23.25" customHeight="1" x14ac:dyDescent="0.4"/>
    <row r="485" ht="23.25" customHeight="1" x14ac:dyDescent="0.4"/>
    <row r="486" ht="23.25" customHeight="1" x14ac:dyDescent="0.4"/>
    <row r="487" ht="23.25" customHeight="1" x14ac:dyDescent="0.4"/>
    <row r="488" ht="23.25" customHeight="1" x14ac:dyDescent="0.4"/>
    <row r="489" ht="23.25" customHeight="1" x14ac:dyDescent="0.4"/>
    <row r="490" ht="23.25" customHeight="1" x14ac:dyDescent="0.4"/>
    <row r="491" ht="23.25" customHeight="1" x14ac:dyDescent="0.4"/>
    <row r="492" ht="23.25" customHeight="1" x14ac:dyDescent="0.4"/>
    <row r="493" ht="23.25" customHeight="1" x14ac:dyDescent="0.4"/>
    <row r="494" ht="23.25" customHeight="1" x14ac:dyDescent="0.4"/>
    <row r="495" ht="23.25" customHeight="1" x14ac:dyDescent="0.4"/>
    <row r="496" ht="23.25" customHeight="1" x14ac:dyDescent="0.4"/>
    <row r="497" ht="23.25" customHeight="1" x14ac:dyDescent="0.4"/>
    <row r="498" ht="23.25" customHeight="1" x14ac:dyDescent="0.4"/>
    <row r="499" ht="23.25" customHeight="1" x14ac:dyDescent="0.4"/>
    <row r="500" ht="23.25" customHeight="1" x14ac:dyDescent="0.4"/>
    <row r="501" ht="23.25" customHeight="1" x14ac:dyDescent="0.4"/>
    <row r="502" ht="23.25" customHeight="1" x14ac:dyDescent="0.4"/>
    <row r="503" ht="23.25" customHeight="1" x14ac:dyDescent="0.4"/>
    <row r="504" ht="23.25" customHeight="1" x14ac:dyDescent="0.4"/>
    <row r="505" ht="23.25" customHeight="1" x14ac:dyDescent="0.4"/>
    <row r="506" ht="23.25" customHeight="1" x14ac:dyDescent="0.4"/>
    <row r="507" ht="23.25" customHeight="1" x14ac:dyDescent="0.4"/>
    <row r="508" ht="23.25" customHeight="1" x14ac:dyDescent="0.4"/>
    <row r="509" ht="23.25" customHeight="1" x14ac:dyDescent="0.4"/>
    <row r="510" ht="23.25" customHeight="1" x14ac:dyDescent="0.4"/>
    <row r="511" ht="23.25" customHeight="1" x14ac:dyDescent="0.4"/>
    <row r="512" ht="23.25" customHeight="1" x14ac:dyDescent="0.4"/>
    <row r="513" ht="23.25" customHeight="1" x14ac:dyDescent="0.4"/>
    <row r="514" ht="23.25" customHeight="1" x14ac:dyDescent="0.4"/>
    <row r="515" ht="23.25" customHeight="1" x14ac:dyDescent="0.4"/>
    <row r="516" ht="23.25" customHeight="1" x14ac:dyDescent="0.4"/>
    <row r="517" ht="23.25" customHeight="1" x14ac:dyDescent="0.4"/>
    <row r="518" ht="23.25" customHeight="1" x14ac:dyDescent="0.4"/>
    <row r="519" ht="23.25" customHeight="1" x14ac:dyDescent="0.4"/>
    <row r="520" ht="23.25" customHeight="1" x14ac:dyDescent="0.4"/>
    <row r="521" ht="23.25" customHeight="1" x14ac:dyDescent="0.4"/>
    <row r="522" ht="23.25" customHeight="1" x14ac:dyDescent="0.4"/>
    <row r="523" ht="23.25" customHeight="1" x14ac:dyDescent="0.4"/>
    <row r="524" ht="23.25" customHeight="1" x14ac:dyDescent="0.4"/>
    <row r="525" ht="23.25" customHeight="1" x14ac:dyDescent="0.4"/>
    <row r="526" ht="23.25" customHeight="1" x14ac:dyDescent="0.4"/>
    <row r="527" ht="23.25" customHeight="1" x14ac:dyDescent="0.4"/>
    <row r="528" ht="23.25" customHeight="1" x14ac:dyDescent="0.4"/>
    <row r="529" ht="23.25" customHeight="1" x14ac:dyDescent="0.4"/>
    <row r="530" ht="23.25" customHeight="1" x14ac:dyDescent="0.4"/>
    <row r="531" ht="23.25" customHeight="1" x14ac:dyDescent="0.4"/>
    <row r="532" ht="23.25" customHeight="1" x14ac:dyDescent="0.4"/>
    <row r="533" ht="23.25" customHeight="1" x14ac:dyDescent="0.4"/>
    <row r="534" ht="23.25" customHeight="1" x14ac:dyDescent="0.4"/>
    <row r="535" ht="23.25" customHeight="1" x14ac:dyDescent="0.4"/>
    <row r="536" ht="23.25" customHeight="1" x14ac:dyDescent="0.4"/>
    <row r="537" ht="23.25" customHeight="1" x14ac:dyDescent="0.4"/>
    <row r="538" ht="23.25" customHeight="1" x14ac:dyDescent="0.4"/>
    <row r="539" ht="23.25" customHeight="1" x14ac:dyDescent="0.4"/>
    <row r="540" ht="23.25" customHeight="1" x14ac:dyDescent="0.4"/>
    <row r="541" ht="23.25" customHeight="1" x14ac:dyDescent="0.4"/>
    <row r="542" ht="23.25" customHeight="1" x14ac:dyDescent="0.4"/>
    <row r="543" ht="23.25" customHeight="1" x14ac:dyDescent="0.4"/>
    <row r="544" ht="23.25" customHeight="1" x14ac:dyDescent="0.4"/>
    <row r="545" ht="23.25" customHeight="1" x14ac:dyDescent="0.4"/>
    <row r="546" ht="23.25" customHeight="1" x14ac:dyDescent="0.4"/>
    <row r="547" ht="23.25" customHeight="1" x14ac:dyDescent="0.4"/>
    <row r="548" ht="23.25" customHeight="1" x14ac:dyDescent="0.4"/>
    <row r="549" ht="23.25" customHeight="1" x14ac:dyDescent="0.4"/>
    <row r="550" ht="23.25" customHeight="1" x14ac:dyDescent="0.4"/>
    <row r="551" ht="23.25" customHeight="1" x14ac:dyDescent="0.4"/>
    <row r="552" ht="23.25" customHeight="1" x14ac:dyDescent="0.4"/>
    <row r="553" ht="23.25" customHeight="1" x14ac:dyDescent="0.4"/>
    <row r="554" ht="23.25" customHeight="1" x14ac:dyDescent="0.4"/>
    <row r="555" ht="23.25" customHeight="1" x14ac:dyDescent="0.4"/>
    <row r="556" ht="23.25" customHeight="1" x14ac:dyDescent="0.4"/>
    <row r="557" ht="23.25" customHeight="1" x14ac:dyDescent="0.4"/>
    <row r="558" ht="23.25" customHeight="1" x14ac:dyDescent="0.4"/>
    <row r="559" ht="23.25" customHeight="1" x14ac:dyDescent="0.4"/>
    <row r="560" ht="23.25" customHeight="1" x14ac:dyDescent="0.4"/>
    <row r="561" ht="23.25" customHeight="1" x14ac:dyDescent="0.4"/>
    <row r="562" ht="23.25" customHeight="1" x14ac:dyDescent="0.4"/>
    <row r="563" ht="23.25" customHeight="1" x14ac:dyDescent="0.4"/>
    <row r="564" ht="23.25" customHeight="1" x14ac:dyDescent="0.4"/>
    <row r="565" ht="23.25" customHeight="1" x14ac:dyDescent="0.4"/>
    <row r="566" ht="23.25" customHeight="1" x14ac:dyDescent="0.4"/>
    <row r="567" ht="23.25" customHeight="1" x14ac:dyDescent="0.4"/>
    <row r="568" ht="23.25" customHeight="1" x14ac:dyDescent="0.4"/>
    <row r="569" ht="23.25" customHeight="1" x14ac:dyDescent="0.4"/>
    <row r="570" ht="23.25" customHeight="1" x14ac:dyDescent="0.4"/>
    <row r="571" ht="23.25" customHeight="1" x14ac:dyDescent="0.4"/>
    <row r="572" ht="23.25" customHeight="1" x14ac:dyDescent="0.4"/>
    <row r="573" ht="23.25" customHeight="1" x14ac:dyDescent="0.4"/>
    <row r="574" ht="23.25" customHeight="1" x14ac:dyDescent="0.4"/>
    <row r="575" ht="23.25" customHeight="1" x14ac:dyDescent="0.4"/>
    <row r="576" ht="23.25" customHeight="1" x14ac:dyDescent="0.4"/>
    <row r="577" ht="23.25" customHeight="1" x14ac:dyDescent="0.4"/>
    <row r="578" ht="23.25" customHeight="1" x14ac:dyDescent="0.4"/>
    <row r="579" ht="23.25" customHeight="1" x14ac:dyDescent="0.4"/>
    <row r="580" ht="23.25" customHeight="1" x14ac:dyDescent="0.4"/>
    <row r="581" ht="23.25" customHeight="1" x14ac:dyDescent="0.4"/>
    <row r="582" ht="23.25" customHeight="1" x14ac:dyDescent="0.4"/>
    <row r="583" ht="23.25" customHeight="1" x14ac:dyDescent="0.4"/>
    <row r="584" ht="23.25" customHeight="1" x14ac:dyDescent="0.4"/>
    <row r="585" ht="23.25" customHeight="1" x14ac:dyDescent="0.4"/>
    <row r="586" ht="23.25" customHeight="1" x14ac:dyDescent="0.4"/>
    <row r="587" ht="23.25" customHeight="1" x14ac:dyDescent="0.4"/>
    <row r="588" ht="23.25" customHeight="1" x14ac:dyDescent="0.4"/>
    <row r="589" ht="23.25" customHeight="1" x14ac:dyDescent="0.4"/>
    <row r="590" ht="23.25" customHeight="1" x14ac:dyDescent="0.4"/>
    <row r="591" ht="23.25" customHeight="1" x14ac:dyDescent="0.4"/>
    <row r="592" ht="23.25" customHeight="1" x14ac:dyDescent="0.4"/>
    <row r="593" ht="23.25" customHeight="1" x14ac:dyDescent="0.4"/>
    <row r="594" ht="23.25" customHeight="1" x14ac:dyDescent="0.4"/>
    <row r="595" ht="23.25" customHeight="1" x14ac:dyDescent="0.4"/>
    <row r="596" ht="23.25" customHeight="1" x14ac:dyDescent="0.4"/>
    <row r="597" ht="23.25" customHeight="1" x14ac:dyDescent="0.4"/>
    <row r="598" ht="23.25" customHeight="1" x14ac:dyDescent="0.4"/>
    <row r="599" ht="23.25" customHeight="1" x14ac:dyDescent="0.4"/>
    <row r="600" ht="23.25" customHeight="1" x14ac:dyDescent="0.4"/>
    <row r="601" ht="23.25" customHeight="1" x14ac:dyDescent="0.4"/>
    <row r="602" ht="23.25" customHeight="1" x14ac:dyDescent="0.4"/>
    <row r="603" ht="23.25" customHeight="1" x14ac:dyDescent="0.4"/>
    <row r="604" ht="23.25" customHeight="1" x14ac:dyDescent="0.4"/>
    <row r="605" ht="23.25" customHeight="1" x14ac:dyDescent="0.4"/>
    <row r="606" ht="23.25" customHeight="1" x14ac:dyDescent="0.4"/>
    <row r="607" ht="23.25" customHeight="1" x14ac:dyDescent="0.4"/>
    <row r="608" ht="23.25" customHeight="1" x14ac:dyDescent="0.4"/>
    <row r="609" ht="23.25" customHeight="1" x14ac:dyDescent="0.4"/>
    <row r="610" ht="23.25" customHeight="1" x14ac:dyDescent="0.4"/>
    <row r="611" ht="23.25" customHeight="1" x14ac:dyDescent="0.4"/>
    <row r="612" ht="23.25" customHeight="1" x14ac:dyDescent="0.4"/>
    <row r="613" ht="23.25" customHeight="1" x14ac:dyDescent="0.4"/>
    <row r="614" ht="23.25" customHeight="1" x14ac:dyDescent="0.4"/>
    <row r="615" ht="23.25" customHeight="1" x14ac:dyDescent="0.4"/>
    <row r="616" ht="23.25" customHeight="1" x14ac:dyDescent="0.4"/>
    <row r="617" ht="23.25" customHeight="1" x14ac:dyDescent="0.4"/>
    <row r="618" ht="23.25" customHeight="1" x14ac:dyDescent="0.4"/>
    <row r="619" ht="23.25" customHeight="1" x14ac:dyDescent="0.4"/>
    <row r="620" ht="23.25" customHeight="1" x14ac:dyDescent="0.4"/>
    <row r="621" ht="23.25" customHeight="1" x14ac:dyDescent="0.4"/>
    <row r="622" ht="23.25" customHeight="1" x14ac:dyDescent="0.4"/>
    <row r="623" ht="23.25" customHeight="1" x14ac:dyDescent="0.4"/>
    <row r="624" ht="23.25" customHeight="1" x14ac:dyDescent="0.4"/>
    <row r="625" ht="23.25" customHeight="1" x14ac:dyDescent="0.4"/>
    <row r="626" ht="23.25" customHeight="1" x14ac:dyDescent="0.4"/>
    <row r="627" ht="23.25" customHeight="1" x14ac:dyDescent="0.4"/>
    <row r="628" ht="23.25" customHeight="1" x14ac:dyDescent="0.4"/>
    <row r="629" ht="23.25" customHeight="1" x14ac:dyDescent="0.4"/>
    <row r="630" ht="23.25" customHeight="1" x14ac:dyDescent="0.4"/>
    <row r="631" ht="23.25" customHeight="1" x14ac:dyDescent="0.4"/>
    <row r="632" ht="23.25" customHeight="1" x14ac:dyDescent="0.4"/>
    <row r="633" ht="23.25" customHeight="1" x14ac:dyDescent="0.4"/>
    <row r="634" ht="23.25" customHeight="1" x14ac:dyDescent="0.4"/>
    <row r="635" ht="23.25" customHeight="1" x14ac:dyDescent="0.4"/>
    <row r="636" ht="23.25" customHeight="1" x14ac:dyDescent="0.4"/>
    <row r="637" ht="23.25" customHeight="1" x14ac:dyDescent="0.4"/>
    <row r="638" ht="23.25" customHeight="1" x14ac:dyDescent="0.4"/>
    <row r="639" ht="23.25" customHeight="1" x14ac:dyDescent="0.4"/>
    <row r="640" ht="23.25" customHeight="1" x14ac:dyDescent="0.4"/>
    <row r="641" ht="23.25" customHeight="1" x14ac:dyDescent="0.4"/>
    <row r="642" ht="23.25" customHeight="1" x14ac:dyDescent="0.4"/>
    <row r="643" ht="23.25" customHeight="1" x14ac:dyDescent="0.4"/>
    <row r="644" ht="23.25" customHeight="1" x14ac:dyDescent="0.4"/>
    <row r="645" ht="23.25" customHeight="1" x14ac:dyDescent="0.4"/>
    <row r="646" ht="23.25" customHeight="1" x14ac:dyDescent="0.4"/>
    <row r="647" ht="23.25" customHeight="1" x14ac:dyDescent="0.4"/>
    <row r="648" ht="23.25" customHeight="1" x14ac:dyDescent="0.4"/>
    <row r="649" ht="23.25" customHeight="1" x14ac:dyDescent="0.4"/>
    <row r="650" ht="23.25" customHeight="1" x14ac:dyDescent="0.4"/>
    <row r="651" ht="23.25" customHeight="1" x14ac:dyDescent="0.4"/>
    <row r="652" ht="23.25" customHeight="1" x14ac:dyDescent="0.4"/>
    <row r="653" ht="23.25" customHeight="1" x14ac:dyDescent="0.4"/>
    <row r="654" ht="23.25" customHeight="1" x14ac:dyDescent="0.4"/>
    <row r="655" ht="23.25" customHeight="1" x14ac:dyDescent="0.4"/>
    <row r="656" ht="23.25" customHeight="1" x14ac:dyDescent="0.4"/>
    <row r="657" ht="23.25" customHeight="1" x14ac:dyDescent="0.4"/>
    <row r="658" ht="23.25" customHeight="1" x14ac:dyDescent="0.4"/>
    <row r="659" ht="23.25" customHeight="1" x14ac:dyDescent="0.4"/>
    <row r="660" ht="23.25" customHeight="1" x14ac:dyDescent="0.4"/>
    <row r="661" ht="23.25" customHeight="1" x14ac:dyDescent="0.4"/>
    <row r="662" ht="23.25" customHeight="1" x14ac:dyDescent="0.4"/>
    <row r="663" ht="23.25" customHeight="1" x14ac:dyDescent="0.4"/>
    <row r="664" ht="23.25" customHeight="1" x14ac:dyDescent="0.4"/>
    <row r="665" ht="23.25" customHeight="1" x14ac:dyDescent="0.4"/>
    <row r="666" ht="23.25" customHeight="1" x14ac:dyDescent="0.4"/>
    <row r="667" ht="23.25" customHeight="1" x14ac:dyDescent="0.4"/>
    <row r="668" ht="23.25" customHeight="1" x14ac:dyDescent="0.4"/>
    <row r="669" ht="23.25" customHeight="1" x14ac:dyDescent="0.4"/>
    <row r="670" ht="23.25" customHeight="1" x14ac:dyDescent="0.4"/>
    <row r="671" ht="23.25" customHeight="1" x14ac:dyDescent="0.4"/>
    <row r="672" ht="23.25" customHeight="1" x14ac:dyDescent="0.4"/>
    <row r="673" ht="23.25" customHeight="1" x14ac:dyDescent="0.4"/>
    <row r="674" ht="23.25" customHeight="1" x14ac:dyDescent="0.4"/>
    <row r="675" ht="23.25" customHeight="1" x14ac:dyDescent="0.4"/>
    <row r="676" ht="23.25" customHeight="1" x14ac:dyDescent="0.4"/>
    <row r="677" ht="23.25" customHeight="1" x14ac:dyDescent="0.4"/>
    <row r="678" ht="23.25" customHeight="1" x14ac:dyDescent="0.4"/>
    <row r="679" ht="23.25" customHeight="1" x14ac:dyDescent="0.4"/>
    <row r="680" ht="23.25" customHeight="1" x14ac:dyDescent="0.4"/>
    <row r="681" ht="23.25" customHeight="1" x14ac:dyDescent="0.4"/>
    <row r="682" ht="23.25" customHeight="1" x14ac:dyDescent="0.4"/>
    <row r="683" ht="23.25" customHeight="1" x14ac:dyDescent="0.4"/>
    <row r="684" ht="23.25" customHeight="1" x14ac:dyDescent="0.4"/>
    <row r="685" ht="23.25" customHeight="1" x14ac:dyDescent="0.4"/>
    <row r="686" ht="23.25" customHeight="1" x14ac:dyDescent="0.4"/>
    <row r="687" ht="23.25" customHeight="1" x14ac:dyDescent="0.4"/>
    <row r="688" ht="23.25" customHeight="1" x14ac:dyDescent="0.4"/>
    <row r="689" ht="23.25" customHeight="1" x14ac:dyDescent="0.4"/>
    <row r="690" ht="23.25" customHeight="1" x14ac:dyDescent="0.4"/>
    <row r="691" ht="23.25" customHeight="1" x14ac:dyDescent="0.4"/>
    <row r="692" ht="23.25" customHeight="1" x14ac:dyDescent="0.4"/>
    <row r="693" ht="23.25" customHeight="1" x14ac:dyDescent="0.4"/>
    <row r="694" ht="23.25" customHeight="1" x14ac:dyDescent="0.4"/>
    <row r="695" ht="23.25" customHeight="1" x14ac:dyDescent="0.4"/>
    <row r="696" ht="23.25" customHeight="1" x14ac:dyDescent="0.4"/>
    <row r="697" ht="23.25" customHeight="1" x14ac:dyDescent="0.4"/>
    <row r="698" ht="23.25" customHeight="1" x14ac:dyDescent="0.4"/>
    <row r="699" ht="23.25" customHeight="1" x14ac:dyDescent="0.4"/>
    <row r="700" ht="23.25" customHeight="1" x14ac:dyDescent="0.4"/>
    <row r="701" ht="23.25" customHeight="1" x14ac:dyDescent="0.4"/>
    <row r="702" ht="23.25" customHeight="1" x14ac:dyDescent="0.4"/>
    <row r="703" ht="23.25" customHeight="1" x14ac:dyDescent="0.4"/>
    <row r="704" ht="23.25" customHeight="1" x14ac:dyDescent="0.4"/>
    <row r="705" ht="23.25" customHeight="1" x14ac:dyDescent="0.4"/>
    <row r="706" ht="23.25" customHeight="1" x14ac:dyDescent="0.4"/>
    <row r="707" ht="23.25" customHeight="1" x14ac:dyDescent="0.4"/>
    <row r="708" ht="23.25" customHeight="1" x14ac:dyDescent="0.4"/>
    <row r="709" ht="23.25" customHeight="1" x14ac:dyDescent="0.4"/>
    <row r="710" ht="23.25" customHeight="1" x14ac:dyDescent="0.4"/>
    <row r="711" ht="23.25" customHeight="1" x14ac:dyDescent="0.4"/>
    <row r="712" ht="23.25" customHeight="1" x14ac:dyDescent="0.4"/>
    <row r="713" ht="23.25" customHeight="1" x14ac:dyDescent="0.4"/>
    <row r="714" ht="23.25" customHeight="1" x14ac:dyDescent="0.4"/>
    <row r="715" ht="23.25" customHeight="1" x14ac:dyDescent="0.4"/>
    <row r="716" ht="23.25" customHeight="1" x14ac:dyDescent="0.4"/>
    <row r="717" ht="23.25" customHeight="1" x14ac:dyDescent="0.4"/>
    <row r="718" ht="23.25" customHeight="1" x14ac:dyDescent="0.4"/>
    <row r="719" ht="23.25" customHeight="1" x14ac:dyDescent="0.4"/>
    <row r="720" ht="23.25" customHeight="1" x14ac:dyDescent="0.4"/>
    <row r="721" ht="23.25" customHeight="1" x14ac:dyDescent="0.4"/>
    <row r="722" ht="23.25" customHeight="1" x14ac:dyDescent="0.4"/>
    <row r="723" ht="23.25" customHeight="1" x14ac:dyDescent="0.4"/>
    <row r="724" ht="23.25" customHeight="1" x14ac:dyDescent="0.4"/>
    <row r="725" ht="23.25" customHeight="1" x14ac:dyDescent="0.4"/>
    <row r="726" ht="23.25" customHeight="1" x14ac:dyDescent="0.4"/>
    <row r="727" ht="23.25" customHeight="1" x14ac:dyDescent="0.4"/>
    <row r="728" ht="23.25" customHeight="1" x14ac:dyDescent="0.4"/>
    <row r="729" ht="23.25" customHeight="1" x14ac:dyDescent="0.4"/>
    <row r="730" ht="23.25" customHeight="1" x14ac:dyDescent="0.4"/>
    <row r="731" ht="23.25" customHeight="1" x14ac:dyDescent="0.4"/>
    <row r="732" ht="23.25" customHeight="1" x14ac:dyDescent="0.4"/>
    <row r="733" ht="23.25" customHeight="1" x14ac:dyDescent="0.4"/>
    <row r="734" ht="23.25" customHeight="1" x14ac:dyDescent="0.4"/>
    <row r="735" ht="23.25" customHeight="1" x14ac:dyDescent="0.4"/>
    <row r="736" ht="23.25" customHeight="1" x14ac:dyDescent="0.4"/>
    <row r="737" ht="23.25" customHeight="1" x14ac:dyDescent="0.4"/>
    <row r="738" ht="23.25" customHeight="1" x14ac:dyDescent="0.4"/>
    <row r="739" ht="23.25" customHeight="1" x14ac:dyDescent="0.4"/>
    <row r="740" ht="23.25" customHeight="1" x14ac:dyDescent="0.4"/>
    <row r="741" ht="23.25" customHeight="1" x14ac:dyDescent="0.4"/>
    <row r="742" ht="23.25" customHeight="1" x14ac:dyDescent="0.4"/>
    <row r="743" ht="23.25" customHeight="1" x14ac:dyDescent="0.4"/>
    <row r="744" ht="23.25" customHeight="1" x14ac:dyDescent="0.4"/>
    <row r="745" ht="23.25" customHeight="1" x14ac:dyDescent="0.4"/>
    <row r="746" ht="23.25" customHeight="1" x14ac:dyDescent="0.4"/>
    <row r="747" ht="23.25" customHeight="1" x14ac:dyDescent="0.4"/>
    <row r="748" ht="23.25" customHeight="1" x14ac:dyDescent="0.4"/>
    <row r="749" ht="23.25" customHeight="1" x14ac:dyDescent="0.4"/>
    <row r="750" ht="23.25" customHeight="1" x14ac:dyDescent="0.4"/>
    <row r="751" ht="23.25" customHeight="1" x14ac:dyDescent="0.4"/>
    <row r="752" ht="23.25" customHeight="1" x14ac:dyDescent="0.4"/>
    <row r="753" ht="23.25" customHeight="1" x14ac:dyDescent="0.4"/>
    <row r="754" ht="23.25" customHeight="1" x14ac:dyDescent="0.4"/>
    <row r="755" ht="23.25" customHeight="1" x14ac:dyDescent="0.4"/>
    <row r="756" ht="23.25" customHeight="1" x14ac:dyDescent="0.4"/>
    <row r="757" ht="23.25" customHeight="1" x14ac:dyDescent="0.4"/>
    <row r="758" ht="23.25" customHeight="1" x14ac:dyDescent="0.4"/>
    <row r="759" ht="23.25" customHeight="1" x14ac:dyDescent="0.4"/>
    <row r="760" ht="23.25" customHeight="1" x14ac:dyDescent="0.4"/>
    <row r="761" ht="23.25" customHeight="1" x14ac:dyDescent="0.4"/>
    <row r="762" ht="23.25" customHeight="1" x14ac:dyDescent="0.4"/>
    <row r="763" ht="23.25" customHeight="1" x14ac:dyDescent="0.4"/>
    <row r="764" ht="23.25" customHeight="1" x14ac:dyDescent="0.4"/>
    <row r="765" ht="23.25" customHeight="1" x14ac:dyDescent="0.4"/>
    <row r="766" ht="23.25" customHeight="1" x14ac:dyDescent="0.4"/>
    <row r="767" ht="23.25" customHeight="1" x14ac:dyDescent="0.4"/>
    <row r="768" ht="23.25" customHeight="1" x14ac:dyDescent="0.4"/>
    <row r="769" ht="23.25" customHeight="1" x14ac:dyDescent="0.4"/>
    <row r="770" ht="23.25" customHeight="1" x14ac:dyDescent="0.4"/>
    <row r="771" ht="23.25" customHeight="1" x14ac:dyDescent="0.4"/>
    <row r="772" ht="23.25" customHeight="1" x14ac:dyDescent="0.4"/>
    <row r="773" ht="23.25" customHeight="1" x14ac:dyDescent="0.4"/>
    <row r="774" ht="23.25" customHeight="1" x14ac:dyDescent="0.4"/>
    <row r="775" ht="23.25" customHeight="1" x14ac:dyDescent="0.4"/>
    <row r="776" ht="23.25" customHeight="1" x14ac:dyDescent="0.4"/>
    <row r="777" ht="23.25" customHeight="1" x14ac:dyDescent="0.4"/>
    <row r="778" ht="23.25" customHeight="1" x14ac:dyDescent="0.4"/>
    <row r="779" ht="23.25" customHeight="1" x14ac:dyDescent="0.4"/>
    <row r="780" ht="23.25" customHeight="1" x14ac:dyDescent="0.4"/>
    <row r="781" ht="23.25" customHeight="1" x14ac:dyDescent="0.4"/>
    <row r="782" ht="23.25" customHeight="1" x14ac:dyDescent="0.4"/>
    <row r="783" ht="23.25" customHeight="1" x14ac:dyDescent="0.4"/>
    <row r="784" ht="23.25" customHeight="1" x14ac:dyDescent="0.4"/>
    <row r="785" ht="23.25" customHeight="1" x14ac:dyDescent="0.4"/>
    <row r="786" ht="23.25" customHeight="1" x14ac:dyDescent="0.4"/>
    <row r="787" ht="23.25" customHeight="1" x14ac:dyDescent="0.4"/>
    <row r="788" ht="23.25" customHeight="1" x14ac:dyDescent="0.4"/>
    <row r="789" ht="23.25" customHeight="1" x14ac:dyDescent="0.4"/>
    <row r="790" ht="23.25" customHeight="1" x14ac:dyDescent="0.4"/>
    <row r="791" ht="23.25" customHeight="1" x14ac:dyDescent="0.4"/>
    <row r="792" ht="23.25" customHeight="1" x14ac:dyDescent="0.4"/>
    <row r="793" ht="23.25" customHeight="1" x14ac:dyDescent="0.4"/>
    <row r="794" ht="23.25" customHeight="1" x14ac:dyDescent="0.4"/>
    <row r="795" ht="23.25" customHeight="1" x14ac:dyDescent="0.4"/>
    <row r="796" ht="23.25" customHeight="1" x14ac:dyDescent="0.4"/>
    <row r="797" ht="23.25" customHeight="1" x14ac:dyDescent="0.4"/>
    <row r="798" ht="23.25" customHeight="1" x14ac:dyDescent="0.4"/>
    <row r="799" ht="23.25" customHeight="1" x14ac:dyDescent="0.4"/>
    <row r="800" ht="23.25" customHeight="1" x14ac:dyDescent="0.4"/>
    <row r="801" ht="23.25" customHeight="1" x14ac:dyDescent="0.4"/>
    <row r="802" ht="23.25" customHeight="1" x14ac:dyDescent="0.4"/>
    <row r="803" ht="23.25" customHeight="1" x14ac:dyDescent="0.4"/>
    <row r="804" ht="23.25" customHeight="1" x14ac:dyDescent="0.4"/>
    <row r="805" ht="23.25" customHeight="1" x14ac:dyDescent="0.4"/>
    <row r="806" ht="23.25" customHeight="1" x14ac:dyDescent="0.4"/>
    <row r="807" ht="23.25" customHeight="1" x14ac:dyDescent="0.4"/>
    <row r="808" ht="23.25" customHeight="1" x14ac:dyDescent="0.4"/>
    <row r="809" ht="23.25" customHeight="1" x14ac:dyDescent="0.4"/>
    <row r="810" ht="23.25" customHeight="1" x14ac:dyDescent="0.4"/>
    <row r="811" ht="23.25" customHeight="1" x14ac:dyDescent="0.4"/>
    <row r="812" ht="23.25" customHeight="1" x14ac:dyDescent="0.4"/>
    <row r="813" ht="23.25" customHeight="1" x14ac:dyDescent="0.4"/>
    <row r="814" ht="23.25" customHeight="1" x14ac:dyDescent="0.4"/>
    <row r="815" ht="23.25" customHeight="1" x14ac:dyDescent="0.4"/>
    <row r="816" ht="23.25" customHeight="1" x14ac:dyDescent="0.4"/>
    <row r="817" ht="23.25" customHeight="1" x14ac:dyDescent="0.4"/>
    <row r="818" ht="23.25" customHeight="1" x14ac:dyDescent="0.4"/>
    <row r="819" ht="23.25" customHeight="1" x14ac:dyDescent="0.4"/>
    <row r="820" ht="23.25" customHeight="1" x14ac:dyDescent="0.4"/>
    <row r="821" ht="23.25" customHeight="1" x14ac:dyDescent="0.4"/>
    <row r="822" ht="23.25" customHeight="1" x14ac:dyDescent="0.4"/>
    <row r="823" ht="23.25" customHeight="1" x14ac:dyDescent="0.4"/>
    <row r="824" ht="23.25" customHeight="1" x14ac:dyDescent="0.4"/>
    <row r="825" ht="23.25" customHeight="1" x14ac:dyDescent="0.4"/>
    <row r="826" ht="23.25" customHeight="1" x14ac:dyDescent="0.4"/>
    <row r="827" ht="23.25" customHeight="1" x14ac:dyDescent="0.4"/>
    <row r="828" ht="23.25" customHeight="1" x14ac:dyDescent="0.4"/>
    <row r="829" ht="23.25" customHeight="1" x14ac:dyDescent="0.4"/>
    <row r="830" ht="23.25" customHeight="1" x14ac:dyDescent="0.4"/>
    <row r="831" ht="23.25" customHeight="1" x14ac:dyDescent="0.4"/>
    <row r="832" ht="23.25" customHeight="1" x14ac:dyDescent="0.4"/>
    <row r="833" ht="23.25" customHeight="1" x14ac:dyDescent="0.4"/>
    <row r="834" ht="23.25" customHeight="1" x14ac:dyDescent="0.4"/>
    <row r="835" ht="23.25" customHeight="1" x14ac:dyDescent="0.4"/>
    <row r="836" ht="23.25" customHeight="1" x14ac:dyDescent="0.4"/>
    <row r="837" ht="23.25" customHeight="1" x14ac:dyDescent="0.4"/>
    <row r="838" ht="23.25" customHeight="1" x14ac:dyDescent="0.4"/>
    <row r="839" ht="23.25" customHeight="1" x14ac:dyDescent="0.4"/>
    <row r="840" ht="23.25" customHeight="1" x14ac:dyDescent="0.4"/>
    <row r="841" ht="23.25" customHeight="1" x14ac:dyDescent="0.4"/>
    <row r="842" ht="23.25" customHeight="1" x14ac:dyDescent="0.4"/>
    <row r="843" ht="23.25" customHeight="1" x14ac:dyDescent="0.4"/>
    <row r="844" ht="23.25" customHeight="1" x14ac:dyDescent="0.4"/>
    <row r="845" ht="23.25" customHeight="1" x14ac:dyDescent="0.4"/>
    <row r="846" ht="23.25" customHeight="1" x14ac:dyDescent="0.4"/>
    <row r="847" ht="23.25" customHeight="1" x14ac:dyDescent="0.4"/>
    <row r="848" ht="23.25" customHeight="1" x14ac:dyDescent="0.4"/>
    <row r="849" ht="23.25" customHeight="1" x14ac:dyDescent="0.4"/>
    <row r="850" ht="23.25" customHeight="1" x14ac:dyDescent="0.4"/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15D40-5A52-4FCC-A422-D2A072B0F2DB}">
  <dimension ref="B1:T850"/>
  <sheetViews>
    <sheetView workbookViewId="0"/>
  </sheetViews>
  <sheetFormatPr defaultRowHeight="17.399999999999999" x14ac:dyDescent="0.4"/>
  <cols>
    <col min="1" max="1" width="2.09765625" customWidth="1"/>
    <col min="2" max="2" width="27.69921875" customWidth="1"/>
    <col min="3" max="6" width="7" customWidth="1"/>
    <col min="7" max="7" width="30.8984375" customWidth="1"/>
    <col min="8" max="8" width="6.3984375" customWidth="1"/>
    <col min="9" max="9" width="18.69921875" customWidth="1"/>
    <col min="10" max="10" width="6.8984375" customWidth="1"/>
    <col min="11" max="11" width="49.19921875" customWidth="1"/>
    <col min="12" max="12" width="11.19921875" customWidth="1"/>
    <col min="13" max="13" width="9.796875" customWidth="1"/>
    <col min="14" max="14" width="13.796875" customWidth="1"/>
    <col min="15" max="16" width="9.796875" customWidth="1"/>
    <col min="17" max="17" width="11.796875" customWidth="1"/>
    <col min="18" max="18" width="12.19921875" customWidth="1"/>
    <col min="19" max="19" width="33.296875" customWidth="1"/>
    <col min="20" max="20" width="57.59765625" customWidth="1"/>
    <col min="21" max="30" width="8.8984375" customWidth="1"/>
  </cols>
  <sheetData>
    <row r="1" spans="2:20" ht="23.25" customHeight="1" x14ac:dyDescent="0.4">
      <c r="B1" s="107" t="s">
        <v>2385</v>
      </c>
      <c r="C1" s="109">
        <v>11.01</v>
      </c>
      <c r="D1" s="15" t="s">
        <v>23</v>
      </c>
      <c r="E1" s="90" t="s">
        <v>2386</v>
      </c>
      <c r="I1" s="44" t="s">
        <v>2387</v>
      </c>
      <c r="L1" s="5">
        <v>1</v>
      </c>
      <c r="M1" s="5">
        <v>6000</v>
      </c>
      <c r="N1" s="5">
        <f>+M1*L1</f>
        <v>6000</v>
      </c>
      <c r="Q1" s="5">
        <f>+N1</f>
        <v>6000</v>
      </c>
      <c r="R1" s="8" t="s">
        <v>2388</v>
      </c>
    </row>
    <row r="2" spans="2:20" ht="23.25" customHeight="1" x14ac:dyDescent="0.4">
      <c r="B2" s="107" t="s">
        <v>2389</v>
      </c>
      <c r="C2" s="18">
        <v>3.24</v>
      </c>
      <c r="D2" s="16" t="s">
        <v>28</v>
      </c>
      <c r="E2" s="20">
        <v>9.0299999999999994</v>
      </c>
      <c r="I2" s="44" t="s">
        <v>2390</v>
      </c>
      <c r="L2" s="5">
        <v>1</v>
      </c>
      <c r="M2" s="5">
        <v>6000</v>
      </c>
      <c r="N2" s="5">
        <f>+M2*L2</f>
        <v>6000</v>
      </c>
      <c r="O2" s="5">
        <f>+N2/1.1</f>
        <v>5454.545454545454</v>
      </c>
      <c r="P2" s="5">
        <f>+N2-O2</f>
        <v>545.45454545454595</v>
      </c>
      <c r="Q2" s="5">
        <f>+N2</f>
        <v>6000</v>
      </c>
      <c r="R2" s="8" t="s">
        <v>2391</v>
      </c>
    </row>
    <row r="3" spans="2:20" ht="23.25" customHeight="1" x14ac:dyDescent="0.4">
      <c r="B3" s="4" t="s">
        <v>701</v>
      </c>
      <c r="M3" s="109" t="s">
        <v>24</v>
      </c>
      <c r="N3" s="20" t="s">
        <v>24</v>
      </c>
      <c r="O3" s="18" t="s">
        <v>24</v>
      </c>
      <c r="P3" s="95" t="s">
        <v>2557</v>
      </c>
      <c r="Q3" s="121" t="s">
        <v>2558</v>
      </c>
      <c r="R3" s="18" t="s">
        <v>2394</v>
      </c>
      <c r="S3" s="5" t="s">
        <v>2559</v>
      </c>
    </row>
    <row r="4" spans="2:20" ht="24.75" customHeight="1" x14ac:dyDescent="0.4">
      <c r="K4" s="65" t="s">
        <v>2473</v>
      </c>
    </row>
    <row r="5" spans="2:20" ht="24.75" customHeight="1" x14ac:dyDescent="0.4">
      <c r="B5" s="108" t="s">
        <v>2396</v>
      </c>
      <c r="G5" s="113" t="s">
        <v>2397</v>
      </c>
      <c r="K5" s="65" t="s">
        <v>2398</v>
      </c>
      <c r="M5" s="7" t="s">
        <v>2560</v>
      </c>
    </row>
    <row r="6" spans="2:20" ht="36" customHeight="1" x14ac:dyDescent="0.4">
      <c r="B6" s="10" t="s">
        <v>30</v>
      </c>
      <c r="C6" s="110" t="s">
        <v>31</v>
      </c>
      <c r="D6" s="10" t="s">
        <v>32</v>
      </c>
      <c r="E6" s="10" t="s">
        <v>33</v>
      </c>
      <c r="F6" s="10" t="s">
        <v>34</v>
      </c>
      <c r="G6" s="16" t="s">
        <v>2399</v>
      </c>
      <c r="H6" s="114" t="s">
        <v>1</v>
      </c>
      <c r="I6" s="9" t="s">
        <v>36</v>
      </c>
      <c r="J6" s="10" t="s">
        <v>37</v>
      </c>
      <c r="K6" s="10" t="s">
        <v>38</v>
      </c>
      <c r="L6" s="10" t="s">
        <v>39</v>
      </c>
      <c r="M6" s="10" t="s">
        <v>40</v>
      </c>
      <c r="N6" s="10" t="s">
        <v>41</v>
      </c>
      <c r="O6" s="10" t="s">
        <v>42</v>
      </c>
      <c r="P6" s="10" t="s">
        <v>43</v>
      </c>
      <c r="Q6" s="10" t="s">
        <v>44</v>
      </c>
      <c r="R6" s="10" t="s">
        <v>45</v>
      </c>
      <c r="S6" s="9" t="s">
        <v>2400</v>
      </c>
      <c r="T6" s="10" t="s">
        <v>2401</v>
      </c>
    </row>
    <row r="7" spans="2:20" ht="24" customHeight="1" x14ac:dyDescent="0.4">
      <c r="B7" s="7" t="s">
        <v>157</v>
      </c>
      <c r="C7" s="8">
        <v>3.02</v>
      </c>
      <c r="D7" s="15" t="s">
        <v>23</v>
      </c>
      <c r="F7" s="8" t="s">
        <v>2368</v>
      </c>
      <c r="G7" s="97" t="s">
        <v>964</v>
      </c>
      <c r="H7" s="4">
        <v>209</v>
      </c>
      <c r="I7" s="4" t="s">
        <v>157</v>
      </c>
      <c r="J7" s="4">
        <v>2.0299999999999998</v>
      </c>
      <c r="K7" s="4" t="s">
        <v>475</v>
      </c>
      <c r="L7" s="5">
        <f>110+20</f>
        <v>130</v>
      </c>
      <c r="M7" s="68">
        <v>1300</v>
      </c>
      <c r="N7" s="8">
        <f>+M7*L7</f>
        <v>169000</v>
      </c>
      <c r="O7" s="5">
        <f>+N7/1.1</f>
        <v>153636.36363636362</v>
      </c>
      <c r="P7" s="5">
        <f>+N7-O7</f>
        <v>15363.636363636382</v>
      </c>
      <c r="Q7" s="5">
        <f>+N7</f>
        <v>169000</v>
      </c>
      <c r="R7" s="18">
        <v>3.03</v>
      </c>
      <c r="S7" s="4" t="s">
        <v>474</v>
      </c>
    </row>
    <row r="8" spans="2:20" ht="24" customHeight="1" x14ac:dyDescent="0.4">
      <c r="B8" s="8" t="s">
        <v>26</v>
      </c>
      <c r="C8" s="8">
        <v>3.02</v>
      </c>
      <c r="D8" s="15" t="s">
        <v>23</v>
      </c>
      <c r="E8" s="116" t="s">
        <v>2492</v>
      </c>
      <c r="F8" s="7" t="s">
        <v>1546</v>
      </c>
      <c r="G8" s="4" t="s">
        <v>2493</v>
      </c>
      <c r="H8" s="4">
        <v>2899</v>
      </c>
      <c r="I8" s="4" t="s">
        <v>1581</v>
      </c>
      <c r="J8" s="4">
        <v>1.2</v>
      </c>
      <c r="K8" s="4" t="s">
        <v>113</v>
      </c>
      <c r="L8" s="5">
        <v>110</v>
      </c>
      <c r="M8" s="69">
        <v>12000</v>
      </c>
      <c r="N8" s="8">
        <f>+M8*L8</f>
        <v>1320000</v>
      </c>
      <c r="O8" s="5">
        <f>+N8/1.1</f>
        <v>1200000</v>
      </c>
      <c r="P8" s="5">
        <f>+N8-O8</f>
        <v>120000</v>
      </c>
      <c r="Q8" s="5">
        <f>+N8</f>
        <v>1320000</v>
      </c>
      <c r="R8" s="18">
        <v>3.22</v>
      </c>
      <c r="S8" s="7" t="s">
        <v>398</v>
      </c>
    </row>
    <row r="9" spans="2:20" ht="24" customHeight="1" x14ac:dyDescent="0.4">
      <c r="B9" s="8" t="s">
        <v>157</v>
      </c>
      <c r="C9" s="18">
        <v>3.03</v>
      </c>
      <c r="D9" s="15" t="s">
        <v>23</v>
      </c>
      <c r="F9" s="5" t="s">
        <v>2368</v>
      </c>
      <c r="G9" s="8" t="s">
        <v>973</v>
      </c>
      <c r="H9" s="5">
        <v>209</v>
      </c>
      <c r="I9" s="15" t="s">
        <v>974</v>
      </c>
      <c r="J9" s="5">
        <v>9.27</v>
      </c>
      <c r="K9" s="5" t="s">
        <v>159</v>
      </c>
      <c r="L9" s="5">
        <f>45+45</f>
        <v>90</v>
      </c>
      <c r="M9" s="68">
        <v>6000</v>
      </c>
      <c r="N9" s="8">
        <f>+M9*L9</f>
        <v>540000</v>
      </c>
      <c r="O9" s="5">
        <f>+N9/1.1</f>
        <v>490909.09090909088</v>
      </c>
      <c r="P9" s="5">
        <f>+N9-O9</f>
        <v>49090.909090909117</v>
      </c>
      <c r="Q9" s="5">
        <f>+N9</f>
        <v>540000</v>
      </c>
      <c r="R9" s="18">
        <v>3.16</v>
      </c>
      <c r="S9" s="5" t="s">
        <v>2561</v>
      </c>
      <c r="T9" s="4" t="s">
        <v>166</v>
      </c>
    </row>
    <row r="10" spans="2:20" ht="24" customHeight="1" x14ac:dyDescent="0.4">
      <c r="B10" s="8" t="s">
        <v>26</v>
      </c>
      <c r="C10" s="18">
        <v>3.03</v>
      </c>
      <c r="D10" s="15" t="s">
        <v>23</v>
      </c>
      <c r="F10" s="5" t="s">
        <v>2368</v>
      </c>
      <c r="G10" s="8" t="s">
        <v>973</v>
      </c>
      <c r="H10" s="4">
        <v>607</v>
      </c>
      <c r="I10" s="5" t="s">
        <v>974</v>
      </c>
      <c r="J10" s="4">
        <v>12.28</v>
      </c>
      <c r="K10" s="3" t="s">
        <v>378</v>
      </c>
      <c r="L10" s="5">
        <v>13</v>
      </c>
      <c r="M10" s="68">
        <f>5000+3000</f>
        <v>8000</v>
      </c>
      <c r="N10" s="8">
        <f>+M10*L10</f>
        <v>104000</v>
      </c>
      <c r="O10" s="5">
        <f>+N10/1.1</f>
        <v>94545.454545454544</v>
      </c>
      <c r="P10" s="5">
        <f>+N10-O10</f>
        <v>9454.5454545454559</v>
      </c>
      <c r="Q10" s="5">
        <f>+N10</f>
        <v>104000</v>
      </c>
      <c r="R10" s="18">
        <v>3.16</v>
      </c>
      <c r="S10" s="5" t="s">
        <v>2561</v>
      </c>
    </row>
    <row r="11" spans="2:20" ht="24" customHeight="1" x14ac:dyDescent="0.4">
      <c r="B11" s="8" t="s">
        <v>26</v>
      </c>
      <c r="C11" s="18">
        <v>3.03</v>
      </c>
      <c r="D11" s="15" t="s">
        <v>23</v>
      </c>
      <c r="F11" s="5" t="s">
        <v>2368</v>
      </c>
      <c r="G11" s="8" t="s">
        <v>973</v>
      </c>
      <c r="H11" s="4">
        <v>607</v>
      </c>
      <c r="I11" s="7" t="s">
        <v>974</v>
      </c>
      <c r="J11" s="4">
        <v>1.2</v>
      </c>
      <c r="K11" s="4" t="s">
        <v>457</v>
      </c>
      <c r="L11" s="5">
        <v>21</v>
      </c>
      <c r="M11" s="68">
        <f>6000+3000</f>
        <v>9000</v>
      </c>
      <c r="N11" s="8">
        <f>+M11*L11</f>
        <v>189000</v>
      </c>
      <c r="O11" s="5">
        <f>+N11/1.1</f>
        <v>171818.18181818179</v>
      </c>
      <c r="P11" s="5">
        <f>+N11-O11</f>
        <v>17181.818181818206</v>
      </c>
      <c r="Q11" s="5">
        <f>+N11</f>
        <v>189000</v>
      </c>
      <c r="R11" s="18">
        <v>3.22</v>
      </c>
      <c r="S11" s="4" t="s">
        <v>280</v>
      </c>
    </row>
    <row r="12" spans="2:20" ht="24" customHeight="1" x14ac:dyDescent="0.4">
      <c r="B12" s="8" t="s">
        <v>26</v>
      </c>
      <c r="C12" s="8">
        <v>3.04</v>
      </c>
      <c r="D12" s="15" t="s">
        <v>23</v>
      </c>
      <c r="F12" s="7" t="s">
        <v>1546</v>
      </c>
      <c r="G12" s="4" t="s">
        <v>2484</v>
      </c>
      <c r="H12" s="4">
        <v>629</v>
      </c>
      <c r="I12" s="4" t="s">
        <v>2485</v>
      </c>
      <c r="J12" s="4">
        <v>1.07</v>
      </c>
      <c r="K12" s="8" t="s">
        <v>396</v>
      </c>
      <c r="L12" s="5">
        <v>16</v>
      </c>
      <c r="M12" s="69">
        <f>38000-6000</f>
        <v>32000</v>
      </c>
      <c r="N12" s="8">
        <f>+M12*L12</f>
        <v>512000</v>
      </c>
      <c r="O12" s="5">
        <f>+N12/1.1</f>
        <v>465454.54545454541</v>
      </c>
      <c r="P12" s="5">
        <f>+N12-O12</f>
        <v>46545.454545454588</v>
      </c>
      <c r="Q12" s="5">
        <f>+N12</f>
        <v>512000</v>
      </c>
      <c r="R12" s="18">
        <v>3.11</v>
      </c>
      <c r="S12" s="4" t="s">
        <v>400</v>
      </c>
    </row>
    <row r="13" spans="2:20" ht="24" customHeight="1" x14ac:dyDescent="0.4">
      <c r="B13" s="4" t="s">
        <v>568</v>
      </c>
      <c r="C13" s="8">
        <v>3.04</v>
      </c>
      <c r="D13" s="15" t="s">
        <v>23</v>
      </c>
      <c r="F13" s="5" t="s">
        <v>1559</v>
      </c>
      <c r="G13" s="4" t="s">
        <v>2532</v>
      </c>
      <c r="H13" s="4">
        <v>1027</v>
      </c>
      <c r="I13" s="4" t="s">
        <v>483</v>
      </c>
      <c r="J13" s="4">
        <v>3.02</v>
      </c>
      <c r="K13" s="12" t="s">
        <v>2562</v>
      </c>
      <c r="L13" s="5">
        <v>3</v>
      </c>
      <c r="M13" s="68">
        <v>30000</v>
      </c>
      <c r="N13" s="95">
        <f>+M13*L13</f>
        <v>90000</v>
      </c>
      <c r="O13" s="5">
        <f>+N13/1.1</f>
        <v>81818.181818181809</v>
      </c>
      <c r="P13" s="5">
        <f>+N13-O13</f>
        <v>8181.8181818181911</v>
      </c>
      <c r="Q13" s="5">
        <f>+N13</f>
        <v>90000</v>
      </c>
      <c r="R13" s="18">
        <v>3.31</v>
      </c>
      <c r="S13" s="21" t="s">
        <v>569</v>
      </c>
    </row>
    <row r="14" spans="2:20" ht="24" customHeight="1" x14ac:dyDescent="0.4">
      <c r="B14" s="4" t="s">
        <v>568</v>
      </c>
      <c r="C14" s="8">
        <v>3.04</v>
      </c>
      <c r="D14" s="15" t="s">
        <v>23</v>
      </c>
      <c r="F14" s="5" t="s">
        <v>1559</v>
      </c>
      <c r="G14" s="4" t="s">
        <v>2532</v>
      </c>
      <c r="H14" s="4">
        <v>1027</v>
      </c>
      <c r="I14" s="4" t="s">
        <v>483</v>
      </c>
      <c r="J14" s="4">
        <v>3.02</v>
      </c>
      <c r="K14" s="12" t="s">
        <v>2563</v>
      </c>
      <c r="L14" s="5">
        <v>4</v>
      </c>
      <c r="M14" s="68">
        <v>10000</v>
      </c>
      <c r="N14" s="95">
        <f>+M14*L14</f>
        <v>40000</v>
      </c>
      <c r="O14" s="5">
        <f>+N14/1.1</f>
        <v>36363.63636363636</v>
      </c>
      <c r="P14" s="5">
        <f>+N14-O14</f>
        <v>3636.3636363636397</v>
      </c>
      <c r="Q14" s="5">
        <f>+N14</f>
        <v>40000</v>
      </c>
      <c r="R14" s="18">
        <v>3.31</v>
      </c>
      <c r="S14" s="21" t="s">
        <v>569</v>
      </c>
    </row>
    <row r="15" spans="2:20" ht="24" customHeight="1" x14ac:dyDescent="0.4">
      <c r="B15" s="8" t="s">
        <v>26</v>
      </c>
      <c r="C15" s="8">
        <v>3.11</v>
      </c>
      <c r="D15" s="15" t="s">
        <v>23</v>
      </c>
      <c r="F15" s="5" t="s">
        <v>1365</v>
      </c>
      <c r="G15" s="7" t="s">
        <v>2564</v>
      </c>
      <c r="H15" s="4">
        <v>664</v>
      </c>
      <c r="I15" s="4" t="s">
        <v>579</v>
      </c>
      <c r="J15" s="4">
        <v>3.07</v>
      </c>
      <c r="K15" s="4" t="s">
        <v>304</v>
      </c>
      <c r="L15" s="5">
        <v>88</v>
      </c>
      <c r="M15" s="68">
        <v>6000</v>
      </c>
      <c r="N15" s="5">
        <f>+M15*L15</f>
        <v>528000</v>
      </c>
      <c r="O15" s="5">
        <f>+N15/1.1</f>
        <v>479999.99999999994</v>
      </c>
      <c r="P15" s="5">
        <f>+N15-O15</f>
        <v>48000.000000000058</v>
      </c>
      <c r="Q15" s="5">
        <f>+N15</f>
        <v>528000</v>
      </c>
      <c r="R15" s="18">
        <v>3.15</v>
      </c>
    </row>
    <row r="16" spans="2:20" ht="24" customHeight="1" x14ac:dyDescent="0.4">
      <c r="B16" s="8" t="s">
        <v>26</v>
      </c>
      <c r="C16" s="8">
        <v>3.14</v>
      </c>
      <c r="D16" s="15" t="s">
        <v>23</v>
      </c>
      <c r="F16" s="8" t="s">
        <v>2368</v>
      </c>
      <c r="G16" s="4" t="s">
        <v>1917</v>
      </c>
      <c r="H16" s="4">
        <v>1025</v>
      </c>
      <c r="I16" s="4" t="s">
        <v>1918</v>
      </c>
      <c r="J16" s="4">
        <v>2.09</v>
      </c>
      <c r="K16" s="12" t="s">
        <v>391</v>
      </c>
      <c r="L16" s="5">
        <v>5</v>
      </c>
      <c r="M16" s="68">
        <v>9500</v>
      </c>
      <c r="N16" s="8">
        <f>+M16*L16</f>
        <v>47500</v>
      </c>
      <c r="O16" s="5">
        <f>+N16/1.1</f>
        <v>43181.818181818177</v>
      </c>
      <c r="P16" s="5">
        <f>+N16-O16</f>
        <v>4318.1818181818235</v>
      </c>
      <c r="Q16" s="5">
        <f>+N16</f>
        <v>47500</v>
      </c>
      <c r="R16" s="18">
        <v>3.25</v>
      </c>
      <c r="S16" s="7" t="s">
        <v>322</v>
      </c>
    </row>
    <row r="17" spans="2:20" ht="24" customHeight="1" x14ac:dyDescent="0.4">
      <c r="B17" s="8" t="s">
        <v>26</v>
      </c>
      <c r="C17" s="8">
        <v>3.14</v>
      </c>
      <c r="D17" s="15" t="s">
        <v>23</v>
      </c>
      <c r="F17" s="8" t="s">
        <v>2368</v>
      </c>
      <c r="G17" s="4" t="s">
        <v>1917</v>
      </c>
      <c r="H17" s="4">
        <v>1025</v>
      </c>
      <c r="I17" s="4" t="s">
        <v>1918</v>
      </c>
      <c r="J17" s="4">
        <v>2.16</v>
      </c>
      <c r="K17" s="4" t="s">
        <v>391</v>
      </c>
      <c r="L17" s="5">
        <v>5</v>
      </c>
      <c r="M17" s="68">
        <v>10000</v>
      </c>
      <c r="N17" s="8">
        <f>+M17*L17</f>
        <v>50000</v>
      </c>
      <c r="O17" s="5">
        <f>+N17/1.1</f>
        <v>45454.545454545449</v>
      </c>
      <c r="P17" s="5">
        <f>+N17-O17</f>
        <v>4545.4545454545514</v>
      </c>
      <c r="Q17" s="5">
        <f>+N17</f>
        <v>50000</v>
      </c>
      <c r="R17" s="18">
        <v>3.3</v>
      </c>
      <c r="S17" s="7" t="s">
        <v>322</v>
      </c>
    </row>
    <row r="18" spans="2:20" ht="24" customHeight="1" x14ac:dyDescent="0.4">
      <c r="B18" s="8" t="s">
        <v>26</v>
      </c>
      <c r="C18" s="8">
        <v>3.15</v>
      </c>
      <c r="D18" s="15" t="s">
        <v>23</v>
      </c>
      <c r="F18" s="8" t="s">
        <v>2368</v>
      </c>
      <c r="G18" s="4" t="s">
        <v>2460</v>
      </c>
      <c r="H18" s="4">
        <v>262</v>
      </c>
      <c r="I18" s="4" t="s">
        <v>836</v>
      </c>
      <c r="J18" s="4">
        <v>3.08</v>
      </c>
      <c r="K18" s="11" t="s">
        <v>586</v>
      </c>
      <c r="L18" s="5">
        <v>7</v>
      </c>
      <c r="M18" s="68">
        <v>12000</v>
      </c>
      <c r="N18" s="8">
        <f>+M18*L18</f>
        <v>84000</v>
      </c>
      <c r="O18" s="5">
        <f>+N18/1.1</f>
        <v>76363.636363636353</v>
      </c>
      <c r="P18" s="5">
        <f>+N18-O18</f>
        <v>7636.3636363636469</v>
      </c>
      <c r="Q18" s="5">
        <f>+N18</f>
        <v>84000</v>
      </c>
      <c r="R18" s="18">
        <v>3.17</v>
      </c>
      <c r="S18" s="4" t="s">
        <v>346</v>
      </c>
    </row>
    <row r="19" spans="2:20" ht="24" customHeight="1" x14ac:dyDescent="0.4">
      <c r="B19" s="8" t="s">
        <v>26</v>
      </c>
      <c r="C19" s="8">
        <v>3.15</v>
      </c>
      <c r="D19" s="15" t="s">
        <v>23</v>
      </c>
      <c r="F19" s="8" t="s">
        <v>2368</v>
      </c>
      <c r="G19" s="4" t="s">
        <v>2460</v>
      </c>
      <c r="H19" s="4">
        <v>262</v>
      </c>
      <c r="I19" s="4" t="s">
        <v>836</v>
      </c>
      <c r="J19" s="4">
        <v>3.08</v>
      </c>
      <c r="K19" s="11" t="s">
        <v>587</v>
      </c>
      <c r="L19" s="5">
        <v>7</v>
      </c>
      <c r="M19" s="68">
        <v>12000</v>
      </c>
      <c r="N19" s="8">
        <f>+M19*L19</f>
        <v>84000</v>
      </c>
      <c r="O19" s="5">
        <f>+N19/1.1</f>
        <v>76363.636363636353</v>
      </c>
      <c r="P19" s="5">
        <f>+N19-O19</f>
        <v>7636.3636363636469</v>
      </c>
      <c r="Q19" s="5">
        <f>+N19</f>
        <v>84000</v>
      </c>
      <c r="R19" s="18">
        <v>3.17</v>
      </c>
      <c r="S19" s="4" t="s">
        <v>346</v>
      </c>
    </row>
    <row r="20" spans="2:20" ht="24" customHeight="1" x14ac:dyDescent="0.4">
      <c r="B20" s="8" t="s">
        <v>26</v>
      </c>
      <c r="C20" s="8">
        <v>3.18</v>
      </c>
      <c r="D20" s="15" t="s">
        <v>23</v>
      </c>
      <c r="F20" s="5" t="s">
        <v>1365</v>
      </c>
      <c r="G20" s="4" t="s">
        <v>2537</v>
      </c>
      <c r="H20" s="4">
        <v>247</v>
      </c>
      <c r="I20" s="5" t="s">
        <v>1090</v>
      </c>
      <c r="J20" s="4">
        <v>2.09</v>
      </c>
      <c r="K20" s="4" t="s">
        <v>198</v>
      </c>
      <c r="L20" s="5">
        <v>32</v>
      </c>
      <c r="M20" s="68">
        <v>10000</v>
      </c>
      <c r="N20" s="8">
        <f>+M20*L20</f>
        <v>320000</v>
      </c>
      <c r="O20" s="5">
        <f>+N20/1.1</f>
        <v>290909.09090909088</v>
      </c>
      <c r="P20" s="5">
        <f>+N20-O20</f>
        <v>29090.909090909117</v>
      </c>
      <c r="Q20" s="5">
        <f>+N20</f>
        <v>320000</v>
      </c>
      <c r="R20" s="18">
        <v>3.21</v>
      </c>
      <c r="S20" s="7" t="s">
        <v>210</v>
      </c>
    </row>
    <row r="21" spans="2:20" ht="24" customHeight="1" x14ac:dyDescent="0.4">
      <c r="B21" s="8" t="s">
        <v>85</v>
      </c>
      <c r="C21" s="8">
        <v>3.18</v>
      </c>
      <c r="D21" s="15" t="s">
        <v>23</v>
      </c>
      <c r="F21" s="8" t="s">
        <v>2368</v>
      </c>
      <c r="G21" s="4" t="s">
        <v>1956</v>
      </c>
      <c r="H21" s="4">
        <v>692</v>
      </c>
      <c r="I21" s="4" t="s">
        <v>2565</v>
      </c>
      <c r="J21" s="4">
        <v>3.15</v>
      </c>
      <c r="K21" s="106" t="s">
        <v>159</v>
      </c>
      <c r="L21" s="5">
        <v>300</v>
      </c>
      <c r="M21" s="69">
        <f>6000-500</f>
        <v>5500</v>
      </c>
      <c r="N21" s="8">
        <f>+M21*L21</f>
        <v>1650000</v>
      </c>
      <c r="O21" s="5">
        <f>+N21/1.1</f>
        <v>1499999.9999999998</v>
      </c>
      <c r="P21" s="5">
        <f>+N21-O21</f>
        <v>150000.00000000023</v>
      </c>
      <c r="Q21" s="5">
        <f>+N21</f>
        <v>1650000</v>
      </c>
      <c r="R21" s="18">
        <v>3.25</v>
      </c>
      <c r="S21" s="4" t="s">
        <v>523</v>
      </c>
    </row>
    <row r="22" spans="2:20" ht="24" customHeight="1" x14ac:dyDescent="0.4">
      <c r="B22" s="8" t="s">
        <v>85</v>
      </c>
      <c r="C22" s="8">
        <v>3.18</v>
      </c>
      <c r="D22" s="15" t="s">
        <v>23</v>
      </c>
      <c r="F22" s="8" t="s">
        <v>2368</v>
      </c>
      <c r="G22" s="4" t="s">
        <v>1956</v>
      </c>
      <c r="H22" s="4">
        <v>692</v>
      </c>
      <c r="I22" s="4" t="s">
        <v>2565</v>
      </c>
      <c r="J22" s="4">
        <v>3.15</v>
      </c>
      <c r="K22" s="106" t="s">
        <v>159</v>
      </c>
      <c r="L22" s="5">
        <v>340</v>
      </c>
      <c r="M22" s="69">
        <f>6000-500</f>
        <v>5500</v>
      </c>
      <c r="N22" s="8">
        <f>+M22*L22</f>
        <v>1870000</v>
      </c>
      <c r="O22" s="5">
        <f>+N22/1.1</f>
        <v>1699999.9999999998</v>
      </c>
      <c r="P22" s="5">
        <f>+N22-O22</f>
        <v>170000.00000000023</v>
      </c>
      <c r="Q22" s="5">
        <f>+N22</f>
        <v>1870000</v>
      </c>
      <c r="R22" s="18">
        <v>3.25</v>
      </c>
      <c r="S22" s="4" t="s">
        <v>523</v>
      </c>
    </row>
    <row r="23" spans="2:20" ht="24" customHeight="1" x14ac:dyDescent="0.4">
      <c r="B23" s="8" t="s">
        <v>85</v>
      </c>
      <c r="C23" s="8">
        <v>3.18</v>
      </c>
      <c r="D23" s="15" t="s">
        <v>23</v>
      </c>
      <c r="F23" s="8" t="s">
        <v>2368</v>
      </c>
      <c r="G23" s="4" t="s">
        <v>1956</v>
      </c>
      <c r="H23" s="4">
        <v>692</v>
      </c>
      <c r="I23" s="4" t="s">
        <v>2565</v>
      </c>
      <c r="J23" s="4">
        <v>3.16</v>
      </c>
      <c r="K23" s="106" t="s">
        <v>159</v>
      </c>
      <c r="L23" s="5">
        <v>188</v>
      </c>
      <c r="M23" s="69">
        <f>6000-500</f>
        <v>5500</v>
      </c>
      <c r="N23" s="8">
        <f>+M23*L23</f>
        <v>1034000</v>
      </c>
      <c r="O23" s="5">
        <f>+N23/1.1</f>
        <v>939999.99999999988</v>
      </c>
      <c r="P23" s="5">
        <f>+N23-O23</f>
        <v>94000.000000000116</v>
      </c>
      <c r="Q23" s="5">
        <f>+N23</f>
        <v>1034000</v>
      </c>
      <c r="R23" s="18">
        <v>3.25</v>
      </c>
      <c r="S23" s="4" t="s">
        <v>523</v>
      </c>
    </row>
    <row r="24" spans="2:20" ht="24" customHeight="1" x14ac:dyDescent="0.4">
      <c r="B24" s="8" t="s">
        <v>157</v>
      </c>
      <c r="C24" s="18">
        <v>3.22</v>
      </c>
      <c r="D24" s="15" t="s">
        <v>23</v>
      </c>
      <c r="F24" s="5" t="s">
        <v>2368</v>
      </c>
      <c r="G24" s="97" t="s">
        <v>964</v>
      </c>
      <c r="H24" s="5">
        <v>209</v>
      </c>
      <c r="I24" s="4" t="s">
        <v>157</v>
      </c>
      <c r="J24" s="5">
        <v>3.21</v>
      </c>
      <c r="K24" s="5" t="s">
        <v>304</v>
      </c>
      <c r="L24" s="5">
        <v>120</v>
      </c>
      <c r="M24" s="68">
        <v>6000</v>
      </c>
      <c r="N24" s="8">
        <f>+M24*L24</f>
        <v>720000</v>
      </c>
      <c r="O24" s="5">
        <f>+N24/1.1</f>
        <v>654545.45454545447</v>
      </c>
      <c r="P24" s="5">
        <f>+N24-O24</f>
        <v>65454.545454545529</v>
      </c>
      <c r="Q24" s="5">
        <f>+N24</f>
        <v>720000</v>
      </c>
      <c r="R24" s="18">
        <v>3.23</v>
      </c>
      <c r="T24" s="4" t="s">
        <v>166</v>
      </c>
    </row>
    <row r="25" spans="2:20" ht="24" customHeight="1" x14ac:dyDescent="0.4">
      <c r="B25" s="7" t="s">
        <v>639</v>
      </c>
      <c r="C25" s="8">
        <v>3.24</v>
      </c>
      <c r="D25" s="15" t="s">
        <v>23</v>
      </c>
      <c r="F25" s="8" t="s">
        <v>2368</v>
      </c>
      <c r="G25" s="5" t="s">
        <v>919</v>
      </c>
      <c r="H25" s="4">
        <v>786</v>
      </c>
      <c r="I25" s="4" t="s">
        <v>744</v>
      </c>
      <c r="J25" s="4">
        <v>2.21</v>
      </c>
      <c r="K25" s="4" t="s">
        <v>2566</v>
      </c>
      <c r="L25" s="5">
        <v>10</v>
      </c>
      <c r="M25" s="68">
        <v>6000</v>
      </c>
      <c r="N25" s="8">
        <f>+M25*L25</f>
        <v>60000</v>
      </c>
      <c r="O25" s="5">
        <f>+N25/1.1</f>
        <v>54545.454545454544</v>
      </c>
      <c r="P25" s="5">
        <f>+N25-O25</f>
        <v>5454.5454545454559</v>
      </c>
      <c r="Q25" s="5">
        <f>+N25</f>
        <v>60000</v>
      </c>
      <c r="R25" s="18">
        <v>3.25</v>
      </c>
      <c r="S25" s="4" t="s">
        <v>544</v>
      </c>
    </row>
    <row r="26" spans="2:20" ht="24" customHeight="1" x14ac:dyDescent="0.4">
      <c r="B26" s="7" t="s">
        <v>639</v>
      </c>
      <c r="C26" s="8">
        <v>3.24</v>
      </c>
      <c r="D26" s="15" t="s">
        <v>23</v>
      </c>
      <c r="F26" s="8" t="s">
        <v>2368</v>
      </c>
      <c r="G26" s="5" t="s">
        <v>948</v>
      </c>
      <c r="H26" s="4">
        <v>786</v>
      </c>
      <c r="I26" s="4" t="s">
        <v>949</v>
      </c>
      <c r="J26" s="4">
        <v>3.23</v>
      </c>
      <c r="K26" s="4" t="s">
        <v>2567</v>
      </c>
      <c r="L26" s="5">
        <v>15</v>
      </c>
      <c r="M26" s="68">
        <v>6000</v>
      </c>
      <c r="N26" s="8">
        <f>+M26*L26</f>
        <v>90000</v>
      </c>
      <c r="O26" s="5">
        <f>+N26/1.1</f>
        <v>81818.181818181809</v>
      </c>
      <c r="P26" s="5">
        <f>+N26-O26</f>
        <v>8181.8181818181911</v>
      </c>
      <c r="Q26" s="5">
        <f>+N26</f>
        <v>90000</v>
      </c>
      <c r="R26" s="18">
        <v>3.28</v>
      </c>
      <c r="S26" s="4" t="s">
        <v>446</v>
      </c>
    </row>
    <row r="27" spans="2:20" ht="24" customHeight="1" x14ac:dyDescent="0.4">
      <c r="B27" s="8" t="s">
        <v>26</v>
      </c>
      <c r="C27" s="8">
        <v>3.24</v>
      </c>
      <c r="D27" s="15" t="s">
        <v>23</v>
      </c>
      <c r="F27" s="8" t="s">
        <v>2368</v>
      </c>
      <c r="G27" s="4" t="s">
        <v>1917</v>
      </c>
      <c r="H27" s="4">
        <v>1025</v>
      </c>
      <c r="I27" s="4" t="s">
        <v>1918</v>
      </c>
      <c r="J27" s="4">
        <v>1.1499999999999999</v>
      </c>
      <c r="K27" s="4" t="s">
        <v>433</v>
      </c>
      <c r="L27" s="5">
        <v>62</v>
      </c>
      <c r="M27" s="68">
        <v>5000</v>
      </c>
      <c r="N27" s="8">
        <f>+M27*L27</f>
        <v>310000</v>
      </c>
      <c r="O27" s="5">
        <f>+N27/1.1</f>
        <v>281818.18181818182</v>
      </c>
      <c r="P27" s="5">
        <f>+N27-O27</f>
        <v>28181.818181818177</v>
      </c>
      <c r="Q27" s="5">
        <f>+N27</f>
        <v>310000</v>
      </c>
      <c r="R27" s="18">
        <v>3.29</v>
      </c>
      <c r="S27" s="7" t="s">
        <v>322</v>
      </c>
    </row>
    <row r="28" spans="2:20" ht="24" customHeight="1" x14ac:dyDescent="0.4">
      <c r="B28" s="8" t="s">
        <v>26</v>
      </c>
      <c r="C28" s="8">
        <v>3.24</v>
      </c>
      <c r="D28" s="15" t="s">
        <v>23</v>
      </c>
      <c r="F28" s="8" t="s">
        <v>2368</v>
      </c>
      <c r="G28" s="4" t="s">
        <v>2568</v>
      </c>
      <c r="H28" s="4">
        <v>842</v>
      </c>
      <c r="I28" s="4" t="s">
        <v>845</v>
      </c>
      <c r="J28" s="4">
        <v>3.11</v>
      </c>
      <c r="K28" s="4" t="s">
        <v>300</v>
      </c>
      <c r="L28" s="5">
        <v>10</v>
      </c>
      <c r="M28" s="68">
        <v>19000</v>
      </c>
      <c r="N28" s="8">
        <f>+M28*L28</f>
        <v>190000</v>
      </c>
      <c r="O28" s="5">
        <f>+N28/1.1</f>
        <v>172727.27272727271</v>
      </c>
      <c r="P28" s="5">
        <f>+N28-O28</f>
        <v>17272.727272727294</v>
      </c>
      <c r="Q28" s="5">
        <f>+N28</f>
        <v>190000</v>
      </c>
      <c r="R28" s="18">
        <v>3.29</v>
      </c>
      <c r="S28" s="7" t="s">
        <v>604</v>
      </c>
    </row>
    <row r="29" spans="2:20" ht="24" customHeight="1" x14ac:dyDescent="0.4">
      <c r="B29" s="8" t="s">
        <v>26</v>
      </c>
      <c r="C29" s="8">
        <v>3.24</v>
      </c>
      <c r="D29" s="15" t="s">
        <v>23</v>
      </c>
      <c r="F29" s="5" t="s">
        <v>1559</v>
      </c>
      <c r="G29" s="4" t="s">
        <v>2531</v>
      </c>
      <c r="H29" s="4">
        <v>1324</v>
      </c>
      <c r="I29" s="4" t="s">
        <v>2440</v>
      </c>
      <c r="J29" s="4">
        <v>3.16</v>
      </c>
      <c r="K29" s="4" t="s">
        <v>633</v>
      </c>
      <c r="L29" s="5">
        <v>1</v>
      </c>
      <c r="M29" s="68">
        <v>26000</v>
      </c>
      <c r="N29" s="8">
        <f>+M29*L29</f>
        <v>26000</v>
      </c>
      <c r="O29" s="5">
        <f>+N29/1.1</f>
        <v>23636.363636363636</v>
      </c>
      <c r="P29" s="5">
        <f>+N29-O29</f>
        <v>2363.636363636364</v>
      </c>
      <c r="Q29" s="5">
        <f>+N29</f>
        <v>26000</v>
      </c>
      <c r="R29" s="18">
        <v>3.29</v>
      </c>
      <c r="S29" s="7" t="s">
        <v>97</v>
      </c>
    </row>
    <row r="30" spans="2:20" ht="24" customHeight="1" x14ac:dyDescent="0.4">
      <c r="B30" s="8" t="s">
        <v>26</v>
      </c>
      <c r="C30" s="8">
        <v>3.24</v>
      </c>
      <c r="D30" s="15" t="s">
        <v>23</v>
      </c>
      <c r="F30" s="8" t="s">
        <v>2368</v>
      </c>
      <c r="G30" s="5" t="s">
        <v>2541</v>
      </c>
      <c r="H30" s="4">
        <v>605</v>
      </c>
      <c r="I30" s="4" t="s">
        <v>2555</v>
      </c>
      <c r="J30" s="4">
        <v>3.23</v>
      </c>
      <c r="K30" s="4" t="s">
        <v>645</v>
      </c>
      <c r="L30" s="5">
        <v>5</v>
      </c>
      <c r="M30" s="68">
        <f>6000+3000</f>
        <v>9000</v>
      </c>
      <c r="N30" s="8">
        <f>+M30*L30</f>
        <v>45000</v>
      </c>
      <c r="O30" s="5">
        <f>+N30/1.1</f>
        <v>40909.090909090904</v>
      </c>
      <c r="P30" s="5">
        <f>+N30-O30</f>
        <v>4090.9090909090955</v>
      </c>
      <c r="Q30" s="5">
        <f>+N30</f>
        <v>45000</v>
      </c>
      <c r="R30" s="18">
        <v>3.3</v>
      </c>
      <c r="S30" s="4" t="s">
        <v>179</v>
      </c>
    </row>
    <row r="31" spans="2:20" ht="24" customHeight="1" x14ac:dyDescent="0.4">
      <c r="B31" s="8" t="s">
        <v>26</v>
      </c>
      <c r="C31" s="18">
        <v>3.24</v>
      </c>
      <c r="D31" s="15" t="s">
        <v>23</v>
      </c>
      <c r="F31" s="5" t="s">
        <v>1559</v>
      </c>
      <c r="G31" s="8" t="s">
        <v>2467</v>
      </c>
      <c r="H31" s="4">
        <v>1325</v>
      </c>
      <c r="I31" s="4" t="s">
        <v>728</v>
      </c>
      <c r="J31" s="4">
        <v>2.17</v>
      </c>
      <c r="K31" s="4" t="s">
        <v>538</v>
      </c>
      <c r="L31" s="5">
        <v>20</v>
      </c>
      <c r="M31" s="71">
        <v>6000</v>
      </c>
      <c r="N31" s="8">
        <f>+M31*L31</f>
        <v>120000</v>
      </c>
      <c r="O31" s="5">
        <f>+N31/1.1</f>
        <v>109090.90909090909</v>
      </c>
      <c r="P31" s="5">
        <f>+N31-O31</f>
        <v>10909.090909090912</v>
      </c>
      <c r="Q31" s="5">
        <f>+N31</f>
        <v>120000</v>
      </c>
      <c r="R31" s="18">
        <v>3.31</v>
      </c>
      <c r="S31" s="4" t="s">
        <v>83</v>
      </c>
    </row>
    <row r="32" spans="2:20" ht="24" customHeight="1" x14ac:dyDescent="0.4">
      <c r="B32" s="8" t="s">
        <v>26</v>
      </c>
      <c r="C32" s="8">
        <v>3.24</v>
      </c>
      <c r="D32" s="15" t="s">
        <v>23</v>
      </c>
      <c r="F32" s="8" t="s">
        <v>1559</v>
      </c>
      <c r="G32" s="5" t="s">
        <v>2499</v>
      </c>
      <c r="H32" s="4">
        <v>782</v>
      </c>
      <c r="I32" s="4" t="s">
        <v>730</v>
      </c>
      <c r="J32" s="4">
        <v>2.25</v>
      </c>
      <c r="K32" s="4" t="s">
        <v>198</v>
      </c>
      <c r="L32" s="5">
        <v>10</v>
      </c>
      <c r="M32" s="68">
        <v>10000</v>
      </c>
      <c r="N32" s="8">
        <f>+M32*L32</f>
        <v>100000</v>
      </c>
      <c r="O32" s="5">
        <f>+N32/1.1</f>
        <v>90909.090909090897</v>
      </c>
      <c r="P32" s="5">
        <f>+N32-O32</f>
        <v>9090.9090909091028</v>
      </c>
      <c r="Q32" s="5">
        <f>+N32</f>
        <v>100000</v>
      </c>
      <c r="R32" s="18">
        <v>3.31</v>
      </c>
      <c r="S32" s="4" t="s">
        <v>199</v>
      </c>
    </row>
    <row r="33" spans="2:19" ht="24" customHeight="1" x14ac:dyDescent="0.4">
      <c r="B33" s="8" t="s">
        <v>26</v>
      </c>
      <c r="C33" s="8">
        <v>3.29</v>
      </c>
      <c r="D33" s="15" t="s">
        <v>23</v>
      </c>
      <c r="F33" s="5" t="s">
        <v>1559</v>
      </c>
      <c r="G33" s="7" t="s">
        <v>1568</v>
      </c>
      <c r="H33" s="4">
        <v>571</v>
      </c>
      <c r="I33" s="4" t="s">
        <v>360</v>
      </c>
      <c r="J33" s="4">
        <v>3.29</v>
      </c>
      <c r="K33" s="4" t="s">
        <v>660</v>
      </c>
      <c r="L33" s="5">
        <v>5</v>
      </c>
      <c r="M33" s="68">
        <f>6000+12000+4000</f>
        <v>22000</v>
      </c>
      <c r="N33" s="8">
        <f>+M33*L33</f>
        <v>110000</v>
      </c>
      <c r="O33" s="5">
        <f>+N33/1.1</f>
        <v>99999.999999999985</v>
      </c>
      <c r="P33" s="5">
        <f>+N33-O33</f>
        <v>10000.000000000015</v>
      </c>
      <c r="Q33" s="5">
        <f>+N33</f>
        <v>110000</v>
      </c>
      <c r="R33" s="18">
        <v>4.01</v>
      </c>
      <c r="S33" s="5" t="s">
        <v>81</v>
      </c>
    </row>
    <row r="34" spans="2:19" ht="24" customHeight="1" x14ac:dyDescent="0.4">
      <c r="B34" s="8" t="s">
        <v>26</v>
      </c>
      <c r="C34" s="8">
        <v>3.3</v>
      </c>
      <c r="D34" s="15" t="s">
        <v>23</v>
      </c>
      <c r="F34" s="5" t="s">
        <v>1365</v>
      </c>
      <c r="G34" s="4" t="s">
        <v>2537</v>
      </c>
      <c r="H34" s="4">
        <v>247</v>
      </c>
      <c r="I34" s="4" t="s">
        <v>1090</v>
      </c>
      <c r="J34" s="4">
        <v>3.24</v>
      </c>
      <c r="K34" s="4" t="s">
        <v>198</v>
      </c>
      <c r="L34" s="5">
        <v>10</v>
      </c>
      <c r="M34" s="71">
        <v>10000</v>
      </c>
      <c r="N34" s="8">
        <f>+M34*L34</f>
        <v>100000</v>
      </c>
      <c r="O34" s="5">
        <f>+N34/1.1</f>
        <v>90909.090909090897</v>
      </c>
      <c r="P34" s="5">
        <f>+N34-O34</f>
        <v>9090.9090909091028</v>
      </c>
      <c r="Q34" s="5">
        <f>+N34</f>
        <v>100000</v>
      </c>
      <c r="R34" s="18">
        <v>3.3</v>
      </c>
      <c r="S34" s="7" t="s">
        <v>558</v>
      </c>
    </row>
    <row r="35" spans="2:19" ht="24" customHeight="1" x14ac:dyDescent="0.4">
      <c r="B35" s="119" t="s">
        <v>2433</v>
      </c>
      <c r="D35" s="111" t="s">
        <v>23</v>
      </c>
      <c r="N35" s="119">
        <f>SUM(N7:N34)</f>
        <v>10502500</v>
      </c>
      <c r="O35" s="119">
        <f>SUM(O7:O34)</f>
        <v>9547727.2727272734</v>
      </c>
      <c r="P35" s="119">
        <f>SUM(P7:P34)</f>
        <v>954772.72727272811</v>
      </c>
      <c r="Q35" s="119">
        <f>SUM(Q7:Q34)</f>
        <v>10502500</v>
      </c>
    </row>
    <row r="36" spans="2:19" ht="24" customHeight="1" x14ac:dyDescent="0.4">
      <c r="B36" s="7" t="s">
        <v>157</v>
      </c>
      <c r="C36" s="8">
        <v>3.02</v>
      </c>
      <c r="D36" s="16" t="s">
        <v>28</v>
      </c>
      <c r="F36" s="8" t="s">
        <v>2368</v>
      </c>
      <c r="G36" s="5" t="s">
        <v>966</v>
      </c>
      <c r="H36" s="4">
        <v>209</v>
      </c>
      <c r="I36" s="4" t="s">
        <v>157</v>
      </c>
      <c r="J36" s="4">
        <v>2.0299999999999998</v>
      </c>
      <c r="K36" s="4" t="s">
        <v>473</v>
      </c>
      <c r="L36" s="5">
        <v>2</v>
      </c>
      <c r="M36" s="68">
        <v>50000</v>
      </c>
      <c r="N36" s="8">
        <f>+M36*L36</f>
        <v>100000</v>
      </c>
      <c r="Q36" s="5">
        <f>+N36</f>
        <v>100000</v>
      </c>
      <c r="R36" s="18">
        <v>3.03</v>
      </c>
      <c r="S36" s="4" t="s">
        <v>474</v>
      </c>
    </row>
    <row r="37" spans="2:19" ht="24" customHeight="1" x14ac:dyDescent="0.4">
      <c r="B37" s="8" t="s">
        <v>26</v>
      </c>
      <c r="C37" s="18">
        <v>3.03</v>
      </c>
      <c r="D37" s="16" t="s">
        <v>28</v>
      </c>
      <c r="F37" s="5" t="s">
        <v>2368</v>
      </c>
      <c r="G37" s="8" t="s">
        <v>973</v>
      </c>
      <c r="H37" s="4">
        <v>607</v>
      </c>
      <c r="I37" s="4" t="s">
        <v>974</v>
      </c>
      <c r="J37" s="4">
        <v>1.07</v>
      </c>
      <c r="K37" s="4" t="s">
        <v>404</v>
      </c>
      <c r="L37" s="5">
        <v>10</v>
      </c>
      <c r="M37" s="68">
        <f>6000+3000</f>
        <v>9000</v>
      </c>
      <c r="N37" s="8">
        <f>+M37*L37</f>
        <v>90000</v>
      </c>
      <c r="Q37" s="5">
        <f>+N37</f>
        <v>90000</v>
      </c>
      <c r="R37" s="18">
        <v>3.16</v>
      </c>
      <c r="S37" s="4" t="s">
        <v>280</v>
      </c>
    </row>
    <row r="38" spans="2:19" ht="24" customHeight="1" x14ac:dyDescent="0.4">
      <c r="B38" s="8" t="s">
        <v>26</v>
      </c>
      <c r="C38" s="18">
        <v>3.03</v>
      </c>
      <c r="D38" s="16" t="s">
        <v>28</v>
      </c>
      <c r="F38" s="5" t="s">
        <v>2368</v>
      </c>
      <c r="G38" s="8" t="s">
        <v>973</v>
      </c>
      <c r="H38" s="4">
        <v>607</v>
      </c>
      <c r="I38" s="4" t="s">
        <v>974</v>
      </c>
      <c r="J38" s="4">
        <v>2.17</v>
      </c>
      <c r="K38" s="4" t="s">
        <v>531</v>
      </c>
      <c r="L38" s="5">
        <v>100</v>
      </c>
      <c r="M38" s="68">
        <v>5000</v>
      </c>
      <c r="N38" s="8">
        <f>+M38*L38</f>
        <v>500000</v>
      </c>
      <c r="Q38" s="5">
        <f>+N38</f>
        <v>500000</v>
      </c>
      <c r="R38" s="18">
        <v>3.16</v>
      </c>
      <c r="S38" s="4" t="s">
        <v>280</v>
      </c>
    </row>
    <row r="39" spans="2:19" ht="24" customHeight="1" x14ac:dyDescent="0.4">
      <c r="B39" s="8" t="s">
        <v>26</v>
      </c>
      <c r="C39" s="8">
        <v>3.04</v>
      </c>
      <c r="D39" s="16" t="s">
        <v>28</v>
      </c>
      <c r="F39" s="7" t="s">
        <v>1546</v>
      </c>
      <c r="G39" s="14" t="s">
        <v>2486</v>
      </c>
      <c r="H39" s="14">
        <v>279</v>
      </c>
      <c r="I39" s="14" t="s">
        <v>1577</v>
      </c>
      <c r="J39" s="14">
        <v>2.0699999999999998</v>
      </c>
      <c r="K39" s="14" t="s">
        <v>2569</v>
      </c>
      <c r="L39" s="5">
        <v>118</v>
      </c>
      <c r="M39" s="68">
        <v>5000</v>
      </c>
      <c r="N39" s="8">
        <f>+M39*L39</f>
        <v>590000</v>
      </c>
      <c r="Q39" s="5">
        <f>+N39</f>
        <v>590000</v>
      </c>
      <c r="R39" s="18">
        <v>3.04</v>
      </c>
      <c r="S39" s="4" t="s">
        <v>402</v>
      </c>
    </row>
    <row r="40" spans="2:19" ht="24" customHeight="1" x14ac:dyDescent="0.4">
      <c r="B40" s="8" t="s">
        <v>26</v>
      </c>
      <c r="C40" s="8">
        <v>3.04</v>
      </c>
      <c r="D40" s="16" t="s">
        <v>28</v>
      </c>
      <c r="F40" s="7" t="s">
        <v>1546</v>
      </c>
      <c r="G40" s="14" t="s">
        <v>2486</v>
      </c>
      <c r="H40" s="14">
        <v>629</v>
      </c>
      <c r="I40" s="14" t="s">
        <v>2485</v>
      </c>
      <c r="J40" s="14">
        <v>2.0699999999999998</v>
      </c>
      <c r="K40" s="14" t="s">
        <v>2569</v>
      </c>
      <c r="L40" s="5">
        <v>73</v>
      </c>
      <c r="M40" s="68">
        <v>5000</v>
      </c>
      <c r="N40" s="8">
        <f>+M40*L40</f>
        <v>365000</v>
      </c>
      <c r="Q40" s="5">
        <f>+N40</f>
        <v>365000</v>
      </c>
      <c r="R40" s="18">
        <v>3.04</v>
      </c>
      <c r="S40" s="4" t="s">
        <v>400</v>
      </c>
    </row>
    <row r="41" spans="2:19" ht="24" customHeight="1" x14ac:dyDescent="0.4">
      <c r="B41" s="8" t="s">
        <v>26</v>
      </c>
      <c r="C41" s="8">
        <v>3.04</v>
      </c>
      <c r="D41" s="16" t="s">
        <v>28</v>
      </c>
      <c r="F41" s="7" t="s">
        <v>1546</v>
      </c>
      <c r="G41" s="4" t="s">
        <v>2484</v>
      </c>
      <c r="H41" s="4">
        <v>629</v>
      </c>
      <c r="I41" s="4" t="s">
        <v>2485</v>
      </c>
      <c r="J41" s="4">
        <v>2.0699999999999998</v>
      </c>
      <c r="K41" s="4" t="s">
        <v>472</v>
      </c>
      <c r="L41" s="5">
        <f>220-73</f>
        <v>147</v>
      </c>
      <c r="M41" s="68">
        <v>5000</v>
      </c>
      <c r="N41" s="8">
        <f>+M41*L41</f>
        <v>735000</v>
      </c>
      <c r="Q41" s="5">
        <f>+N41</f>
        <v>735000</v>
      </c>
      <c r="R41" s="18">
        <v>3.11</v>
      </c>
      <c r="S41" s="4" t="s">
        <v>400</v>
      </c>
    </row>
    <row r="42" spans="2:19" ht="24" customHeight="1" x14ac:dyDescent="0.4">
      <c r="B42" s="8" t="s">
        <v>26</v>
      </c>
      <c r="C42" s="8">
        <v>3.04</v>
      </c>
      <c r="D42" s="16" t="s">
        <v>28</v>
      </c>
      <c r="F42" s="8" t="s">
        <v>2368</v>
      </c>
      <c r="G42" s="4" t="s">
        <v>2460</v>
      </c>
      <c r="H42" s="4">
        <v>262</v>
      </c>
      <c r="I42" s="4" t="s">
        <v>836</v>
      </c>
      <c r="J42" s="4">
        <v>2.15</v>
      </c>
      <c r="K42" s="4" t="s">
        <v>2570</v>
      </c>
      <c r="L42" s="5">
        <v>17</v>
      </c>
      <c r="M42" s="68">
        <f>5000+3000</f>
        <v>8000</v>
      </c>
      <c r="N42" s="8">
        <f>+M42*L42</f>
        <v>136000</v>
      </c>
      <c r="Q42" s="15">
        <f>+N42</f>
        <v>136000</v>
      </c>
      <c r="R42" s="18">
        <v>3.15</v>
      </c>
      <c r="S42" s="4" t="s">
        <v>346</v>
      </c>
    </row>
    <row r="43" spans="2:19" ht="24" customHeight="1" x14ac:dyDescent="0.4">
      <c r="B43" s="8" t="s">
        <v>26</v>
      </c>
      <c r="C43" s="8">
        <v>3.04</v>
      </c>
      <c r="D43" s="16" t="s">
        <v>28</v>
      </c>
      <c r="F43" s="8" t="s">
        <v>2368</v>
      </c>
      <c r="G43" s="4" t="s">
        <v>2460</v>
      </c>
      <c r="H43" s="4">
        <v>262</v>
      </c>
      <c r="I43" s="4" t="s">
        <v>836</v>
      </c>
      <c r="J43" s="4">
        <v>2.16</v>
      </c>
      <c r="K43" s="4" t="s">
        <v>531</v>
      </c>
      <c r="L43" s="5">
        <v>57</v>
      </c>
      <c r="M43" s="69">
        <v>5000</v>
      </c>
      <c r="N43" s="8">
        <f>+M43*L43</f>
        <v>285000</v>
      </c>
      <c r="Q43" s="15">
        <f>+N43</f>
        <v>285000</v>
      </c>
      <c r="R43" s="18">
        <v>3.15</v>
      </c>
      <c r="S43" s="4" t="s">
        <v>346</v>
      </c>
    </row>
    <row r="44" spans="2:19" ht="24" customHeight="1" x14ac:dyDescent="0.4">
      <c r="B44" s="8" t="s">
        <v>26</v>
      </c>
      <c r="C44" s="8">
        <v>3.04</v>
      </c>
      <c r="D44" s="16" t="s">
        <v>28</v>
      </c>
      <c r="F44" s="8" t="s">
        <v>2368</v>
      </c>
      <c r="G44" s="4" t="s">
        <v>2460</v>
      </c>
      <c r="H44" s="4">
        <v>262</v>
      </c>
      <c r="I44" s="4" t="s">
        <v>836</v>
      </c>
      <c r="J44" s="4">
        <v>2.16</v>
      </c>
      <c r="K44" s="4" t="s">
        <v>383</v>
      </c>
      <c r="L44" s="5">
        <v>5</v>
      </c>
      <c r="M44" s="68">
        <v>12000</v>
      </c>
      <c r="N44" s="8">
        <f>+M44*L44</f>
        <v>60000</v>
      </c>
      <c r="Q44" s="15">
        <f>+N44</f>
        <v>60000</v>
      </c>
      <c r="R44" s="18">
        <v>3.15</v>
      </c>
      <c r="S44" s="4" t="s">
        <v>346</v>
      </c>
    </row>
    <row r="45" spans="2:19" ht="24" customHeight="1" x14ac:dyDescent="0.4">
      <c r="B45" s="8" t="s">
        <v>26</v>
      </c>
      <c r="C45" s="8">
        <v>3.04</v>
      </c>
      <c r="D45" s="16" t="s">
        <v>28</v>
      </c>
      <c r="F45" s="7" t="s">
        <v>1546</v>
      </c>
      <c r="G45" s="4" t="s">
        <v>2489</v>
      </c>
      <c r="H45" s="4">
        <v>279</v>
      </c>
      <c r="I45" s="4" t="s">
        <v>1577</v>
      </c>
      <c r="J45" s="4">
        <v>2.0699999999999998</v>
      </c>
      <c r="K45" s="4" t="s">
        <v>472</v>
      </c>
      <c r="L45" s="5">
        <f>132-118</f>
        <v>14</v>
      </c>
      <c r="M45" s="68">
        <v>5000</v>
      </c>
      <c r="N45" s="8">
        <f>+M45*L45</f>
        <v>70000</v>
      </c>
      <c r="Q45" s="5">
        <f>+N45</f>
        <v>70000</v>
      </c>
      <c r="R45" s="18">
        <v>3.15</v>
      </c>
      <c r="S45" s="4" t="s">
        <v>402</v>
      </c>
    </row>
    <row r="46" spans="2:19" ht="24" customHeight="1" x14ac:dyDescent="0.4">
      <c r="B46" s="4" t="s">
        <v>568</v>
      </c>
      <c r="C46" s="8">
        <v>3.04</v>
      </c>
      <c r="D46" s="16" t="s">
        <v>28</v>
      </c>
      <c r="F46" s="5" t="s">
        <v>1559</v>
      </c>
      <c r="G46" s="4" t="s">
        <v>2532</v>
      </c>
      <c r="H46" s="4">
        <v>1027</v>
      </c>
      <c r="I46" s="4" t="s">
        <v>483</v>
      </c>
      <c r="J46" s="4">
        <v>3.02</v>
      </c>
      <c r="K46" s="120" t="s">
        <v>2571</v>
      </c>
      <c r="L46" s="5">
        <v>1</v>
      </c>
      <c r="M46" s="68">
        <v>105000</v>
      </c>
      <c r="N46" s="95">
        <f>+M46*L46</f>
        <v>105000</v>
      </c>
      <c r="Q46" s="5">
        <f>+N46</f>
        <v>105000</v>
      </c>
      <c r="R46" s="18">
        <v>3.31</v>
      </c>
      <c r="S46" s="21" t="s">
        <v>569</v>
      </c>
    </row>
    <row r="47" spans="2:19" ht="24" customHeight="1" x14ac:dyDescent="0.4">
      <c r="B47" s="4" t="s">
        <v>568</v>
      </c>
      <c r="C47" s="8">
        <v>3.04</v>
      </c>
      <c r="D47" s="16" t="s">
        <v>28</v>
      </c>
      <c r="F47" s="5" t="s">
        <v>1559</v>
      </c>
      <c r="G47" s="4" t="s">
        <v>2532</v>
      </c>
      <c r="H47" s="4">
        <v>1027</v>
      </c>
      <c r="I47" s="4" t="s">
        <v>483</v>
      </c>
      <c r="J47" s="4">
        <v>3.02</v>
      </c>
      <c r="K47" s="120" t="s">
        <v>2572</v>
      </c>
      <c r="L47" s="5">
        <v>2</v>
      </c>
      <c r="M47" s="68">
        <v>50000</v>
      </c>
      <c r="N47" s="95">
        <f>+M47*L47</f>
        <v>100000</v>
      </c>
      <c r="Q47" s="5">
        <f>+N47</f>
        <v>100000</v>
      </c>
      <c r="R47" s="18">
        <v>3.31</v>
      </c>
      <c r="S47" s="21" t="s">
        <v>569</v>
      </c>
    </row>
    <row r="48" spans="2:19" ht="24" customHeight="1" x14ac:dyDescent="0.4">
      <c r="B48" s="4" t="s">
        <v>568</v>
      </c>
      <c r="C48" s="8">
        <v>3.04</v>
      </c>
      <c r="D48" s="16" t="s">
        <v>28</v>
      </c>
      <c r="F48" s="5" t="s">
        <v>1559</v>
      </c>
      <c r="G48" s="4" t="s">
        <v>2532</v>
      </c>
      <c r="H48" s="4">
        <v>1027</v>
      </c>
      <c r="I48" s="4" t="s">
        <v>483</v>
      </c>
      <c r="J48" s="4">
        <v>3.02</v>
      </c>
      <c r="K48" s="120" t="s">
        <v>2573</v>
      </c>
      <c r="L48" s="5">
        <f>80+10-5</f>
        <v>85</v>
      </c>
      <c r="M48" s="68">
        <v>5000</v>
      </c>
      <c r="N48" s="95">
        <f>+M48*L48</f>
        <v>425000</v>
      </c>
      <c r="Q48" s="5">
        <f>+N48</f>
        <v>425000</v>
      </c>
      <c r="R48" s="18">
        <v>3.31</v>
      </c>
      <c r="S48" s="21" t="s">
        <v>569</v>
      </c>
    </row>
    <row r="49" spans="2:19" ht="24" customHeight="1" x14ac:dyDescent="0.4">
      <c r="B49" s="8" t="s">
        <v>26</v>
      </c>
      <c r="C49" s="18">
        <v>3.07</v>
      </c>
      <c r="D49" s="16" t="s">
        <v>28</v>
      </c>
      <c r="F49" s="8" t="s">
        <v>2368</v>
      </c>
      <c r="G49" s="5" t="s">
        <v>919</v>
      </c>
      <c r="H49" s="4">
        <v>532</v>
      </c>
      <c r="I49" s="4" t="s">
        <v>744</v>
      </c>
      <c r="J49" s="4">
        <v>1.28</v>
      </c>
      <c r="K49" s="4" t="s">
        <v>472</v>
      </c>
      <c r="L49" s="5">
        <v>57</v>
      </c>
      <c r="M49" s="68">
        <v>5000</v>
      </c>
      <c r="N49" s="8">
        <f>+M49*L49</f>
        <v>285000</v>
      </c>
      <c r="Q49" s="5">
        <f>+N49</f>
        <v>285000</v>
      </c>
      <c r="R49" s="18">
        <v>3.1</v>
      </c>
      <c r="S49" s="4" t="s">
        <v>131</v>
      </c>
    </row>
    <row r="50" spans="2:19" ht="24" customHeight="1" x14ac:dyDescent="0.4">
      <c r="B50" s="8" t="s">
        <v>26</v>
      </c>
      <c r="C50" s="18">
        <v>3.07</v>
      </c>
      <c r="D50" s="16" t="s">
        <v>28</v>
      </c>
      <c r="F50" s="8" t="s">
        <v>2368</v>
      </c>
      <c r="G50" s="5" t="s">
        <v>919</v>
      </c>
      <c r="H50" s="4">
        <v>532</v>
      </c>
      <c r="I50" s="4" t="s">
        <v>744</v>
      </c>
      <c r="J50" s="4">
        <v>2.15</v>
      </c>
      <c r="K50" s="4" t="s">
        <v>2574</v>
      </c>
      <c r="L50" s="5">
        <v>3</v>
      </c>
      <c r="M50" s="68">
        <f>12000+3000</f>
        <v>15000</v>
      </c>
      <c r="N50" s="8">
        <f>+M50*L50</f>
        <v>45000</v>
      </c>
      <c r="Q50" s="5">
        <f>+N50</f>
        <v>45000</v>
      </c>
      <c r="R50" s="18">
        <v>3.1</v>
      </c>
      <c r="S50" s="7" t="s">
        <v>131</v>
      </c>
    </row>
    <row r="51" spans="2:19" ht="24" customHeight="1" x14ac:dyDescent="0.4">
      <c r="B51" s="8" t="s">
        <v>26</v>
      </c>
      <c r="C51" s="18">
        <v>3.07</v>
      </c>
      <c r="D51" s="16" t="s">
        <v>28</v>
      </c>
      <c r="F51" s="8" t="s">
        <v>2368</v>
      </c>
      <c r="G51" s="8" t="s">
        <v>919</v>
      </c>
      <c r="H51" s="4">
        <v>532</v>
      </c>
      <c r="I51" s="5" t="s">
        <v>744</v>
      </c>
      <c r="J51" s="4">
        <v>2.23</v>
      </c>
      <c r="K51" s="4" t="s">
        <v>531</v>
      </c>
      <c r="L51" s="5">
        <v>14</v>
      </c>
      <c r="M51" s="68">
        <v>5000</v>
      </c>
      <c r="N51" s="8">
        <f>+M51*L51</f>
        <v>70000</v>
      </c>
      <c r="Q51" s="5">
        <f>+N51</f>
        <v>70000</v>
      </c>
      <c r="R51" s="18">
        <v>3.1</v>
      </c>
      <c r="S51" s="4" t="s">
        <v>131</v>
      </c>
    </row>
    <row r="52" spans="2:19" ht="24" customHeight="1" x14ac:dyDescent="0.4">
      <c r="B52" s="8" t="s">
        <v>26</v>
      </c>
      <c r="C52" s="8">
        <v>3.08</v>
      </c>
      <c r="D52" s="16" t="s">
        <v>28</v>
      </c>
      <c r="F52" s="5" t="s">
        <v>1559</v>
      </c>
      <c r="G52" s="7" t="s">
        <v>1568</v>
      </c>
      <c r="H52" s="4">
        <v>571</v>
      </c>
      <c r="I52" s="4" t="s">
        <v>360</v>
      </c>
      <c r="J52" s="4">
        <v>2.08</v>
      </c>
      <c r="K52" s="4" t="s">
        <v>472</v>
      </c>
      <c r="L52" s="5">
        <v>18</v>
      </c>
      <c r="M52" s="68">
        <v>5000</v>
      </c>
      <c r="N52" s="8">
        <f>+M52*L52</f>
        <v>90000</v>
      </c>
      <c r="Q52" s="5">
        <f>+N52</f>
        <v>90000</v>
      </c>
      <c r="R52" s="18">
        <v>3.24</v>
      </c>
      <c r="S52" s="5" t="s">
        <v>81</v>
      </c>
    </row>
    <row r="53" spans="2:19" ht="24" customHeight="1" x14ac:dyDescent="0.4">
      <c r="B53" s="8" t="s">
        <v>26</v>
      </c>
      <c r="C53" s="8">
        <v>3.15</v>
      </c>
      <c r="D53" s="16" t="s">
        <v>28</v>
      </c>
      <c r="F53" s="8" t="s">
        <v>2368</v>
      </c>
      <c r="G53" s="4" t="s">
        <v>2460</v>
      </c>
      <c r="H53" s="4">
        <v>262</v>
      </c>
      <c r="I53" s="4" t="s">
        <v>836</v>
      </c>
      <c r="J53" s="4">
        <v>3.08</v>
      </c>
      <c r="K53" s="4" t="s">
        <v>180</v>
      </c>
      <c r="L53" s="5">
        <v>12</v>
      </c>
      <c r="M53" s="68">
        <v>5500</v>
      </c>
      <c r="N53" s="8">
        <f>+M53*L53</f>
        <v>66000</v>
      </c>
      <c r="Q53" s="5">
        <f>+N53</f>
        <v>66000</v>
      </c>
      <c r="R53" s="18">
        <v>3.17</v>
      </c>
      <c r="S53" s="4" t="s">
        <v>346</v>
      </c>
    </row>
    <row r="54" spans="2:19" ht="24" customHeight="1" x14ac:dyDescent="0.4">
      <c r="B54" s="8" t="s">
        <v>26</v>
      </c>
      <c r="C54" s="8">
        <v>3.15</v>
      </c>
      <c r="D54" s="16" t="s">
        <v>28</v>
      </c>
      <c r="F54" s="8" t="s">
        <v>2368</v>
      </c>
      <c r="G54" s="4" t="s">
        <v>2460</v>
      </c>
      <c r="H54" s="4">
        <v>262</v>
      </c>
      <c r="I54" s="4" t="s">
        <v>836</v>
      </c>
      <c r="J54" s="4">
        <v>3.1</v>
      </c>
      <c r="K54" s="3" t="s">
        <v>602</v>
      </c>
      <c r="L54" s="5">
        <v>4</v>
      </c>
      <c r="M54" s="68">
        <f>30000+5000</f>
        <v>35000</v>
      </c>
      <c r="N54" s="8">
        <f>+M54*L54</f>
        <v>140000</v>
      </c>
      <c r="Q54" s="5">
        <f>+N54</f>
        <v>140000</v>
      </c>
      <c r="R54" s="18">
        <v>3.17</v>
      </c>
      <c r="S54" s="4" t="s">
        <v>346</v>
      </c>
    </row>
    <row r="55" spans="2:19" ht="24" customHeight="1" x14ac:dyDescent="0.4">
      <c r="B55" s="8" t="s">
        <v>26</v>
      </c>
      <c r="C55" s="8">
        <v>3.15</v>
      </c>
      <c r="D55" s="16" t="s">
        <v>28</v>
      </c>
      <c r="F55" s="8" t="s">
        <v>2368</v>
      </c>
      <c r="G55" s="98" t="s">
        <v>988</v>
      </c>
      <c r="H55" s="4">
        <v>1870</v>
      </c>
      <c r="I55" s="4" t="s">
        <v>739</v>
      </c>
      <c r="J55" s="4">
        <v>3.07</v>
      </c>
      <c r="K55" s="4" t="s">
        <v>531</v>
      </c>
      <c r="L55" s="5">
        <v>20</v>
      </c>
      <c r="M55" s="68">
        <v>5000</v>
      </c>
      <c r="N55" s="8">
        <f>+M55*L55</f>
        <v>100000</v>
      </c>
      <c r="Q55" s="5">
        <f>+N55</f>
        <v>100000</v>
      </c>
      <c r="R55" s="18">
        <v>3.17</v>
      </c>
      <c r="S55" s="4" t="s">
        <v>470</v>
      </c>
    </row>
    <row r="56" spans="2:19" ht="24" customHeight="1" x14ac:dyDescent="0.4">
      <c r="B56" s="8" t="s">
        <v>26</v>
      </c>
      <c r="C56" s="8">
        <v>3.15</v>
      </c>
      <c r="D56" s="16" t="s">
        <v>28</v>
      </c>
      <c r="F56" s="8" t="s">
        <v>2368</v>
      </c>
      <c r="G56" s="98" t="s">
        <v>988</v>
      </c>
      <c r="H56" s="4">
        <v>1870</v>
      </c>
      <c r="I56" s="4" t="s">
        <v>739</v>
      </c>
      <c r="J56" s="4">
        <v>3.07</v>
      </c>
      <c r="K56" s="4" t="s">
        <v>2575</v>
      </c>
      <c r="L56" s="5">
        <v>5</v>
      </c>
      <c r="M56" s="68">
        <f>12000+3000</f>
        <v>15000</v>
      </c>
      <c r="N56" s="8">
        <f>+M56*L56</f>
        <v>75000</v>
      </c>
      <c r="Q56" s="5">
        <f>+N56</f>
        <v>75000</v>
      </c>
      <c r="R56" s="18">
        <v>3.17</v>
      </c>
      <c r="S56" s="7" t="s">
        <v>470</v>
      </c>
    </row>
    <row r="57" spans="2:19" ht="24" customHeight="1" x14ac:dyDescent="0.4">
      <c r="B57" s="8" t="s">
        <v>26</v>
      </c>
      <c r="C57" s="8">
        <v>3.15</v>
      </c>
      <c r="D57" s="16" t="s">
        <v>28</v>
      </c>
      <c r="F57" s="8" t="s">
        <v>2368</v>
      </c>
      <c r="G57" s="4" t="s">
        <v>904</v>
      </c>
      <c r="H57" s="4">
        <v>602</v>
      </c>
      <c r="I57" s="4" t="s">
        <v>735</v>
      </c>
      <c r="J57" s="4">
        <v>2.21</v>
      </c>
      <c r="K57" s="4" t="s">
        <v>2576</v>
      </c>
      <c r="L57" s="5">
        <v>3</v>
      </c>
      <c r="M57" s="68">
        <f>20000+3000</f>
        <v>23000</v>
      </c>
      <c r="N57" s="8">
        <f>+M57*L57</f>
        <v>69000</v>
      </c>
      <c r="Q57" s="5">
        <f>+N57</f>
        <v>69000</v>
      </c>
      <c r="R57" s="18">
        <v>3.31</v>
      </c>
      <c r="S57" s="7" t="s">
        <v>377</v>
      </c>
    </row>
    <row r="58" spans="2:19" ht="24" customHeight="1" x14ac:dyDescent="0.4">
      <c r="B58" s="8" t="s">
        <v>26</v>
      </c>
      <c r="C58" s="8">
        <v>3.15</v>
      </c>
      <c r="D58" s="16" t="s">
        <v>28</v>
      </c>
      <c r="F58" s="8" t="s">
        <v>2368</v>
      </c>
      <c r="G58" s="4" t="s">
        <v>904</v>
      </c>
      <c r="H58" s="4">
        <v>602</v>
      </c>
      <c r="I58" s="4" t="s">
        <v>735</v>
      </c>
      <c r="J58" s="4">
        <v>3.1</v>
      </c>
      <c r="K58" s="4" t="s">
        <v>2577</v>
      </c>
      <c r="L58" s="5">
        <v>4</v>
      </c>
      <c r="M58" s="68">
        <f>20000+3000</f>
        <v>23000</v>
      </c>
      <c r="N58" s="8">
        <f>+M58*L58</f>
        <v>92000</v>
      </c>
      <c r="Q58" s="5">
        <f>+N58</f>
        <v>92000</v>
      </c>
      <c r="R58" s="18">
        <v>3.31</v>
      </c>
      <c r="S58" s="7" t="s">
        <v>377</v>
      </c>
    </row>
    <row r="59" spans="2:19" ht="24" customHeight="1" x14ac:dyDescent="0.4">
      <c r="B59" s="8" t="s">
        <v>26</v>
      </c>
      <c r="C59" s="18">
        <v>3.22</v>
      </c>
      <c r="D59" s="16" t="s">
        <v>28</v>
      </c>
      <c r="F59" s="8" t="s">
        <v>2368</v>
      </c>
      <c r="G59" s="5" t="s">
        <v>826</v>
      </c>
      <c r="H59" s="4">
        <v>182</v>
      </c>
      <c r="I59" s="5" t="s">
        <v>828</v>
      </c>
      <c r="J59" s="4">
        <v>2.2400000000000002</v>
      </c>
      <c r="K59" s="4" t="s">
        <v>531</v>
      </c>
      <c r="L59" s="5">
        <f>260+40-100</f>
        <v>200</v>
      </c>
      <c r="M59" s="68">
        <v>5000</v>
      </c>
      <c r="N59" s="8">
        <f>+M59*L59</f>
        <v>1000000</v>
      </c>
      <c r="Q59" s="5">
        <f>+N59</f>
        <v>1000000</v>
      </c>
      <c r="R59" s="18">
        <v>3.31</v>
      </c>
      <c r="S59" s="4" t="s">
        <v>249</v>
      </c>
    </row>
    <row r="60" spans="2:19" ht="24" customHeight="1" x14ac:dyDescent="0.4">
      <c r="B60" s="8" t="s">
        <v>26</v>
      </c>
      <c r="C60" s="18">
        <v>3.22</v>
      </c>
      <c r="D60" s="16" t="s">
        <v>28</v>
      </c>
      <c r="F60" s="8" t="s">
        <v>2368</v>
      </c>
      <c r="G60" s="5" t="s">
        <v>826</v>
      </c>
      <c r="H60" s="4">
        <v>182</v>
      </c>
      <c r="I60" s="4" t="s">
        <v>828</v>
      </c>
      <c r="J60" s="4">
        <v>3.04</v>
      </c>
      <c r="K60" s="4" t="s">
        <v>575</v>
      </c>
      <c r="L60" s="5">
        <v>2</v>
      </c>
      <c r="M60" s="68">
        <f>30000+4000</f>
        <v>34000</v>
      </c>
      <c r="N60" s="8">
        <f>+M60*L60</f>
        <v>68000</v>
      </c>
      <c r="Q60" s="5">
        <f>+N60</f>
        <v>68000</v>
      </c>
      <c r="R60" s="18">
        <v>4.01</v>
      </c>
      <c r="S60" s="4" t="s">
        <v>249</v>
      </c>
    </row>
    <row r="61" spans="2:19" ht="24" customHeight="1" x14ac:dyDescent="0.4">
      <c r="B61" s="8" t="s">
        <v>26</v>
      </c>
      <c r="C61" s="8">
        <v>3.23</v>
      </c>
      <c r="D61" s="16" t="s">
        <v>28</v>
      </c>
      <c r="F61" s="5" t="s">
        <v>2368</v>
      </c>
      <c r="G61" s="5" t="s">
        <v>1011</v>
      </c>
      <c r="H61" s="4">
        <v>550</v>
      </c>
      <c r="I61" s="4" t="s">
        <v>748</v>
      </c>
      <c r="J61" s="4">
        <v>2.2599999999999998</v>
      </c>
      <c r="K61" s="4" t="s">
        <v>2578</v>
      </c>
      <c r="L61" s="5">
        <v>5</v>
      </c>
      <c r="M61" s="68">
        <f>12000+3000</f>
        <v>15000</v>
      </c>
      <c r="N61" s="8">
        <f>+M61*L61</f>
        <v>75000</v>
      </c>
      <c r="Q61" s="5">
        <f>+N61</f>
        <v>75000</v>
      </c>
      <c r="R61" s="18">
        <v>3.25</v>
      </c>
      <c r="S61" s="7" t="s">
        <v>51</v>
      </c>
    </row>
    <row r="62" spans="2:19" ht="24" customHeight="1" x14ac:dyDescent="0.4">
      <c r="B62" s="8" t="s">
        <v>26</v>
      </c>
      <c r="C62" s="8">
        <v>3.23</v>
      </c>
      <c r="D62" s="16" t="s">
        <v>28</v>
      </c>
      <c r="F62" s="5" t="s">
        <v>2368</v>
      </c>
      <c r="G62" s="5" t="s">
        <v>1011</v>
      </c>
      <c r="H62" s="4">
        <v>550</v>
      </c>
      <c r="I62" s="4" t="s">
        <v>748</v>
      </c>
      <c r="J62" s="4">
        <v>2.2400000000000002</v>
      </c>
      <c r="K62" s="4" t="s">
        <v>561</v>
      </c>
      <c r="L62" s="5">
        <v>12</v>
      </c>
      <c r="M62" s="68">
        <f>5000+3000</f>
        <v>8000</v>
      </c>
      <c r="N62" s="8">
        <f>+M62*L62</f>
        <v>96000</v>
      </c>
      <c r="Q62" s="5">
        <f>+N62</f>
        <v>96000</v>
      </c>
      <c r="R62" s="18">
        <v>3.25</v>
      </c>
      <c r="S62" s="7" t="s">
        <v>51</v>
      </c>
    </row>
    <row r="63" spans="2:19" ht="24" customHeight="1" x14ac:dyDescent="0.4">
      <c r="B63" s="8" t="s">
        <v>26</v>
      </c>
      <c r="C63" s="8">
        <v>3.23</v>
      </c>
      <c r="D63" s="16" t="s">
        <v>28</v>
      </c>
      <c r="F63" s="5" t="s">
        <v>2368</v>
      </c>
      <c r="G63" s="5" t="s">
        <v>1011</v>
      </c>
      <c r="H63" s="4">
        <v>550</v>
      </c>
      <c r="I63" s="4" t="s">
        <v>748</v>
      </c>
      <c r="J63" s="4">
        <v>3.07</v>
      </c>
      <c r="K63" s="4" t="s">
        <v>531</v>
      </c>
      <c r="L63" s="5">
        <f>100-51</f>
        <v>49</v>
      </c>
      <c r="M63" s="68">
        <v>5000</v>
      </c>
      <c r="N63" s="8">
        <f>+M63*L63</f>
        <v>245000</v>
      </c>
      <c r="Q63" s="5">
        <f>+N63</f>
        <v>245000</v>
      </c>
      <c r="R63" s="18">
        <v>3.25</v>
      </c>
      <c r="S63" s="7" t="s">
        <v>51</v>
      </c>
    </row>
    <row r="64" spans="2:19" ht="24" customHeight="1" x14ac:dyDescent="0.4">
      <c r="B64" s="8" t="s">
        <v>26</v>
      </c>
      <c r="C64" s="8">
        <v>3.23</v>
      </c>
      <c r="D64" s="16" t="s">
        <v>28</v>
      </c>
      <c r="F64" s="5" t="s">
        <v>2368</v>
      </c>
      <c r="G64" s="5" t="s">
        <v>1011</v>
      </c>
      <c r="H64" s="4">
        <v>550</v>
      </c>
      <c r="I64" s="4" t="s">
        <v>748</v>
      </c>
      <c r="J64" s="4">
        <v>3.1</v>
      </c>
      <c r="K64" s="4" t="s">
        <v>2579</v>
      </c>
      <c r="L64" s="5">
        <f>17-1</f>
        <v>16</v>
      </c>
      <c r="M64" s="68">
        <f>6000+3000</f>
        <v>9000</v>
      </c>
      <c r="N64" s="8">
        <f>+M64*L64</f>
        <v>144000</v>
      </c>
      <c r="Q64" s="5">
        <f>+N64</f>
        <v>144000</v>
      </c>
      <c r="R64" s="18">
        <v>3.25</v>
      </c>
      <c r="S64" s="7" t="s">
        <v>51</v>
      </c>
    </row>
    <row r="65" spans="2:19" ht="24" customHeight="1" x14ac:dyDescent="0.4">
      <c r="B65" s="8" t="s">
        <v>26</v>
      </c>
      <c r="C65" s="8">
        <v>3.23</v>
      </c>
      <c r="D65" s="16" t="s">
        <v>28</v>
      </c>
      <c r="F65" s="5" t="s">
        <v>2368</v>
      </c>
      <c r="G65" s="5" t="s">
        <v>1011</v>
      </c>
      <c r="H65" s="4">
        <v>550</v>
      </c>
      <c r="I65" s="4" t="s">
        <v>748</v>
      </c>
      <c r="J65" s="4">
        <v>3.22</v>
      </c>
      <c r="K65" s="4" t="s">
        <v>638</v>
      </c>
      <c r="L65" s="5">
        <v>3</v>
      </c>
      <c r="M65" s="71">
        <f>22000+4000</f>
        <v>26000</v>
      </c>
      <c r="N65" s="8">
        <f>+M65*L65</f>
        <v>78000</v>
      </c>
      <c r="Q65" s="5">
        <f>+N65</f>
        <v>78000</v>
      </c>
      <c r="R65" s="18">
        <v>3.25</v>
      </c>
      <c r="S65" s="7" t="s">
        <v>51</v>
      </c>
    </row>
    <row r="66" spans="2:19" ht="24" customHeight="1" x14ac:dyDescent="0.4">
      <c r="B66" s="8" t="s">
        <v>26</v>
      </c>
      <c r="C66" s="8">
        <v>3.23</v>
      </c>
      <c r="D66" s="16" t="s">
        <v>28</v>
      </c>
      <c r="F66" s="5" t="s">
        <v>2368</v>
      </c>
      <c r="G66" s="5" t="s">
        <v>1011</v>
      </c>
      <c r="H66" s="4">
        <v>550</v>
      </c>
      <c r="I66" s="4" t="s">
        <v>748</v>
      </c>
      <c r="J66" s="4">
        <v>3.23</v>
      </c>
      <c r="K66" s="52" t="s">
        <v>642</v>
      </c>
      <c r="L66" s="5">
        <v>3</v>
      </c>
      <c r="M66" s="71">
        <f>22000+4000</f>
        <v>26000</v>
      </c>
      <c r="N66" s="8">
        <f>+M66*L66</f>
        <v>78000</v>
      </c>
      <c r="Q66" s="5">
        <f>+N66</f>
        <v>78000</v>
      </c>
      <c r="R66" s="18">
        <v>3.25</v>
      </c>
      <c r="S66" s="7" t="s">
        <v>51</v>
      </c>
    </row>
    <row r="67" spans="2:19" ht="24" customHeight="1" x14ac:dyDescent="0.4">
      <c r="B67" s="8" t="s">
        <v>26</v>
      </c>
      <c r="C67" s="8">
        <v>3.23</v>
      </c>
      <c r="D67" s="16" t="s">
        <v>28</v>
      </c>
      <c r="F67" s="5" t="s">
        <v>2368</v>
      </c>
      <c r="G67" s="5" t="s">
        <v>1011</v>
      </c>
      <c r="H67" s="4">
        <v>550</v>
      </c>
      <c r="I67" s="4" t="s">
        <v>748</v>
      </c>
      <c r="J67" s="4">
        <v>3.23</v>
      </c>
      <c r="K67" s="52" t="s">
        <v>643</v>
      </c>
      <c r="L67" s="5">
        <v>1</v>
      </c>
      <c r="M67" s="71">
        <f>28000+4000</f>
        <v>32000</v>
      </c>
      <c r="N67" s="8">
        <f>+M67*L67</f>
        <v>32000</v>
      </c>
      <c r="Q67" s="5">
        <f>+N67</f>
        <v>32000</v>
      </c>
      <c r="R67" s="18">
        <v>3.25</v>
      </c>
      <c r="S67" s="7" t="s">
        <v>51</v>
      </c>
    </row>
    <row r="68" spans="2:19" ht="24" customHeight="1" x14ac:dyDescent="0.4">
      <c r="B68" s="8" t="s">
        <v>26</v>
      </c>
      <c r="C68" s="8">
        <v>3.24</v>
      </c>
      <c r="D68" s="16" t="s">
        <v>28</v>
      </c>
      <c r="F68" s="8" t="s">
        <v>2368</v>
      </c>
      <c r="G68" s="8" t="s">
        <v>919</v>
      </c>
      <c r="H68" s="4">
        <v>532</v>
      </c>
      <c r="I68" s="4" t="s">
        <v>744</v>
      </c>
      <c r="J68" s="4">
        <v>3.11</v>
      </c>
      <c r="K68" s="4" t="s">
        <v>2580</v>
      </c>
      <c r="L68" s="5">
        <v>8</v>
      </c>
      <c r="M68" s="68">
        <f>12000+3000</f>
        <v>15000</v>
      </c>
      <c r="N68" s="8">
        <f>+M68*L68</f>
        <v>120000</v>
      </c>
      <c r="Q68" s="5">
        <f>+N68</f>
        <v>120000</v>
      </c>
      <c r="R68" s="18">
        <v>3.25</v>
      </c>
      <c r="S68" s="7" t="s">
        <v>131</v>
      </c>
    </row>
    <row r="69" spans="2:19" ht="24" customHeight="1" x14ac:dyDescent="0.4">
      <c r="B69" s="7" t="s">
        <v>639</v>
      </c>
      <c r="C69" s="8">
        <v>3.24</v>
      </c>
      <c r="D69" s="16" t="s">
        <v>28</v>
      </c>
      <c r="F69" s="8" t="s">
        <v>2368</v>
      </c>
      <c r="G69" s="5" t="s">
        <v>948</v>
      </c>
      <c r="H69" s="4">
        <v>786</v>
      </c>
      <c r="I69" s="4" t="s">
        <v>949</v>
      </c>
      <c r="J69" s="4">
        <v>3.23</v>
      </c>
      <c r="K69" s="4" t="s">
        <v>2581</v>
      </c>
      <c r="L69" s="5">
        <v>15</v>
      </c>
      <c r="M69" s="68">
        <v>6000</v>
      </c>
      <c r="N69" s="8">
        <f>+M69*L69</f>
        <v>90000</v>
      </c>
      <c r="Q69" s="5">
        <f>+N69</f>
        <v>90000</v>
      </c>
      <c r="R69" s="18">
        <v>3.28</v>
      </c>
      <c r="S69" s="4" t="s">
        <v>446</v>
      </c>
    </row>
    <row r="70" spans="2:19" ht="24" customHeight="1" x14ac:dyDescent="0.4">
      <c r="B70" s="8" t="s">
        <v>26</v>
      </c>
      <c r="C70" s="8">
        <v>3.24</v>
      </c>
      <c r="D70" s="16" t="s">
        <v>28</v>
      </c>
      <c r="F70" s="8" t="s">
        <v>2368</v>
      </c>
      <c r="G70" s="5" t="s">
        <v>839</v>
      </c>
      <c r="H70" s="4">
        <v>148</v>
      </c>
      <c r="I70" s="4" t="s">
        <v>123</v>
      </c>
      <c r="J70" s="4">
        <v>2.0299999999999998</v>
      </c>
      <c r="K70" s="4" t="s">
        <v>2582</v>
      </c>
      <c r="L70" s="5">
        <v>8</v>
      </c>
      <c r="M70" s="68">
        <f>12000+3000</f>
        <v>15000</v>
      </c>
      <c r="N70" s="8">
        <f>+M70*L70</f>
        <v>120000</v>
      </c>
      <c r="Q70" s="5">
        <f>+N70</f>
        <v>120000</v>
      </c>
      <c r="R70" s="18">
        <v>3.29</v>
      </c>
      <c r="S70" s="7" t="s">
        <v>117</v>
      </c>
    </row>
    <row r="71" spans="2:19" ht="24" customHeight="1" x14ac:dyDescent="0.4">
      <c r="B71" s="8" t="s">
        <v>26</v>
      </c>
      <c r="C71" s="8">
        <v>3.24</v>
      </c>
      <c r="D71" s="16" t="s">
        <v>28</v>
      </c>
      <c r="F71" s="5" t="s">
        <v>1559</v>
      </c>
      <c r="G71" s="4" t="s">
        <v>2531</v>
      </c>
      <c r="H71" s="4">
        <v>1324</v>
      </c>
      <c r="I71" s="4" t="s">
        <v>2440</v>
      </c>
      <c r="K71" s="4" t="s">
        <v>2583</v>
      </c>
      <c r="L71" s="5">
        <v>3</v>
      </c>
      <c r="M71" s="68">
        <f>20000+3000</f>
        <v>23000</v>
      </c>
      <c r="N71" s="8">
        <f>+M71*L71</f>
        <v>69000</v>
      </c>
      <c r="Q71" s="5">
        <f>+N71</f>
        <v>69000</v>
      </c>
      <c r="R71" s="18">
        <v>3.29</v>
      </c>
      <c r="S71" s="7" t="s">
        <v>97</v>
      </c>
    </row>
    <row r="72" spans="2:19" ht="24" customHeight="1" x14ac:dyDescent="0.4">
      <c r="B72" s="8" t="s">
        <v>26</v>
      </c>
      <c r="C72" s="8">
        <v>3.24</v>
      </c>
      <c r="D72" s="16" t="s">
        <v>28</v>
      </c>
      <c r="F72" s="8" t="s">
        <v>2368</v>
      </c>
      <c r="G72" s="5" t="s">
        <v>839</v>
      </c>
      <c r="H72" s="4">
        <v>148</v>
      </c>
      <c r="I72" s="4" t="s">
        <v>123</v>
      </c>
      <c r="J72" s="4">
        <v>3.07</v>
      </c>
      <c r="K72" s="4" t="s">
        <v>2584</v>
      </c>
      <c r="L72" s="5">
        <v>5</v>
      </c>
      <c r="M72" s="68">
        <f>12000+3000</f>
        <v>15000</v>
      </c>
      <c r="N72" s="8">
        <f>+M72*L72</f>
        <v>75000</v>
      </c>
      <c r="Q72" s="5">
        <f>+N72</f>
        <v>75000</v>
      </c>
      <c r="R72" s="18">
        <v>3.29</v>
      </c>
      <c r="S72" s="7" t="s">
        <v>117</v>
      </c>
    </row>
    <row r="73" spans="2:19" ht="24" customHeight="1" x14ac:dyDescent="0.4">
      <c r="B73" s="8" t="s">
        <v>26</v>
      </c>
      <c r="C73" s="8">
        <v>3.24</v>
      </c>
      <c r="D73" s="16" t="s">
        <v>28</v>
      </c>
      <c r="F73" s="8" t="s">
        <v>2368</v>
      </c>
      <c r="G73" s="4" t="s">
        <v>1917</v>
      </c>
      <c r="H73" s="4">
        <v>1025</v>
      </c>
      <c r="I73" s="4" t="s">
        <v>1918</v>
      </c>
      <c r="J73" s="4">
        <v>3.08</v>
      </c>
      <c r="K73" s="4" t="s">
        <v>2585</v>
      </c>
      <c r="L73" s="5">
        <v>3</v>
      </c>
      <c r="M73" s="68">
        <f>12000+3000</f>
        <v>15000</v>
      </c>
      <c r="N73" s="8">
        <f>+M73*L73</f>
        <v>45000</v>
      </c>
      <c r="Q73" s="5">
        <f>+N73</f>
        <v>45000</v>
      </c>
      <c r="R73" s="18">
        <v>3.29</v>
      </c>
      <c r="S73" s="7" t="s">
        <v>322</v>
      </c>
    </row>
    <row r="74" spans="2:19" ht="24" customHeight="1" x14ac:dyDescent="0.4">
      <c r="B74" s="8" t="s">
        <v>26</v>
      </c>
      <c r="C74" s="8">
        <v>3.24</v>
      </c>
      <c r="D74" s="16" t="s">
        <v>28</v>
      </c>
      <c r="F74" s="5" t="s">
        <v>1559</v>
      </c>
      <c r="G74" s="4" t="s">
        <v>2531</v>
      </c>
      <c r="H74" s="4">
        <v>1324</v>
      </c>
      <c r="I74" s="4" t="s">
        <v>2440</v>
      </c>
      <c r="J74" s="4">
        <v>2.25</v>
      </c>
      <c r="K74" s="4" t="s">
        <v>2586</v>
      </c>
      <c r="L74" s="5">
        <v>14</v>
      </c>
      <c r="M74" s="68">
        <f>30000+4000</f>
        <v>34000</v>
      </c>
      <c r="N74" s="8">
        <f>+M74*L74</f>
        <v>476000</v>
      </c>
      <c r="Q74" s="5">
        <f>+N74</f>
        <v>476000</v>
      </c>
      <c r="R74" s="18">
        <v>3.29</v>
      </c>
      <c r="S74" s="7" t="s">
        <v>97</v>
      </c>
    </row>
    <row r="75" spans="2:19" ht="24" customHeight="1" x14ac:dyDescent="0.4">
      <c r="B75" s="8" t="s">
        <v>26</v>
      </c>
      <c r="C75" s="8">
        <v>3.24</v>
      </c>
      <c r="D75" s="16" t="s">
        <v>28</v>
      </c>
      <c r="F75" s="8" t="s">
        <v>2368</v>
      </c>
      <c r="G75" s="98" t="s">
        <v>988</v>
      </c>
      <c r="H75" s="4">
        <v>1870</v>
      </c>
      <c r="I75" s="4" t="s">
        <v>739</v>
      </c>
      <c r="J75" s="4">
        <v>3.17</v>
      </c>
      <c r="K75" s="4" t="s">
        <v>531</v>
      </c>
      <c r="L75" s="5">
        <v>20</v>
      </c>
      <c r="M75" s="68">
        <v>5000</v>
      </c>
      <c r="N75" s="8">
        <f>+M75*L75</f>
        <v>100000</v>
      </c>
      <c r="Q75" s="5">
        <f>+N75</f>
        <v>100000</v>
      </c>
      <c r="R75" s="18">
        <v>3.29</v>
      </c>
      <c r="S75" s="4" t="s">
        <v>470</v>
      </c>
    </row>
    <row r="76" spans="2:19" ht="24" customHeight="1" x14ac:dyDescent="0.4">
      <c r="B76" s="8" t="s">
        <v>26</v>
      </c>
      <c r="C76" s="18">
        <v>3.24</v>
      </c>
      <c r="D76" s="16" t="s">
        <v>28</v>
      </c>
      <c r="F76" s="5" t="s">
        <v>1559</v>
      </c>
      <c r="G76" s="8" t="s">
        <v>2467</v>
      </c>
      <c r="H76" s="4">
        <v>1325</v>
      </c>
      <c r="I76" s="5" t="s">
        <v>728</v>
      </c>
      <c r="J76" s="4">
        <v>2.11</v>
      </c>
      <c r="K76" s="4" t="s">
        <v>2587</v>
      </c>
      <c r="L76" s="5">
        <v>3</v>
      </c>
      <c r="M76" s="68">
        <v>44000</v>
      </c>
      <c r="N76" s="8">
        <f>+M76*L76</f>
        <v>132000</v>
      </c>
      <c r="Q76" s="5">
        <f>+N76</f>
        <v>132000</v>
      </c>
      <c r="R76" s="18">
        <v>3.31</v>
      </c>
      <c r="S76" s="4" t="s">
        <v>83</v>
      </c>
    </row>
    <row r="77" spans="2:19" ht="24" customHeight="1" x14ac:dyDescent="0.4">
      <c r="B77" s="8" t="s">
        <v>26</v>
      </c>
      <c r="C77" s="18">
        <v>3.24</v>
      </c>
      <c r="D77" s="16" t="s">
        <v>28</v>
      </c>
      <c r="F77" s="5" t="s">
        <v>1559</v>
      </c>
      <c r="G77" s="8" t="s">
        <v>2467</v>
      </c>
      <c r="H77" s="4">
        <v>1325</v>
      </c>
      <c r="I77" s="4" t="s">
        <v>728</v>
      </c>
      <c r="J77" s="4">
        <v>2.25</v>
      </c>
      <c r="K77" s="4" t="s">
        <v>563</v>
      </c>
      <c r="L77" s="5">
        <v>11</v>
      </c>
      <c r="M77" s="68">
        <f>30000+4000</f>
        <v>34000</v>
      </c>
      <c r="N77" s="8">
        <f>+M77*L77</f>
        <v>374000</v>
      </c>
      <c r="Q77" s="5">
        <f>+N77</f>
        <v>374000</v>
      </c>
      <c r="R77" s="18">
        <v>3.31</v>
      </c>
      <c r="S77" s="4" t="s">
        <v>83</v>
      </c>
    </row>
    <row r="78" spans="2:19" ht="24" customHeight="1" x14ac:dyDescent="0.4">
      <c r="B78" s="8" t="s">
        <v>26</v>
      </c>
      <c r="C78" s="18">
        <v>3.24</v>
      </c>
      <c r="D78" s="16" t="s">
        <v>28</v>
      </c>
      <c r="F78" s="5" t="s">
        <v>1559</v>
      </c>
      <c r="G78" s="8" t="s">
        <v>2467</v>
      </c>
      <c r="H78" s="4">
        <v>1325</v>
      </c>
      <c r="I78" s="4" t="s">
        <v>728</v>
      </c>
      <c r="J78" s="4">
        <v>2.2599999999999998</v>
      </c>
      <c r="K78" s="4" t="s">
        <v>2588</v>
      </c>
      <c r="L78" s="5">
        <v>2</v>
      </c>
      <c r="M78" s="68">
        <f>20000+3000</f>
        <v>23000</v>
      </c>
      <c r="N78" s="8">
        <f>+M78*L78</f>
        <v>46000</v>
      </c>
      <c r="Q78" s="5">
        <f>+N78</f>
        <v>46000</v>
      </c>
      <c r="R78" s="18">
        <v>3.31</v>
      </c>
      <c r="S78" s="4" t="s">
        <v>83</v>
      </c>
    </row>
    <row r="79" spans="2:19" ht="24" customHeight="1" x14ac:dyDescent="0.4">
      <c r="B79" s="8" t="s">
        <v>26</v>
      </c>
      <c r="C79" s="18">
        <v>3.24</v>
      </c>
      <c r="D79" s="16" t="s">
        <v>28</v>
      </c>
      <c r="F79" s="5" t="s">
        <v>1559</v>
      </c>
      <c r="G79" s="8" t="s">
        <v>2467</v>
      </c>
      <c r="H79" s="4">
        <v>1325</v>
      </c>
      <c r="I79" s="4" t="s">
        <v>728</v>
      </c>
      <c r="J79" s="4">
        <v>3.02</v>
      </c>
      <c r="K79" s="4" t="s">
        <v>572</v>
      </c>
      <c r="L79" s="5">
        <v>1</v>
      </c>
      <c r="M79" s="68">
        <f>30000+4000</f>
        <v>34000</v>
      </c>
      <c r="N79" s="8">
        <f>+M79*L79</f>
        <v>34000</v>
      </c>
      <c r="Q79" s="5">
        <f>+N79</f>
        <v>34000</v>
      </c>
      <c r="R79" s="18">
        <v>3.31</v>
      </c>
      <c r="S79" s="4" t="s">
        <v>83</v>
      </c>
    </row>
    <row r="80" spans="2:19" ht="24" customHeight="1" x14ac:dyDescent="0.4">
      <c r="B80" s="8" t="s">
        <v>26</v>
      </c>
      <c r="C80" s="18">
        <v>3.24</v>
      </c>
      <c r="D80" s="16" t="s">
        <v>28</v>
      </c>
      <c r="F80" s="5" t="s">
        <v>1559</v>
      </c>
      <c r="G80" s="8" t="s">
        <v>2467</v>
      </c>
      <c r="H80" s="4">
        <v>1325</v>
      </c>
      <c r="I80" s="4" t="s">
        <v>728</v>
      </c>
      <c r="J80" s="4">
        <v>3.04</v>
      </c>
      <c r="K80" s="4" t="s">
        <v>574</v>
      </c>
      <c r="L80" s="5">
        <v>1</v>
      </c>
      <c r="M80" s="68">
        <f>38000+4000</f>
        <v>42000</v>
      </c>
      <c r="N80" s="8">
        <f>+M80*L80</f>
        <v>42000</v>
      </c>
      <c r="Q80" s="5">
        <f>+N80</f>
        <v>42000</v>
      </c>
      <c r="R80" s="18">
        <v>3.31</v>
      </c>
      <c r="S80" s="4" t="s">
        <v>83</v>
      </c>
    </row>
    <row r="81" spans="2:20" ht="24" customHeight="1" x14ac:dyDescent="0.4">
      <c r="B81" s="8" t="s">
        <v>26</v>
      </c>
      <c r="C81" s="8">
        <v>3.25</v>
      </c>
      <c r="D81" s="16" t="s">
        <v>28</v>
      </c>
      <c r="F81" s="8" t="s">
        <v>2368</v>
      </c>
      <c r="G81" s="19" t="s">
        <v>2120</v>
      </c>
      <c r="H81" s="4">
        <v>930</v>
      </c>
      <c r="I81" s="4" t="s">
        <v>740</v>
      </c>
      <c r="K81" s="4" t="s">
        <v>2589</v>
      </c>
      <c r="L81" s="5">
        <v>5</v>
      </c>
      <c r="M81" s="68">
        <v>23000</v>
      </c>
      <c r="N81" s="8">
        <f>+M81*L81</f>
        <v>115000</v>
      </c>
      <c r="Q81" s="5">
        <f>+N81</f>
        <v>115000</v>
      </c>
      <c r="R81" s="18">
        <v>4.01</v>
      </c>
      <c r="S81" s="7" t="s">
        <v>394</v>
      </c>
    </row>
    <row r="82" spans="2:20" ht="24" customHeight="1" x14ac:dyDescent="0.4">
      <c r="B82" s="8" t="s">
        <v>26</v>
      </c>
      <c r="C82" s="8">
        <v>3.28</v>
      </c>
      <c r="D82" s="16" t="s">
        <v>28</v>
      </c>
      <c r="F82" s="8" t="s">
        <v>2368</v>
      </c>
      <c r="G82" s="4" t="s">
        <v>926</v>
      </c>
      <c r="H82" s="4">
        <v>540</v>
      </c>
      <c r="I82" s="18" t="s">
        <v>943</v>
      </c>
      <c r="J82" s="4">
        <v>2.2400000000000002</v>
      </c>
      <c r="K82" s="4" t="s">
        <v>531</v>
      </c>
      <c r="L82" s="5">
        <v>16</v>
      </c>
      <c r="M82" s="68">
        <v>5000</v>
      </c>
      <c r="N82" s="8">
        <f>+M82*L82</f>
        <v>80000</v>
      </c>
      <c r="Q82" s="5">
        <f>+N82</f>
        <v>80000</v>
      </c>
      <c r="R82" s="18">
        <v>3.31</v>
      </c>
      <c r="S82" s="7" t="s">
        <v>416</v>
      </c>
    </row>
    <row r="83" spans="2:20" ht="24" customHeight="1" x14ac:dyDescent="0.4">
      <c r="B83" s="8" t="s">
        <v>26</v>
      </c>
      <c r="C83" s="8">
        <v>3.28</v>
      </c>
      <c r="D83" s="16" t="s">
        <v>28</v>
      </c>
      <c r="F83" s="8" t="s">
        <v>2368</v>
      </c>
      <c r="G83" s="4" t="s">
        <v>926</v>
      </c>
      <c r="H83" s="4">
        <v>540</v>
      </c>
      <c r="I83" s="12" t="s">
        <v>943</v>
      </c>
      <c r="J83" s="4">
        <v>3.05</v>
      </c>
      <c r="K83" s="4" t="s">
        <v>2590</v>
      </c>
      <c r="L83" s="5">
        <v>4</v>
      </c>
      <c r="M83" s="68">
        <f>12000+3000</f>
        <v>15000</v>
      </c>
      <c r="N83" s="8">
        <f>+M83*L83</f>
        <v>60000</v>
      </c>
      <c r="Q83" s="5">
        <f>+N83</f>
        <v>60000</v>
      </c>
      <c r="R83" s="18">
        <v>3.31</v>
      </c>
      <c r="S83" s="7" t="s">
        <v>416</v>
      </c>
    </row>
    <row r="84" spans="2:20" ht="24" customHeight="1" x14ac:dyDescent="0.4">
      <c r="B84" s="8" t="s">
        <v>26</v>
      </c>
      <c r="C84" s="8">
        <v>3.3</v>
      </c>
      <c r="D84" s="16" t="s">
        <v>28</v>
      </c>
      <c r="F84" s="8" t="s">
        <v>2368</v>
      </c>
      <c r="G84" s="5" t="s">
        <v>959</v>
      </c>
      <c r="H84" s="4">
        <v>1019</v>
      </c>
      <c r="I84" s="12" t="s">
        <v>960</v>
      </c>
      <c r="J84" s="4">
        <v>2.17</v>
      </c>
      <c r="K84" s="4" t="s">
        <v>531</v>
      </c>
      <c r="L84" s="5">
        <v>60</v>
      </c>
      <c r="M84" s="68">
        <v>5000</v>
      </c>
      <c r="N84" s="8">
        <f>+M84*L84</f>
        <v>300000</v>
      </c>
      <c r="Q84" s="5">
        <f>+N84</f>
        <v>300000</v>
      </c>
      <c r="R84" s="18">
        <v>3.31</v>
      </c>
      <c r="S84" s="4" t="s">
        <v>537</v>
      </c>
    </row>
    <row r="85" spans="2:20" ht="24" customHeight="1" x14ac:dyDescent="0.4">
      <c r="B85" s="90" t="s">
        <v>2447</v>
      </c>
      <c r="D85" s="112" t="s">
        <v>28</v>
      </c>
      <c r="N85" s="90">
        <f>SUBTOTAL(9,N36:N84)</f>
        <v>8687000</v>
      </c>
      <c r="Q85" s="90">
        <f>SUBTOTAL(9,Q36:Q84)</f>
        <v>8687000</v>
      </c>
    </row>
    <row r="86" spans="2:20" ht="24" customHeight="1" x14ac:dyDescent="0.4">
      <c r="B86" s="90" t="s">
        <v>2591</v>
      </c>
      <c r="N86" s="90">
        <f>N85+N35</f>
        <v>19189500</v>
      </c>
      <c r="Q86" s="90">
        <f>Q85+Q35</f>
        <v>19189500</v>
      </c>
    </row>
    <row r="87" spans="2:20" ht="24" customHeight="1" x14ac:dyDescent="0.4"/>
    <row r="88" spans="2:20" ht="23.25" customHeight="1" x14ac:dyDescent="0.4"/>
    <row r="89" spans="2:20" ht="24" customHeight="1" x14ac:dyDescent="0.4">
      <c r="B89" s="5" t="s">
        <v>157</v>
      </c>
      <c r="C89" s="20" t="s">
        <v>2509</v>
      </c>
      <c r="D89" s="16" t="s">
        <v>28</v>
      </c>
      <c r="F89" s="8" t="s">
        <v>2368</v>
      </c>
      <c r="G89" s="5" t="s">
        <v>817</v>
      </c>
      <c r="H89" s="5">
        <v>209</v>
      </c>
      <c r="I89" s="5" t="s">
        <v>157</v>
      </c>
      <c r="J89" s="5">
        <v>6.16</v>
      </c>
      <c r="K89" s="5" t="s">
        <v>701</v>
      </c>
      <c r="L89" s="5">
        <v>4</v>
      </c>
      <c r="M89" s="5">
        <v>5000</v>
      </c>
      <c r="N89" s="8">
        <f>+M89*L89</f>
        <v>20000</v>
      </c>
      <c r="Q89" s="5">
        <f>+N89</f>
        <v>20000</v>
      </c>
      <c r="R89" s="20" t="s">
        <v>2510</v>
      </c>
      <c r="T89" s="5" t="s">
        <v>216</v>
      </c>
    </row>
    <row r="90" spans="2:20" ht="24" customHeight="1" x14ac:dyDescent="0.4">
      <c r="B90" s="5" t="s">
        <v>157</v>
      </c>
      <c r="C90" s="20" t="s">
        <v>2509</v>
      </c>
      <c r="D90" s="16" t="s">
        <v>28</v>
      </c>
      <c r="F90" s="8" t="s">
        <v>2368</v>
      </c>
      <c r="G90" s="5" t="s">
        <v>817</v>
      </c>
      <c r="H90" s="5">
        <v>209</v>
      </c>
      <c r="I90" s="5" t="s">
        <v>157</v>
      </c>
      <c r="J90" s="5">
        <v>6.1</v>
      </c>
      <c r="K90" s="5" t="s">
        <v>592</v>
      </c>
      <c r="L90" s="5">
        <f>4+34+14+12</f>
        <v>64</v>
      </c>
      <c r="M90" s="5">
        <v>5000</v>
      </c>
      <c r="N90" s="8">
        <f>+M90*L90</f>
        <v>320000</v>
      </c>
      <c r="Q90" s="5">
        <f>+N90</f>
        <v>320000</v>
      </c>
      <c r="R90" s="20" t="s">
        <v>2510</v>
      </c>
      <c r="S90" s="5" t="s">
        <v>2511</v>
      </c>
      <c r="T90" s="5" t="s">
        <v>216</v>
      </c>
    </row>
    <row r="91" spans="2:20" ht="24" customHeight="1" x14ac:dyDescent="0.4">
      <c r="B91" s="8" t="s">
        <v>989</v>
      </c>
      <c r="C91" s="20" t="s">
        <v>2509</v>
      </c>
      <c r="D91" s="16" t="s">
        <v>28</v>
      </c>
      <c r="F91" s="8" t="s">
        <v>2368</v>
      </c>
      <c r="H91" s="5">
        <v>245</v>
      </c>
      <c r="I91" s="8" t="s">
        <v>989</v>
      </c>
      <c r="J91" s="5">
        <v>6.14</v>
      </c>
      <c r="K91" s="5" t="s">
        <v>2512</v>
      </c>
      <c r="L91" s="5">
        <v>120</v>
      </c>
      <c r="M91" s="5">
        <v>6000</v>
      </c>
      <c r="N91" s="8">
        <f>+M91*L91</f>
        <v>720000</v>
      </c>
      <c r="Q91" s="5">
        <f>+N91</f>
        <v>720000</v>
      </c>
      <c r="R91" s="20" t="s">
        <v>2513</v>
      </c>
      <c r="T91" s="5" t="s">
        <v>2514</v>
      </c>
    </row>
    <row r="92" spans="2:20" ht="24" customHeight="1" x14ac:dyDescent="0.4">
      <c r="B92" s="8" t="s">
        <v>26</v>
      </c>
      <c r="C92" s="20" t="s">
        <v>2509</v>
      </c>
      <c r="D92" s="16" t="s">
        <v>28</v>
      </c>
      <c r="F92" s="5" t="s">
        <v>2368</v>
      </c>
      <c r="G92" s="8" t="s">
        <v>954</v>
      </c>
      <c r="H92" s="8">
        <v>2709</v>
      </c>
      <c r="I92" s="8" t="s">
        <v>955</v>
      </c>
      <c r="J92" s="8">
        <v>6.24</v>
      </c>
      <c r="K92" s="8" t="s">
        <v>747</v>
      </c>
      <c r="L92" s="8">
        <f>84-42</f>
        <v>42</v>
      </c>
      <c r="M92" s="8">
        <v>5000</v>
      </c>
      <c r="N92" s="8">
        <f>+M92*L92</f>
        <v>210000</v>
      </c>
      <c r="Q92" s="5">
        <f>+N92</f>
        <v>210000</v>
      </c>
      <c r="R92" s="20" t="s">
        <v>2515</v>
      </c>
      <c r="T92" s="8" t="s">
        <v>216</v>
      </c>
    </row>
    <row r="93" spans="2:20" ht="24" customHeight="1" x14ac:dyDescent="0.4">
      <c r="B93" s="8" t="s">
        <v>26</v>
      </c>
      <c r="C93" s="20" t="s">
        <v>2509</v>
      </c>
      <c r="D93" s="15" t="s">
        <v>23</v>
      </c>
      <c r="F93" s="8" t="s">
        <v>2368</v>
      </c>
      <c r="H93" s="5">
        <v>389</v>
      </c>
      <c r="I93" s="5" t="s">
        <v>726</v>
      </c>
      <c r="J93" s="5">
        <v>7.23</v>
      </c>
      <c r="K93" s="5" t="s">
        <v>2516</v>
      </c>
      <c r="L93" s="5">
        <f>7+6</f>
        <v>13</v>
      </c>
      <c r="M93" s="68">
        <v>13000</v>
      </c>
      <c r="N93" s="8">
        <f>+M93*L93</f>
        <v>169000</v>
      </c>
      <c r="O93" s="5">
        <f>+N93/1.1</f>
        <v>153636.36363636362</v>
      </c>
      <c r="P93" s="5">
        <f>+N93-O93</f>
        <v>15363.636363636382</v>
      </c>
      <c r="Q93" s="5">
        <f>+N93</f>
        <v>169000</v>
      </c>
      <c r="R93" s="20" t="s">
        <v>2517</v>
      </c>
      <c r="S93" s="5" t="s">
        <v>2518</v>
      </c>
      <c r="T93" s="5" t="s">
        <v>2519</v>
      </c>
    </row>
    <row r="94" spans="2:20" ht="24" customHeight="1" x14ac:dyDescent="0.4">
      <c r="B94" s="8" t="s">
        <v>26</v>
      </c>
      <c r="C94" s="18" t="s">
        <v>2509</v>
      </c>
      <c r="D94" s="16" t="s">
        <v>28</v>
      </c>
      <c r="H94" s="5">
        <v>493</v>
      </c>
      <c r="I94" s="5" t="s">
        <v>2520</v>
      </c>
      <c r="J94" s="5">
        <v>9.14</v>
      </c>
      <c r="K94" s="5" t="s">
        <v>2521</v>
      </c>
      <c r="L94" s="5">
        <v>8</v>
      </c>
      <c r="M94" s="68">
        <f>60000+3000</f>
        <v>63000</v>
      </c>
      <c r="N94" s="8">
        <f>+M94*L94</f>
        <v>504000</v>
      </c>
      <c r="Q94" s="5">
        <f>+N94</f>
        <v>504000</v>
      </c>
      <c r="R94" s="18" t="s">
        <v>2522</v>
      </c>
      <c r="S94" s="4" t="s">
        <v>50</v>
      </c>
      <c r="T94" s="4" t="s">
        <v>140</v>
      </c>
    </row>
    <row r="95" spans="2:20" ht="24" customHeight="1" x14ac:dyDescent="0.4">
      <c r="B95" s="8" t="s">
        <v>157</v>
      </c>
      <c r="C95" s="8" t="s">
        <v>27</v>
      </c>
      <c r="D95" s="15" t="s">
        <v>23</v>
      </c>
      <c r="H95" s="5">
        <v>209</v>
      </c>
      <c r="I95" s="5" t="s">
        <v>955</v>
      </c>
      <c r="J95" s="5">
        <v>9.27</v>
      </c>
      <c r="K95" s="5" t="s">
        <v>159</v>
      </c>
      <c r="L95" s="5">
        <v>22.5</v>
      </c>
      <c r="M95" s="68">
        <v>6000</v>
      </c>
      <c r="N95" s="8">
        <f>+M95*L95</f>
        <v>135000</v>
      </c>
      <c r="O95" s="5">
        <f>+N95/1.1</f>
        <v>122727.27272727272</v>
      </c>
      <c r="P95" s="5">
        <f>+N95-O95</f>
        <v>12272.727272727279</v>
      </c>
      <c r="Q95" s="5">
        <f>+N95</f>
        <v>135000</v>
      </c>
      <c r="R95" s="18" t="s">
        <v>2523</v>
      </c>
      <c r="S95" s="5" t="s">
        <v>2524</v>
      </c>
      <c r="T95" s="4" t="s">
        <v>166</v>
      </c>
    </row>
    <row r="96" spans="2:20" ht="24" customHeight="1" x14ac:dyDescent="0.4">
      <c r="B96" s="8" t="s">
        <v>26</v>
      </c>
      <c r="C96" s="8" t="s">
        <v>27</v>
      </c>
      <c r="D96" s="16" t="s">
        <v>28</v>
      </c>
      <c r="F96" s="5" t="s">
        <v>2368</v>
      </c>
      <c r="G96" s="8" t="s">
        <v>954</v>
      </c>
      <c r="H96" s="5">
        <v>2709</v>
      </c>
      <c r="I96" s="4" t="s">
        <v>955</v>
      </c>
      <c r="J96" s="5">
        <v>10.119999999999999</v>
      </c>
      <c r="K96" s="7" t="s">
        <v>191</v>
      </c>
      <c r="L96" s="5">
        <v>23</v>
      </c>
      <c r="M96" s="68">
        <v>6000</v>
      </c>
      <c r="N96" s="8">
        <f>+M96*L96</f>
        <v>138000</v>
      </c>
      <c r="Q96" s="5">
        <f>+N96</f>
        <v>138000</v>
      </c>
      <c r="R96" s="18">
        <v>10.210000000000001</v>
      </c>
      <c r="T96" s="4" t="s">
        <v>192</v>
      </c>
    </row>
    <row r="97" spans="2:20" ht="24" customHeight="1" x14ac:dyDescent="0.4">
      <c r="B97" s="8" t="s">
        <v>26</v>
      </c>
      <c r="C97" s="8" t="s">
        <v>27</v>
      </c>
      <c r="D97" s="16" t="s">
        <v>28</v>
      </c>
      <c r="F97" s="5" t="s">
        <v>2368</v>
      </c>
      <c r="G97" s="8" t="s">
        <v>954</v>
      </c>
      <c r="H97" s="5">
        <v>2709</v>
      </c>
      <c r="I97" s="4" t="s">
        <v>955</v>
      </c>
      <c r="J97" s="5">
        <v>10.15</v>
      </c>
      <c r="K97" s="5" t="s">
        <v>214</v>
      </c>
      <c r="L97" s="5">
        <v>10.5</v>
      </c>
      <c r="M97" s="68">
        <v>6000</v>
      </c>
      <c r="N97" s="8">
        <f>+M97*L97</f>
        <v>63000</v>
      </c>
      <c r="Q97" s="5">
        <f>+N97</f>
        <v>63000</v>
      </c>
      <c r="R97" s="18">
        <v>10.210000000000001</v>
      </c>
      <c r="T97" s="4" t="s">
        <v>192</v>
      </c>
    </row>
    <row r="98" spans="2:20" ht="24" customHeight="1" x14ac:dyDescent="0.4">
      <c r="B98" s="8" t="s">
        <v>26</v>
      </c>
      <c r="C98" s="8" t="s">
        <v>27</v>
      </c>
      <c r="D98" s="15" t="s">
        <v>23</v>
      </c>
      <c r="H98" s="5">
        <v>493</v>
      </c>
      <c r="I98" s="5" t="s">
        <v>2520</v>
      </c>
      <c r="J98" s="5">
        <v>10.050000000000001</v>
      </c>
      <c r="K98" s="7" t="s">
        <v>183</v>
      </c>
      <c r="L98" s="5">
        <v>500</v>
      </c>
      <c r="M98" s="68">
        <v>1000</v>
      </c>
      <c r="N98" s="8">
        <f>+M98*L98</f>
        <v>500000</v>
      </c>
      <c r="O98" s="5">
        <f>+N98/1.1</f>
        <v>454545.45454545453</v>
      </c>
      <c r="P98" s="5">
        <f>+N98-O98</f>
        <v>45454.54545454547</v>
      </c>
      <c r="Q98" s="5">
        <f>+N98</f>
        <v>500000</v>
      </c>
      <c r="R98" s="8" t="s">
        <v>2525</v>
      </c>
      <c r="S98" s="5" t="s">
        <v>2406</v>
      </c>
      <c r="T98" s="4" t="s">
        <v>140</v>
      </c>
    </row>
    <row r="99" spans="2:20" ht="24" customHeight="1" x14ac:dyDescent="0.4">
      <c r="B99" s="8" t="s">
        <v>26</v>
      </c>
      <c r="C99" s="18" t="s">
        <v>2509</v>
      </c>
      <c r="D99" s="16" t="s">
        <v>28</v>
      </c>
      <c r="H99" s="5">
        <v>286</v>
      </c>
      <c r="I99" s="4" t="s">
        <v>989</v>
      </c>
      <c r="J99" s="5">
        <v>10.06</v>
      </c>
      <c r="K99" s="7" t="s">
        <v>186</v>
      </c>
      <c r="L99" s="5">
        <v>1</v>
      </c>
      <c r="M99" s="69">
        <f>60000-10000</f>
        <v>50000</v>
      </c>
      <c r="N99" s="8">
        <f>+M99*L99</f>
        <v>50000</v>
      </c>
      <c r="Q99" s="5">
        <f>+N99</f>
        <v>50000</v>
      </c>
      <c r="R99" s="75" t="s">
        <v>187</v>
      </c>
      <c r="S99" s="5" t="s">
        <v>2526</v>
      </c>
      <c r="T99" s="4" t="s">
        <v>188</v>
      </c>
    </row>
    <row r="100" spans="2:20" ht="24" customHeight="1" x14ac:dyDescent="0.4">
      <c r="B100" s="8" t="s">
        <v>26</v>
      </c>
      <c r="C100" s="8">
        <v>12.3</v>
      </c>
      <c r="D100" s="16" t="s">
        <v>28</v>
      </c>
      <c r="F100" s="8" t="s">
        <v>2368</v>
      </c>
      <c r="G100" s="5" t="s">
        <v>826</v>
      </c>
      <c r="H100" s="4">
        <v>182</v>
      </c>
      <c r="I100" s="5" t="s">
        <v>828</v>
      </c>
      <c r="J100" s="4">
        <v>12.02</v>
      </c>
      <c r="K100" s="5" t="s">
        <v>2466</v>
      </c>
      <c r="L100" s="5">
        <v>1</v>
      </c>
      <c r="M100" s="69">
        <v>15000</v>
      </c>
      <c r="N100" s="5">
        <f>+M100*L100</f>
        <v>15000</v>
      </c>
      <c r="Q100" s="5">
        <f>+N100</f>
        <v>15000</v>
      </c>
      <c r="R100" s="8" t="s">
        <v>2527</v>
      </c>
      <c r="S100" s="4" t="s">
        <v>249</v>
      </c>
    </row>
    <row r="101" spans="2:20" ht="24" customHeight="1" x14ac:dyDescent="0.4">
      <c r="B101" s="8" t="s">
        <v>26</v>
      </c>
      <c r="C101" s="8">
        <v>12.3</v>
      </c>
      <c r="D101" s="15" t="s">
        <v>23</v>
      </c>
      <c r="F101" s="8" t="s">
        <v>2368</v>
      </c>
      <c r="G101" s="5" t="s">
        <v>826</v>
      </c>
      <c r="H101" s="4">
        <v>182</v>
      </c>
      <c r="I101" s="5" t="s">
        <v>828</v>
      </c>
      <c r="J101" s="4">
        <v>12.07</v>
      </c>
      <c r="K101" s="5" t="s">
        <v>184</v>
      </c>
      <c r="L101" s="5">
        <v>30</v>
      </c>
      <c r="M101" s="69">
        <f>6000-500</f>
        <v>5500</v>
      </c>
      <c r="N101" s="8">
        <f>+M101*L101</f>
        <v>165000</v>
      </c>
      <c r="O101" s="5">
        <f>+N101/1.1</f>
        <v>150000</v>
      </c>
      <c r="P101" s="5">
        <f>+N101-O101</f>
        <v>15000</v>
      </c>
      <c r="Q101" s="5">
        <f>+N101</f>
        <v>165000</v>
      </c>
      <c r="R101" s="8" t="s">
        <v>2527</v>
      </c>
      <c r="S101" s="4" t="s">
        <v>249</v>
      </c>
    </row>
    <row r="102" spans="2:20" ht="23.25" customHeight="1" x14ac:dyDescent="0.4"/>
    <row r="103" spans="2:20" ht="23.25" customHeight="1" x14ac:dyDescent="0.4"/>
    <row r="104" spans="2:20" ht="23.25" customHeight="1" x14ac:dyDescent="0.4"/>
    <row r="105" spans="2:20" ht="23.25" customHeight="1" x14ac:dyDescent="0.4"/>
    <row r="106" spans="2:20" ht="23.25" customHeight="1" x14ac:dyDescent="0.4"/>
    <row r="107" spans="2:20" ht="23.25" customHeight="1" x14ac:dyDescent="0.4"/>
    <row r="108" spans="2:20" ht="23.25" customHeight="1" x14ac:dyDescent="0.4"/>
    <row r="109" spans="2:20" ht="23.25" customHeight="1" x14ac:dyDescent="0.4"/>
    <row r="110" spans="2:20" ht="23.25" customHeight="1" x14ac:dyDescent="0.4"/>
    <row r="111" spans="2:20" ht="23.25" customHeight="1" x14ac:dyDescent="0.4"/>
    <row r="112" spans="2:20" ht="23.25" customHeight="1" x14ac:dyDescent="0.4"/>
    <row r="113" ht="23.25" customHeight="1" x14ac:dyDescent="0.4"/>
    <row r="114" ht="23.25" customHeight="1" x14ac:dyDescent="0.4"/>
    <row r="115" ht="23.25" customHeight="1" x14ac:dyDescent="0.4"/>
    <row r="116" ht="23.25" customHeight="1" x14ac:dyDescent="0.4"/>
    <row r="117" ht="23.25" customHeight="1" x14ac:dyDescent="0.4"/>
    <row r="118" ht="23.25" customHeight="1" x14ac:dyDescent="0.4"/>
    <row r="119" ht="23.25" customHeight="1" x14ac:dyDescent="0.4"/>
    <row r="120" ht="23.25" customHeight="1" x14ac:dyDescent="0.4"/>
    <row r="121" ht="23.25" customHeight="1" x14ac:dyDescent="0.4"/>
    <row r="122" ht="23.25" customHeight="1" x14ac:dyDescent="0.4"/>
    <row r="123" ht="23.25" customHeight="1" x14ac:dyDescent="0.4"/>
    <row r="124" ht="23.25" customHeight="1" x14ac:dyDescent="0.4"/>
    <row r="125" ht="23.25" customHeight="1" x14ac:dyDescent="0.4"/>
    <row r="126" ht="23.25" customHeight="1" x14ac:dyDescent="0.4"/>
    <row r="127" ht="23.25" customHeight="1" x14ac:dyDescent="0.4"/>
    <row r="128" ht="23.25" customHeight="1" x14ac:dyDescent="0.4"/>
    <row r="129" ht="23.25" customHeight="1" x14ac:dyDescent="0.4"/>
    <row r="130" ht="23.25" customHeight="1" x14ac:dyDescent="0.4"/>
    <row r="131" ht="23.25" customHeight="1" x14ac:dyDescent="0.4"/>
    <row r="132" ht="23.25" customHeight="1" x14ac:dyDescent="0.4"/>
    <row r="133" ht="23.25" customHeight="1" x14ac:dyDescent="0.4"/>
    <row r="134" ht="23.25" customHeight="1" x14ac:dyDescent="0.4"/>
    <row r="135" ht="23.25" customHeight="1" x14ac:dyDescent="0.4"/>
    <row r="136" ht="23.25" customHeight="1" x14ac:dyDescent="0.4"/>
    <row r="137" ht="23.25" customHeight="1" x14ac:dyDescent="0.4"/>
    <row r="138" ht="23.25" customHeight="1" x14ac:dyDescent="0.4"/>
    <row r="139" ht="23.25" customHeight="1" x14ac:dyDescent="0.4"/>
    <row r="140" ht="23.25" customHeight="1" x14ac:dyDescent="0.4"/>
    <row r="141" ht="23.25" customHeight="1" x14ac:dyDescent="0.4"/>
    <row r="142" ht="23.25" customHeight="1" x14ac:dyDescent="0.4"/>
    <row r="143" ht="23.25" customHeight="1" x14ac:dyDescent="0.4"/>
    <row r="144" ht="23.25" customHeight="1" x14ac:dyDescent="0.4"/>
    <row r="145" ht="23.25" customHeight="1" x14ac:dyDescent="0.4"/>
    <row r="146" ht="23.25" customHeight="1" x14ac:dyDescent="0.4"/>
    <row r="147" ht="23.25" customHeight="1" x14ac:dyDescent="0.4"/>
    <row r="148" ht="23.25" customHeight="1" x14ac:dyDescent="0.4"/>
    <row r="149" ht="23.25" customHeight="1" x14ac:dyDescent="0.4"/>
    <row r="150" ht="23.25" customHeight="1" x14ac:dyDescent="0.4"/>
    <row r="151" ht="23.25" customHeight="1" x14ac:dyDescent="0.4"/>
    <row r="152" ht="23.25" customHeight="1" x14ac:dyDescent="0.4"/>
    <row r="153" ht="23.25" customHeight="1" x14ac:dyDescent="0.4"/>
    <row r="154" ht="23.25" customHeight="1" x14ac:dyDescent="0.4"/>
    <row r="155" ht="23.25" customHeight="1" x14ac:dyDescent="0.4"/>
    <row r="156" ht="23.25" customHeight="1" x14ac:dyDescent="0.4"/>
    <row r="157" ht="23.25" customHeight="1" x14ac:dyDescent="0.4"/>
    <row r="158" ht="23.25" customHeight="1" x14ac:dyDescent="0.4"/>
    <row r="159" ht="23.25" customHeight="1" x14ac:dyDescent="0.4"/>
    <row r="160" ht="23.25" customHeight="1" x14ac:dyDescent="0.4"/>
    <row r="161" ht="23.25" customHeight="1" x14ac:dyDescent="0.4"/>
    <row r="162" ht="23.25" customHeight="1" x14ac:dyDescent="0.4"/>
    <row r="163" ht="23.25" customHeight="1" x14ac:dyDescent="0.4"/>
    <row r="164" ht="23.25" customHeight="1" x14ac:dyDescent="0.4"/>
    <row r="165" ht="23.25" customHeight="1" x14ac:dyDescent="0.4"/>
    <row r="166" ht="23.25" customHeight="1" x14ac:dyDescent="0.4"/>
    <row r="167" ht="23.25" customHeight="1" x14ac:dyDescent="0.4"/>
    <row r="168" ht="23.25" customHeight="1" x14ac:dyDescent="0.4"/>
    <row r="169" ht="23.25" customHeight="1" x14ac:dyDescent="0.4"/>
    <row r="170" ht="23.25" customHeight="1" x14ac:dyDescent="0.4"/>
    <row r="171" ht="23.25" customHeight="1" x14ac:dyDescent="0.4"/>
    <row r="172" ht="23.25" customHeight="1" x14ac:dyDescent="0.4"/>
    <row r="173" ht="23.25" customHeight="1" x14ac:dyDescent="0.4"/>
    <row r="174" ht="23.25" customHeight="1" x14ac:dyDescent="0.4"/>
    <row r="175" ht="23.25" customHeight="1" x14ac:dyDescent="0.4"/>
    <row r="176" ht="23.25" customHeight="1" x14ac:dyDescent="0.4"/>
    <row r="177" ht="23.25" customHeight="1" x14ac:dyDescent="0.4"/>
    <row r="178" ht="23.25" customHeight="1" x14ac:dyDescent="0.4"/>
    <row r="179" ht="23.25" customHeight="1" x14ac:dyDescent="0.4"/>
    <row r="180" ht="23.25" customHeight="1" x14ac:dyDescent="0.4"/>
    <row r="181" ht="23.25" customHeight="1" x14ac:dyDescent="0.4"/>
    <row r="182" ht="23.25" customHeight="1" x14ac:dyDescent="0.4"/>
    <row r="183" ht="23.25" customHeight="1" x14ac:dyDescent="0.4"/>
    <row r="184" ht="23.25" customHeight="1" x14ac:dyDescent="0.4"/>
    <row r="185" ht="23.25" customHeight="1" x14ac:dyDescent="0.4"/>
    <row r="186" ht="23.25" customHeight="1" x14ac:dyDescent="0.4"/>
    <row r="187" ht="23.25" customHeight="1" x14ac:dyDescent="0.4"/>
    <row r="188" ht="23.25" customHeight="1" x14ac:dyDescent="0.4"/>
    <row r="189" ht="23.25" customHeight="1" x14ac:dyDescent="0.4"/>
    <row r="190" ht="23.25" customHeight="1" x14ac:dyDescent="0.4"/>
    <row r="191" ht="23.25" customHeight="1" x14ac:dyDescent="0.4"/>
    <row r="192" ht="23.25" customHeight="1" x14ac:dyDescent="0.4"/>
    <row r="193" ht="23.25" customHeight="1" x14ac:dyDescent="0.4"/>
    <row r="194" ht="23.25" customHeight="1" x14ac:dyDescent="0.4"/>
    <row r="195" ht="23.25" customHeight="1" x14ac:dyDescent="0.4"/>
    <row r="196" ht="23.25" customHeight="1" x14ac:dyDescent="0.4"/>
    <row r="197" ht="23.25" customHeight="1" x14ac:dyDescent="0.4"/>
    <row r="198" ht="23.25" customHeight="1" x14ac:dyDescent="0.4"/>
    <row r="199" ht="23.25" customHeight="1" x14ac:dyDescent="0.4"/>
    <row r="200" ht="23.25" customHeight="1" x14ac:dyDescent="0.4"/>
    <row r="201" ht="23.25" customHeight="1" x14ac:dyDescent="0.4"/>
    <row r="202" ht="23.25" customHeight="1" x14ac:dyDescent="0.4"/>
    <row r="203" ht="23.25" customHeight="1" x14ac:dyDescent="0.4"/>
    <row r="204" ht="23.25" customHeight="1" x14ac:dyDescent="0.4"/>
    <row r="205" ht="23.25" customHeight="1" x14ac:dyDescent="0.4"/>
    <row r="206" ht="23.25" customHeight="1" x14ac:dyDescent="0.4"/>
    <row r="207" ht="23.25" customHeight="1" x14ac:dyDescent="0.4"/>
    <row r="208" ht="23.25" customHeight="1" x14ac:dyDescent="0.4"/>
    <row r="209" ht="23.25" customHeight="1" x14ac:dyDescent="0.4"/>
    <row r="210" ht="23.25" customHeight="1" x14ac:dyDescent="0.4"/>
    <row r="211" ht="23.25" customHeight="1" x14ac:dyDescent="0.4"/>
    <row r="212" ht="23.25" customHeight="1" x14ac:dyDescent="0.4"/>
    <row r="213" ht="23.25" customHeight="1" x14ac:dyDescent="0.4"/>
    <row r="214" ht="23.25" customHeight="1" x14ac:dyDescent="0.4"/>
    <row r="215" ht="23.25" customHeight="1" x14ac:dyDescent="0.4"/>
    <row r="216" ht="23.25" customHeight="1" x14ac:dyDescent="0.4"/>
    <row r="217" ht="23.25" customHeight="1" x14ac:dyDescent="0.4"/>
    <row r="218" ht="23.25" customHeight="1" x14ac:dyDescent="0.4"/>
    <row r="219" ht="23.25" customHeight="1" x14ac:dyDescent="0.4"/>
    <row r="220" ht="23.25" customHeight="1" x14ac:dyDescent="0.4"/>
    <row r="221" ht="23.25" customHeight="1" x14ac:dyDescent="0.4"/>
    <row r="222" ht="23.25" customHeight="1" x14ac:dyDescent="0.4"/>
    <row r="223" ht="23.25" customHeight="1" x14ac:dyDescent="0.4"/>
    <row r="224" ht="23.25" customHeight="1" x14ac:dyDescent="0.4"/>
    <row r="225" ht="23.25" customHeight="1" x14ac:dyDescent="0.4"/>
    <row r="226" ht="23.25" customHeight="1" x14ac:dyDescent="0.4"/>
    <row r="227" ht="23.25" customHeight="1" x14ac:dyDescent="0.4"/>
    <row r="228" ht="23.25" customHeight="1" x14ac:dyDescent="0.4"/>
    <row r="229" ht="23.25" customHeight="1" x14ac:dyDescent="0.4"/>
    <row r="230" ht="23.25" customHeight="1" x14ac:dyDescent="0.4"/>
    <row r="231" ht="23.25" customHeight="1" x14ac:dyDescent="0.4"/>
    <row r="232" ht="23.25" customHeight="1" x14ac:dyDescent="0.4"/>
    <row r="233" ht="23.25" customHeight="1" x14ac:dyDescent="0.4"/>
    <row r="234" ht="23.25" customHeight="1" x14ac:dyDescent="0.4"/>
    <row r="235" ht="23.25" customHeight="1" x14ac:dyDescent="0.4"/>
    <row r="236" ht="23.25" customHeight="1" x14ac:dyDescent="0.4"/>
    <row r="237" ht="23.25" customHeight="1" x14ac:dyDescent="0.4"/>
    <row r="238" ht="23.25" customHeight="1" x14ac:dyDescent="0.4"/>
    <row r="239" ht="23.25" customHeight="1" x14ac:dyDescent="0.4"/>
    <row r="240" ht="23.25" customHeight="1" x14ac:dyDescent="0.4"/>
    <row r="241" ht="23.25" customHeight="1" x14ac:dyDescent="0.4"/>
    <row r="242" ht="23.25" customHeight="1" x14ac:dyDescent="0.4"/>
    <row r="243" ht="23.25" customHeight="1" x14ac:dyDescent="0.4"/>
    <row r="244" ht="23.25" customHeight="1" x14ac:dyDescent="0.4"/>
    <row r="245" ht="23.25" customHeight="1" x14ac:dyDescent="0.4"/>
    <row r="246" ht="23.25" customHeight="1" x14ac:dyDescent="0.4"/>
    <row r="247" ht="23.25" customHeight="1" x14ac:dyDescent="0.4"/>
    <row r="248" ht="23.25" customHeight="1" x14ac:dyDescent="0.4"/>
    <row r="249" ht="23.25" customHeight="1" x14ac:dyDescent="0.4"/>
    <row r="250" ht="23.25" customHeight="1" x14ac:dyDescent="0.4"/>
    <row r="251" ht="23.25" customHeight="1" x14ac:dyDescent="0.4"/>
    <row r="252" ht="23.25" customHeight="1" x14ac:dyDescent="0.4"/>
    <row r="253" ht="23.25" customHeight="1" x14ac:dyDescent="0.4"/>
    <row r="254" ht="23.25" customHeight="1" x14ac:dyDescent="0.4"/>
    <row r="255" ht="23.25" customHeight="1" x14ac:dyDescent="0.4"/>
    <row r="256" ht="23.25" customHeight="1" x14ac:dyDescent="0.4"/>
    <row r="257" ht="23.25" customHeight="1" x14ac:dyDescent="0.4"/>
    <row r="258" ht="23.25" customHeight="1" x14ac:dyDescent="0.4"/>
    <row r="259" ht="23.25" customHeight="1" x14ac:dyDescent="0.4"/>
    <row r="260" ht="23.25" customHeight="1" x14ac:dyDescent="0.4"/>
    <row r="261" ht="23.25" customHeight="1" x14ac:dyDescent="0.4"/>
    <row r="262" ht="23.25" customHeight="1" x14ac:dyDescent="0.4"/>
    <row r="263" ht="23.25" customHeight="1" x14ac:dyDescent="0.4"/>
    <row r="264" ht="23.25" customHeight="1" x14ac:dyDescent="0.4"/>
    <row r="265" ht="23.25" customHeight="1" x14ac:dyDescent="0.4"/>
    <row r="266" ht="23.25" customHeight="1" x14ac:dyDescent="0.4"/>
    <row r="267" ht="23.25" customHeight="1" x14ac:dyDescent="0.4"/>
    <row r="268" ht="23.25" customHeight="1" x14ac:dyDescent="0.4"/>
    <row r="269" ht="23.25" customHeight="1" x14ac:dyDescent="0.4"/>
    <row r="270" ht="23.25" customHeight="1" x14ac:dyDescent="0.4"/>
    <row r="271" ht="23.25" customHeight="1" x14ac:dyDescent="0.4"/>
    <row r="272" ht="23.25" customHeight="1" x14ac:dyDescent="0.4"/>
    <row r="273" ht="23.25" customHeight="1" x14ac:dyDescent="0.4"/>
    <row r="274" ht="23.25" customHeight="1" x14ac:dyDescent="0.4"/>
    <row r="275" ht="23.25" customHeight="1" x14ac:dyDescent="0.4"/>
    <row r="276" ht="23.25" customHeight="1" x14ac:dyDescent="0.4"/>
    <row r="277" ht="23.25" customHeight="1" x14ac:dyDescent="0.4"/>
    <row r="278" ht="23.25" customHeight="1" x14ac:dyDescent="0.4"/>
    <row r="279" ht="23.25" customHeight="1" x14ac:dyDescent="0.4"/>
    <row r="280" ht="23.25" customHeight="1" x14ac:dyDescent="0.4"/>
    <row r="281" ht="23.25" customHeight="1" x14ac:dyDescent="0.4"/>
    <row r="282" ht="23.25" customHeight="1" x14ac:dyDescent="0.4"/>
    <row r="283" ht="23.25" customHeight="1" x14ac:dyDescent="0.4"/>
    <row r="284" ht="23.25" customHeight="1" x14ac:dyDescent="0.4"/>
    <row r="285" ht="23.25" customHeight="1" x14ac:dyDescent="0.4"/>
    <row r="286" ht="23.25" customHeight="1" x14ac:dyDescent="0.4"/>
    <row r="287" ht="23.25" customHeight="1" x14ac:dyDescent="0.4"/>
    <row r="288" ht="23.25" customHeight="1" x14ac:dyDescent="0.4"/>
    <row r="289" ht="23.25" customHeight="1" x14ac:dyDescent="0.4"/>
    <row r="290" ht="23.25" customHeight="1" x14ac:dyDescent="0.4"/>
    <row r="291" ht="23.25" customHeight="1" x14ac:dyDescent="0.4"/>
    <row r="292" ht="23.25" customHeight="1" x14ac:dyDescent="0.4"/>
    <row r="293" ht="23.25" customHeight="1" x14ac:dyDescent="0.4"/>
    <row r="294" ht="23.25" customHeight="1" x14ac:dyDescent="0.4"/>
    <row r="295" ht="23.25" customHeight="1" x14ac:dyDescent="0.4"/>
    <row r="296" ht="23.25" customHeight="1" x14ac:dyDescent="0.4"/>
    <row r="297" ht="23.25" customHeight="1" x14ac:dyDescent="0.4"/>
    <row r="298" ht="23.25" customHeight="1" x14ac:dyDescent="0.4"/>
    <row r="299" ht="23.25" customHeight="1" x14ac:dyDescent="0.4"/>
    <row r="300" ht="23.25" customHeight="1" x14ac:dyDescent="0.4"/>
    <row r="301" ht="23.25" customHeight="1" x14ac:dyDescent="0.4"/>
    <row r="302" ht="23.25" customHeight="1" x14ac:dyDescent="0.4"/>
    <row r="303" ht="23.25" customHeight="1" x14ac:dyDescent="0.4"/>
    <row r="304" ht="23.25" customHeight="1" x14ac:dyDescent="0.4"/>
    <row r="305" ht="23.25" customHeight="1" x14ac:dyDescent="0.4"/>
    <row r="306" ht="23.25" customHeight="1" x14ac:dyDescent="0.4"/>
    <row r="307" ht="23.25" customHeight="1" x14ac:dyDescent="0.4"/>
    <row r="308" ht="23.25" customHeight="1" x14ac:dyDescent="0.4"/>
    <row r="309" ht="23.25" customHeight="1" x14ac:dyDescent="0.4"/>
    <row r="310" ht="23.25" customHeight="1" x14ac:dyDescent="0.4"/>
    <row r="311" ht="23.25" customHeight="1" x14ac:dyDescent="0.4"/>
    <row r="312" ht="23.25" customHeight="1" x14ac:dyDescent="0.4"/>
    <row r="313" ht="23.25" customHeight="1" x14ac:dyDescent="0.4"/>
    <row r="314" ht="23.25" customHeight="1" x14ac:dyDescent="0.4"/>
    <row r="315" ht="23.25" customHeight="1" x14ac:dyDescent="0.4"/>
    <row r="316" ht="23.25" customHeight="1" x14ac:dyDescent="0.4"/>
    <row r="317" ht="23.25" customHeight="1" x14ac:dyDescent="0.4"/>
    <row r="318" ht="23.25" customHeight="1" x14ac:dyDescent="0.4"/>
    <row r="319" ht="23.25" customHeight="1" x14ac:dyDescent="0.4"/>
    <row r="320" ht="23.25" customHeight="1" x14ac:dyDescent="0.4"/>
    <row r="321" ht="23.25" customHeight="1" x14ac:dyDescent="0.4"/>
    <row r="322" ht="23.25" customHeight="1" x14ac:dyDescent="0.4"/>
    <row r="323" ht="23.25" customHeight="1" x14ac:dyDescent="0.4"/>
    <row r="324" ht="23.25" customHeight="1" x14ac:dyDescent="0.4"/>
    <row r="325" ht="23.25" customHeight="1" x14ac:dyDescent="0.4"/>
    <row r="326" ht="23.25" customHeight="1" x14ac:dyDescent="0.4"/>
    <row r="327" ht="23.25" customHeight="1" x14ac:dyDescent="0.4"/>
    <row r="328" ht="23.25" customHeight="1" x14ac:dyDescent="0.4"/>
    <row r="329" ht="23.25" customHeight="1" x14ac:dyDescent="0.4"/>
    <row r="330" ht="23.25" customHeight="1" x14ac:dyDescent="0.4"/>
    <row r="331" ht="23.25" customHeight="1" x14ac:dyDescent="0.4"/>
    <row r="332" ht="23.25" customHeight="1" x14ac:dyDescent="0.4"/>
    <row r="333" ht="23.25" customHeight="1" x14ac:dyDescent="0.4"/>
    <row r="334" ht="23.25" customHeight="1" x14ac:dyDescent="0.4"/>
    <row r="335" ht="23.25" customHeight="1" x14ac:dyDescent="0.4"/>
    <row r="336" ht="23.25" customHeight="1" x14ac:dyDescent="0.4"/>
    <row r="337" ht="23.25" customHeight="1" x14ac:dyDescent="0.4"/>
    <row r="338" ht="23.25" customHeight="1" x14ac:dyDescent="0.4"/>
    <row r="339" ht="23.25" customHeight="1" x14ac:dyDescent="0.4"/>
    <row r="340" ht="23.25" customHeight="1" x14ac:dyDescent="0.4"/>
    <row r="341" ht="23.25" customHeight="1" x14ac:dyDescent="0.4"/>
    <row r="342" ht="23.25" customHeight="1" x14ac:dyDescent="0.4"/>
    <row r="343" ht="23.25" customHeight="1" x14ac:dyDescent="0.4"/>
    <row r="344" ht="23.25" customHeight="1" x14ac:dyDescent="0.4"/>
    <row r="345" ht="23.25" customHeight="1" x14ac:dyDescent="0.4"/>
    <row r="346" ht="23.25" customHeight="1" x14ac:dyDescent="0.4"/>
    <row r="347" ht="23.25" customHeight="1" x14ac:dyDescent="0.4"/>
    <row r="348" ht="23.25" customHeight="1" x14ac:dyDescent="0.4"/>
    <row r="349" ht="23.25" customHeight="1" x14ac:dyDescent="0.4"/>
    <row r="350" ht="23.25" customHeight="1" x14ac:dyDescent="0.4"/>
    <row r="351" ht="23.25" customHeight="1" x14ac:dyDescent="0.4"/>
    <row r="352" ht="23.25" customHeight="1" x14ac:dyDescent="0.4"/>
    <row r="353" ht="23.25" customHeight="1" x14ac:dyDescent="0.4"/>
    <row r="354" ht="23.25" customHeight="1" x14ac:dyDescent="0.4"/>
    <row r="355" ht="23.25" customHeight="1" x14ac:dyDescent="0.4"/>
    <row r="356" ht="23.25" customHeight="1" x14ac:dyDescent="0.4"/>
    <row r="357" ht="23.25" customHeight="1" x14ac:dyDescent="0.4"/>
    <row r="358" ht="23.25" customHeight="1" x14ac:dyDescent="0.4"/>
    <row r="359" ht="23.25" customHeight="1" x14ac:dyDescent="0.4"/>
    <row r="360" ht="23.25" customHeight="1" x14ac:dyDescent="0.4"/>
    <row r="361" ht="23.25" customHeight="1" x14ac:dyDescent="0.4"/>
    <row r="362" ht="23.25" customHeight="1" x14ac:dyDescent="0.4"/>
    <row r="363" ht="23.25" customHeight="1" x14ac:dyDescent="0.4"/>
    <row r="364" ht="23.25" customHeight="1" x14ac:dyDescent="0.4"/>
    <row r="365" ht="23.25" customHeight="1" x14ac:dyDescent="0.4"/>
    <row r="366" ht="23.25" customHeight="1" x14ac:dyDescent="0.4"/>
    <row r="367" ht="23.25" customHeight="1" x14ac:dyDescent="0.4"/>
    <row r="368" ht="23.25" customHeight="1" x14ac:dyDescent="0.4"/>
    <row r="369" ht="23.25" customHeight="1" x14ac:dyDescent="0.4"/>
    <row r="370" ht="23.25" customHeight="1" x14ac:dyDescent="0.4"/>
    <row r="371" ht="23.25" customHeight="1" x14ac:dyDescent="0.4"/>
    <row r="372" ht="23.25" customHeight="1" x14ac:dyDescent="0.4"/>
    <row r="373" ht="23.25" customHeight="1" x14ac:dyDescent="0.4"/>
    <row r="374" ht="23.25" customHeight="1" x14ac:dyDescent="0.4"/>
    <row r="375" ht="23.25" customHeight="1" x14ac:dyDescent="0.4"/>
    <row r="376" ht="23.25" customHeight="1" x14ac:dyDescent="0.4"/>
    <row r="377" ht="23.25" customHeight="1" x14ac:dyDescent="0.4"/>
    <row r="378" ht="23.25" customHeight="1" x14ac:dyDescent="0.4"/>
    <row r="379" ht="23.25" customHeight="1" x14ac:dyDescent="0.4"/>
    <row r="380" ht="23.25" customHeight="1" x14ac:dyDescent="0.4"/>
    <row r="381" ht="23.25" customHeight="1" x14ac:dyDescent="0.4"/>
    <row r="382" ht="23.25" customHeight="1" x14ac:dyDescent="0.4"/>
    <row r="383" ht="23.25" customHeight="1" x14ac:dyDescent="0.4"/>
    <row r="384" ht="23.25" customHeight="1" x14ac:dyDescent="0.4"/>
    <row r="385" ht="23.25" customHeight="1" x14ac:dyDescent="0.4"/>
    <row r="386" ht="23.25" customHeight="1" x14ac:dyDescent="0.4"/>
    <row r="387" ht="23.25" customHeight="1" x14ac:dyDescent="0.4"/>
    <row r="388" ht="23.25" customHeight="1" x14ac:dyDescent="0.4"/>
    <row r="389" ht="23.25" customHeight="1" x14ac:dyDescent="0.4"/>
    <row r="390" ht="23.25" customHeight="1" x14ac:dyDescent="0.4"/>
    <row r="391" ht="23.25" customHeight="1" x14ac:dyDescent="0.4"/>
    <row r="392" ht="23.25" customHeight="1" x14ac:dyDescent="0.4"/>
    <row r="393" ht="23.25" customHeight="1" x14ac:dyDescent="0.4"/>
    <row r="394" ht="23.25" customHeight="1" x14ac:dyDescent="0.4"/>
    <row r="395" ht="23.25" customHeight="1" x14ac:dyDescent="0.4"/>
    <row r="396" ht="23.25" customHeight="1" x14ac:dyDescent="0.4"/>
    <row r="397" ht="23.25" customHeight="1" x14ac:dyDescent="0.4"/>
    <row r="398" ht="23.25" customHeight="1" x14ac:dyDescent="0.4"/>
    <row r="399" ht="23.25" customHeight="1" x14ac:dyDescent="0.4"/>
    <row r="400" ht="23.25" customHeight="1" x14ac:dyDescent="0.4"/>
    <row r="401" ht="23.25" customHeight="1" x14ac:dyDescent="0.4"/>
    <row r="402" ht="23.25" customHeight="1" x14ac:dyDescent="0.4"/>
    <row r="403" ht="23.25" customHeight="1" x14ac:dyDescent="0.4"/>
    <row r="404" ht="23.25" customHeight="1" x14ac:dyDescent="0.4"/>
    <row r="405" ht="23.25" customHeight="1" x14ac:dyDescent="0.4"/>
    <row r="406" ht="23.25" customHeight="1" x14ac:dyDescent="0.4"/>
    <row r="407" ht="23.25" customHeight="1" x14ac:dyDescent="0.4"/>
    <row r="408" ht="23.25" customHeight="1" x14ac:dyDescent="0.4"/>
    <row r="409" ht="23.25" customHeight="1" x14ac:dyDescent="0.4"/>
    <row r="410" ht="23.25" customHeight="1" x14ac:dyDescent="0.4"/>
    <row r="411" ht="23.25" customHeight="1" x14ac:dyDescent="0.4"/>
    <row r="412" ht="23.25" customHeight="1" x14ac:dyDescent="0.4"/>
    <row r="413" ht="23.25" customHeight="1" x14ac:dyDescent="0.4"/>
    <row r="414" ht="23.25" customHeight="1" x14ac:dyDescent="0.4"/>
    <row r="415" ht="23.25" customHeight="1" x14ac:dyDescent="0.4"/>
    <row r="416" ht="23.25" customHeight="1" x14ac:dyDescent="0.4"/>
    <row r="417" ht="23.25" customHeight="1" x14ac:dyDescent="0.4"/>
    <row r="418" ht="23.25" customHeight="1" x14ac:dyDescent="0.4"/>
    <row r="419" ht="23.25" customHeight="1" x14ac:dyDescent="0.4"/>
    <row r="420" ht="23.25" customHeight="1" x14ac:dyDescent="0.4"/>
    <row r="421" ht="23.25" customHeight="1" x14ac:dyDescent="0.4"/>
    <row r="422" ht="23.25" customHeight="1" x14ac:dyDescent="0.4"/>
    <row r="423" ht="23.25" customHeight="1" x14ac:dyDescent="0.4"/>
    <row r="424" ht="23.25" customHeight="1" x14ac:dyDescent="0.4"/>
    <row r="425" ht="23.25" customHeight="1" x14ac:dyDescent="0.4"/>
    <row r="426" ht="23.25" customHeight="1" x14ac:dyDescent="0.4"/>
    <row r="427" ht="23.25" customHeight="1" x14ac:dyDescent="0.4"/>
    <row r="428" ht="23.25" customHeight="1" x14ac:dyDescent="0.4"/>
    <row r="429" ht="23.25" customHeight="1" x14ac:dyDescent="0.4"/>
    <row r="430" ht="23.25" customHeight="1" x14ac:dyDescent="0.4"/>
    <row r="431" ht="23.25" customHeight="1" x14ac:dyDescent="0.4"/>
    <row r="432" ht="23.25" customHeight="1" x14ac:dyDescent="0.4"/>
    <row r="433" ht="23.25" customHeight="1" x14ac:dyDescent="0.4"/>
    <row r="434" ht="23.25" customHeight="1" x14ac:dyDescent="0.4"/>
    <row r="435" ht="23.25" customHeight="1" x14ac:dyDescent="0.4"/>
    <row r="436" ht="23.25" customHeight="1" x14ac:dyDescent="0.4"/>
    <row r="437" ht="23.25" customHeight="1" x14ac:dyDescent="0.4"/>
    <row r="438" ht="23.25" customHeight="1" x14ac:dyDescent="0.4"/>
    <row r="439" ht="23.25" customHeight="1" x14ac:dyDescent="0.4"/>
    <row r="440" ht="23.25" customHeight="1" x14ac:dyDescent="0.4"/>
    <row r="441" ht="23.25" customHeight="1" x14ac:dyDescent="0.4"/>
    <row r="442" ht="23.25" customHeight="1" x14ac:dyDescent="0.4"/>
    <row r="443" ht="23.25" customHeight="1" x14ac:dyDescent="0.4"/>
    <row r="444" ht="23.25" customHeight="1" x14ac:dyDescent="0.4"/>
    <row r="445" ht="23.25" customHeight="1" x14ac:dyDescent="0.4"/>
    <row r="446" ht="23.25" customHeight="1" x14ac:dyDescent="0.4"/>
    <row r="447" ht="23.25" customHeight="1" x14ac:dyDescent="0.4"/>
    <row r="448" ht="23.25" customHeight="1" x14ac:dyDescent="0.4"/>
    <row r="449" ht="23.25" customHeight="1" x14ac:dyDescent="0.4"/>
    <row r="450" ht="23.25" customHeight="1" x14ac:dyDescent="0.4"/>
    <row r="451" ht="23.25" customHeight="1" x14ac:dyDescent="0.4"/>
    <row r="452" ht="23.25" customHeight="1" x14ac:dyDescent="0.4"/>
    <row r="453" ht="23.25" customHeight="1" x14ac:dyDescent="0.4"/>
    <row r="454" ht="23.25" customHeight="1" x14ac:dyDescent="0.4"/>
    <row r="455" ht="23.25" customHeight="1" x14ac:dyDescent="0.4"/>
    <row r="456" ht="23.25" customHeight="1" x14ac:dyDescent="0.4"/>
    <row r="457" ht="23.25" customHeight="1" x14ac:dyDescent="0.4"/>
    <row r="458" ht="23.25" customHeight="1" x14ac:dyDescent="0.4"/>
    <row r="459" ht="23.25" customHeight="1" x14ac:dyDescent="0.4"/>
    <row r="460" ht="23.25" customHeight="1" x14ac:dyDescent="0.4"/>
    <row r="461" ht="23.25" customHeight="1" x14ac:dyDescent="0.4"/>
    <row r="462" ht="23.25" customHeight="1" x14ac:dyDescent="0.4"/>
    <row r="463" ht="23.25" customHeight="1" x14ac:dyDescent="0.4"/>
    <row r="464" ht="23.25" customHeight="1" x14ac:dyDescent="0.4"/>
    <row r="465" ht="23.25" customHeight="1" x14ac:dyDescent="0.4"/>
    <row r="466" ht="23.25" customHeight="1" x14ac:dyDescent="0.4"/>
    <row r="467" ht="23.25" customHeight="1" x14ac:dyDescent="0.4"/>
    <row r="468" ht="23.25" customHeight="1" x14ac:dyDescent="0.4"/>
    <row r="469" ht="23.25" customHeight="1" x14ac:dyDescent="0.4"/>
    <row r="470" ht="23.25" customHeight="1" x14ac:dyDescent="0.4"/>
    <row r="471" ht="23.25" customHeight="1" x14ac:dyDescent="0.4"/>
    <row r="472" ht="23.25" customHeight="1" x14ac:dyDescent="0.4"/>
    <row r="473" ht="23.25" customHeight="1" x14ac:dyDescent="0.4"/>
    <row r="474" ht="23.25" customHeight="1" x14ac:dyDescent="0.4"/>
    <row r="475" ht="23.25" customHeight="1" x14ac:dyDescent="0.4"/>
    <row r="476" ht="23.25" customHeight="1" x14ac:dyDescent="0.4"/>
    <row r="477" ht="23.25" customHeight="1" x14ac:dyDescent="0.4"/>
    <row r="478" ht="23.25" customHeight="1" x14ac:dyDescent="0.4"/>
    <row r="479" ht="23.25" customHeight="1" x14ac:dyDescent="0.4"/>
    <row r="480" ht="23.25" customHeight="1" x14ac:dyDescent="0.4"/>
    <row r="481" ht="23.25" customHeight="1" x14ac:dyDescent="0.4"/>
    <row r="482" ht="23.25" customHeight="1" x14ac:dyDescent="0.4"/>
    <row r="483" ht="23.25" customHeight="1" x14ac:dyDescent="0.4"/>
    <row r="484" ht="23.25" customHeight="1" x14ac:dyDescent="0.4"/>
    <row r="485" ht="23.25" customHeight="1" x14ac:dyDescent="0.4"/>
    <row r="486" ht="23.25" customHeight="1" x14ac:dyDescent="0.4"/>
    <row r="487" ht="23.25" customHeight="1" x14ac:dyDescent="0.4"/>
    <row r="488" ht="23.25" customHeight="1" x14ac:dyDescent="0.4"/>
    <row r="489" ht="23.25" customHeight="1" x14ac:dyDescent="0.4"/>
    <row r="490" ht="23.25" customHeight="1" x14ac:dyDescent="0.4"/>
    <row r="491" ht="23.25" customHeight="1" x14ac:dyDescent="0.4"/>
    <row r="492" ht="23.25" customHeight="1" x14ac:dyDescent="0.4"/>
    <row r="493" ht="23.25" customHeight="1" x14ac:dyDescent="0.4"/>
    <row r="494" ht="23.25" customHeight="1" x14ac:dyDescent="0.4"/>
    <row r="495" ht="23.25" customHeight="1" x14ac:dyDescent="0.4"/>
    <row r="496" ht="23.25" customHeight="1" x14ac:dyDescent="0.4"/>
    <row r="497" ht="23.25" customHeight="1" x14ac:dyDescent="0.4"/>
    <row r="498" ht="23.25" customHeight="1" x14ac:dyDescent="0.4"/>
    <row r="499" ht="23.25" customHeight="1" x14ac:dyDescent="0.4"/>
    <row r="500" ht="23.25" customHeight="1" x14ac:dyDescent="0.4"/>
    <row r="501" ht="23.25" customHeight="1" x14ac:dyDescent="0.4"/>
    <row r="502" ht="23.25" customHeight="1" x14ac:dyDescent="0.4"/>
    <row r="503" ht="23.25" customHeight="1" x14ac:dyDescent="0.4"/>
    <row r="504" ht="23.25" customHeight="1" x14ac:dyDescent="0.4"/>
    <row r="505" ht="23.25" customHeight="1" x14ac:dyDescent="0.4"/>
    <row r="506" ht="23.25" customHeight="1" x14ac:dyDescent="0.4"/>
    <row r="507" ht="23.25" customHeight="1" x14ac:dyDescent="0.4"/>
    <row r="508" ht="23.25" customHeight="1" x14ac:dyDescent="0.4"/>
    <row r="509" ht="23.25" customHeight="1" x14ac:dyDescent="0.4"/>
    <row r="510" ht="23.25" customHeight="1" x14ac:dyDescent="0.4"/>
    <row r="511" ht="23.25" customHeight="1" x14ac:dyDescent="0.4"/>
    <row r="512" ht="23.25" customHeight="1" x14ac:dyDescent="0.4"/>
    <row r="513" ht="23.25" customHeight="1" x14ac:dyDescent="0.4"/>
    <row r="514" ht="23.25" customHeight="1" x14ac:dyDescent="0.4"/>
    <row r="515" ht="23.25" customHeight="1" x14ac:dyDescent="0.4"/>
    <row r="516" ht="23.25" customHeight="1" x14ac:dyDescent="0.4"/>
    <row r="517" ht="23.25" customHeight="1" x14ac:dyDescent="0.4"/>
    <row r="518" ht="23.25" customHeight="1" x14ac:dyDescent="0.4"/>
    <row r="519" ht="23.25" customHeight="1" x14ac:dyDescent="0.4"/>
    <row r="520" ht="23.25" customHeight="1" x14ac:dyDescent="0.4"/>
    <row r="521" ht="23.25" customHeight="1" x14ac:dyDescent="0.4"/>
    <row r="522" ht="23.25" customHeight="1" x14ac:dyDescent="0.4"/>
    <row r="523" ht="23.25" customHeight="1" x14ac:dyDescent="0.4"/>
    <row r="524" ht="23.25" customHeight="1" x14ac:dyDescent="0.4"/>
    <row r="525" ht="23.25" customHeight="1" x14ac:dyDescent="0.4"/>
    <row r="526" ht="23.25" customHeight="1" x14ac:dyDescent="0.4"/>
    <row r="527" ht="23.25" customHeight="1" x14ac:dyDescent="0.4"/>
    <row r="528" ht="23.25" customHeight="1" x14ac:dyDescent="0.4"/>
    <row r="529" ht="23.25" customHeight="1" x14ac:dyDescent="0.4"/>
    <row r="530" ht="23.25" customHeight="1" x14ac:dyDescent="0.4"/>
    <row r="531" ht="23.25" customHeight="1" x14ac:dyDescent="0.4"/>
    <row r="532" ht="23.25" customHeight="1" x14ac:dyDescent="0.4"/>
    <row r="533" ht="23.25" customHeight="1" x14ac:dyDescent="0.4"/>
    <row r="534" ht="23.25" customHeight="1" x14ac:dyDescent="0.4"/>
    <row r="535" ht="23.25" customHeight="1" x14ac:dyDescent="0.4"/>
    <row r="536" ht="23.25" customHeight="1" x14ac:dyDescent="0.4"/>
    <row r="537" ht="23.25" customHeight="1" x14ac:dyDescent="0.4"/>
    <row r="538" ht="23.25" customHeight="1" x14ac:dyDescent="0.4"/>
    <row r="539" ht="23.25" customHeight="1" x14ac:dyDescent="0.4"/>
    <row r="540" ht="23.25" customHeight="1" x14ac:dyDescent="0.4"/>
    <row r="541" ht="23.25" customHeight="1" x14ac:dyDescent="0.4"/>
    <row r="542" ht="23.25" customHeight="1" x14ac:dyDescent="0.4"/>
    <row r="543" ht="23.25" customHeight="1" x14ac:dyDescent="0.4"/>
    <row r="544" ht="23.25" customHeight="1" x14ac:dyDescent="0.4"/>
    <row r="545" ht="23.25" customHeight="1" x14ac:dyDescent="0.4"/>
    <row r="546" ht="23.25" customHeight="1" x14ac:dyDescent="0.4"/>
    <row r="547" ht="23.25" customHeight="1" x14ac:dyDescent="0.4"/>
    <row r="548" ht="23.25" customHeight="1" x14ac:dyDescent="0.4"/>
    <row r="549" ht="23.25" customHeight="1" x14ac:dyDescent="0.4"/>
    <row r="550" ht="23.25" customHeight="1" x14ac:dyDescent="0.4"/>
    <row r="551" ht="23.25" customHeight="1" x14ac:dyDescent="0.4"/>
    <row r="552" ht="23.25" customHeight="1" x14ac:dyDescent="0.4"/>
    <row r="553" ht="23.25" customHeight="1" x14ac:dyDescent="0.4"/>
    <row r="554" ht="23.25" customHeight="1" x14ac:dyDescent="0.4"/>
    <row r="555" ht="23.25" customHeight="1" x14ac:dyDescent="0.4"/>
    <row r="556" ht="23.25" customHeight="1" x14ac:dyDescent="0.4"/>
    <row r="557" ht="23.25" customHeight="1" x14ac:dyDescent="0.4"/>
    <row r="558" ht="23.25" customHeight="1" x14ac:dyDescent="0.4"/>
    <row r="559" ht="23.25" customHeight="1" x14ac:dyDescent="0.4"/>
    <row r="560" ht="23.25" customHeight="1" x14ac:dyDescent="0.4"/>
    <row r="561" ht="23.25" customHeight="1" x14ac:dyDescent="0.4"/>
    <row r="562" ht="23.25" customHeight="1" x14ac:dyDescent="0.4"/>
    <row r="563" ht="23.25" customHeight="1" x14ac:dyDescent="0.4"/>
    <row r="564" ht="23.25" customHeight="1" x14ac:dyDescent="0.4"/>
    <row r="565" ht="23.25" customHeight="1" x14ac:dyDescent="0.4"/>
    <row r="566" ht="23.25" customHeight="1" x14ac:dyDescent="0.4"/>
    <row r="567" ht="23.25" customHeight="1" x14ac:dyDescent="0.4"/>
    <row r="568" ht="23.25" customHeight="1" x14ac:dyDescent="0.4"/>
    <row r="569" ht="23.25" customHeight="1" x14ac:dyDescent="0.4"/>
    <row r="570" ht="23.25" customHeight="1" x14ac:dyDescent="0.4"/>
    <row r="571" ht="23.25" customHeight="1" x14ac:dyDescent="0.4"/>
    <row r="572" ht="23.25" customHeight="1" x14ac:dyDescent="0.4"/>
    <row r="573" ht="23.25" customHeight="1" x14ac:dyDescent="0.4"/>
    <row r="574" ht="23.25" customHeight="1" x14ac:dyDescent="0.4"/>
    <row r="575" ht="23.25" customHeight="1" x14ac:dyDescent="0.4"/>
    <row r="576" ht="23.25" customHeight="1" x14ac:dyDescent="0.4"/>
    <row r="577" ht="23.25" customHeight="1" x14ac:dyDescent="0.4"/>
    <row r="578" ht="23.25" customHeight="1" x14ac:dyDescent="0.4"/>
    <row r="579" ht="23.25" customHeight="1" x14ac:dyDescent="0.4"/>
    <row r="580" ht="23.25" customHeight="1" x14ac:dyDescent="0.4"/>
    <row r="581" ht="23.25" customHeight="1" x14ac:dyDescent="0.4"/>
    <row r="582" ht="23.25" customHeight="1" x14ac:dyDescent="0.4"/>
    <row r="583" ht="23.25" customHeight="1" x14ac:dyDescent="0.4"/>
    <row r="584" ht="23.25" customHeight="1" x14ac:dyDescent="0.4"/>
    <row r="585" ht="23.25" customHeight="1" x14ac:dyDescent="0.4"/>
    <row r="586" ht="23.25" customHeight="1" x14ac:dyDescent="0.4"/>
    <row r="587" ht="23.25" customHeight="1" x14ac:dyDescent="0.4"/>
    <row r="588" ht="23.25" customHeight="1" x14ac:dyDescent="0.4"/>
    <row r="589" ht="23.25" customHeight="1" x14ac:dyDescent="0.4"/>
    <row r="590" ht="23.25" customHeight="1" x14ac:dyDescent="0.4"/>
    <row r="591" ht="23.25" customHeight="1" x14ac:dyDescent="0.4"/>
    <row r="592" ht="23.25" customHeight="1" x14ac:dyDescent="0.4"/>
    <row r="593" ht="23.25" customHeight="1" x14ac:dyDescent="0.4"/>
    <row r="594" ht="23.25" customHeight="1" x14ac:dyDescent="0.4"/>
    <row r="595" ht="23.25" customHeight="1" x14ac:dyDescent="0.4"/>
    <row r="596" ht="23.25" customHeight="1" x14ac:dyDescent="0.4"/>
    <row r="597" ht="23.25" customHeight="1" x14ac:dyDescent="0.4"/>
    <row r="598" ht="23.25" customHeight="1" x14ac:dyDescent="0.4"/>
    <row r="599" ht="23.25" customHeight="1" x14ac:dyDescent="0.4"/>
    <row r="600" ht="23.25" customHeight="1" x14ac:dyDescent="0.4"/>
    <row r="601" ht="23.25" customHeight="1" x14ac:dyDescent="0.4"/>
    <row r="602" ht="23.25" customHeight="1" x14ac:dyDescent="0.4"/>
    <row r="603" ht="23.25" customHeight="1" x14ac:dyDescent="0.4"/>
    <row r="604" ht="23.25" customHeight="1" x14ac:dyDescent="0.4"/>
    <row r="605" ht="23.25" customHeight="1" x14ac:dyDescent="0.4"/>
    <row r="606" ht="23.25" customHeight="1" x14ac:dyDescent="0.4"/>
    <row r="607" ht="23.25" customHeight="1" x14ac:dyDescent="0.4"/>
    <row r="608" ht="23.25" customHeight="1" x14ac:dyDescent="0.4"/>
    <row r="609" ht="23.25" customHeight="1" x14ac:dyDescent="0.4"/>
    <row r="610" ht="23.25" customHeight="1" x14ac:dyDescent="0.4"/>
    <row r="611" ht="23.25" customHeight="1" x14ac:dyDescent="0.4"/>
    <row r="612" ht="23.25" customHeight="1" x14ac:dyDescent="0.4"/>
    <row r="613" ht="23.25" customHeight="1" x14ac:dyDescent="0.4"/>
    <row r="614" ht="23.25" customHeight="1" x14ac:dyDescent="0.4"/>
    <row r="615" ht="23.25" customHeight="1" x14ac:dyDescent="0.4"/>
    <row r="616" ht="23.25" customHeight="1" x14ac:dyDescent="0.4"/>
    <row r="617" ht="23.25" customHeight="1" x14ac:dyDescent="0.4"/>
    <row r="618" ht="23.25" customHeight="1" x14ac:dyDescent="0.4"/>
    <row r="619" ht="23.25" customHeight="1" x14ac:dyDescent="0.4"/>
    <row r="620" ht="23.25" customHeight="1" x14ac:dyDescent="0.4"/>
    <row r="621" ht="23.25" customHeight="1" x14ac:dyDescent="0.4"/>
    <row r="622" ht="23.25" customHeight="1" x14ac:dyDescent="0.4"/>
    <row r="623" ht="23.25" customHeight="1" x14ac:dyDescent="0.4"/>
    <row r="624" ht="23.25" customHeight="1" x14ac:dyDescent="0.4"/>
    <row r="625" ht="23.25" customHeight="1" x14ac:dyDescent="0.4"/>
    <row r="626" ht="23.25" customHeight="1" x14ac:dyDescent="0.4"/>
    <row r="627" ht="23.25" customHeight="1" x14ac:dyDescent="0.4"/>
    <row r="628" ht="23.25" customHeight="1" x14ac:dyDescent="0.4"/>
    <row r="629" ht="23.25" customHeight="1" x14ac:dyDescent="0.4"/>
    <row r="630" ht="23.25" customHeight="1" x14ac:dyDescent="0.4"/>
    <row r="631" ht="23.25" customHeight="1" x14ac:dyDescent="0.4"/>
    <row r="632" ht="23.25" customHeight="1" x14ac:dyDescent="0.4"/>
    <row r="633" ht="23.25" customHeight="1" x14ac:dyDescent="0.4"/>
    <row r="634" ht="23.25" customHeight="1" x14ac:dyDescent="0.4"/>
    <row r="635" ht="23.25" customHeight="1" x14ac:dyDescent="0.4"/>
    <row r="636" ht="23.25" customHeight="1" x14ac:dyDescent="0.4"/>
    <row r="637" ht="23.25" customHeight="1" x14ac:dyDescent="0.4"/>
    <row r="638" ht="23.25" customHeight="1" x14ac:dyDescent="0.4"/>
    <row r="639" ht="23.25" customHeight="1" x14ac:dyDescent="0.4"/>
    <row r="640" ht="23.25" customHeight="1" x14ac:dyDescent="0.4"/>
    <row r="641" ht="23.25" customHeight="1" x14ac:dyDescent="0.4"/>
    <row r="642" ht="23.25" customHeight="1" x14ac:dyDescent="0.4"/>
    <row r="643" ht="23.25" customHeight="1" x14ac:dyDescent="0.4"/>
    <row r="644" ht="23.25" customHeight="1" x14ac:dyDescent="0.4"/>
    <row r="645" ht="23.25" customHeight="1" x14ac:dyDescent="0.4"/>
    <row r="646" ht="23.25" customHeight="1" x14ac:dyDescent="0.4"/>
    <row r="647" ht="23.25" customHeight="1" x14ac:dyDescent="0.4"/>
    <row r="648" ht="23.25" customHeight="1" x14ac:dyDescent="0.4"/>
    <row r="649" ht="23.25" customHeight="1" x14ac:dyDescent="0.4"/>
    <row r="650" ht="23.25" customHeight="1" x14ac:dyDescent="0.4"/>
    <row r="651" ht="23.25" customHeight="1" x14ac:dyDescent="0.4"/>
    <row r="652" ht="23.25" customHeight="1" x14ac:dyDescent="0.4"/>
    <row r="653" ht="23.25" customHeight="1" x14ac:dyDescent="0.4"/>
    <row r="654" ht="23.25" customHeight="1" x14ac:dyDescent="0.4"/>
    <row r="655" ht="23.25" customHeight="1" x14ac:dyDescent="0.4"/>
    <row r="656" ht="23.25" customHeight="1" x14ac:dyDescent="0.4"/>
    <row r="657" ht="23.25" customHeight="1" x14ac:dyDescent="0.4"/>
    <row r="658" ht="23.25" customHeight="1" x14ac:dyDescent="0.4"/>
    <row r="659" ht="23.25" customHeight="1" x14ac:dyDescent="0.4"/>
    <row r="660" ht="23.25" customHeight="1" x14ac:dyDescent="0.4"/>
    <row r="661" ht="23.25" customHeight="1" x14ac:dyDescent="0.4"/>
    <row r="662" ht="23.25" customHeight="1" x14ac:dyDescent="0.4"/>
    <row r="663" ht="23.25" customHeight="1" x14ac:dyDescent="0.4"/>
    <row r="664" ht="23.25" customHeight="1" x14ac:dyDescent="0.4"/>
    <row r="665" ht="23.25" customHeight="1" x14ac:dyDescent="0.4"/>
    <row r="666" ht="23.25" customHeight="1" x14ac:dyDescent="0.4"/>
    <row r="667" ht="23.25" customHeight="1" x14ac:dyDescent="0.4"/>
    <row r="668" ht="23.25" customHeight="1" x14ac:dyDescent="0.4"/>
    <row r="669" ht="23.25" customHeight="1" x14ac:dyDescent="0.4"/>
    <row r="670" ht="23.25" customHeight="1" x14ac:dyDescent="0.4"/>
    <row r="671" ht="23.25" customHeight="1" x14ac:dyDescent="0.4"/>
    <row r="672" ht="23.25" customHeight="1" x14ac:dyDescent="0.4"/>
    <row r="673" ht="23.25" customHeight="1" x14ac:dyDescent="0.4"/>
    <row r="674" ht="23.25" customHeight="1" x14ac:dyDescent="0.4"/>
    <row r="675" ht="23.25" customHeight="1" x14ac:dyDescent="0.4"/>
    <row r="676" ht="23.25" customHeight="1" x14ac:dyDescent="0.4"/>
    <row r="677" ht="23.25" customHeight="1" x14ac:dyDescent="0.4"/>
    <row r="678" ht="23.25" customHeight="1" x14ac:dyDescent="0.4"/>
    <row r="679" ht="23.25" customHeight="1" x14ac:dyDescent="0.4"/>
    <row r="680" ht="23.25" customHeight="1" x14ac:dyDescent="0.4"/>
    <row r="681" ht="23.25" customHeight="1" x14ac:dyDescent="0.4"/>
    <row r="682" ht="23.25" customHeight="1" x14ac:dyDescent="0.4"/>
    <row r="683" ht="23.25" customHeight="1" x14ac:dyDescent="0.4"/>
    <row r="684" ht="23.25" customHeight="1" x14ac:dyDescent="0.4"/>
    <row r="685" ht="23.25" customHeight="1" x14ac:dyDescent="0.4"/>
    <row r="686" ht="23.25" customHeight="1" x14ac:dyDescent="0.4"/>
    <row r="687" ht="23.25" customHeight="1" x14ac:dyDescent="0.4"/>
    <row r="688" ht="23.25" customHeight="1" x14ac:dyDescent="0.4"/>
    <row r="689" ht="23.25" customHeight="1" x14ac:dyDescent="0.4"/>
    <row r="690" ht="23.25" customHeight="1" x14ac:dyDescent="0.4"/>
    <row r="691" ht="23.25" customHeight="1" x14ac:dyDescent="0.4"/>
    <row r="692" ht="23.25" customHeight="1" x14ac:dyDescent="0.4"/>
    <row r="693" ht="23.25" customHeight="1" x14ac:dyDescent="0.4"/>
    <row r="694" ht="23.25" customHeight="1" x14ac:dyDescent="0.4"/>
    <row r="695" ht="23.25" customHeight="1" x14ac:dyDescent="0.4"/>
    <row r="696" ht="23.25" customHeight="1" x14ac:dyDescent="0.4"/>
    <row r="697" ht="23.25" customHeight="1" x14ac:dyDescent="0.4"/>
    <row r="698" ht="23.25" customHeight="1" x14ac:dyDescent="0.4"/>
    <row r="699" ht="23.25" customHeight="1" x14ac:dyDescent="0.4"/>
    <row r="700" ht="23.25" customHeight="1" x14ac:dyDescent="0.4"/>
    <row r="701" ht="23.25" customHeight="1" x14ac:dyDescent="0.4"/>
    <row r="702" ht="23.25" customHeight="1" x14ac:dyDescent="0.4"/>
    <row r="703" ht="23.25" customHeight="1" x14ac:dyDescent="0.4"/>
    <row r="704" ht="23.25" customHeight="1" x14ac:dyDescent="0.4"/>
    <row r="705" ht="23.25" customHeight="1" x14ac:dyDescent="0.4"/>
    <row r="706" ht="23.25" customHeight="1" x14ac:dyDescent="0.4"/>
    <row r="707" ht="23.25" customHeight="1" x14ac:dyDescent="0.4"/>
    <row r="708" ht="23.25" customHeight="1" x14ac:dyDescent="0.4"/>
    <row r="709" ht="23.25" customHeight="1" x14ac:dyDescent="0.4"/>
    <row r="710" ht="23.25" customHeight="1" x14ac:dyDescent="0.4"/>
    <row r="711" ht="23.25" customHeight="1" x14ac:dyDescent="0.4"/>
    <row r="712" ht="23.25" customHeight="1" x14ac:dyDescent="0.4"/>
    <row r="713" ht="23.25" customHeight="1" x14ac:dyDescent="0.4"/>
    <row r="714" ht="23.25" customHeight="1" x14ac:dyDescent="0.4"/>
    <row r="715" ht="23.25" customHeight="1" x14ac:dyDescent="0.4"/>
    <row r="716" ht="23.25" customHeight="1" x14ac:dyDescent="0.4"/>
    <row r="717" ht="23.25" customHeight="1" x14ac:dyDescent="0.4"/>
    <row r="718" ht="23.25" customHeight="1" x14ac:dyDescent="0.4"/>
    <row r="719" ht="23.25" customHeight="1" x14ac:dyDescent="0.4"/>
    <row r="720" ht="23.25" customHeight="1" x14ac:dyDescent="0.4"/>
    <row r="721" ht="23.25" customHeight="1" x14ac:dyDescent="0.4"/>
    <row r="722" ht="23.25" customHeight="1" x14ac:dyDescent="0.4"/>
    <row r="723" ht="23.25" customHeight="1" x14ac:dyDescent="0.4"/>
    <row r="724" ht="23.25" customHeight="1" x14ac:dyDescent="0.4"/>
    <row r="725" ht="23.25" customHeight="1" x14ac:dyDescent="0.4"/>
    <row r="726" ht="23.25" customHeight="1" x14ac:dyDescent="0.4"/>
    <row r="727" ht="23.25" customHeight="1" x14ac:dyDescent="0.4"/>
    <row r="728" ht="23.25" customHeight="1" x14ac:dyDescent="0.4"/>
    <row r="729" ht="23.25" customHeight="1" x14ac:dyDescent="0.4"/>
    <row r="730" ht="23.25" customHeight="1" x14ac:dyDescent="0.4"/>
    <row r="731" ht="23.25" customHeight="1" x14ac:dyDescent="0.4"/>
    <row r="732" ht="23.25" customHeight="1" x14ac:dyDescent="0.4"/>
    <row r="733" ht="23.25" customHeight="1" x14ac:dyDescent="0.4"/>
    <row r="734" ht="23.25" customHeight="1" x14ac:dyDescent="0.4"/>
    <row r="735" ht="23.25" customHeight="1" x14ac:dyDescent="0.4"/>
    <row r="736" ht="23.25" customHeight="1" x14ac:dyDescent="0.4"/>
    <row r="737" ht="23.25" customHeight="1" x14ac:dyDescent="0.4"/>
    <row r="738" ht="23.25" customHeight="1" x14ac:dyDescent="0.4"/>
    <row r="739" ht="23.25" customHeight="1" x14ac:dyDescent="0.4"/>
    <row r="740" ht="23.25" customHeight="1" x14ac:dyDescent="0.4"/>
    <row r="741" ht="23.25" customHeight="1" x14ac:dyDescent="0.4"/>
    <row r="742" ht="23.25" customHeight="1" x14ac:dyDescent="0.4"/>
    <row r="743" ht="23.25" customHeight="1" x14ac:dyDescent="0.4"/>
    <row r="744" ht="23.25" customHeight="1" x14ac:dyDescent="0.4"/>
    <row r="745" ht="23.25" customHeight="1" x14ac:dyDescent="0.4"/>
    <row r="746" ht="23.25" customHeight="1" x14ac:dyDescent="0.4"/>
    <row r="747" ht="23.25" customHeight="1" x14ac:dyDescent="0.4"/>
    <row r="748" ht="23.25" customHeight="1" x14ac:dyDescent="0.4"/>
    <row r="749" ht="23.25" customHeight="1" x14ac:dyDescent="0.4"/>
    <row r="750" ht="23.25" customHeight="1" x14ac:dyDescent="0.4"/>
    <row r="751" ht="23.25" customHeight="1" x14ac:dyDescent="0.4"/>
    <row r="752" ht="23.25" customHeight="1" x14ac:dyDescent="0.4"/>
    <row r="753" ht="23.25" customHeight="1" x14ac:dyDescent="0.4"/>
    <row r="754" ht="23.25" customHeight="1" x14ac:dyDescent="0.4"/>
    <row r="755" ht="23.25" customHeight="1" x14ac:dyDescent="0.4"/>
    <row r="756" ht="23.25" customHeight="1" x14ac:dyDescent="0.4"/>
    <row r="757" ht="23.25" customHeight="1" x14ac:dyDescent="0.4"/>
    <row r="758" ht="23.25" customHeight="1" x14ac:dyDescent="0.4"/>
    <row r="759" ht="23.25" customHeight="1" x14ac:dyDescent="0.4"/>
    <row r="760" ht="23.25" customHeight="1" x14ac:dyDescent="0.4"/>
    <row r="761" ht="23.25" customHeight="1" x14ac:dyDescent="0.4"/>
    <row r="762" ht="23.25" customHeight="1" x14ac:dyDescent="0.4"/>
    <row r="763" ht="23.25" customHeight="1" x14ac:dyDescent="0.4"/>
    <row r="764" ht="23.25" customHeight="1" x14ac:dyDescent="0.4"/>
    <row r="765" ht="23.25" customHeight="1" x14ac:dyDescent="0.4"/>
    <row r="766" ht="23.25" customHeight="1" x14ac:dyDescent="0.4"/>
    <row r="767" ht="23.25" customHeight="1" x14ac:dyDescent="0.4"/>
    <row r="768" ht="23.25" customHeight="1" x14ac:dyDescent="0.4"/>
    <row r="769" ht="23.25" customHeight="1" x14ac:dyDescent="0.4"/>
    <row r="770" ht="23.25" customHeight="1" x14ac:dyDescent="0.4"/>
    <row r="771" ht="23.25" customHeight="1" x14ac:dyDescent="0.4"/>
    <row r="772" ht="23.25" customHeight="1" x14ac:dyDescent="0.4"/>
    <row r="773" ht="23.25" customHeight="1" x14ac:dyDescent="0.4"/>
    <row r="774" ht="23.25" customHeight="1" x14ac:dyDescent="0.4"/>
    <row r="775" ht="23.25" customHeight="1" x14ac:dyDescent="0.4"/>
    <row r="776" ht="23.25" customHeight="1" x14ac:dyDescent="0.4"/>
    <row r="777" ht="23.25" customHeight="1" x14ac:dyDescent="0.4"/>
    <row r="778" ht="23.25" customHeight="1" x14ac:dyDescent="0.4"/>
    <row r="779" ht="23.25" customHeight="1" x14ac:dyDescent="0.4"/>
    <row r="780" ht="23.25" customHeight="1" x14ac:dyDescent="0.4"/>
    <row r="781" ht="23.25" customHeight="1" x14ac:dyDescent="0.4"/>
    <row r="782" ht="23.25" customHeight="1" x14ac:dyDescent="0.4"/>
    <row r="783" ht="23.25" customHeight="1" x14ac:dyDescent="0.4"/>
    <row r="784" ht="23.25" customHeight="1" x14ac:dyDescent="0.4"/>
    <row r="785" ht="23.25" customHeight="1" x14ac:dyDescent="0.4"/>
    <row r="786" ht="23.25" customHeight="1" x14ac:dyDescent="0.4"/>
    <row r="787" ht="23.25" customHeight="1" x14ac:dyDescent="0.4"/>
    <row r="788" ht="23.25" customHeight="1" x14ac:dyDescent="0.4"/>
    <row r="789" ht="23.25" customHeight="1" x14ac:dyDescent="0.4"/>
    <row r="790" ht="23.25" customHeight="1" x14ac:dyDescent="0.4"/>
    <row r="791" ht="23.25" customHeight="1" x14ac:dyDescent="0.4"/>
    <row r="792" ht="23.25" customHeight="1" x14ac:dyDescent="0.4"/>
    <row r="793" ht="23.25" customHeight="1" x14ac:dyDescent="0.4"/>
    <row r="794" ht="23.25" customHeight="1" x14ac:dyDescent="0.4"/>
    <row r="795" ht="23.25" customHeight="1" x14ac:dyDescent="0.4"/>
    <row r="796" ht="23.25" customHeight="1" x14ac:dyDescent="0.4"/>
    <row r="797" ht="23.25" customHeight="1" x14ac:dyDescent="0.4"/>
    <row r="798" ht="23.25" customHeight="1" x14ac:dyDescent="0.4"/>
    <row r="799" ht="23.25" customHeight="1" x14ac:dyDescent="0.4"/>
    <row r="800" ht="23.25" customHeight="1" x14ac:dyDescent="0.4"/>
    <row r="801" ht="23.25" customHeight="1" x14ac:dyDescent="0.4"/>
    <row r="802" ht="23.25" customHeight="1" x14ac:dyDescent="0.4"/>
    <row r="803" ht="23.25" customHeight="1" x14ac:dyDescent="0.4"/>
    <row r="804" ht="23.25" customHeight="1" x14ac:dyDescent="0.4"/>
    <row r="805" ht="23.25" customHeight="1" x14ac:dyDescent="0.4"/>
    <row r="806" ht="23.25" customHeight="1" x14ac:dyDescent="0.4"/>
    <row r="807" ht="23.25" customHeight="1" x14ac:dyDescent="0.4"/>
    <row r="808" ht="23.25" customHeight="1" x14ac:dyDescent="0.4"/>
    <row r="809" ht="23.25" customHeight="1" x14ac:dyDescent="0.4"/>
    <row r="810" ht="23.25" customHeight="1" x14ac:dyDescent="0.4"/>
    <row r="811" ht="23.25" customHeight="1" x14ac:dyDescent="0.4"/>
    <row r="812" ht="23.25" customHeight="1" x14ac:dyDescent="0.4"/>
    <row r="813" ht="23.25" customHeight="1" x14ac:dyDescent="0.4"/>
    <row r="814" ht="23.25" customHeight="1" x14ac:dyDescent="0.4"/>
    <row r="815" ht="23.25" customHeight="1" x14ac:dyDescent="0.4"/>
    <row r="816" ht="23.25" customHeight="1" x14ac:dyDescent="0.4"/>
    <row r="817" ht="23.25" customHeight="1" x14ac:dyDescent="0.4"/>
    <row r="818" ht="23.25" customHeight="1" x14ac:dyDescent="0.4"/>
    <row r="819" ht="23.25" customHeight="1" x14ac:dyDescent="0.4"/>
    <row r="820" ht="23.25" customHeight="1" x14ac:dyDescent="0.4"/>
    <row r="821" ht="23.25" customHeight="1" x14ac:dyDescent="0.4"/>
    <row r="822" ht="23.25" customHeight="1" x14ac:dyDescent="0.4"/>
    <row r="823" ht="23.25" customHeight="1" x14ac:dyDescent="0.4"/>
    <row r="824" ht="23.25" customHeight="1" x14ac:dyDescent="0.4"/>
    <row r="825" ht="23.25" customHeight="1" x14ac:dyDescent="0.4"/>
    <row r="826" ht="23.25" customHeight="1" x14ac:dyDescent="0.4"/>
    <row r="827" ht="23.25" customHeight="1" x14ac:dyDescent="0.4"/>
    <row r="828" ht="23.25" customHeight="1" x14ac:dyDescent="0.4"/>
    <row r="829" ht="23.25" customHeight="1" x14ac:dyDescent="0.4"/>
    <row r="830" ht="23.25" customHeight="1" x14ac:dyDescent="0.4"/>
    <row r="831" ht="23.25" customHeight="1" x14ac:dyDescent="0.4"/>
    <row r="832" ht="23.25" customHeight="1" x14ac:dyDescent="0.4"/>
    <row r="833" ht="23.25" customHeight="1" x14ac:dyDescent="0.4"/>
    <row r="834" ht="23.25" customHeight="1" x14ac:dyDescent="0.4"/>
    <row r="835" ht="23.25" customHeight="1" x14ac:dyDescent="0.4"/>
    <row r="836" ht="23.25" customHeight="1" x14ac:dyDescent="0.4"/>
    <row r="837" ht="23.25" customHeight="1" x14ac:dyDescent="0.4"/>
    <row r="838" ht="23.25" customHeight="1" x14ac:dyDescent="0.4"/>
    <row r="839" ht="23.25" customHeight="1" x14ac:dyDescent="0.4"/>
    <row r="840" ht="23.25" customHeight="1" x14ac:dyDescent="0.4"/>
    <row r="841" ht="23.25" customHeight="1" x14ac:dyDescent="0.4"/>
    <row r="842" ht="23.25" customHeight="1" x14ac:dyDescent="0.4"/>
    <row r="843" ht="23.25" customHeight="1" x14ac:dyDescent="0.4"/>
    <row r="844" ht="23.25" customHeight="1" x14ac:dyDescent="0.4"/>
    <row r="845" ht="23.25" customHeight="1" x14ac:dyDescent="0.4"/>
    <row r="846" ht="23.25" customHeight="1" x14ac:dyDescent="0.4"/>
    <row r="847" ht="23.25" customHeight="1" x14ac:dyDescent="0.4"/>
    <row r="848" ht="23.25" customHeight="1" x14ac:dyDescent="0.4"/>
    <row r="849" ht="23.25" customHeight="1" x14ac:dyDescent="0.4"/>
    <row r="850" ht="23.25" customHeight="1" x14ac:dyDescent="0.4"/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31476-06AA-4B75-A8AA-BF32B8264761}">
  <dimension ref="B1:T850"/>
  <sheetViews>
    <sheetView workbookViewId="0"/>
  </sheetViews>
  <sheetFormatPr defaultRowHeight="17.399999999999999" x14ac:dyDescent="0.4"/>
  <cols>
    <col min="1" max="1" width="2.09765625" customWidth="1"/>
    <col min="2" max="2" width="27.69921875" customWidth="1"/>
    <col min="3" max="6" width="7" customWidth="1"/>
    <col min="7" max="7" width="30.8984375" customWidth="1"/>
    <col min="8" max="8" width="6.3984375" customWidth="1"/>
    <col min="9" max="9" width="18.69921875" customWidth="1"/>
    <col min="10" max="10" width="6.8984375" customWidth="1"/>
    <col min="11" max="11" width="46.69921875" customWidth="1"/>
    <col min="12" max="12" width="11.19921875" customWidth="1"/>
    <col min="13" max="13" width="9.796875" customWidth="1"/>
    <col min="14" max="14" width="13.796875" customWidth="1"/>
    <col min="15" max="16" width="9.796875" customWidth="1"/>
    <col min="17" max="17" width="11.796875" customWidth="1"/>
    <col min="18" max="18" width="12.19921875" customWidth="1"/>
    <col min="19" max="19" width="33.296875" customWidth="1"/>
    <col min="20" max="20" width="57.59765625" customWidth="1"/>
    <col min="21" max="30" width="8.8984375" customWidth="1"/>
  </cols>
  <sheetData>
    <row r="1" spans="2:20" ht="23.25" customHeight="1" x14ac:dyDescent="0.4">
      <c r="B1" s="107" t="s">
        <v>2385</v>
      </c>
      <c r="C1" s="109">
        <v>11.01</v>
      </c>
      <c r="D1" s="15" t="s">
        <v>23</v>
      </c>
      <c r="E1" s="90" t="s">
        <v>2386</v>
      </c>
      <c r="I1" s="44" t="s">
        <v>2387</v>
      </c>
      <c r="L1" s="5">
        <v>1</v>
      </c>
      <c r="M1" s="5">
        <v>6000</v>
      </c>
      <c r="N1" s="5">
        <f>+M1*L1</f>
        <v>6000</v>
      </c>
      <c r="Q1" s="5">
        <f>+N1</f>
        <v>6000</v>
      </c>
      <c r="R1" s="8" t="s">
        <v>2388</v>
      </c>
    </row>
    <row r="2" spans="2:20" ht="23.25" customHeight="1" x14ac:dyDescent="0.4">
      <c r="B2" s="107" t="s">
        <v>2389</v>
      </c>
      <c r="C2" s="18">
        <v>3.07</v>
      </c>
      <c r="D2" s="16" t="s">
        <v>28</v>
      </c>
      <c r="E2" s="20">
        <v>9.0299999999999994</v>
      </c>
      <c r="I2" s="44" t="s">
        <v>2390</v>
      </c>
      <c r="L2" s="5">
        <v>1</v>
      </c>
      <c r="M2" s="5">
        <v>6000</v>
      </c>
      <c r="N2" s="5">
        <f>+M2*L2</f>
        <v>6000</v>
      </c>
      <c r="O2" s="5">
        <f>+N2/1.1</f>
        <v>5454.545454545454</v>
      </c>
      <c r="P2" s="5">
        <f>+N2-O2</f>
        <v>545.45454545454595</v>
      </c>
      <c r="Q2" s="5">
        <f>+N2</f>
        <v>6000</v>
      </c>
      <c r="R2" s="8" t="s">
        <v>2391</v>
      </c>
    </row>
    <row r="3" spans="2:20" ht="23.25" customHeight="1" x14ac:dyDescent="0.4">
      <c r="B3" s="4" t="s">
        <v>701</v>
      </c>
      <c r="M3" s="109" t="s">
        <v>24</v>
      </c>
      <c r="N3" s="20" t="s">
        <v>24</v>
      </c>
      <c r="O3" s="18" t="s">
        <v>24</v>
      </c>
      <c r="P3" s="8" t="s">
        <v>2449</v>
      </c>
      <c r="Q3" s="5" t="s">
        <v>2472</v>
      </c>
      <c r="R3" s="18" t="s">
        <v>2394</v>
      </c>
    </row>
    <row r="4" spans="2:20" ht="24.75" customHeight="1" x14ac:dyDescent="0.4">
      <c r="K4" s="65" t="s">
        <v>2473</v>
      </c>
    </row>
    <row r="5" spans="2:20" ht="24.75" customHeight="1" x14ac:dyDescent="0.4">
      <c r="B5" s="108" t="s">
        <v>2396</v>
      </c>
      <c r="G5" s="113" t="s">
        <v>2397</v>
      </c>
      <c r="K5" s="65" t="s">
        <v>2398</v>
      </c>
    </row>
    <row r="6" spans="2:20" ht="37.5" customHeight="1" x14ac:dyDescent="0.4">
      <c r="B6" s="10" t="s">
        <v>30</v>
      </c>
      <c r="C6" s="110" t="s">
        <v>31</v>
      </c>
      <c r="D6" s="10" t="s">
        <v>32</v>
      </c>
      <c r="E6" s="10" t="s">
        <v>33</v>
      </c>
      <c r="F6" s="10" t="s">
        <v>34</v>
      </c>
      <c r="G6" s="16" t="s">
        <v>2399</v>
      </c>
      <c r="H6" s="114" t="s">
        <v>1</v>
      </c>
      <c r="I6" s="9" t="s">
        <v>36</v>
      </c>
      <c r="J6" s="10" t="s">
        <v>37</v>
      </c>
      <c r="K6" s="10" t="s">
        <v>38</v>
      </c>
      <c r="L6" s="10" t="s">
        <v>39</v>
      </c>
      <c r="M6" s="10" t="s">
        <v>40</v>
      </c>
      <c r="N6" s="10" t="s">
        <v>41</v>
      </c>
      <c r="O6" s="10" t="s">
        <v>42</v>
      </c>
      <c r="P6" s="10" t="s">
        <v>43</v>
      </c>
      <c r="Q6" s="10" t="s">
        <v>44</v>
      </c>
      <c r="R6" s="10" t="s">
        <v>45</v>
      </c>
      <c r="S6" s="9" t="s">
        <v>2400</v>
      </c>
      <c r="T6" s="10" t="s">
        <v>2401</v>
      </c>
    </row>
    <row r="7" spans="2:20" hidden="1" x14ac:dyDescent="0.4">
      <c r="B7" s="7" t="s">
        <v>26</v>
      </c>
      <c r="C7" s="7">
        <v>2.08</v>
      </c>
      <c r="D7" s="15" t="s">
        <v>23</v>
      </c>
      <c r="F7" s="4" t="s">
        <v>1365</v>
      </c>
      <c r="G7" s="4" t="s">
        <v>2528</v>
      </c>
      <c r="H7" s="4">
        <v>246</v>
      </c>
      <c r="I7" s="4" t="s">
        <v>208</v>
      </c>
      <c r="J7" s="4">
        <v>2.0699999999999998</v>
      </c>
      <c r="K7" s="4" t="s">
        <v>184</v>
      </c>
      <c r="L7" s="5">
        <v>755</v>
      </c>
      <c r="M7" s="68">
        <v>6000</v>
      </c>
      <c r="N7" s="8">
        <f>+M7*L7</f>
        <v>4530000</v>
      </c>
      <c r="O7" s="5">
        <f>+N7/1.1</f>
        <v>4118181.8181818179</v>
      </c>
      <c r="P7" s="5">
        <f>+N7-O7</f>
        <v>411818.18181818211</v>
      </c>
      <c r="Q7" s="5">
        <f>+N7</f>
        <v>4530000</v>
      </c>
      <c r="R7" s="18">
        <v>2.09</v>
      </c>
      <c r="S7" s="7" t="s">
        <v>210</v>
      </c>
    </row>
    <row r="8" spans="2:20" hidden="1" x14ac:dyDescent="0.4">
      <c r="B8" s="7" t="s">
        <v>26</v>
      </c>
      <c r="C8" s="7">
        <v>2.08</v>
      </c>
      <c r="D8" s="15" t="s">
        <v>23</v>
      </c>
      <c r="F8" s="4" t="s">
        <v>1365</v>
      </c>
      <c r="G8" s="4" t="s">
        <v>2528</v>
      </c>
      <c r="H8" s="4">
        <v>246</v>
      </c>
      <c r="I8" s="4" t="s">
        <v>208</v>
      </c>
      <c r="J8" s="4">
        <v>2.0699999999999998</v>
      </c>
      <c r="K8" s="4" t="s">
        <v>184</v>
      </c>
      <c r="L8" s="5">
        <v>360</v>
      </c>
      <c r="M8" s="68">
        <v>6000</v>
      </c>
      <c r="N8" s="8">
        <f>+M8*L8</f>
        <v>2160000</v>
      </c>
      <c r="O8" s="5">
        <f>+N8/1.1</f>
        <v>1963636.3636363635</v>
      </c>
      <c r="P8" s="5">
        <f>+N8-O8</f>
        <v>196363.63636363647</v>
      </c>
      <c r="Q8" s="5">
        <f>+N8</f>
        <v>2160000</v>
      </c>
      <c r="R8" s="18">
        <v>2.09</v>
      </c>
      <c r="S8" s="7" t="s">
        <v>210</v>
      </c>
    </row>
    <row r="9" spans="2:20" hidden="1" x14ac:dyDescent="0.4">
      <c r="B9" s="7" t="s">
        <v>26</v>
      </c>
      <c r="C9" s="7">
        <v>2.08</v>
      </c>
      <c r="D9" s="15" t="s">
        <v>23</v>
      </c>
      <c r="F9" s="4" t="s">
        <v>1365</v>
      </c>
      <c r="G9" s="4" t="s">
        <v>2528</v>
      </c>
      <c r="H9" s="4">
        <v>246</v>
      </c>
      <c r="I9" s="4" t="s">
        <v>208</v>
      </c>
      <c r="J9" s="4">
        <v>2.0699999999999998</v>
      </c>
      <c r="K9" s="4" t="s">
        <v>184</v>
      </c>
      <c r="L9" s="5">
        <v>320</v>
      </c>
      <c r="M9" s="68">
        <v>6000</v>
      </c>
      <c r="N9" s="8">
        <f>+M9*L9</f>
        <v>1920000</v>
      </c>
      <c r="O9" s="5">
        <f>+N9/1.1</f>
        <v>1745454.5454545454</v>
      </c>
      <c r="P9" s="5">
        <f>+N9-O9</f>
        <v>174545.45454545459</v>
      </c>
      <c r="Q9" s="5">
        <f>+N9</f>
        <v>1920000</v>
      </c>
      <c r="R9" s="18">
        <v>2.09</v>
      </c>
      <c r="S9" s="7" t="s">
        <v>210</v>
      </c>
    </row>
    <row r="10" spans="2:20" hidden="1" x14ac:dyDescent="0.4">
      <c r="B10" s="8" t="s">
        <v>26</v>
      </c>
      <c r="C10" s="8">
        <v>2.0699999999999998</v>
      </c>
      <c r="D10" s="15" t="s">
        <v>23</v>
      </c>
      <c r="F10" s="8" t="s">
        <v>2368</v>
      </c>
      <c r="G10" s="5" t="s">
        <v>937</v>
      </c>
      <c r="H10" s="4">
        <v>786</v>
      </c>
      <c r="I10" s="4" t="s">
        <v>929</v>
      </c>
      <c r="J10" s="4">
        <v>1.19</v>
      </c>
      <c r="K10" s="4" t="s">
        <v>2529</v>
      </c>
      <c r="L10" s="5">
        <v>10</v>
      </c>
      <c r="M10" s="68">
        <v>6000</v>
      </c>
      <c r="N10" s="8">
        <f>+M10*L10</f>
        <v>60000</v>
      </c>
      <c r="O10" s="5">
        <f>+N10/1.1</f>
        <v>54545.454545454544</v>
      </c>
      <c r="P10" s="5">
        <f>+N10-O10</f>
        <v>5454.5454545454559</v>
      </c>
      <c r="Q10" s="5">
        <f>+N10</f>
        <v>60000</v>
      </c>
      <c r="R10" s="18">
        <v>2.11</v>
      </c>
      <c r="S10" s="4" t="s">
        <v>446</v>
      </c>
    </row>
    <row r="11" spans="2:20" hidden="1" x14ac:dyDescent="0.4">
      <c r="B11" s="7" t="s">
        <v>26</v>
      </c>
      <c r="C11" s="7">
        <v>2.08</v>
      </c>
      <c r="D11" s="15" t="s">
        <v>23</v>
      </c>
      <c r="F11" s="4" t="s">
        <v>1365</v>
      </c>
      <c r="G11" s="4" t="s">
        <v>2528</v>
      </c>
      <c r="H11" s="4">
        <v>246</v>
      </c>
      <c r="I11" s="4" t="s">
        <v>208</v>
      </c>
      <c r="J11" s="4">
        <v>2.0699999999999998</v>
      </c>
      <c r="K11" s="4" t="s">
        <v>184</v>
      </c>
      <c r="L11" s="5">
        <v>16</v>
      </c>
      <c r="M11" s="68">
        <v>6000</v>
      </c>
      <c r="N11" s="8">
        <f>+M11*L11</f>
        <v>96000</v>
      </c>
      <c r="O11" s="5">
        <f>+N11/1.1</f>
        <v>87272.727272727265</v>
      </c>
      <c r="P11" s="5">
        <f>+N11-O11</f>
        <v>8727.2727272727352</v>
      </c>
      <c r="Q11" s="5">
        <f>+N11</f>
        <v>96000</v>
      </c>
      <c r="R11" s="18">
        <v>2.11</v>
      </c>
      <c r="S11" s="7" t="s">
        <v>210</v>
      </c>
    </row>
    <row r="12" spans="2:20" hidden="1" x14ac:dyDescent="0.4">
      <c r="B12" s="8" t="s">
        <v>26</v>
      </c>
      <c r="C12" s="8">
        <v>2.0299999999999998</v>
      </c>
      <c r="D12" s="15" t="s">
        <v>23</v>
      </c>
      <c r="F12" s="5" t="s">
        <v>2368</v>
      </c>
      <c r="G12" s="5" t="s">
        <v>1011</v>
      </c>
      <c r="H12" s="4">
        <v>550</v>
      </c>
      <c r="I12" s="4" t="s">
        <v>748</v>
      </c>
      <c r="J12" s="4">
        <v>1.18</v>
      </c>
      <c r="K12" s="4" t="s">
        <v>444</v>
      </c>
      <c r="L12" s="5">
        <v>1</v>
      </c>
      <c r="M12" s="71">
        <f>10000+12000+3000</f>
        <v>25000</v>
      </c>
      <c r="N12" s="8">
        <f>+M12*L12</f>
        <v>25000</v>
      </c>
      <c r="O12" s="5">
        <f>+N12/1.1</f>
        <v>22727.272727272724</v>
      </c>
      <c r="P12" s="5">
        <f>+N12-O12</f>
        <v>2272.7272727272757</v>
      </c>
      <c r="Q12" s="5">
        <f>+N12</f>
        <v>25000</v>
      </c>
      <c r="R12" s="18">
        <v>2.14</v>
      </c>
      <c r="S12" s="7" t="s">
        <v>51</v>
      </c>
    </row>
    <row r="13" spans="2:20" ht="24" customHeight="1" x14ac:dyDescent="0.4">
      <c r="B13" s="8" t="s">
        <v>26</v>
      </c>
      <c r="C13" s="8">
        <v>2.09</v>
      </c>
      <c r="D13" s="15" t="s">
        <v>23</v>
      </c>
      <c r="F13" s="4" t="s">
        <v>1845</v>
      </c>
      <c r="G13" s="5" t="s">
        <v>2479</v>
      </c>
      <c r="H13" s="4">
        <v>1154</v>
      </c>
      <c r="I13" s="4" t="s">
        <v>1890</v>
      </c>
      <c r="J13" s="4">
        <v>1.18</v>
      </c>
      <c r="K13" s="4" t="s">
        <v>2530</v>
      </c>
      <c r="L13" s="5">
        <v>10</v>
      </c>
      <c r="M13" s="69">
        <f>6500-500</f>
        <v>6000</v>
      </c>
      <c r="N13" s="8">
        <f>+M13*L13</f>
        <v>60000</v>
      </c>
      <c r="O13" s="5">
        <f>+N13/1.1</f>
        <v>54545.454545454544</v>
      </c>
      <c r="P13" s="5">
        <f>+N13-O13</f>
        <v>5454.5454545454559</v>
      </c>
      <c r="Q13" s="5">
        <f>+N13</f>
        <v>60000</v>
      </c>
      <c r="R13" s="18">
        <v>2.16</v>
      </c>
      <c r="S13" s="7" t="s">
        <v>442</v>
      </c>
    </row>
    <row r="14" spans="2:20" hidden="1" x14ac:dyDescent="0.4">
      <c r="B14" s="8" t="s">
        <v>26</v>
      </c>
      <c r="C14" s="8">
        <v>2.0699999999999998</v>
      </c>
      <c r="D14" s="15" t="s">
        <v>23</v>
      </c>
      <c r="F14" s="5" t="s">
        <v>1559</v>
      </c>
      <c r="G14" s="4" t="s">
        <v>2531</v>
      </c>
      <c r="H14" s="4">
        <v>1324</v>
      </c>
      <c r="I14" s="4" t="s">
        <v>2440</v>
      </c>
      <c r="J14" s="4">
        <v>1.1299999999999999</v>
      </c>
      <c r="K14" s="4" t="s">
        <v>422</v>
      </c>
      <c r="L14" s="5">
        <v>7</v>
      </c>
      <c r="M14" s="68">
        <f>10000+3000</f>
        <v>13000</v>
      </c>
      <c r="N14" s="8">
        <f>+M14*L14</f>
        <v>91000</v>
      </c>
      <c r="O14" s="5">
        <f>+N14/1.1</f>
        <v>82727.272727272721</v>
      </c>
      <c r="P14" s="5">
        <f>+N14-O14</f>
        <v>8272.7272727272793</v>
      </c>
      <c r="Q14" s="5">
        <f>+N14</f>
        <v>91000</v>
      </c>
      <c r="R14" s="18">
        <v>2.17</v>
      </c>
      <c r="S14" s="7" t="s">
        <v>97</v>
      </c>
    </row>
    <row r="15" spans="2:20" hidden="1" x14ac:dyDescent="0.4">
      <c r="B15" s="8" t="s">
        <v>26</v>
      </c>
      <c r="C15" s="8">
        <v>2.0699999999999998</v>
      </c>
      <c r="D15" s="15" t="s">
        <v>23</v>
      </c>
      <c r="F15" s="5" t="s">
        <v>1559</v>
      </c>
      <c r="G15" s="4" t="s">
        <v>2531</v>
      </c>
      <c r="H15" s="4">
        <v>1324</v>
      </c>
      <c r="I15" s="4" t="s">
        <v>2440</v>
      </c>
      <c r="J15" s="4">
        <v>1.1399999999999999</v>
      </c>
      <c r="K15" s="4" t="s">
        <v>428</v>
      </c>
      <c r="L15" s="5">
        <v>4</v>
      </c>
      <c r="M15" s="68">
        <f>10000+3000</f>
        <v>13000</v>
      </c>
      <c r="N15" s="8">
        <f>+M15*L15</f>
        <v>52000</v>
      </c>
      <c r="O15" s="5">
        <f>+N15/1.1</f>
        <v>47272.727272727272</v>
      </c>
      <c r="P15" s="5">
        <f>+N15-O15</f>
        <v>4727.2727272727279</v>
      </c>
      <c r="Q15" s="5">
        <f>+N15</f>
        <v>52000</v>
      </c>
      <c r="R15" s="18">
        <v>2.17</v>
      </c>
      <c r="S15" s="7" t="s">
        <v>97</v>
      </c>
    </row>
    <row r="16" spans="2:20" hidden="1" x14ac:dyDescent="0.4">
      <c r="B16" s="8" t="s">
        <v>26</v>
      </c>
      <c r="C16" s="8">
        <v>2.1</v>
      </c>
      <c r="D16" s="15" t="s">
        <v>23</v>
      </c>
      <c r="F16" s="5" t="s">
        <v>1559</v>
      </c>
      <c r="G16" s="7" t="s">
        <v>1568</v>
      </c>
      <c r="H16" s="4">
        <v>571</v>
      </c>
      <c r="I16" s="4" t="s">
        <v>360</v>
      </c>
      <c r="J16" s="4">
        <v>12.28</v>
      </c>
      <c r="K16" s="4" t="s">
        <v>661</v>
      </c>
      <c r="L16" s="5">
        <v>11</v>
      </c>
      <c r="M16" s="71">
        <v>5000</v>
      </c>
      <c r="N16" s="8">
        <f>+M16*L16</f>
        <v>55000</v>
      </c>
      <c r="O16" s="5">
        <f>+N16/1.1</f>
        <v>49999.999999999993</v>
      </c>
      <c r="P16" s="5">
        <f>+N16-O16</f>
        <v>5000.0000000000073</v>
      </c>
      <c r="Q16" s="5">
        <f>+N16</f>
        <v>55000</v>
      </c>
      <c r="R16" s="18">
        <v>2.17</v>
      </c>
      <c r="T16" s="5" t="s">
        <v>81</v>
      </c>
    </row>
    <row r="17" spans="2:19" hidden="1" x14ac:dyDescent="0.4">
      <c r="B17" s="8" t="s">
        <v>26</v>
      </c>
      <c r="C17" s="8">
        <v>2.14</v>
      </c>
      <c r="D17" s="15" t="s">
        <v>23</v>
      </c>
      <c r="F17" s="5" t="s">
        <v>1559</v>
      </c>
      <c r="G17" s="4" t="s">
        <v>2532</v>
      </c>
      <c r="H17" s="4">
        <v>1027</v>
      </c>
      <c r="I17" s="4" t="s">
        <v>2533</v>
      </c>
      <c r="J17" s="4">
        <v>2.0699999999999998</v>
      </c>
      <c r="K17" s="4" t="s">
        <v>482</v>
      </c>
      <c r="L17" s="5">
        <v>80</v>
      </c>
      <c r="M17" s="68">
        <v>3500</v>
      </c>
      <c r="N17" s="8">
        <f>+M17*L17</f>
        <v>280000</v>
      </c>
      <c r="O17" s="5">
        <f>+N17/1.1</f>
        <v>254545.45454545453</v>
      </c>
      <c r="P17" s="5">
        <f>+N17-O17</f>
        <v>25454.54545454547</v>
      </c>
      <c r="Q17" s="5">
        <f>+N17</f>
        <v>280000</v>
      </c>
      <c r="R17" s="18">
        <v>2.1800000000000002</v>
      </c>
    </row>
    <row r="18" spans="2:19" hidden="1" x14ac:dyDescent="0.4">
      <c r="B18" s="8" t="s">
        <v>26</v>
      </c>
      <c r="C18" s="8">
        <v>2.14</v>
      </c>
      <c r="D18" s="15" t="s">
        <v>23</v>
      </c>
      <c r="F18" s="5" t="s">
        <v>1559</v>
      </c>
      <c r="G18" s="4" t="s">
        <v>2532</v>
      </c>
      <c r="H18" s="4">
        <v>1027</v>
      </c>
      <c r="I18" s="4" t="s">
        <v>2533</v>
      </c>
      <c r="J18" s="4">
        <v>2.0699999999999998</v>
      </c>
      <c r="K18" s="4" t="s">
        <v>304</v>
      </c>
      <c r="L18" s="5">
        <v>80</v>
      </c>
      <c r="M18" s="68">
        <v>6000</v>
      </c>
      <c r="N18" s="8">
        <f>+M18*L18</f>
        <v>480000</v>
      </c>
      <c r="O18" s="5">
        <f>+N18/1.1</f>
        <v>436363.63636363635</v>
      </c>
      <c r="P18" s="5">
        <f>+N18-O18</f>
        <v>43636.363636363647</v>
      </c>
      <c r="Q18" s="5">
        <f>+N18</f>
        <v>480000</v>
      </c>
      <c r="R18" s="18">
        <v>2.1800000000000002</v>
      </c>
    </row>
    <row r="19" spans="2:19" hidden="1" x14ac:dyDescent="0.4">
      <c r="B19" s="8" t="s">
        <v>26</v>
      </c>
      <c r="C19" s="8">
        <v>2.16</v>
      </c>
      <c r="D19" s="15" t="s">
        <v>23</v>
      </c>
      <c r="F19" s="4" t="s">
        <v>1559</v>
      </c>
      <c r="G19" s="4" t="s">
        <v>789</v>
      </c>
      <c r="H19" s="4">
        <v>1338</v>
      </c>
      <c r="I19" s="59" t="s">
        <v>790</v>
      </c>
      <c r="J19" s="4">
        <v>2.09</v>
      </c>
      <c r="K19" s="4" t="s">
        <v>510</v>
      </c>
      <c r="L19" s="5">
        <v>20</v>
      </c>
      <c r="M19" s="69">
        <f>7000+3000</f>
        <v>10000</v>
      </c>
      <c r="N19" s="8">
        <f>+M19*L19</f>
        <v>200000</v>
      </c>
      <c r="O19" s="5">
        <f>+N19/1.1</f>
        <v>181818.18181818179</v>
      </c>
      <c r="P19" s="5">
        <f>+N19-O19</f>
        <v>18181.818181818206</v>
      </c>
      <c r="Q19" s="5">
        <f>+N19</f>
        <v>200000</v>
      </c>
      <c r="R19" s="18">
        <v>2.1800000000000002</v>
      </c>
      <c r="S19" s="4" t="s">
        <v>334</v>
      </c>
    </row>
    <row r="20" spans="2:19" hidden="1" x14ac:dyDescent="0.4">
      <c r="B20" s="8" t="s">
        <v>26</v>
      </c>
      <c r="C20" s="8">
        <v>2.16</v>
      </c>
      <c r="D20" s="15" t="s">
        <v>23</v>
      </c>
      <c r="F20" s="4" t="s">
        <v>1559</v>
      </c>
      <c r="G20" s="4" t="s">
        <v>781</v>
      </c>
      <c r="H20" s="4">
        <v>1338</v>
      </c>
      <c r="I20" s="59" t="s">
        <v>782</v>
      </c>
      <c r="J20" s="4">
        <v>2.09</v>
      </c>
      <c r="K20" s="4" t="s">
        <v>501</v>
      </c>
      <c r="L20" s="5">
        <v>20</v>
      </c>
      <c r="M20" s="69">
        <f>7000+3000</f>
        <v>10000</v>
      </c>
      <c r="N20" s="8">
        <f>+M20*L20</f>
        <v>200000</v>
      </c>
      <c r="O20" s="5">
        <f>+N20/1.1</f>
        <v>181818.18181818179</v>
      </c>
      <c r="P20" s="5">
        <f>+N20-O20</f>
        <v>18181.818181818206</v>
      </c>
      <c r="Q20" s="5">
        <f>+N20</f>
        <v>200000</v>
      </c>
      <c r="R20" s="18">
        <v>2.21</v>
      </c>
      <c r="S20" s="7" t="s">
        <v>502</v>
      </c>
    </row>
    <row r="21" spans="2:19" hidden="1" x14ac:dyDescent="0.4">
      <c r="B21" s="8" t="s">
        <v>26</v>
      </c>
      <c r="C21" s="8">
        <v>2.17</v>
      </c>
      <c r="D21" s="15" t="s">
        <v>23</v>
      </c>
      <c r="F21" s="8" t="s">
        <v>2368</v>
      </c>
      <c r="G21" s="4" t="s">
        <v>857</v>
      </c>
      <c r="H21" s="4">
        <v>692</v>
      </c>
      <c r="I21" s="4" t="s">
        <v>85</v>
      </c>
      <c r="J21" s="4">
        <v>2.14</v>
      </c>
      <c r="K21" s="4" t="s">
        <v>184</v>
      </c>
      <c r="L21" s="5">
        <v>670</v>
      </c>
      <c r="M21" s="68">
        <v>6000</v>
      </c>
      <c r="N21" s="8">
        <f>+M21*L21</f>
        <v>4020000</v>
      </c>
      <c r="O21" s="5">
        <f>+N21/1.1</f>
        <v>3654545.4545454541</v>
      </c>
      <c r="P21" s="5">
        <f>+N21-O21</f>
        <v>365454.54545454588</v>
      </c>
      <c r="Q21" s="5">
        <f>+N21</f>
        <v>4020000</v>
      </c>
      <c r="R21" s="18">
        <v>2.2200000000000002</v>
      </c>
      <c r="S21" s="4" t="s">
        <v>523</v>
      </c>
    </row>
    <row r="22" spans="2:19" hidden="1" x14ac:dyDescent="0.4">
      <c r="B22" s="8" t="s">
        <v>26</v>
      </c>
      <c r="C22" s="8">
        <v>2.17</v>
      </c>
      <c r="D22" s="15" t="s">
        <v>23</v>
      </c>
      <c r="F22" s="8" t="s">
        <v>2368</v>
      </c>
      <c r="G22" s="4" t="s">
        <v>857</v>
      </c>
      <c r="H22" s="4">
        <v>692</v>
      </c>
      <c r="I22" s="4" t="s">
        <v>85</v>
      </c>
      <c r="J22" s="4">
        <v>2.15</v>
      </c>
      <c r="K22" s="4" t="s">
        <v>184</v>
      </c>
      <c r="L22" s="5">
        <v>683</v>
      </c>
      <c r="M22" s="68">
        <v>6000</v>
      </c>
      <c r="N22" s="8">
        <f>+M22*L22</f>
        <v>4098000</v>
      </c>
      <c r="O22" s="5">
        <f>+N22/1.1</f>
        <v>3725454.5454545449</v>
      </c>
      <c r="P22" s="5">
        <f>+N22-O22</f>
        <v>372545.45454545505</v>
      </c>
      <c r="Q22" s="5">
        <f>+N22</f>
        <v>4098000</v>
      </c>
      <c r="R22" s="18">
        <v>2.2200000000000002</v>
      </c>
      <c r="S22" s="4" t="s">
        <v>523</v>
      </c>
    </row>
    <row r="23" spans="2:19" hidden="1" x14ac:dyDescent="0.4">
      <c r="B23" s="8" t="s">
        <v>26</v>
      </c>
      <c r="C23" s="8">
        <v>2.0699999999999998</v>
      </c>
      <c r="D23" s="15" t="s">
        <v>23</v>
      </c>
      <c r="F23" s="4" t="s">
        <v>1559</v>
      </c>
      <c r="G23" s="4" t="s">
        <v>2534</v>
      </c>
      <c r="H23" s="4">
        <v>1356</v>
      </c>
      <c r="I23" s="5" t="s">
        <v>784</v>
      </c>
      <c r="J23" s="4">
        <v>12.1</v>
      </c>
      <c r="K23" s="5" t="s">
        <v>336</v>
      </c>
      <c r="L23" s="5">
        <v>22</v>
      </c>
      <c r="M23" s="68">
        <f>5000+3000</f>
        <v>8000</v>
      </c>
      <c r="N23" s="8">
        <f>+M23*L23</f>
        <v>176000</v>
      </c>
      <c r="O23" s="5">
        <f>+N23/1.1</f>
        <v>160000</v>
      </c>
      <c r="P23" s="5">
        <f>+N23-O23</f>
        <v>16000</v>
      </c>
      <c r="Q23" s="5">
        <f>+N23</f>
        <v>176000</v>
      </c>
      <c r="R23" s="18">
        <v>2.23</v>
      </c>
      <c r="S23" s="7" t="s">
        <v>337</v>
      </c>
    </row>
    <row r="24" spans="2:19" hidden="1" x14ac:dyDescent="0.4">
      <c r="B24" s="8" t="s">
        <v>26</v>
      </c>
      <c r="C24" s="8">
        <v>2.16</v>
      </c>
      <c r="D24" s="15" t="s">
        <v>23</v>
      </c>
      <c r="F24" s="4" t="s">
        <v>1559</v>
      </c>
      <c r="G24" s="4" t="s">
        <v>2534</v>
      </c>
      <c r="H24" s="4">
        <v>1338</v>
      </c>
      <c r="I24" s="59" t="s">
        <v>784</v>
      </c>
      <c r="J24" s="4">
        <v>2.09</v>
      </c>
      <c r="K24" s="4" t="s">
        <v>503</v>
      </c>
      <c r="L24" s="5">
        <v>20</v>
      </c>
      <c r="M24" s="69">
        <f>7000+3000</f>
        <v>10000</v>
      </c>
      <c r="N24" s="8">
        <f>+M24*L24</f>
        <v>200000</v>
      </c>
      <c r="O24" s="5">
        <f>+N24/1.1</f>
        <v>181818.18181818179</v>
      </c>
      <c r="P24" s="5">
        <f>+N24-O24</f>
        <v>18181.818181818206</v>
      </c>
      <c r="Q24" s="5">
        <f>+N24</f>
        <v>200000</v>
      </c>
      <c r="R24" s="18">
        <v>2.23</v>
      </c>
      <c r="S24" s="7" t="s">
        <v>337</v>
      </c>
    </row>
    <row r="25" spans="2:19" hidden="1" x14ac:dyDescent="0.4">
      <c r="B25" s="8" t="s">
        <v>26</v>
      </c>
      <c r="C25" s="8">
        <v>2.16</v>
      </c>
      <c r="D25" s="15" t="s">
        <v>23</v>
      </c>
      <c r="F25" s="4" t="s">
        <v>1559</v>
      </c>
      <c r="G25" s="4" t="s">
        <v>793</v>
      </c>
      <c r="H25" s="4">
        <v>1338</v>
      </c>
      <c r="I25" s="59" t="s">
        <v>788</v>
      </c>
      <c r="J25" s="4">
        <v>2.09</v>
      </c>
      <c r="K25" s="4" t="s">
        <v>508</v>
      </c>
      <c r="L25" s="5">
        <v>19</v>
      </c>
      <c r="M25" s="69">
        <f>7000+3000</f>
        <v>10000</v>
      </c>
      <c r="N25" s="8">
        <f>+M25*L25</f>
        <v>190000</v>
      </c>
      <c r="O25" s="5">
        <f>+N25/1.1</f>
        <v>172727.27272727271</v>
      </c>
      <c r="P25" s="5">
        <f>+N25-O25</f>
        <v>17272.727272727294</v>
      </c>
      <c r="Q25" s="5">
        <f>+N25</f>
        <v>190000</v>
      </c>
      <c r="R25" s="18">
        <v>2.23</v>
      </c>
      <c r="S25" s="4" t="s">
        <v>509</v>
      </c>
    </row>
    <row r="26" spans="2:19" hidden="1" x14ac:dyDescent="0.4">
      <c r="B26" s="8" t="s">
        <v>26</v>
      </c>
      <c r="C26" s="8">
        <v>2.2200000000000002</v>
      </c>
      <c r="D26" s="15" t="s">
        <v>23</v>
      </c>
      <c r="F26" s="5" t="s">
        <v>2368</v>
      </c>
      <c r="G26" s="5" t="s">
        <v>1011</v>
      </c>
      <c r="H26" s="4">
        <v>550</v>
      </c>
      <c r="I26" s="4" t="s">
        <v>748</v>
      </c>
      <c r="J26" s="4">
        <v>2.1</v>
      </c>
      <c r="K26" s="4" t="s">
        <v>517</v>
      </c>
      <c r="L26" s="5">
        <v>7</v>
      </c>
      <c r="M26" s="68">
        <f>18000+4000</f>
        <v>22000</v>
      </c>
      <c r="N26" s="8">
        <f>+M26*L26</f>
        <v>154000</v>
      </c>
      <c r="O26" s="5">
        <f>+N26/1.1</f>
        <v>140000</v>
      </c>
      <c r="P26" s="5">
        <f>+N26-O26</f>
        <v>14000</v>
      </c>
      <c r="Q26" s="5">
        <f>+N26</f>
        <v>154000</v>
      </c>
      <c r="R26" s="18">
        <v>2.23</v>
      </c>
      <c r="S26" s="7" t="s">
        <v>51</v>
      </c>
    </row>
    <row r="27" spans="2:19" hidden="1" x14ac:dyDescent="0.4">
      <c r="B27" s="8" t="s">
        <v>26</v>
      </c>
      <c r="C27" s="8">
        <v>2.16</v>
      </c>
      <c r="D27" s="15" t="s">
        <v>23</v>
      </c>
      <c r="F27" s="4" t="s">
        <v>1559</v>
      </c>
      <c r="G27" s="4" t="s">
        <v>1644</v>
      </c>
      <c r="H27" s="4">
        <v>1338</v>
      </c>
      <c r="I27" s="95" t="s">
        <v>2535</v>
      </c>
      <c r="J27" s="4">
        <v>2.09</v>
      </c>
      <c r="K27" s="4" t="s">
        <v>505</v>
      </c>
      <c r="L27" s="5">
        <v>21</v>
      </c>
      <c r="M27" s="69">
        <f>7000+3000</f>
        <v>10000</v>
      </c>
      <c r="N27" s="8">
        <f>+M27*L27</f>
        <v>210000</v>
      </c>
      <c r="O27" s="5">
        <f>+N27/1.1</f>
        <v>190909.09090909088</v>
      </c>
      <c r="P27" s="5">
        <f>+N27-O27</f>
        <v>19090.909090909117</v>
      </c>
      <c r="Q27" s="5">
        <f>+N27</f>
        <v>210000</v>
      </c>
      <c r="R27" s="18">
        <v>2.2400000000000002</v>
      </c>
      <c r="S27" s="4" t="s">
        <v>506</v>
      </c>
    </row>
    <row r="28" spans="2:19" hidden="1" x14ac:dyDescent="0.4">
      <c r="B28" s="8" t="s">
        <v>26</v>
      </c>
      <c r="C28" s="8">
        <v>2.16</v>
      </c>
      <c r="D28" s="15" t="s">
        <v>23</v>
      </c>
      <c r="F28" s="8" t="s">
        <v>2368</v>
      </c>
      <c r="G28" s="4" t="s">
        <v>2460</v>
      </c>
      <c r="H28" s="4">
        <v>262</v>
      </c>
      <c r="I28" s="4" t="s">
        <v>836</v>
      </c>
      <c r="J28" s="4">
        <v>1.19</v>
      </c>
      <c r="K28" s="4" t="s">
        <v>184</v>
      </c>
      <c r="L28" s="5">
        <v>20</v>
      </c>
      <c r="M28" s="68">
        <v>6000</v>
      </c>
      <c r="N28" s="8">
        <f>+M28*L28</f>
        <v>120000</v>
      </c>
      <c r="O28" s="5">
        <f>+N28/1.1</f>
        <v>109090.90909090909</v>
      </c>
      <c r="P28" s="5">
        <f>+N28-O28</f>
        <v>10909.090909090912</v>
      </c>
      <c r="Q28" s="5">
        <f>+N28</f>
        <v>120000</v>
      </c>
      <c r="R28" s="18">
        <v>2.2400000000000002</v>
      </c>
      <c r="S28" s="4" t="s">
        <v>346</v>
      </c>
    </row>
    <row r="29" spans="2:19" hidden="1" x14ac:dyDescent="0.4">
      <c r="B29" s="8" t="s">
        <v>26</v>
      </c>
      <c r="C29" s="8">
        <v>2.16</v>
      </c>
      <c r="D29" s="15" t="s">
        <v>23</v>
      </c>
      <c r="F29" s="4" t="s">
        <v>1559</v>
      </c>
      <c r="G29" s="4" t="s">
        <v>2536</v>
      </c>
      <c r="H29" s="4">
        <v>1338</v>
      </c>
      <c r="I29" s="95" t="s">
        <v>792</v>
      </c>
      <c r="J29" s="4">
        <v>2.09</v>
      </c>
      <c r="K29" s="4" t="s">
        <v>512</v>
      </c>
      <c r="L29" s="5">
        <v>10</v>
      </c>
      <c r="M29" s="69">
        <f>7000+3000</f>
        <v>10000</v>
      </c>
      <c r="N29" s="8">
        <f>+M29*L29</f>
        <v>100000</v>
      </c>
      <c r="O29" s="5">
        <f>+N29/1.1</f>
        <v>90909.090909090897</v>
      </c>
      <c r="P29" s="5">
        <f>+N29-O29</f>
        <v>9090.9090909091028</v>
      </c>
      <c r="Q29" s="5">
        <f>+N29</f>
        <v>100000</v>
      </c>
      <c r="R29" s="18">
        <v>2.2400000000000002</v>
      </c>
      <c r="S29" s="7" t="s">
        <v>513</v>
      </c>
    </row>
    <row r="30" spans="2:19" hidden="1" x14ac:dyDescent="0.4">
      <c r="B30" s="8" t="s">
        <v>26</v>
      </c>
      <c r="C30" s="8">
        <v>2.23</v>
      </c>
      <c r="D30" s="15" t="s">
        <v>23</v>
      </c>
      <c r="F30" s="5" t="s">
        <v>1365</v>
      </c>
      <c r="G30" s="4" t="s">
        <v>2537</v>
      </c>
      <c r="H30" s="4">
        <v>247</v>
      </c>
      <c r="I30" s="5" t="s">
        <v>1090</v>
      </c>
      <c r="J30" s="4">
        <v>2.09</v>
      </c>
      <c r="K30" s="4" t="s">
        <v>198</v>
      </c>
      <c r="L30" s="5">
        <v>8</v>
      </c>
      <c r="M30" s="68">
        <v>10000</v>
      </c>
      <c r="N30" s="8">
        <f>+M30*L30</f>
        <v>80000</v>
      </c>
      <c r="O30" s="5">
        <f>+N30/1.1</f>
        <v>72727.272727272721</v>
      </c>
      <c r="P30" s="5">
        <f>+N30-O30</f>
        <v>7272.7272727272793</v>
      </c>
      <c r="Q30" s="5">
        <f>+N30</f>
        <v>80000</v>
      </c>
      <c r="R30" s="18">
        <v>2.2400000000000002</v>
      </c>
      <c r="S30" s="7" t="s">
        <v>210</v>
      </c>
    </row>
    <row r="31" spans="2:19" hidden="1" x14ac:dyDescent="0.4">
      <c r="B31" s="8" t="s">
        <v>26</v>
      </c>
      <c r="C31" s="8">
        <v>2.16</v>
      </c>
      <c r="D31" s="15" t="s">
        <v>23</v>
      </c>
      <c r="F31" s="4" t="s">
        <v>1559</v>
      </c>
      <c r="G31" s="4" t="s">
        <v>2538</v>
      </c>
      <c r="H31" s="4">
        <v>1338</v>
      </c>
      <c r="I31" s="59" t="s">
        <v>797</v>
      </c>
      <c r="J31" s="4">
        <v>2.09</v>
      </c>
      <c r="K31" s="4" t="s">
        <v>515</v>
      </c>
      <c r="L31" s="5">
        <v>20</v>
      </c>
      <c r="M31" s="69">
        <f>7000+3000</f>
        <v>10000</v>
      </c>
      <c r="N31" s="8">
        <f>+M31*L31</f>
        <v>200000</v>
      </c>
      <c r="O31" s="5">
        <f>+N31/1.1</f>
        <v>181818.18181818179</v>
      </c>
      <c r="P31" s="5">
        <f>+N31-O31</f>
        <v>18181.818181818206</v>
      </c>
      <c r="Q31" s="5">
        <f>+N31</f>
        <v>200000</v>
      </c>
      <c r="R31" s="18">
        <v>2.25</v>
      </c>
      <c r="S31" s="4" t="s">
        <v>516</v>
      </c>
    </row>
    <row r="32" spans="2:19" hidden="1" x14ac:dyDescent="0.4">
      <c r="B32" s="8" t="s">
        <v>26</v>
      </c>
      <c r="C32" s="8">
        <v>2.16</v>
      </c>
      <c r="D32" s="15" t="s">
        <v>23</v>
      </c>
      <c r="F32" s="4" t="s">
        <v>1559</v>
      </c>
      <c r="G32" s="4" t="s">
        <v>2538</v>
      </c>
      <c r="H32" s="4">
        <v>1338</v>
      </c>
      <c r="I32" s="59" t="s">
        <v>797</v>
      </c>
      <c r="J32" s="4">
        <v>2.15</v>
      </c>
      <c r="K32" s="4" t="s">
        <v>526</v>
      </c>
      <c r="L32" s="5">
        <v>1</v>
      </c>
      <c r="M32" s="68">
        <v>3000</v>
      </c>
      <c r="N32" s="8">
        <f>+M32*L32</f>
        <v>3000</v>
      </c>
      <c r="O32" s="5">
        <f>+N32/1.1</f>
        <v>2727.272727272727</v>
      </c>
      <c r="P32" s="5">
        <f>+N32-O32</f>
        <v>272.72727272727298</v>
      </c>
      <c r="Q32" s="5">
        <f>+N32</f>
        <v>3000</v>
      </c>
      <c r="R32" s="18">
        <v>2.25</v>
      </c>
      <c r="S32" s="4" t="s">
        <v>516</v>
      </c>
    </row>
    <row r="33" spans="2:20" hidden="1" x14ac:dyDescent="0.4">
      <c r="B33" s="8" t="s">
        <v>26</v>
      </c>
      <c r="C33" s="8">
        <v>2.21</v>
      </c>
      <c r="D33" s="15" t="s">
        <v>23</v>
      </c>
      <c r="F33" s="8" t="s">
        <v>2368</v>
      </c>
      <c r="G33" s="4" t="s">
        <v>2539</v>
      </c>
      <c r="H33" s="4">
        <v>1566</v>
      </c>
      <c r="I33" s="4" t="s">
        <v>2157</v>
      </c>
      <c r="J33" s="4">
        <v>2.1</v>
      </c>
      <c r="K33" s="4" t="s">
        <v>475</v>
      </c>
      <c r="L33" s="5">
        <v>50</v>
      </c>
      <c r="M33" s="68">
        <v>1300</v>
      </c>
      <c r="N33" s="8">
        <f>+M33*L33</f>
        <v>65000</v>
      </c>
      <c r="O33" s="5">
        <f>+N33/1.1</f>
        <v>59090.909090909088</v>
      </c>
      <c r="P33" s="5">
        <f>+N33-O33</f>
        <v>5909.0909090909117</v>
      </c>
      <c r="Q33" s="5">
        <f>+N33</f>
        <v>65000</v>
      </c>
      <c r="R33" s="18">
        <v>2.25</v>
      </c>
      <c r="S33" s="4" t="s">
        <v>489</v>
      </c>
    </row>
    <row r="34" spans="2:20" hidden="1" x14ac:dyDescent="0.4">
      <c r="B34" s="8" t="s">
        <v>26</v>
      </c>
      <c r="C34" s="8">
        <v>2.2400000000000002</v>
      </c>
      <c r="D34" s="15" t="s">
        <v>23</v>
      </c>
      <c r="F34" s="8" t="s">
        <v>2368</v>
      </c>
      <c r="G34" s="5" t="s">
        <v>948</v>
      </c>
      <c r="H34" s="4">
        <v>786</v>
      </c>
      <c r="I34" s="4" t="s">
        <v>949</v>
      </c>
      <c r="J34" s="4">
        <v>2.21</v>
      </c>
      <c r="K34" s="4" t="s">
        <v>2540</v>
      </c>
      <c r="L34" s="5">
        <v>30</v>
      </c>
      <c r="M34" s="68">
        <v>6000</v>
      </c>
      <c r="N34" s="8">
        <f>+M34*L34</f>
        <v>180000</v>
      </c>
      <c r="O34" s="5">
        <f>+N34/1.1</f>
        <v>163636.36363636362</v>
      </c>
      <c r="P34" s="5">
        <f>+N34-O34</f>
        <v>16363.636363636382</v>
      </c>
      <c r="Q34" s="5">
        <f>+N34</f>
        <v>180000</v>
      </c>
      <c r="R34" s="18">
        <v>2.25</v>
      </c>
      <c r="S34" s="4" t="s">
        <v>544</v>
      </c>
    </row>
    <row r="35" spans="2:20" hidden="1" x14ac:dyDescent="0.4">
      <c r="B35" s="8" t="s">
        <v>26</v>
      </c>
      <c r="C35" s="8">
        <v>2.2400000000000002</v>
      </c>
      <c r="D35" s="15" t="s">
        <v>23</v>
      </c>
      <c r="F35" s="4" t="s">
        <v>1365</v>
      </c>
      <c r="G35" s="8" t="s">
        <v>1755</v>
      </c>
      <c r="H35" s="4">
        <v>1633</v>
      </c>
      <c r="I35" s="5" t="s">
        <v>1757</v>
      </c>
      <c r="J35" s="4">
        <v>2.2200000000000002</v>
      </c>
      <c r="K35" s="4" t="s">
        <v>184</v>
      </c>
      <c r="L35" s="5">
        <v>30</v>
      </c>
      <c r="M35" s="68">
        <v>6000</v>
      </c>
      <c r="N35" s="8">
        <f>+M35*L35</f>
        <v>180000</v>
      </c>
      <c r="O35" s="5">
        <f>+N35/1.1</f>
        <v>163636.36363636362</v>
      </c>
      <c r="P35" s="5">
        <f>+N35-O35</f>
        <v>16363.636363636382</v>
      </c>
      <c r="Q35" s="5">
        <f>+N35</f>
        <v>180000</v>
      </c>
      <c r="R35" s="18">
        <v>2.25</v>
      </c>
      <c r="S35" s="7" t="s">
        <v>553</v>
      </c>
    </row>
    <row r="36" spans="2:20" hidden="1" x14ac:dyDescent="0.4">
      <c r="B36" s="8" t="s">
        <v>26</v>
      </c>
      <c r="C36" s="8">
        <v>2.2400000000000002</v>
      </c>
      <c r="D36" s="15" t="s">
        <v>23</v>
      </c>
      <c r="F36" s="4" t="s">
        <v>1365</v>
      </c>
      <c r="G36" s="8" t="s">
        <v>1755</v>
      </c>
      <c r="H36" s="4">
        <v>1633</v>
      </c>
      <c r="I36" s="5" t="s">
        <v>1757</v>
      </c>
      <c r="J36" s="4">
        <v>2.23</v>
      </c>
      <c r="K36" s="4" t="s">
        <v>184</v>
      </c>
      <c r="L36" s="5">
        <v>30</v>
      </c>
      <c r="M36" s="68">
        <v>6000</v>
      </c>
      <c r="N36" s="8">
        <f>+M36*L36</f>
        <v>180000</v>
      </c>
      <c r="O36" s="5">
        <f>+N36/1.1</f>
        <v>163636.36363636362</v>
      </c>
      <c r="P36" s="5">
        <f>+N36-O36</f>
        <v>16363.636363636382</v>
      </c>
      <c r="Q36" s="5">
        <f>+N36</f>
        <v>180000</v>
      </c>
      <c r="R36" s="18">
        <v>2.25</v>
      </c>
      <c r="S36" s="7" t="s">
        <v>553</v>
      </c>
    </row>
    <row r="37" spans="2:20" hidden="1" x14ac:dyDescent="0.4">
      <c r="B37" s="8" t="s">
        <v>26</v>
      </c>
      <c r="C37" s="8">
        <v>2.2400000000000002</v>
      </c>
      <c r="D37" s="15" t="s">
        <v>23</v>
      </c>
      <c r="F37" s="8" t="s">
        <v>2368</v>
      </c>
      <c r="G37" s="5" t="s">
        <v>2541</v>
      </c>
      <c r="H37" s="4">
        <v>605</v>
      </c>
      <c r="I37" s="4" t="s">
        <v>2465</v>
      </c>
      <c r="J37" s="4">
        <v>1.1299999999999999</v>
      </c>
      <c r="K37" s="3" t="s">
        <v>421</v>
      </c>
      <c r="L37" s="5">
        <v>12</v>
      </c>
      <c r="M37" s="68">
        <f>5000+3000</f>
        <v>8000</v>
      </c>
      <c r="N37" s="8">
        <f>+M37*L37</f>
        <v>96000</v>
      </c>
      <c r="O37" s="5">
        <f>+N37/1.1</f>
        <v>87272.727272727265</v>
      </c>
      <c r="P37" s="5">
        <f>+N37-O37</f>
        <v>8727.2727272727352</v>
      </c>
      <c r="Q37" s="5">
        <f>+N37</f>
        <v>96000</v>
      </c>
      <c r="R37" s="18">
        <v>2.2799999999999998</v>
      </c>
      <c r="S37" s="4" t="s">
        <v>179</v>
      </c>
    </row>
    <row r="38" spans="2:20" hidden="1" x14ac:dyDescent="0.4">
      <c r="B38" s="7" t="s">
        <v>26</v>
      </c>
      <c r="C38" s="7">
        <v>2.2400000000000002</v>
      </c>
      <c r="D38" s="15" t="s">
        <v>23</v>
      </c>
      <c r="F38" s="8" t="s">
        <v>2368</v>
      </c>
      <c r="G38" s="4" t="s">
        <v>1917</v>
      </c>
      <c r="H38" s="4">
        <v>1025</v>
      </c>
      <c r="I38" s="4" t="s">
        <v>1918</v>
      </c>
      <c r="J38" s="4">
        <v>1.21</v>
      </c>
      <c r="K38" s="3" t="s">
        <v>463</v>
      </c>
      <c r="L38" s="5">
        <v>6</v>
      </c>
      <c r="M38" s="71">
        <f>12000+3000</f>
        <v>15000</v>
      </c>
      <c r="N38" s="8">
        <f>+M38*L38</f>
        <v>90000</v>
      </c>
      <c r="O38" s="5">
        <f>+N38/1.1</f>
        <v>81818.181818181809</v>
      </c>
      <c r="P38" s="5">
        <f>+N38-O38</f>
        <v>8181.8181818181911</v>
      </c>
      <c r="Q38" s="5">
        <f>+N38</f>
        <v>90000</v>
      </c>
      <c r="R38" s="18">
        <v>2.2799999999999998</v>
      </c>
      <c r="S38" s="7" t="s">
        <v>322</v>
      </c>
    </row>
    <row r="39" spans="2:20" hidden="1" x14ac:dyDescent="0.4">
      <c r="B39" s="7" t="s">
        <v>26</v>
      </c>
      <c r="C39" s="8">
        <v>2.2400000000000002</v>
      </c>
      <c r="D39" s="15" t="s">
        <v>23</v>
      </c>
      <c r="F39" s="8" t="s">
        <v>2368</v>
      </c>
      <c r="G39" s="5" t="s">
        <v>2436</v>
      </c>
      <c r="H39" s="4">
        <v>729</v>
      </c>
      <c r="I39" s="5" t="s">
        <v>746</v>
      </c>
      <c r="J39" s="4">
        <v>1.24</v>
      </c>
      <c r="K39" s="4" t="s">
        <v>433</v>
      </c>
      <c r="L39" s="5">
        <v>90</v>
      </c>
      <c r="M39" s="68">
        <v>5000</v>
      </c>
      <c r="N39" s="8">
        <f>+M39*L39</f>
        <v>450000</v>
      </c>
      <c r="O39" s="5">
        <f>+N39/1.1</f>
        <v>409090.90909090906</v>
      </c>
      <c r="P39" s="5">
        <f>+N39-O39</f>
        <v>40909.090909090941</v>
      </c>
      <c r="Q39" s="5">
        <f>+N39</f>
        <v>450000</v>
      </c>
      <c r="R39" s="18">
        <v>2.2799999999999998</v>
      </c>
      <c r="S39" s="4" t="s">
        <v>110</v>
      </c>
    </row>
    <row r="40" spans="2:20" hidden="1" x14ac:dyDescent="0.4">
      <c r="B40" s="8" t="s">
        <v>26</v>
      </c>
      <c r="C40" s="8">
        <v>2.2400000000000002</v>
      </c>
      <c r="D40" s="15" t="s">
        <v>23</v>
      </c>
      <c r="F40" s="8" t="s">
        <v>2368</v>
      </c>
      <c r="G40" s="4" t="s">
        <v>2462</v>
      </c>
      <c r="H40" s="4">
        <v>150</v>
      </c>
      <c r="I40" s="4" t="s">
        <v>2245</v>
      </c>
      <c r="J40" s="4">
        <v>2.09</v>
      </c>
      <c r="K40" s="4" t="s">
        <v>482</v>
      </c>
      <c r="L40" s="5">
        <v>30</v>
      </c>
      <c r="M40" s="68">
        <v>3500</v>
      </c>
      <c r="N40" s="8">
        <f>+M40*L40</f>
        <v>105000</v>
      </c>
      <c r="O40" s="5">
        <f>+N40/1.1</f>
        <v>95454.545454545441</v>
      </c>
      <c r="P40" s="5">
        <f>+N40-O40</f>
        <v>9545.4545454545587</v>
      </c>
      <c r="Q40" s="5">
        <f>+N40</f>
        <v>105000</v>
      </c>
      <c r="R40" s="18">
        <v>2.2799999999999998</v>
      </c>
      <c r="S40" s="4" t="s">
        <v>341</v>
      </c>
    </row>
    <row r="41" spans="2:20" hidden="1" x14ac:dyDescent="0.4">
      <c r="B41" s="8" t="s">
        <v>26</v>
      </c>
      <c r="C41" s="8">
        <v>2.2400000000000002</v>
      </c>
      <c r="D41" s="15" t="s">
        <v>23</v>
      </c>
      <c r="F41" s="8" t="s">
        <v>2368</v>
      </c>
      <c r="G41" s="4" t="s">
        <v>2462</v>
      </c>
      <c r="H41" s="4">
        <v>150</v>
      </c>
      <c r="I41" s="4" t="s">
        <v>2245</v>
      </c>
      <c r="J41" s="4">
        <v>2.09</v>
      </c>
      <c r="K41" s="4" t="s">
        <v>198</v>
      </c>
      <c r="L41" s="5">
        <v>10</v>
      </c>
      <c r="M41" s="68">
        <v>10000</v>
      </c>
      <c r="N41" s="8">
        <f>+M41*L41</f>
        <v>100000</v>
      </c>
      <c r="O41" s="5">
        <f>+N41/1.1</f>
        <v>90909.090909090897</v>
      </c>
      <c r="P41" s="5">
        <f>+N41-O41</f>
        <v>9090.9090909091028</v>
      </c>
      <c r="Q41" s="5">
        <f>+N41</f>
        <v>100000</v>
      </c>
      <c r="R41" s="18">
        <v>2.2799999999999998</v>
      </c>
      <c r="S41" s="4" t="s">
        <v>341</v>
      </c>
    </row>
    <row r="42" spans="2:20" hidden="1" x14ac:dyDescent="0.4">
      <c r="B42" s="8" t="s">
        <v>26</v>
      </c>
      <c r="C42" s="8">
        <v>2.2400000000000002</v>
      </c>
      <c r="D42" s="15" t="s">
        <v>23</v>
      </c>
      <c r="F42" s="8" t="s">
        <v>2368</v>
      </c>
      <c r="G42" s="4" t="s">
        <v>2462</v>
      </c>
      <c r="H42" s="4">
        <v>150</v>
      </c>
      <c r="I42" s="4" t="s">
        <v>2245</v>
      </c>
      <c r="J42" s="4">
        <v>2.09</v>
      </c>
      <c r="K42" s="4" t="s">
        <v>493</v>
      </c>
      <c r="L42" s="5">
        <v>50</v>
      </c>
      <c r="M42" s="68">
        <v>1200</v>
      </c>
      <c r="N42" s="8">
        <f>+M42*L42</f>
        <v>60000</v>
      </c>
      <c r="O42" s="5">
        <f>+N42/1.1</f>
        <v>54545.454545454544</v>
      </c>
      <c r="P42" s="5">
        <f>+N42-O42</f>
        <v>5454.5454545454559</v>
      </c>
      <c r="Q42" s="5">
        <f>+N42</f>
        <v>60000</v>
      </c>
      <c r="R42" s="18">
        <v>2.2799999999999998</v>
      </c>
      <c r="S42" s="4" t="s">
        <v>341</v>
      </c>
    </row>
    <row r="43" spans="2:20" hidden="1" x14ac:dyDescent="0.4">
      <c r="B43" s="8" t="s">
        <v>26</v>
      </c>
      <c r="C43" s="8">
        <v>2.2400000000000002</v>
      </c>
      <c r="D43" s="15" t="s">
        <v>23</v>
      </c>
      <c r="F43" s="8" t="s">
        <v>2368</v>
      </c>
      <c r="G43" s="4" t="s">
        <v>2462</v>
      </c>
      <c r="H43" s="4">
        <v>150</v>
      </c>
      <c r="I43" s="4" t="s">
        <v>2245</v>
      </c>
      <c r="J43" s="4">
        <v>2.09</v>
      </c>
      <c r="K43" s="4" t="s">
        <v>494</v>
      </c>
      <c r="L43" s="5">
        <v>100</v>
      </c>
      <c r="M43" s="68">
        <v>1000</v>
      </c>
      <c r="N43" s="8">
        <f>+M43*L43</f>
        <v>100000</v>
      </c>
      <c r="O43" s="5">
        <f>+N43/1.1</f>
        <v>90909.090909090897</v>
      </c>
      <c r="P43" s="5">
        <f>+N43-O43</f>
        <v>9090.9090909091028</v>
      </c>
      <c r="Q43" s="5">
        <f>+N43</f>
        <v>100000</v>
      </c>
      <c r="R43" s="18">
        <v>2.2799999999999998</v>
      </c>
      <c r="S43" s="4" t="s">
        <v>341</v>
      </c>
    </row>
    <row r="44" spans="2:20" hidden="1" x14ac:dyDescent="0.4">
      <c r="B44" s="8" t="s">
        <v>26</v>
      </c>
      <c r="C44" s="8">
        <v>2.2400000000000002</v>
      </c>
      <c r="D44" s="15" t="s">
        <v>23</v>
      </c>
      <c r="F44" s="8" t="s">
        <v>2368</v>
      </c>
      <c r="G44" s="4" t="s">
        <v>2462</v>
      </c>
      <c r="H44" s="4">
        <v>150</v>
      </c>
      <c r="I44" s="4" t="s">
        <v>2245</v>
      </c>
      <c r="J44" s="4">
        <v>2.09</v>
      </c>
      <c r="K44" s="4" t="s">
        <v>495</v>
      </c>
      <c r="L44" s="5">
        <v>20</v>
      </c>
      <c r="M44" s="68">
        <v>5500</v>
      </c>
      <c r="N44" s="8">
        <f>+M44*L44</f>
        <v>110000</v>
      </c>
      <c r="O44" s="5">
        <f>+N44/1.1</f>
        <v>99999.999999999985</v>
      </c>
      <c r="P44" s="5">
        <f>+N44-O44</f>
        <v>10000.000000000015</v>
      </c>
      <c r="Q44" s="5">
        <f>+N44</f>
        <v>110000</v>
      </c>
      <c r="R44" s="18">
        <v>2.2799999999999998</v>
      </c>
      <c r="S44" s="4" t="s">
        <v>341</v>
      </c>
    </row>
    <row r="45" spans="2:20" hidden="1" x14ac:dyDescent="0.4">
      <c r="B45" s="8" t="s">
        <v>26</v>
      </c>
      <c r="C45" s="8">
        <v>2.2400000000000002</v>
      </c>
      <c r="D45" s="15" t="s">
        <v>23</v>
      </c>
      <c r="F45" s="5" t="s">
        <v>1559</v>
      </c>
      <c r="G45" s="4" t="s">
        <v>2531</v>
      </c>
      <c r="H45" s="4">
        <v>1324</v>
      </c>
      <c r="I45" s="4" t="s">
        <v>2440</v>
      </c>
      <c r="J45" s="4">
        <v>2.17</v>
      </c>
      <c r="K45" s="4" t="s">
        <v>538</v>
      </c>
      <c r="L45" s="5">
        <f>20+14</f>
        <v>34</v>
      </c>
      <c r="M45" s="71">
        <v>6000</v>
      </c>
      <c r="N45" s="8">
        <f>+M45*L45</f>
        <v>204000</v>
      </c>
      <c r="O45" s="5">
        <f>+N45/1.1</f>
        <v>185454.54545454544</v>
      </c>
      <c r="P45" s="5">
        <f>+N45-O45</f>
        <v>18545.454545454559</v>
      </c>
      <c r="Q45" s="5">
        <f>+N45</f>
        <v>204000</v>
      </c>
      <c r="R45" s="18">
        <v>2.2799999999999998</v>
      </c>
      <c r="S45" s="7" t="s">
        <v>97</v>
      </c>
    </row>
    <row r="46" spans="2:20" hidden="1" x14ac:dyDescent="0.4">
      <c r="B46" s="8" t="s">
        <v>26</v>
      </c>
      <c r="C46" s="8">
        <v>2.2400000000000002</v>
      </c>
      <c r="D46" s="15" t="s">
        <v>23</v>
      </c>
      <c r="F46" s="8" t="s">
        <v>2368</v>
      </c>
      <c r="G46" s="4" t="s">
        <v>926</v>
      </c>
      <c r="H46" s="4">
        <v>786</v>
      </c>
      <c r="I46" s="4" t="s">
        <v>943</v>
      </c>
      <c r="J46" s="4">
        <v>2.21</v>
      </c>
      <c r="K46" s="4" t="s">
        <v>2542</v>
      </c>
      <c r="L46" s="5">
        <v>10</v>
      </c>
      <c r="M46" s="68">
        <v>6000</v>
      </c>
      <c r="N46" s="8">
        <f>+M46*L46</f>
        <v>60000</v>
      </c>
      <c r="O46" s="5">
        <f>+N46/1.1</f>
        <v>54545.454545454544</v>
      </c>
      <c r="P46" s="5">
        <f>+N46-O46</f>
        <v>5454.5454545454559</v>
      </c>
      <c r="Q46" s="5">
        <f>+N46</f>
        <v>60000</v>
      </c>
      <c r="R46" s="18">
        <v>2.2799999999999998</v>
      </c>
      <c r="S46" s="4" t="s">
        <v>544</v>
      </c>
    </row>
    <row r="47" spans="2:20" hidden="1" x14ac:dyDescent="0.4">
      <c r="B47" s="8" t="s">
        <v>26</v>
      </c>
      <c r="C47" s="8">
        <v>2.25</v>
      </c>
      <c r="D47" s="15" t="s">
        <v>23</v>
      </c>
      <c r="F47" s="8" t="s">
        <v>1559</v>
      </c>
      <c r="G47" s="5" t="s">
        <v>2499</v>
      </c>
      <c r="H47" s="4">
        <v>782</v>
      </c>
      <c r="I47" s="5" t="s">
        <v>730</v>
      </c>
      <c r="J47" s="4">
        <v>12.03</v>
      </c>
      <c r="K47" s="18" t="s">
        <v>198</v>
      </c>
      <c r="L47" s="18">
        <v>30</v>
      </c>
      <c r="M47" s="69">
        <v>10000</v>
      </c>
      <c r="N47" s="18">
        <f>+M47*L47</f>
        <v>300000</v>
      </c>
      <c r="O47" s="18">
        <f>+N47/1.1</f>
        <v>272727.27272727271</v>
      </c>
      <c r="P47" s="18">
        <f>+N47-O47</f>
        <v>27272.727272727294</v>
      </c>
      <c r="Q47" s="18">
        <f>+N47</f>
        <v>300000</v>
      </c>
      <c r="R47" s="18">
        <v>3.02</v>
      </c>
      <c r="S47" s="7" t="s">
        <v>2494</v>
      </c>
      <c r="T47" s="4" t="s">
        <v>199</v>
      </c>
    </row>
    <row r="48" spans="2:20" hidden="1" x14ac:dyDescent="0.4">
      <c r="B48" s="8" t="s">
        <v>26</v>
      </c>
      <c r="C48" s="8">
        <v>2.25</v>
      </c>
      <c r="D48" s="15" t="s">
        <v>23</v>
      </c>
      <c r="F48" s="8" t="s">
        <v>1559</v>
      </c>
      <c r="G48" s="5" t="s">
        <v>2499</v>
      </c>
      <c r="H48" s="4">
        <v>782</v>
      </c>
      <c r="I48" s="4" t="s">
        <v>730</v>
      </c>
      <c r="J48" s="4">
        <v>2.14</v>
      </c>
      <c r="K48" s="12" t="s">
        <v>2543</v>
      </c>
      <c r="L48" s="18">
        <v>34</v>
      </c>
      <c r="M48" s="69">
        <v>10000</v>
      </c>
      <c r="N48" s="18">
        <f>+M48*L48</f>
        <v>340000</v>
      </c>
      <c r="O48" s="18">
        <f>+N48/1.1</f>
        <v>309090.90909090906</v>
      </c>
      <c r="P48" s="18">
        <f>+N48-O48</f>
        <v>30909.090909090941</v>
      </c>
      <c r="Q48" s="18">
        <f>+N48</f>
        <v>340000</v>
      </c>
      <c r="R48" s="18">
        <v>3.02</v>
      </c>
      <c r="S48" s="4" t="s">
        <v>199</v>
      </c>
    </row>
    <row r="49" spans="2:19" hidden="1" x14ac:dyDescent="0.4">
      <c r="B49" s="39" t="s">
        <v>2433</v>
      </c>
      <c r="D49" s="111" t="s">
        <v>23</v>
      </c>
      <c r="N49" s="39">
        <f>SUM(N7:N48)</f>
        <v>22380000</v>
      </c>
      <c r="O49" s="39">
        <f>SUM(O7:O48)</f>
        <v>20345454.545454547</v>
      </c>
      <c r="P49" s="39">
        <f>SUM(P7:P48)</f>
        <v>2034545.4545454565</v>
      </c>
      <c r="Q49" s="39">
        <f>SUM(Q7:Q48)</f>
        <v>22380000</v>
      </c>
    </row>
    <row r="50" spans="2:19" hidden="1" x14ac:dyDescent="0.4">
      <c r="B50" s="8" t="s">
        <v>26</v>
      </c>
      <c r="C50" s="8">
        <v>2.0699999999999998</v>
      </c>
      <c r="D50" s="16" t="s">
        <v>28</v>
      </c>
      <c r="F50" s="8" t="s">
        <v>2368</v>
      </c>
      <c r="G50" s="5" t="s">
        <v>937</v>
      </c>
      <c r="H50" s="4">
        <v>438</v>
      </c>
      <c r="I50" s="4" t="s">
        <v>929</v>
      </c>
      <c r="J50" s="4">
        <v>2.0699999999999998</v>
      </c>
      <c r="K50" s="4" t="s">
        <v>472</v>
      </c>
      <c r="L50" s="5">
        <v>27</v>
      </c>
      <c r="M50" s="68">
        <v>5000</v>
      </c>
      <c r="N50" s="8">
        <f>+M50*L50</f>
        <v>135000</v>
      </c>
      <c r="Q50" s="5">
        <f>+N50</f>
        <v>135000</v>
      </c>
      <c r="R50" s="18">
        <v>2.11</v>
      </c>
      <c r="S50" s="4" t="s">
        <v>486</v>
      </c>
    </row>
    <row r="51" spans="2:19" hidden="1" x14ac:dyDescent="0.4">
      <c r="B51" s="8" t="s">
        <v>26</v>
      </c>
      <c r="C51" s="8">
        <v>2.0299999999999998</v>
      </c>
      <c r="D51" s="16" t="s">
        <v>28</v>
      </c>
      <c r="F51" s="5" t="s">
        <v>2368</v>
      </c>
      <c r="G51" s="5" t="s">
        <v>1011</v>
      </c>
      <c r="H51" s="4">
        <v>550</v>
      </c>
      <c r="I51" s="4" t="s">
        <v>748</v>
      </c>
      <c r="J51" s="4">
        <v>1.1100000000000001</v>
      </c>
      <c r="K51" s="4" t="s">
        <v>2544</v>
      </c>
      <c r="L51" s="5">
        <v>6</v>
      </c>
      <c r="M51" s="68">
        <f>12000+3000</f>
        <v>15000</v>
      </c>
      <c r="N51" s="8">
        <f>+M51*L51</f>
        <v>90000</v>
      </c>
      <c r="Q51" s="5">
        <f>+N51</f>
        <v>90000</v>
      </c>
      <c r="R51" s="18">
        <v>2.14</v>
      </c>
      <c r="S51" s="7" t="s">
        <v>51</v>
      </c>
    </row>
    <row r="52" spans="2:19" hidden="1" x14ac:dyDescent="0.4">
      <c r="B52" s="8" t="s">
        <v>26</v>
      </c>
      <c r="C52" s="8">
        <v>2.0299999999999998</v>
      </c>
      <c r="D52" s="16" t="s">
        <v>28</v>
      </c>
      <c r="F52" s="5" t="s">
        <v>2368</v>
      </c>
      <c r="G52" s="5" t="s">
        <v>1011</v>
      </c>
      <c r="H52" s="4">
        <v>550</v>
      </c>
      <c r="I52" s="4" t="s">
        <v>748</v>
      </c>
      <c r="J52" s="4">
        <v>1.1299999999999999</v>
      </c>
      <c r="K52" s="4" t="s">
        <v>419</v>
      </c>
      <c r="L52" s="5">
        <v>1</v>
      </c>
      <c r="M52" s="68">
        <v>25000</v>
      </c>
      <c r="N52" s="8">
        <f>+M52*L52</f>
        <v>25000</v>
      </c>
      <c r="Q52" s="5">
        <f>+N52</f>
        <v>25000</v>
      </c>
      <c r="R52" s="18">
        <v>2.14</v>
      </c>
      <c r="S52" s="7" t="s">
        <v>51</v>
      </c>
    </row>
    <row r="53" spans="2:19" hidden="1" x14ac:dyDescent="0.4">
      <c r="B53" s="8" t="s">
        <v>26</v>
      </c>
      <c r="C53" s="8">
        <v>2.14</v>
      </c>
      <c r="D53" s="16" t="s">
        <v>28</v>
      </c>
      <c r="F53" s="5" t="s">
        <v>1365</v>
      </c>
      <c r="G53" s="4" t="s">
        <v>2545</v>
      </c>
      <c r="H53" s="4">
        <v>156</v>
      </c>
      <c r="I53" s="4" t="s">
        <v>1048</v>
      </c>
      <c r="J53" s="4">
        <v>2.0499999999999998</v>
      </c>
      <c r="K53" s="4" t="s">
        <v>472</v>
      </c>
      <c r="L53" s="5">
        <v>70</v>
      </c>
      <c r="M53" s="68">
        <v>5000</v>
      </c>
      <c r="N53" s="8">
        <f>+M53*L53</f>
        <v>350000</v>
      </c>
      <c r="Q53" s="5">
        <f>+N53</f>
        <v>350000</v>
      </c>
      <c r="R53" s="18">
        <v>2.15</v>
      </c>
      <c r="S53" s="7" t="s">
        <v>481</v>
      </c>
    </row>
    <row r="54" spans="2:19" hidden="1" x14ac:dyDescent="0.4">
      <c r="B54" s="8" t="s">
        <v>26</v>
      </c>
      <c r="C54" s="8">
        <v>2.0699999999999998</v>
      </c>
      <c r="D54" s="16" t="s">
        <v>28</v>
      </c>
      <c r="F54" s="5" t="s">
        <v>1559</v>
      </c>
      <c r="G54" s="4" t="s">
        <v>2531</v>
      </c>
      <c r="H54" s="4">
        <v>1324</v>
      </c>
      <c r="I54" s="5" t="s">
        <v>2440</v>
      </c>
      <c r="J54" s="4">
        <v>12.02</v>
      </c>
      <c r="K54" s="3" t="s">
        <v>309</v>
      </c>
      <c r="L54" s="5">
        <v>18</v>
      </c>
      <c r="M54" s="68">
        <v>23000</v>
      </c>
      <c r="N54" s="8">
        <f>+M54*L54</f>
        <v>414000</v>
      </c>
      <c r="Q54" s="5">
        <f>+N54</f>
        <v>414000</v>
      </c>
      <c r="R54" s="18">
        <v>2.17</v>
      </c>
      <c r="S54" s="40" t="s">
        <v>312</v>
      </c>
    </row>
    <row r="55" spans="2:19" hidden="1" x14ac:dyDescent="0.4">
      <c r="B55" s="8" t="s">
        <v>26</v>
      </c>
      <c r="C55" s="8">
        <v>2.0699999999999998</v>
      </c>
      <c r="D55" s="16" t="s">
        <v>28</v>
      </c>
      <c r="F55" s="5" t="s">
        <v>1559</v>
      </c>
      <c r="G55" s="4" t="s">
        <v>2531</v>
      </c>
      <c r="H55" s="4">
        <v>1324</v>
      </c>
      <c r="I55" s="7" t="s">
        <v>2440</v>
      </c>
      <c r="J55" s="4">
        <v>1.2</v>
      </c>
      <c r="K55" s="3" t="s">
        <v>456</v>
      </c>
      <c r="L55" s="5">
        <v>17</v>
      </c>
      <c r="M55" s="68">
        <f>30000+4000</f>
        <v>34000</v>
      </c>
      <c r="N55" s="8">
        <f>+M55*L55</f>
        <v>578000</v>
      </c>
      <c r="Q55" s="5">
        <f>+N55</f>
        <v>578000</v>
      </c>
      <c r="R55" s="18">
        <v>2.17</v>
      </c>
      <c r="S55" s="7" t="s">
        <v>97</v>
      </c>
    </row>
    <row r="56" spans="2:19" hidden="1" x14ac:dyDescent="0.4">
      <c r="B56" s="8" t="s">
        <v>26</v>
      </c>
      <c r="C56" s="8">
        <v>2.16</v>
      </c>
      <c r="D56" s="16" t="s">
        <v>28</v>
      </c>
      <c r="F56" s="8" t="s">
        <v>2368</v>
      </c>
      <c r="G56" s="5" t="s">
        <v>948</v>
      </c>
      <c r="H56" s="4">
        <v>786</v>
      </c>
      <c r="I56" s="4" t="s">
        <v>949</v>
      </c>
      <c r="J56" s="4">
        <v>1.19</v>
      </c>
      <c r="K56" s="4" t="s">
        <v>2546</v>
      </c>
      <c r="L56" s="5">
        <v>2</v>
      </c>
      <c r="M56" s="68">
        <v>30000</v>
      </c>
      <c r="N56" s="8">
        <f>+M56*L56</f>
        <v>60000</v>
      </c>
      <c r="Q56" s="5">
        <f>+N56</f>
        <v>60000</v>
      </c>
      <c r="R56" s="18">
        <v>2.17</v>
      </c>
      <c r="S56" s="4" t="s">
        <v>446</v>
      </c>
    </row>
    <row r="57" spans="2:19" hidden="1" x14ac:dyDescent="0.4">
      <c r="B57" s="8" t="s">
        <v>26</v>
      </c>
      <c r="C57" s="8">
        <v>2.17</v>
      </c>
      <c r="D57" s="16" t="s">
        <v>28</v>
      </c>
      <c r="F57" s="4" t="s">
        <v>1365</v>
      </c>
      <c r="G57" s="4" t="s">
        <v>1050</v>
      </c>
      <c r="H57" s="4">
        <v>161</v>
      </c>
      <c r="I57" s="4" t="s">
        <v>1051</v>
      </c>
      <c r="J57" s="4">
        <v>2.0499999999999998</v>
      </c>
      <c r="K57" s="4" t="s">
        <v>472</v>
      </c>
      <c r="L57" s="5">
        <v>80</v>
      </c>
      <c r="M57" s="68">
        <v>5000</v>
      </c>
      <c r="N57" s="8">
        <f>+M57*L57</f>
        <v>400000</v>
      </c>
      <c r="Q57" s="5">
        <f>+N57</f>
        <v>400000</v>
      </c>
      <c r="R57" s="18">
        <v>2.21</v>
      </c>
      <c r="S57" s="7" t="s">
        <v>359</v>
      </c>
    </row>
    <row r="58" spans="2:19" hidden="1" x14ac:dyDescent="0.4">
      <c r="B58" s="8" t="s">
        <v>26</v>
      </c>
      <c r="C58" s="8">
        <v>2.21</v>
      </c>
      <c r="D58" s="16" t="s">
        <v>28</v>
      </c>
      <c r="F58" s="8" t="s">
        <v>2368</v>
      </c>
      <c r="G58" s="98" t="s">
        <v>988</v>
      </c>
      <c r="H58" s="4">
        <v>1870</v>
      </c>
      <c r="I58" s="120" t="s">
        <v>739</v>
      </c>
      <c r="J58" s="4">
        <v>1.25</v>
      </c>
      <c r="K58" s="4" t="s">
        <v>2547</v>
      </c>
      <c r="L58" s="5">
        <v>4</v>
      </c>
      <c r="M58" s="68">
        <f>12000+3000</f>
        <v>15000</v>
      </c>
      <c r="N58" s="8">
        <f>+M58*L58</f>
        <v>60000</v>
      </c>
      <c r="Q58" s="5">
        <f>+N58</f>
        <v>60000</v>
      </c>
      <c r="R58" s="18">
        <v>2.2200000000000002</v>
      </c>
      <c r="S58" s="4" t="s">
        <v>470</v>
      </c>
    </row>
    <row r="59" spans="2:19" hidden="1" x14ac:dyDescent="0.4">
      <c r="B59" s="8" t="s">
        <v>26</v>
      </c>
      <c r="C59" s="8">
        <v>2.2200000000000002</v>
      </c>
      <c r="D59" s="16" t="s">
        <v>28</v>
      </c>
      <c r="F59" s="5" t="s">
        <v>2368</v>
      </c>
      <c r="G59" s="5" t="s">
        <v>1011</v>
      </c>
      <c r="H59" s="4">
        <v>550</v>
      </c>
      <c r="I59" s="4" t="s">
        <v>748</v>
      </c>
      <c r="J59" s="4">
        <v>2.1</v>
      </c>
      <c r="K59" s="3" t="s">
        <v>518</v>
      </c>
      <c r="L59" s="5">
        <v>1</v>
      </c>
      <c r="M59" s="68">
        <f>18000+4000</f>
        <v>22000</v>
      </c>
      <c r="N59" s="8">
        <f>+M59*L59</f>
        <v>22000</v>
      </c>
      <c r="Q59" s="5">
        <f>+N59</f>
        <v>22000</v>
      </c>
      <c r="R59" s="18">
        <v>2.23</v>
      </c>
      <c r="S59" s="7" t="s">
        <v>51</v>
      </c>
    </row>
    <row r="60" spans="2:19" hidden="1" x14ac:dyDescent="0.4">
      <c r="B60" s="8" t="s">
        <v>26</v>
      </c>
      <c r="C60" s="8">
        <v>2.21</v>
      </c>
      <c r="D60" s="16" t="s">
        <v>28</v>
      </c>
      <c r="F60" s="8" t="s">
        <v>2368</v>
      </c>
      <c r="G60" s="4" t="s">
        <v>2539</v>
      </c>
      <c r="H60" s="4">
        <v>1566</v>
      </c>
      <c r="I60" s="4" t="s">
        <v>2157</v>
      </c>
      <c r="J60" s="4">
        <v>2.08</v>
      </c>
      <c r="K60" s="4" t="s">
        <v>473</v>
      </c>
      <c r="L60" s="5">
        <v>2</v>
      </c>
      <c r="M60" s="68">
        <v>50000</v>
      </c>
      <c r="N60" s="8">
        <f>+M60*L60</f>
        <v>100000</v>
      </c>
      <c r="Q60" s="39">
        <f>+N60</f>
        <v>100000</v>
      </c>
      <c r="R60" s="18">
        <v>2.25</v>
      </c>
      <c r="S60" s="4" t="s">
        <v>489</v>
      </c>
    </row>
    <row r="61" spans="2:19" hidden="1" x14ac:dyDescent="0.4">
      <c r="B61" s="8" t="s">
        <v>26</v>
      </c>
      <c r="C61" s="8">
        <v>2.21</v>
      </c>
      <c r="D61" s="16" t="s">
        <v>28</v>
      </c>
      <c r="F61" s="8" t="s">
        <v>2368</v>
      </c>
      <c r="G61" s="4" t="s">
        <v>2539</v>
      </c>
      <c r="H61" s="4">
        <v>1566</v>
      </c>
      <c r="I61" s="4" t="s">
        <v>2157</v>
      </c>
      <c r="J61" s="4">
        <v>2.1</v>
      </c>
      <c r="K61" s="4" t="s">
        <v>473</v>
      </c>
      <c r="L61" s="5">
        <v>1</v>
      </c>
      <c r="M61" s="68">
        <v>50000</v>
      </c>
      <c r="N61" s="8">
        <f>+M61*L61</f>
        <v>50000</v>
      </c>
      <c r="Q61" s="39">
        <f>+N61</f>
        <v>50000</v>
      </c>
      <c r="R61" s="18">
        <v>2.25</v>
      </c>
      <c r="S61" s="4" t="s">
        <v>489</v>
      </c>
    </row>
    <row r="62" spans="2:19" hidden="1" x14ac:dyDescent="0.4">
      <c r="B62" s="8" t="s">
        <v>26</v>
      </c>
      <c r="C62" s="8">
        <v>2.21</v>
      </c>
      <c r="D62" s="16" t="s">
        <v>28</v>
      </c>
      <c r="F62" s="8" t="s">
        <v>2368</v>
      </c>
      <c r="G62" s="4" t="s">
        <v>2539</v>
      </c>
      <c r="H62" s="4">
        <v>1566</v>
      </c>
      <c r="I62" s="4" t="s">
        <v>2157</v>
      </c>
      <c r="J62" s="4">
        <v>2.12</v>
      </c>
      <c r="K62" s="4" t="s">
        <v>473</v>
      </c>
      <c r="L62" s="5">
        <v>1</v>
      </c>
      <c r="M62" s="68">
        <v>50000</v>
      </c>
      <c r="N62" s="8">
        <f>+M62*L62</f>
        <v>50000</v>
      </c>
      <c r="Q62" s="39">
        <f>+N62</f>
        <v>50000</v>
      </c>
      <c r="R62" s="18">
        <v>2.25</v>
      </c>
      <c r="S62" s="4" t="s">
        <v>489</v>
      </c>
    </row>
    <row r="63" spans="2:19" hidden="1" x14ac:dyDescent="0.4">
      <c r="B63" s="8" t="s">
        <v>26</v>
      </c>
      <c r="C63" s="8">
        <v>2.2400000000000002</v>
      </c>
      <c r="D63" s="16" t="s">
        <v>28</v>
      </c>
      <c r="F63" s="8" t="s">
        <v>2368</v>
      </c>
      <c r="G63" s="4" t="s">
        <v>2548</v>
      </c>
      <c r="H63" s="4">
        <v>2155</v>
      </c>
      <c r="I63" s="4" t="s">
        <v>2009</v>
      </c>
      <c r="J63" s="4">
        <v>1.07</v>
      </c>
      <c r="K63" s="4" t="s">
        <v>2549</v>
      </c>
      <c r="L63" s="5">
        <v>7</v>
      </c>
      <c r="M63" s="68">
        <f>12000+3000</f>
        <v>15000</v>
      </c>
      <c r="N63" s="8">
        <f>+M63*L63</f>
        <v>105000</v>
      </c>
      <c r="Q63" s="39">
        <f>+N63</f>
        <v>105000</v>
      </c>
      <c r="R63" s="18">
        <v>2.25</v>
      </c>
      <c r="S63" s="4" t="s">
        <v>102</v>
      </c>
    </row>
    <row r="64" spans="2:19" hidden="1" x14ac:dyDescent="0.4">
      <c r="B64" s="8" t="s">
        <v>26</v>
      </c>
      <c r="C64" s="8">
        <v>2.2400000000000002</v>
      </c>
      <c r="D64" s="16" t="s">
        <v>28</v>
      </c>
      <c r="F64" s="8" t="s">
        <v>2368</v>
      </c>
      <c r="G64" s="5" t="s">
        <v>2436</v>
      </c>
      <c r="H64" s="4">
        <v>729</v>
      </c>
      <c r="I64" s="4" t="s">
        <v>746</v>
      </c>
      <c r="J64" s="4">
        <v>1.28</v>
      </c>
      <c r="K64" s="4" t="s">
        <v>111</v>
      </c>
      <c r="L64" s="5">
        <f>6+1</f>
        <v>7</v>
      </c>
      <c r="M64" s="68">
        <v>70000</v>
      </c>
      <c r="N64" s="8">
        <f>+M64*L64</f>
        <v>490000</v>
      </c>
      <c r="Q64" s="39">
        <f>+N64</f>
        <v>490000</v>
      </c>
      <c r="R64" s="18">
        <v>2.25</v>
      </c>
      <c r="S64" s="4" t="s">
        <v>110</v>
      </c>
    </row>
    <row r="65" spans="2:19" hidden="1" x14ac:dyDescent="0.4">
      <c r="B65" s="8" t="s">
        <v>541</v>
      </c>
      <c r="C65" s="8">
        <v>2.2400000000000002</v>
      </c>
      <c r="D65" s="16" t="s">
        <v>28</v>
      </c>
      <c r="F65" s="4" t="s">
        <v>1559</v>
      </c>
      <c r="G65" s="4" t="s">
        <v>2550</v>
      </c>
      <c r="H65" s="4">
        <v>1160</v>
      </c>
      <c r="I65" s="4" t="s">
        <v>541</v>
      </c>
      <c r="J65" s="4">
        <v>2.1800000000000002</v>
      </c>
      <c r="K65" s="4" t="s">
        <v>440</v>
      </c>
      <c r="L65" s="5">
        <v>78</v>
      </c>
      <c r="M65" s="69">
        <f>60000-10000</f>
        <v>50000</v>
      </c>
      <c r="N65" s="8">
        <f>+M65*L65</f>
        <v>3900000</v>
      </c>
      <c r="Q65" s="39">
        <f>+N65</f>
        <v>3900000</v>
      </c>
      <c r="R65" s="18">
        <v>2.25</v>
      </c>
      <c r="S65" s="4" t="s">
        <v>2551</v>
      </c>
    </row>
    <row r="66" spans="2:19" hidden="1" x14ac:dyDescent="0.4">
      <c r="B66" s="8" t="s">
        <v>26</v>
      </c>
      <c r="C66" s="8">
        <v>2.2400000000000002</v>
      </c>
      <c r="D66" s="16" t="s">
        <v>28</v>
      </c>
      <c r="F66" s="8" t="s">
        <v>2368</v>
      </c>
      <c r="G66" s="19" t="s">
        <v>2120</v>
      </c>
      <c r="H66" s="4">
        <v>930</v>
      </c>
      <c r="I66" s="4" t="s">
        <v>740</v>
      </c>
      <c r="J66" s="4">
        <v>1.06</v>
      </c>
      <c r="K66" s="8" t="s">
        <v>2552</v>
      </c>
      <c r="L66" s="5">
        <v>8</v>
      </c>
      <c r="M66" s="68">
        <f>20000+3000</f>
        <v>23000</v>
      </c>
      <c r="N66" s="8">
        <f>+M66*L66</f>
        <v>184000</v>
      </c>
      <c r="Q66" s="39">
        <f>+N66</f>
        <v>184000</v>
      </c>
      <c r="R66" s="18">
        <v>2.2799999999999998</v>
      </c>
      <c r="S66" s="7" t="s">
        <v>394</v>
      </c>
    </row>
    <row r="67" spans="2:19" hidden="1" x14ac:dyDescent="0.4">
      <c r="B67" s="8" t="s">
        <v>26</v>
      </c>
      <c r="C67" s="8">
        <v>2.2400000000000002</v>
      </c>
      <c r="D67" s="16" t="s">
        <v>28</v>
      </c>
      <c r="F67" s="8" t="s">
        <v>2368</v>
      </c>
      <c r="G67" s="4" t="s">
        <v>1917</v>
      </c>
      <c r="H67" s="4">
        <v>1025</v>
      </c>
      <c r="I67" s="4" t="s">
        <v>1918</v>
      </c>
      <c r="J67" s="4">
        <v>1.07</v>
      </c>
      <c r="K67" s="4" t="s">
        <v>2553</v>
      </c>
      <c r="L67" s="5">
        <v>5</v>
      </c>
      <c r="M67" s="68">
        <f>12000+3000</f>
        <v>15000</v>
      </c>
      <c r="N67" s="8">
        <f>+M67*L67</f>
        <v>75000</v>
      </c>
      <c r="Q67" s="39">
        <f>+N67</f>
        <v>75000</v>
      </c>
      <c r="R67" s="18">
        <v>2.2799999999999998</v>
      </c>
      <c r="S67" s="7" t="s">
        <v>322</v>
      </c>
    </row>
    <row r="68" spans="2:19" hidden="1" x14ac:dyDescent="0.4">
      <c r="B68" s="8" t="s">
        <v>26</v>
      </c>
      <c r="C68" s="8">
        <v>2.2400000000000002</v>
      </c>
      <c r="D68" s="16" t="s">
        <v>28</v>
      </c>
      <c r="F68" s="8" t="s">
        <v>2368</v>
      </c>
      <c r="G68" s="4" t="s">
        <v>926</v>
      </c>
      <c r="H68" s="4">
        <v>540</v>
      </c>
      <c r="I68" s="4" t="s">
        <v>943</v>
      </c>
      <c r="J68" s="4">
        <v>1.26</v>
      </c>
      <c r="K68" s="4" t="s">
        <v>471</v>
      </c>
      <c r="L68" s="5">
        <v>1</v>
      </c>
      <c r="M68" s="68">
        <f>12000+3000</f>
        <v>15000</v>
      </c>
      <c r="N68" s="8">
        <f>+M68*L68</f>
        <v>15000</v>
      </c>
      <c r="Q68" s="39">
        <f>+N68</f>
        <v>15000</v>
      </c>
      <c r="R68" s="18">
        <v>2.2799999999999998</v>
      </c>
      <c r="S68" s="7" t="s">
        <v>416</v>
      </c>
    </row>
    <row r="69" spans="2:19" hidden="1" x14ac:dyDescent="0.4">
      <c r="B69" s="8" t="s">
        <v>26</v>
      </c>
      <c r="C69" s="8">
        <v>2.2400000000000002</v>
      </c>
      <c r="D69" s="16" t="s">
        <v>28</v>
      </c>
      <c r="F69" s="5" t="s">
        <v>1559</v>
      </c>
      <c r="G69" s="4" t="s">
        <v>2531</v>
      </c>
      <c r="H69" s="4">
        <v>1324</v>
      </c>
      <c r="I69" s="4" t="s">
        <v>2440</v>
      </c>
      <c r="J69" s="4">
        <v>2.0299999999999998</v>
      </c>
      <c r="K69" s="4" t="s">
        <v>2554</v>
      </c>
      <c r="L69" s="5">
        <v>5</v>
      </c>
      <c r="M69" s="68">
        <f>20000+3000</f>
        <v>23000</v>
      </c>
      <c r="N69" s="8">
        <f>+M69*L69</f>
        <v>115000</v>
      </c>
      <c r="Q69" s="39">
        <f>+N69</f>
        <v>115000</v>
      </c>
      <c r="R69" s="18">
        <v>2.2799999999999998</v>
      </c>
      <c r="S69" s="7" t="s">
        <v>97</v>
      </c>
    </row>
    <row r="70" spans="2:19" hidden="1" x14ac:dyDescent="0.4">
      <c r="B70" s="8" t="s">
        <v>26</v>
      </c>
      <c r="C70" s="8">
        <v>2.2400000000000002</v>
      </c>
      <c r="D70" s="16" t="s">
        <v>28</v>
      </c>
      <c r="F70" s="8" t="s">
        <v>2368</v>
      </c>
      <c r="G70" s="4" t="s">
        <v>2462</v>
      </c>
      <c r="H70" s="4">
        <v>150</v>
      </c>
      <c r="I70" s="4" t="s">
        <v>2245</v>
      </c>
      <c r="J70" s="4">
        <v>2.09</v>
      </c>
      <c r="K70" s="4" t="s">
        <v>472</v>
      </c>
      <c r="L70" s="5">
        <v>30</v>
      </c>
      <c r="M70" s="68">
        <v>5000</v>
      </c>
      <c r="N70" s="8">
        <f>+M70*L70</f>
        <v>150000</v>
      </c>
      <c r="Q70" s="39">
        <f>+N70</f>
        <v>150000</v>
      </c>
      <c r="R70" s="18">
        <v>2.2799999999999998</v>
      </c>
      <c r="S70" s="4" t="s">
        <v>341</v>
      </c>
    </row>
    <row r="71" spans="2:19" hidden="1" x14ac:dyDescent="0.4">
      <c r="B71" s="8" t="s">
        <v>26</v>
      </c>
      <c r="C71" s="8">
        <v>2.2400000000000002</v>
      </c>
      <c r="D71" s="16" t="s">
        <v>28</v>
      </c>
      <c r="F71" s="5" t="s">
        <v>1559</v>
      </c>
      <c r="G71" s="4" t="s">
        <v>2531</v>
      </c>
      <c r="H71" s="4">
        <v>1324</v>
      </c>
      <c r="I71" s="4" t="s">
        <v>2440</v>
      </c>
      <c r="J71" s="4">
        <v>2.14</v>
      </c>
      <c r="K71" s="4" t="s">
        <v>524</v>
      </c>
      <c r="L71" s="5">
        <v>10</v>
      </c>
      <c r="M71" s="68">
        <f>10000+4000</f>
        <v>14000</v>
      </c>
      <c r="N71" s="8">
        <f>+M71*L71</f>
        <v>140000</v>
      </c>
      <c r="Q71" s="39">
        <f>+N71</f>
        <v>140000</v>
      </c>
      <c r="R71" s="18">
        <v>2.2799999999999998</v>
      </c>
      <c r="S71" s="7" t="s">
        <v>97</v>
      </c>
    </row>
    <row r="72" spans="2:19" hidden="1" x14ac:dyDescent="0.4">
      <c r="B72" s="8" t="s">
        <v>26</v>
      </c>
      <c r="C72" s="8">
        <v>2.2400000000000002</v>
      </c>
      <c r="D72" s="16" t="s">
        <v>28</v>
      </c>
      <c r="F72" s="8" t="s">
        <v>2368</v>
      </c>
      <c r="G72" s="5" t="s">
        <v>968</v>
      </c>
      <c r="H72" s="4">
        <v>2634</v>
      </c>
      <c r="I72" s="4" t="s">
        <v>969</v>
      </c>
      <c r="J72" s="4">
        <v>2.17</v>
      </c>
      <c r="K72" s="4" t="s">
        <v>540</v>
      </c>
      <c r="L72" s="5">
        <v>20</v>
      </c>
      <c r="M72" s="68">
        <f>6000+3000</f>
        <v>9000</v>
      </c>
      <c r="N72" s="8">
        <f>+M72*L72</f>
        <v>180000</v>
      </c>
      <c r="Q72" s="39">
        <f>+N72</f>
        <v>180000</v>
      </c>
      <c r="R72" s="18">
        <v>2.2799999999999998</v>
      </c>
      <c r="S72" s="4" t="s">
        <v>121</v>
      </c>
    </row>
    <row r="73" spans="2:19" hidden="1" x14ac:dyDescent="0.4">
      <c r="B73" s="8" t="s">
        <v>26</v>
      </c>
      <c r="C73" s="8">
        <v>2.2400000000000002</v>
      </c>
      <c r="D73" s="16" t="s">
        <v>28</v>
      </c>
      <c r="F73" s="8" t="s">
        <v>2368</v>
      </c>
      <c r="G73" s="5" t="s">
        <v>2541</v>
      </c>
      <c r="H73" s="4">
        <v>605</v>
      </c>
      <c r="I73" s="4" t="s">
        <v>2555</v>
      </c>
      <c r="J73" s="4">
        <v>2.21</v>
      </c>
      <c r="K73" s="4" t="s">
        <v>548</v>
      </c>
      <c r="L73" s="5">
        <v>7</v>
      </c>
      <c r="M73" s="68">
        <f>6000+4000</f>
        <v>10000</v>
      </c>
      <c r="N73" s="8">
        <f>+M73*L73</f>
        <v>70000</v>
      </c>
      <c r="Q73" s="39">
        <f>+N73</f>
        <v>70000</v>
      </c>
      <c r="R73" s="18">
        <v>2.2799999999999998</v>
      </c>
      <c r="S73" s="4" t="s">
        <v>179</v>
      </c>
    </row>
    <row r="74" spans="2:19" hidden="1" x14ac:dyDescent="0.4">
      <c r="B74" s="8" t="s">
        <v>26</v>
      </c>
      <c r="C74" s="8">
        <v>2.2400000000000002</v>
      </c>
      <c r="D74" s="16" t="s">
        <v>28</v>
      </c>
      <c r="F74" s="8" t="s">
        <v>1559</v>
      </c>
      <c r="G74" s="5" t="s">
        <v>2499</v>
      </c>
      <c r="H74" s="4">
        <v>782</v>
      </c>
      <c r="I74" s="5" t="s">
        <v>730</v>
      </c>
      <c r="J74" s="4">
        <v>2.2200000000000002</v>
      </c>
      <c r="K74" s="4" t="s">
        <v>383</v>
      </c>
      <c r="L74" s="5">
        <v>22</v>
      </c>
      <c r="M74" s="68">
        <v>6000</v>
      </c>
      <c r="N74" s="8">
        <f>+M74*L74</f>
        <v>132000</v>
      </c>
      <c r="Q74" s="39">
        <f>+N74</f>
        <v>132000</v>
      </c>
      <c r="R74" s="18">
        <v>2.2799999999999998</v>
      </c>
      <c r="S74" s="4" t="s">
        <v>199</v>
      </c>
    </row>
    <row r="75" spans="2:19" hidden="1" x14ac:dyDescent="0.4">
      <c r="B75" s="90" t="s">
        <v>2447</v>
      </c>
      <c r="D75" s="112" t="s">
        <v>28</v>
      </c>
      <c r="N75" s="90">
        <f>SUM(N50:N74)</f>
        <v>7890000</v>
      </c>
      <c r="Q75" s="90">
        <f>SUM(Q50:Q74)</f>
        <v>7890000</v>
      </c>
    </row>
    <row r="76" spans="2:19" hidden="1" x14ac:dyDescent="0.4">
      <c r="B76" s="90" t="s">
        <v>2556</v>
      </c>
      <c r="N76" s="90">
        <f>N75+N54</f>
        <v>8304000</v>
      </c>
      <c r="Q76" s="90">
        <f>Q75+Q54</f>
        <v>8304000</v>
      </c>
    </row>
    <row r="77" spans="2:19" ht="23.25" customHeight="1" x14ac:dyDescent="0.4"/>
    <row r="78" spans="2:19" ht="23.25" customHeight="1" x14ac:dyDescent="0.4"/>
    <row r="79" spans="2:19" ht="24" customHeight="1" x14ac:dyDescent="0.4">
      <c r="K79" s="117" t="s">
        <v>2508</v>
      </c>
    </row>
    <row r="80" spans="2:19" ht="23.25" customHeight="1" x14ac:dyDescent="0.4"/>
    <row r="81" spans="2:20" ht="24" customHeight="1" x14ac:dyDescent="0.4">
      <c r="B81" s="5" t="s">
        <v>157</v>
      </c>
      <c r="C81" s="20" t="s">
        <v>2509</v>
      </c>
      <c r="D81" s="16" t="s">
        <v>28</v>
      </c>
      <c r="F81" s="8" t="s">
        <v>2368</v>
      </c>
      <c r="G81" s="5" t="s">
        <v>817</v>
      </c>
      <c r="H81" s="5">
        <v>209</v>
      </c>
      <c r="I81" s="5" t="s">
        <v>157</v>
      </c>
      <c r="J81" s="5">
        <v>6.16</v>
      </c>
      <c r="K81" s="5" t="s">
        <v>701</v>
      </c>
      <c r="L81" s="5">
        <v>4</v>
      </c>
      <c r="M81" s="5">
        <v>5000</v>
      </c>
      <c r="N81" s="8">
        <f>+M81*L81</f>
        <v>20000</v>
      </c>
      <c r="Q81" s="5">
        <f>+N81</f>
        <v>20000</v>
      </c>
      <c r="R81" s="20" t="s">
        <v>2510</v>
      </c>
      <c r="T81" s="5" t="s">
        <v>216</v>
      </c>
    </row>
    <row r="82" spans="2:20" ht="24" customHeight="1" x14ac:dyDescent="0.4">
      <c r="B82" s="5" t="s">
        <v>157</v>
      </c>
      <c r="C82" s="20" t="s">
        <v>2509</v>
      </c>
      <c r="D82" s="16" t="s">
        <v>28</v>
      </c>
      <c r="F82" s="8" t="s">
        <v>2368</v>
      </c>
      <c r="G82" s="5" t="s">
        <v>817</v>
      </c>
      <c r="H82" s="5">
        <v>209</v>
      </c>
      <c r="I82" s="5" t="s">
        <v>157</v>
      </c>
      <c r="J82" s="5">
        <v>6.1</v>
      </c>
      <c r="K82" s="5" t="s">
        <v>592</v>
      </c>
      <c r="L82" s="5">
        <f>4+34+14+12</f>
        <v>64</v>
      </c>
      <c r="M82" s="5">
        <v>5000</v>
      </c>
      <c r="N82" s="8">
        <f>+M82*L82</f>
        <v>320000</v>
      </c>
      <c r="Q82" s="5">
        <f>+N82</f>
        <v>320000</v>
      </c>
      <c r="R82" s="20" t="s">
        <v>2510</v>
      </c>
      <c r="S82" s="5" t="s">
        <v>2511</v>
      </c>
      <c r="T82" s="5" t="s">
        <v>216</v>
      </c>
    </row>
    <row r="83" spans="2:20" ht="24" customHeight="1" x14ac:dyDescent="0.4">
      <c r="B83" s="8" t="s">
        <v>989</v>
      </c>
      <c r="C83" s="20" t="s">
        <v>2509</v>
      </c>
      <c r="D83" s="16" t="s">
        <v>28</v>
      </c>
      <c r="F83" s="8" t="s">
        <v>2368</v>
      </c>
      <c r="H83" s="5">
        <v>245</v>
      </c>
      <c r="I83" s="8" t="s">
        <v>989</v>
      </c>
      <c r="J83" s="5">
        <v>6.14</v>
      </c>
      <c r="K83" s="5" t="s">
        <v>2512</v>
      </c>
      <c r="L83" s="5">
        <v>120</v>
      </c>
      <c r="M83" s="5">
        <v>6000</v>
      </c>
      <c r="N83" s="8">
        <f>+M83*L83</f>
        <v>720000</v>
      </c>
      <c r="Q83" s="5">
        <f>+N83</f>
        <v>720000</v>
      </c>
      <c r="R83" s="20" t="s">
        <v>2513</v>
      </c>
      <c r="T83" s="5" t="s">
        <v>2514</v>
      </c>
    </row>
    <row r="84" spans="2:20" ht="24" customHeight="1" x14ac:dyDescent="0.4">
      <c r="B84" s="8" t="s">
        <v>26</v>
      </c>
      <c r="C84" s="20" t="s">
        <v>2509</v>
      </c>
      <c r="D84" s="16" t="s">
        <v>28</v>
      </c>
      <c r="F84" s="5" t="s">
        <v>2368</v>
      </c>
      <c r="G84" s="8" t="s">
        <v>954</v>
      </c>
      <c r="H84" s="8">
        <v>2709</v>
      </c>
      <c r="I84" s="8" t="s">
        <v>955</v>
      </c>
      <c r="J84" s="8">
        <v>6.24</v>
      </c>
      <c r="K84" s="8" t="s">
        <v>747</v>
      </c>
      <c r="L84" s="8">
        <f>84-42</f>
        <v>42</v>
      </c>
      <c r="M84" s="8">
        <v>5000</v>
      </c>
      <c r="N84" s="8">
        <f>+M84*L84</f>
        <v>210000</v>
      </c>
      <c r="Q84" s="5">
        <f>+N84</f>
        <v>210000</v>
      </c>
      <c r="R84" s="20" t="s">
        <v>2515</v>
      </c>
      <c r="T84" s="8" t="s">
        <v>216</v>
      </c>
    </row>
    <row r="85" spans="2:20" ht="24" customHeight="1" x14ac:dyDescent="0.4">
      <c r="B85" s="8" t="s">
        <v>26</v>
      </c>
      <c r="C85" s="20" t="s">
        <v>2509</v>
      </c>
      <c r="D85" s="15" t="s">
        <v>23</v>
      </c>
      <c r="F85" s="8" t="s">
        <v>2368</v>
      </c>
      <c r="H85" s="5">
        <v>389</v>
      </c>
      <c r="I85" s="5" t="s">
        <v>726</v>
      </c>
      <c r="J85" s="5">
        <v>7.23</v>
      </c>
      <c r="K85" s="5" t="s">
        <v>2516</v>
      </c>
      <c r="L85" s="5">
        <f>7+6</f>
        <v>13</v>
      </c>
      <c r="M85" s="68">
        <v>13000</v>
      </c>
      <c r="N85" s="8">
        <f>+M85*L85</f>
        <v>169000</v>
      </c>
      <c r="O85" s="5">
        <f>+N85/1.1</f>
        <v>153636.36363636362</v>
      </c>
      <c r="P85" s="5">
        <f>+N85-O85</f>
        <v>15363.636363636382</v>
      </c>
      <c r="Q85" s="5">
        <f>+N85</f>
        <v>169000</v>
      </c>
      <c r="R85" s="20" t="s">
        <v>2517</v>
      </c>
      <c r="S85" s="5" t="s">
        <v>2518</v>
      </c>
      <c r="T85" s="5" t="s">
        <v>2519</v>
      </c>
    </row>
    <row r="86" spans="2:20" ht="24" customHeight="1" x14ac:dyDescent="0.4">
      <c r="B86" s="8" t="s">
        <v>26</v>
      </c>
      <c r="C86" s="18" t="s">
        <v>2509</v>
      </c>
      <c r="D86" s="16" t="s">
        <v>28</v>
      </c>
      <c r="H86" s="5">
        <v>493</v>
      </c>
      <c r="I86" s="5" t="s">
        <v>2520</v>
      </c>
      <c r="J86" s="5">
        <v>9.14</v>
      </c>
      <c r="K86" s="5" t="s">
        <v>2521</v>
      </c>
      <c r="L86" s="5">
        <v>8</v>
      </c>
      <c r="M86" s="68">
        <f>60000+3000</f>
        <v>63000</v>
      </c>
      <c r="N86" s="8">
        <f>+M86*L86</f>
        <v>504000</v>
      </c>
      <c r="Q86" s="5">
        <f>+N86</f>
        <v>504000</v>
      </c>
      <c r="R86" s="18" t="s">
        <v>2522</v>
      </c>
      <c r="S86" s="4" t="s">
        <v>50</v>
      </c>
      <c r="T86" s="4" t="s">
        <v>140</v>
      </c>
    </row>
    <row r="87" spans="2:20" ht="24" customHeight="1" x14ac:dyDescent="0.4">
      <c r="B87" s="8" t="s">
        <v>157</v>
      </c>
      <c r="C87" s="8" t="s">
        <v>27</v>
      </c>
      <c r="D87" s="15" t="s">
        <v>23</v>
      </c>
      <c r="H87" s="5">
        <v>209</v>
      </c>
      <c r="I87" s="5" t="s">
        <v>955</v>
      </c>
      <c r="J87" s="5">
        <v>9.27</v>
      </c>
      <c r="K87" s="5" t="s">
        <v>159</v>
      </c>
      <c r="L87" s="5">
        <v>22.5</v>
      </c>
      <c r="M87" s="68">
        <v>6000</v>
      </c>
      <c r="N87" s="8">
        <f>+M87*L87</f>
        <v>135000</v>
      </c>
      <c r="O87" s="5">
        <f>+N87/1.1</f>
        <v>122727.27272727272</v>
      </c>
      <c r="P87" s="5">
        <f>+N87-O87</f>
        <v>12272.727272727279</v>
      </c>
      <c r="Q87" s="5">
        <f>+N87</f>
        <v>135000</v>
      </c>
      <c r="R87" s="18" t="s">
        <v>2523</v>
      </c>
      <c r="S87" s="5" t="s">
        <v>2524</v>
      </c>
      <c r="T87" s="4" t="s">
        <v>166</v>
      </c>
    </row>
    <row r="88" spans="2:20" ht="24" customHeight="1" x14ac:dyDescent="0.4">
      <c r="B88" s="8" t="s">
        <v>26</v>
      </c>
      <c r="C88" s="8" t="s">
        <v>27</v>
      </c>
      <c r="D88" s="16" t="s">
        <v>28</v>
      </c>
      <c r="F88" s="5" t="s">
        <v>2368</v>
      </c>
      <c r="G88" s="8" t="s">
        <v>954</v>
      </c>
      <c r="H88" s="5">
        <v>2709</v>
      </c>
      <c r="I88" s="4" t="s">
        <v>955</v>
      </c>
      <c r="J88" s="5">
        <v>10.119999999999999</v>
      </c>
      <c r="K88" s="7" t="s">
        <v>191</v>
      </c>
      <c r="L88" s="5">
        <v>23</v>
      </c>
      <c r="M88" s="68">
        <v>6000</v>
      </c>
      <c r="N88" s="8">
        <f>+M88*L88</f>
        <v>138000</v>
      </c>
      <c r="Q88" s="5">
        <f>+N88</f>
        <v>138000</v>
      </c>
      <c r="R88" s="18">
        <v>10.210000000000001</v>
      </c>
      <c r="T88" s="4" t="s">
        <v>192</v>
      </c>
    </row>
    <row r="89" spans="2:20" ht="24" customHeight="1" x14ac:dyDescent="0.4">
      <c r="B89" s="8" t="s">
        <v>26</v>
      </c>
      <c r="C89" s="8" t="s">
        <v>27</v>
      </c>
      <c r="D89" s="16" t="s">
        <v>28</v>
      </c>
      <c r="F89" s="5" t="s">
        <v>2368</v>
      </c>
      <c r="G89" s="8" t="s">
        <v>954</v>
      </c>
      <c r="H89" s="5">
        <v>2709</v>
      </c>
      <c r="I89" s="4" t="s">
        <v>955</v>
      </c>
      <c r="J89" s="5">
        <v>10.15</v>
      </c>
      <c r="K89" s="5" t="s">
        <v>214</v>
      </c>
      <c r="L89" s="5">
        <v>10.5</v>
      </c>
      <c r="M89" s="68">
        <v>6000</v>
      </c>
      <c r="N89" s="8">
        <f>+M89*L89</f>
        <v>63000</v>
      </c>
      <c r="Q89" s="5">
        <f>+N89</f>
        <v>63000</v>
      </c>
      <c r="R89" s="18">
        <v>10.210000000000001</v>
      </c>
      <c r="T89" s="4" t="s">
        <v>192</v>
      </c>
    </row>
    <row r="90" spans="2:20" ht="24" customHeight="1" x14ac:dyDescent="0.4">
      <c r="B90" s="8" t="s">
        <v>26</v>
      </c>
      <c r="C90" s="8" t="s">
        <v>27</v>
      </c>
      <c r="D90" s="15" t="s">
        <v>23</v>
      </c>
      <c r="H90" s="5">
        <v>493</v>
      </c>
      <c r="I90" s="5" t="s">
        <v>2520</v>
      </c>
      <c r="J90" s="5">
        <v>10.050000000000001</v>
      </c>
      <c r="K90" s="7" t="s">
        <v>183</v>
      </c>
      <c r="L90" s="5">
        <v>500</v>
      </c>
      <c r="M90" s="68">
        <v>1000</v>
      </c>
      <c r="N90" s="8">
        <f>+M90*L90</f>
        <v>500000</v>
      </c>
      <c r="O90" s="5">
        <f>+N90/1.1</f>
        <v>454545.45454545453</v>
      </c>
      <c r="P90" s="5">
        <f>+N90-O90</f>
        <v>45454.54545454547</v>
      </c>
      <c r="Q90" s="5">
        <f>+N90</f>
        <v>500000</v>
      </c>
      <c r="R90" s="8" t="s">
        <v>2525</v>
      </c>
      <c r="S90" s="5" t="s">
        <v>2406</v>
      </c>
      <c r="T90" s="4" t="s">
        <v>140</v>
      </c>
    </row>
    <row r="91" spans="2:20" ht="24" customHeight="1" x14ac:dyDescent="0.4">
      <c r="B91" s="8" t="s">
        <v>26</v>
      </c>
      <c r="C91" s="18" t="s">
        <v>2509</v>
      </c>
      <c r="D91" s="16" t="s">
        <v>28</v>
      </c>
      <c r="H91" s="5">
        <v>286</v>
      </c>
      <c r="I91" s="4" t="s">
        <v>989</v>
      </c>
      <c r="J91" s="5">
        <v>10.06</v>
      </c>
      <c r="K91" s="7" t="s">
        <v>186</v>
      </c>
      <c r="L91" s="5">
        <v>1</v>
      </c>
      <c r="M91" s="69">
        <f>60000-10000</f>
        <v>50000</v>
      </c>
      <c r="N91" s="8">
        <f>+M91*L91</f>
        <v>50000</v>
      </c>
      <c r="Q91" s="5">
        <f>+N91</f>
        <v>50000</v>
      </c>
      <c r="R91" s="75" t="s">
        <v>187</v>
      </c>
      <c r="S91" s="5" t="s">
        <v>2526</v>
      </c>
      <c r="T91" s="4" t="s">
        <v>188</v>
      </c>
    </row>
    <row r="92" spans="2:20" ht="24" customHeight="1" x14ac:dyDescent="0.4">
      <c r="B92" s="8" t="s">
        <v>26</v>
      </c>
      <c r="C92" s="8">
        <v>12.3</v>
      </c>
      <c r="D92" s="16" t="s">
        <v>28</v>
      </c>
      <c r="F92" s="8" t="s">
        <v>2368</v>
      </c>
      <c r="G92" s="5" t="s">
        <v>826</v>
      </c>
      <c r="H92" s="4">
        <v>182</v>
      </c>
      <c r="I92" s="5" t="s">
        <v>828</v>
      </c>
      <c r="J92" s="4">
        <v>12.02</v>
      </c>
      <c r="K92" s="5" t="s">
        <v>2466</v>
      </c>
      <c r="L92" s="5">
        <v>1</v>
      </c>
      <c r="M92" s="69">
        <v>15000</v>
      </c>
      <c r="N92" s="5">
        <f>+M92*L92</f>
        <v>15000</v>
      </c>
      <c r="Q92" s="5">
        <f>+N92</f>
        <v>15000</v>
      </c>
      <c r="R92" s="8" t="s">
        <v>2527</v>
      </c>
      <c r="S92" s="4" t="s">
        <v>249</v>
      </c>
    </row>
    <row r="93" spans="2:20" ht="24" customHeight="1" x14ac:dyDescent="0.4">
      <c r="B93" s="8" t="s">
        <v>26</v>
      </c>
      <c r="C93" s="8">
        <v>12.3</v>
      </c>
      <c r="D93" s="15" t="s">
        <v>23</v>
      </c>
      <c r="F93" s="8" t="s">
        <v>2368</v>
      </c>
      <c r="G93" s="5" t="s">
        <v>826</v>
      </c>
      <c r="H93" s="4">
        <v>182</v>
      </c>
      <c r="I93" s="5" t="s">
        <v>828</v>
      </c>
      <c r="J93" s="4">
        <v>12.07</v>
      </c>
      <c r="K93" s="5" t="s">
        <v>184</v>
      </c>
      <c r="L93" s="5">
        <v>30</v>
      </c>
      <c r="M93" s="69">
        <f>6000-500</f>
        <v>5500</v>
      </c>
      <c r="N93" s="8">
        <f>+M93*L93</f>
        <v>165000</v>
      </c>
      <c r="O93" s="5">
        <f>+N93/1.1</f>
        <v>150000</v>
      </c>
      <c r="P93" s="5">
        <f>+N93-O93</f>
        <v>15000</v>
      </c>
      <c r="Q93" s="5">
        <f>+N93</f>
        <v>165000</v>
      </c>
      <c r="R93" s="8" t="s">
        <v>2527</v>
      </c>
      <c r="S93" s="4" t="s">
        <v>249</v>
      </c>
    </row>
    <row r="94" spans="2:20" ht="23.25" customHeight="1" x14ac:dyDescent="0.4"/>
    <row r="95" spans="2:20" ht="23.25" customHeight="1" x14ac:dyDescent="0.4"/>
    <row r="96" spans="2:20" ht="23.25" customHeight="1" x14ac:dyDescent="0.4"/>
    <row r="97" ht="23.25" customHeight="1" x14ac:dyDescent="0.4"/>
    <row r="98" ht="23.25" customHeight="1" x14ac:dyDescent="0.4"/>
    <row r="99" ht="23.25" customHeight="1" x14ac:dyDescent="0.4"/>
    <row r="100" ht="23.25" customHeight="1" x14ac:dyDescent="0.4"/>
    <row r="101" ht="23.25" customHeight="1" x14ac:dyDescent="0.4"/>
    <row r="102" ht="23.25" customHeight="1" x14ac:dyDescent="0.4"/>
    <row r="103" ht="23.25" customHeight="1" x14ac:dyDescent="0.4"/>
    <row r="104" ht="23.25" customHeight="1" x14ac:dyDescent="0.4"/>
    <row r="105" ht="23.25" customHeight="1" x14ac:dyDescent="0.4"/>
    <row r="106" ht="23.25" customHeight="1" x14ac:dyDescent="0.4"/>
    <row r="107" ht="23.25" customHeight="1" x14ac:dyDescent="0.4"/>
    <row r="108" ht="23.25" customHeight="1" x14ac:dyDescent="0.4"/>
    <row r="109" ht="23.25" customHeight="1" x14ac:dyDescent="0.4"/>
    <row r="110" ht="23.25" customHeight="1" x14ac:dyDescent="0.4"/>
    <row r="111" ht="23.25" customHeight="1" x14ac:dyDescent="0.4"/>
    <row r="112" ht="23.25" customHeight="1" x14ac:dyDescent="0.4"/>
    <row r="113" ht="23.25" customHeight="1" x14ac:dyDescent="0.4"/>
    <row r="114" ht="23.25" customHeight="1" x14ac:dyDescent="0.4"/>
    <row r="115" ht="23.25" customHeight="1" x14ac:dyDescent="0.4"/>
    <row r="116" ht="23.25" customHeight="1" x14ac:dyDescent="0.4"/>
    <row r="117" ht="23.25" customHeight="1" x14ac:dyDescent="0.4"/>
    <row r="118" ht="23.25" customHeight="1" x14ac:dyDescent="0.4"/>
    <row r="119" ht="23.25" customHeight="1" x14ac:dyDescent="0.4"/>
    <row r="120" ht="23.25" customHeight="1" x14ac:dyDescent="0.4"/>
    <row r="121" ht="23.25" customHeight="1" x14ac:dyDescent="0.4"/>
    <row r="122" ht="23.25" customHeight="1" x14ac:dyDescent="0.4"/>
    <row r="123" ht="23.25" customHeight="1" x14ac:dyDescent="0.4"/>
    <row r="124" ht="23.25" customHeight="1" x14ac:dyDescent="0.4"/>
    <row r="125" ht="23.25" customHeight="1" x14ac:dyDescent="0.4"/>
    <row r="126" ht="23.25" customHeight="1" x14ac:dyDescent="0.4"/>
    <row r="127" ht="23.25" customHeight="1" x14ac:dyDescent="0.4"/>
    <row r="128" ht="23.25" customHeight="1" x14ac:dyDescent="0.4"/>
    <row r="129" ht="23.25" customHeight="1" x14ac:dyDescent="0.4"/>
    <row r="130" ht="23.25" customHeight="1" x14ac:dyDescent="0.4"/>
    <row r="131" ht="23.25" customHeight="1" x14ac:dyDescent="0.4"/>
    <row r="132" ht="23.25" customHeight="1" x14ac:dyDescent="0.4"/>
    <row r="133" ht="23.25" customHeight="1" x14ac:dyDescent="0.4"/>
    <row r="134" ht="23.25" customHeight="1" x14ac:dyDescent="0.4"/>
    <row r="135" ht="23.25" customHeight="1" x14ac:dyDescent="0.4"/>
    <row r="136" ht="23.25" customHeight="1" x14ac:dyDescent="0.4"/>
    <row r="137" ht="23.25" customHeight="1" x14ac:dyDescent="0.4"/>
    <row r="138" ht="23.25" customHeight="1" x14ac:dyDescent="0.4"/>
    <row r="139" ht="23.25" customHeight="1" x14ac:dyDescent="0.4"/>
    <row r="140" ht="23.25" customHeight="1" x14ac:dyDescent="0.4"/>
    <row r="141" ht="23.25" customHeight="1" x14ac:dyDescent="0.4"/>
    <row r="142" ht="23.25" customHeight="1" x14ac:dyDescent="0.4"/>
    <row r="143" ht="23.25" customHeight="1" x14ac:dyDescent="0.4"/>
    <row r="144" ht="23.25" customHeight="1" x14ac:dyDescent="0.4"/>
    <row r="145" ht="23.25" customHeight="1" x14ac:dyDescent="0.4"/>
    <row r="146" ht="23.25" customHeight="1" x14ac:dyDescent="0.4"/>
    <row r="147" ht="23.25" customHeight="1" x14ac:dyDescent="0.4"/>
    <row r="148" ht="23.25" customHeight="1" x14ac:dyDescent="0.4"/>
    <row r="149" ht="23.25" customHeight="1" x14ac:dyDescent="0.4"/>
    <row r="150" ht="23.25" customHeight="1" x14ac:dyDescent="0.4"/>
    <row r="151" ht="23.25" customHeight="1" x14ac:dyDescent="0.4"/>
    <row r="152" ht="23.25" customHeight="1" x14ac:dyDescent="0.4"/>
    <row r="153" ht="23.25" customHeight="1" x14ac:dyDescent="0.4"/>
    <row r="154" ht="23.25" customHeight="1" x14ac:dyDescent="0.4"/>
    <row r="155" ht="23.25" customHeight="1" x14ac:dyDescent="0.4"/>
    <row r="156" ht="23.25" customHeight="1" x14ac:dyDescent="0.4"/>
    <row r="157" ht="23.25" customHeight="1" x14ac:dyDescent="0.4"/>
    <row r="158" ht="23.25" customHeight="1" x14ac:dyDescent="0.4"/>
    <row r="159" ht="23.25" customHeight="1" x14ac:dyDescent="0.4"/>
    <row r="160" ht="23.25" customHeight="1" x14ac:dyDescent="0.4"/>
    <row r="161" ht="23.25" customHeight="1" x14ac:dyDescent="0.4"/>
    <row r="162" ht="23.25" customHeight="1" x14ac:dyDescent="0.4"/>
    <row r="163" ht="23.25" customHeight="1" x14ac:dyDescent="0.4"/>
    <row r="164" ht="23.25" customHeight="1" x14ac:dyDescent="0.4"/>
    <row r="165" ht="23.25" customHeight="1" x14ac:dyDescent="0.4"/>
    <row r="166" ht="23.25" customHeight="1" x14ac:dyDescent="0.4"/>
    <row r="167" ht="23.25" customHeight="1" x14ac:dyDescent="0.4"/>
    <row r="168" ht="23.25" customHeight="1" x14ac:dyDescent="0.4"/>
    <row r="169" ht="23.25" customHeight="1" x14ac:dyDescent="0.4"/>
    <row r="170" ht="23.25" customHeight="1" x14ac:dyDescent="0.4"/>
    <row r="171" ht="23.25" customHeight="1" x14ac:dyDescent="0.4"/>
    <row r="172" ht="23.25" customHeight="1" x14ac:dyDescent="0.4"/>
    <row r="173" ht="23.25" customHeight="1" x14ac:dyDescent="0.4"/>
    <row r="174" ht="23.25" customHeight="1" x14ac:dyDescent="0.4"/>
    <row r="175" ht="23.25" customHeight="1" x14ac:dyDescent="0.4"/>
    <row r="176" ht="23.25" customHeight="1" x14ac:dyDescent="0.4"/>
    <row r="177" ht="23.25" customHeight="1" x14ac:dyDescent="0.4"/>
    <row r="178" ht="23.25" customHeight="1" x14ac:dyDescent="0.4"/>
    <row r="179" ht="23.25" customHeight="1" x14ac:dyDescent="0.4"/>
    <row r="180" ht="23.25" customHeight="1" x14ac:dyDescent="0.4"/>
    <row r="181" ht="23.25" customHeight="1" x14ac:dyDescent="0.4"/>
    <row r="182" ht="23.25" customHeight="1" x14ac:dyDescent="0.4"/>
    <row r="183" ht="23.25" customHeight="1" x14ac:dyDescent="0.4"/>
    <row r="184" ht="23.25" customHeight="1" x14ac:dyDescent="0.4"/>
    <row r="185" ht="23.25" customHeight="1" x14ac:dyDescent="0.4"/>
    <row r="186" ht="23.25" customHeight="1" x14ac:dyDescent="0.4"/>
    <row r="187" ht="23.25" customHeight="1" x14ac:dyDescent="0.4"/>
    <row r="188" ht="23.25" customHeight="1" x14ac:dyDescent="0.4"/>
    <row r="189" ht="23.25" customHeight="1" x14ac:dyDescent="0.4"/>
    <row r="190" ht="23.25" customHeight="1" x14ac:dyDescent="0.4"/>
    <row r="191" ht="23.25" customHeight="1" x14ac:dyDescent="0.4"/>
    <row r="192" ht="23.25" customHeight="1" x14ac:dyDescent="0.4"/>
    <row r="193" ht="23.25" customHeight="1" x14ac:dyDescent="0.4"/>
    <row r="194" ht="23.25" customHeight="1" x14ac:dyDescent="0.4"/>
    <row r="195" ht="23.25" customHeight="1" x14ac:dyDescent="0.4"/>
    <row r="196" ht="23.25" customHeight="1" x14ac:dyDescent="0.4"/>
    <row r="197" ht="23.25" customHeight="1" x14ac:dyDescent="0.4"/>
    <row r="198" ht="23.25" customHeight="1" x14ac:dyDescent="0.4"/>
    <row r="199" ht="23.25" customHeight="1" x14ac:dyDescent="0.4"/>
    <row r="200" ht="23.25" customHeight="1" x14ac:dyDescent="0.4"/>
    <row r="201" ht="23.25" customHeight="1" x14ac:dyDescent="0.4"/>
    <row r="202" ht="23.25" customHeight="1" x14ac:dyDescent="0.4"/>
    <row r="203" ht="23.25" customHeight="1" x14ac:dyDescent="0.4"/>
    <row r="204" ht="23.25" customHeight="1" x14ac:dyDescent="0.4"/>
    <row r="205" ht="23.25" customHeight="1" x14ac:dyDescent="0.4"/>
    <row r="206" ht="23.25" customHeight="1" x14ac:dyDescent="0.4"/>
    <row r="207" ht="23.25" customHeight="1" x14ac:dyDescent="0.4"/>
    <row r="208" ht="23.25" customHeight="1" x14ac:dyDescent="0.4"/>
    <row r="209" ht="23.25" customHeight="1" x14ac:dyDescent="0.4"/>
    <row r="210" ht="23.25" customHeight="1" x14ac:dyDescent="0.4"/>
    <row r="211" ht="23.25" customHeight="1" x14ac:dyDescent="0.4"/>
    <row r="212" ht="23.25" customHeight="1" x14ac:dyDescent="0.4"/>
    <row r="213" ht="23.25" customHeight="1" x14ac:dyDescent="0.4"/>
    <row r="214" ht="23.25" customHeight="1" x14ac:dyDescent="0.4"/>
    <row r="215" ht="23.25" customHeight="1" x14ac:dyDescent="0.4"/>
    <row r="216" ht="23.25" customHeight="1" x14ac:dyDescent="0.4"/>
    <row r="217" ht="23.25" customHeight="1" x14ac:dyDescent="0.4"/>
    <row r="218" ht="23.25" customHeight="1" x14ac:dyDescent="0.4"/>
    <row r="219" ht="23.25" customHeight="1" x14ac:dyDescent="0.4"/>
    <row r="220" ht="23.25" customHeight="1" x14ac:dyDescent="0.4"/>
    <row r="221" ht="23.25" customHeight="1" x14ac:dyDescent="0.4"/>
    <row r="222" ht="23.25" customHeight="1" x14ac:dyDescent="0.4"/>
    <row r="223" ht="23.25" customHeight="1" x14ac:dyDescent="0.4"/>
    <row r="224" ht="23.25" customHeight="1" x14ac:dyDescent="0.4"/>
    <row r="225" ht="23.25" customHeight="1" x14ac:dyDescent="0.4"/>
    <row r="226" ht="23.25" customHeight="1" x14ac:dyDescent="0.4"/>
    <row r="227" ht="23.25" customHeight="1" x14ac:dyDescent="0.4"/>
    <row r="228" ht="23.25" customHeight="1" x14ac:dyDescent="0.4"/>
    <row r="229" ht="23.25" customHeight="1" x14ac:dyDescent="0.4"/>
    <row r="230" ht="23.25" customHeight="1" x14ac:dyDescent="0.4"/>
    <row r="231" ht="23.25" customHeight="1" x14ac:dyDescent="0.4"/>
    <row r="232" ht="23.25" customHeight="1" x14ac:dyDescent="0.4"/>
    <row r="233" ht="23.25" customHeight="1" x14ac:dyDescent="0.4"/>
    <row r="234" ht="23.25" customHeight="1" x14ac:dyDescent="0.4"/>
    <row r="235" ht="23.25" customHeight="1" x14ac:dyDescent="0.4"/>
    <row r="236" ht="23.25" customHeight="1" x14ac:dyDescent="0.4"/>
    <row r="237" ht="23.25" customHeight="1" x14ac:dyDescent="0.4"/>
    <row r="238" ht="23.25" customHeight="1" x14ac:dyDescent="0.4"/>
    <row r="239" ht="23.25" customHeight="1" x14ac:dyDescent="0.4"/>
    <row r="240" ht="23.25" customHeight="1" x14ac:dyDescent="0.4"/>
    <row r="241" ht="23.25" customHeight="1" x14ac:dyDescent="0.4"/>
    <row r="242" ht="23.25" customHeight="1" x14ac:dyDescent="0.4"/>
    <row r="243" ht="23.25" customHeight="1" x14ac:dyDescent="0.4"/>
    <row r="244" ht="23.25" customHeight="1" x14ac:dyDescent="0.4"/>
    <row r="245" ht="23.25" customHeight="1" x14ac:dyDescent="0.4"/>
    <row r="246" ht="23.25" customHeight="1" x14ac:dyDescent="0.4"/>
    <row r="247" ht="23.25" customHeight="1" x14ac:dyDescent="0.4"/>
    <row r="248" ht="23.25" customHeight="1" x14ac:dyDescent="0.4"/>
    <row r="249" ht="23.25" customHeight="1" x14ac:dyDescent="0.4"/>
    <row r="250" ht="23.25" customHeight="1" x14ac:dyDescent="0.4"/>
    <row r="251" ht="23.25" customHeight="1" x14ac:dyDescent="0.4"/>
    <row r="252" ht="23.25" customHeight="1" x14ac:dyDescent="0.4"/>
    <row r="253" ht="23.25" customHeight="1" x14ac:dyDescent="0.4"/>
    <row r="254" ht="23.25" customHeight="1" x14ac:dyDescent="0.4"/>
    <row r="255" ht="23.25" customHeight="1" x14ac:dyDescent="0.4"/>
    <row r="256" ht="23.25" customHeight="1" x14ac:dyDescent="0.4"/>
    <row r="257" ht="23.25" customHeight="1" x14ac:dyDescent="0.4"/>
    <row r="258" ht="23.25" customHeight="1" x14ac:dyDescent="0.4"/>
    <row r="259" ht="23.25" customHeight="1" x14ac:dyDescent="0.4"/>
    <row r="260" ht="23.25" customHeight="1" x14ac:dyDescent="0.4"/>
    <row r="261" ht="23.25" customHeight="1" x14ac:dyDescent="0.4"/>
    <row r="262" ht="23.25" customHeight="1" x14ac:dyDescent="0.4"/>
    <row r="263" ht="23.25" customHeight="1" x14ac:dyDescent="0.4"/>
    <row r="264" ht="23.25" customHeight="1" x14ac:dyDescent="0.4"/>
    <row r="265" ht="23.25" customHeight="1" x14ac:dyDescent="0.4"/>
    <row r="266" ht="23.25" customHeight="1" x14ac:dyDescent="0.4"/>
    <row r="267" ht="23.25" customHeight="1" x14ac:dyDescent="0.4"/>
    <row r="268" ht="23.25" customHeight="1" x14ac:dyDescent="0.4"/>
    <row r="269" ht="23.25" customHeight="1" x14ac:dyDescent="0.4"/>
    <row r="270" ht="23.25" customHeight="1" x14ac:dyDescent="0.4"/>
    <row r="271" ht="23.25" customHeight="1" x14ac:dyDescent="0.4"/>
    <row r="272" ht="23.25" customHeight="1" x14ac:dyDescent="0.4"/>
    <row r="273" ht="23.25" customHeight="1" x14ac:dyDescent="0.4"/>
    <row r="274" ht="23.25" customHeight="1" x14ac:dyDescent="0.4"/>
    <row r="275" ht="23.25" customHeight="1" x14ac:dyDescent="0.4"/>
    <row r="276" ht="23.25" customHeight="1" x14ac:dyDescent="0.4"/>
    <row r="277" ht="23.25" customHeight="1" x14ac:dyDescent="0.4"/>
    <row r="278" ht="23.25" customHeight="1" x14ac:dyDescent="0.4"/>
    <row r="279" ht="23.25" customHeight="1" x14ac:dyDescent="0.4"/>
    <row r="280" ht="23.25" customHeight="1" x14ac:dyDescent="0.4"/>
    <row r="281" ht="23.25" customHeight="1" x14ac:dyDescent="0.4"/>
    <row r="282" ht="23.25" customHeight="1" x14ac:dyDescent="0.4"/>
    <row r="283" ht="23.25" customHeight="1" x14ac:dyDescent="0.4"/>
    <row r="284" ht="23.25" customHeight="1" x14ac:dyDescent="0.4"/>
    <row r="285" ht="23.25" customHeight="1" x14ac:dyDescent="0.4"/>
    <row r="286" ht="23.25" customHeight="1" x14ac:dyDescent="0.4"/>
    <row r="287" ht="23.25" customHeight="1" x14ac:dyDescent="0.4"/>
    <row r="288" ht="23.25" customHeight="1" x14ac:dyDescent="0.4"/>
    <row r="289" ht="23.25" customHeight="1" x14ac:dyDescent="0.4"/>
    <row r="290" ht="23.25" customHeight="1" x14ac:dyDescent="0.4"/>
    <row r="291" ht="23.25" customHeight="1" x14ac:dyDescent="0.4"/>
    <row r="292" ht="23.25" customHeight="1" x14ac:dyDescent="0.4"/>
    <row r="293" ht="23.25" customHeight="1" x14ac:dyDescent="0.4"/>
    <row r="294" ht="23.25" customHeight="1" x14ac:dyDescent="0.4"/>
    <row r="295" ht="23.25" customHeight="1" x14ac:dyDescent="0.4"/>
    <row r="296" ht="23.25" customHeight="1" x14ac:dyDescent="0.4"/>
    <row r="297" ht="23.25" customHeight="1" x14ac:dyDescent="0.4"/>
    <row r="298" ht="23.25" customHeight="1" x14ac:dyDescent="0.4"/>
    <row r="299" ht="23.25" customHeight="1" x14ac:dyDescent="0.4"/>
    <row r="300" ht="23.25" customHeight="1" x14ac:dyDescent="0.4"/>
    <row r="301" ht="23.25" customHeight="1" x14ac:dyDescent="0.4"/>
    <row r="302" ht="23.25" customHeight="1" x14ac:dyDescent="0.4"/>
    <row r="303" ht="23.25" customHeight="1" x14ac:dyDescent="0.4"/>
    <row r="304" ht="23.25" customHeight="1" x14ac:dyDescent="0.4"/>
    <row r="305" ht="23.25" customHeight="1" x14ac:dyDescent="0.4"/>
    <row r="306" ht="23.25" customHeight="1" x14ac:dyDescent="0.4"/>
    <row r="307" ht="23.25" customHeight="1" x14ac:dyDescent="0.4"/>
    <row r="308" ht="23.25" customHeight="1" x14ac:dyDescent="0.4"/>
    <row r="309" ht="23.25" customHeight="1" x14ac:dyDescent="0.4"/>
    <row r="310" ht="23.25" customHeight="1" x14ac:dyDescent="0.4"/>
    <row r="311" ht="23.25" customHeight="1" x14ac:dyDescent="0.4"/>
    <row r="312" ht="23.25" customHeight="1" x14ac:dyDescent="0.4"/>
    <row r="313" ht="23.25" customHeight="1" x14ac:dyDescent="0.4"/>
    <row r="314" ht="23.25" customHeight="1" x14ac:dyDescent="0.4"/>
    <row r="315" ht="23.25" customHeight="1" x14ac:dyDescent="0.4"/>
    <row r="316" ht="23.25" customHeight="1" x14ac:dyDescent="0.4"/>
    <row r="317" ht="23.25" customHeight="1" x14ac:dyDescent="0.4"/>
    <row r="318" ht="23.25" customHeight="1" x14ac:dyDescent="0.4"/>
    <row r="319" ht="23.25" customHeight="1" x14ac:dyDescent="0.4"/>
    <row r="320" ht="23.25" customHeight="1" x14ac:dyDescent="0.4"/>
    <row r="321" ht="23.25" customHeight="1" x14ac:dyDescent="0.4"/>
    <row r="322" ht="23.25" customHeight="1" x14ac:dyDescent="0.4"/>
    <row r="323" ht="23.25" customHeight="1" x14ac:dyDescent="0.4"/>
    <row r="324" ht="23.25" customHeight="1" x14ac:dyDescent="0.4"/>
    <row r="325" ht="23.25" customHeight="1" x14ac:dyDescent="0.4"/>
    <row r="326" ht="23.25" customHeight="1" x14ac:dyDescent="0.4"/>
    <row r="327" ht="23.25" customHeight="1" x14ac:dyDescent="0.4"/>
    <row r="328" ht="23.25" customHeight="1" x14ac:dyDescent="0.4"/>
    <row r="329" ht="23.25" customHeight="1" x14ac:dyDescent="0.4"/>
    <row r="330" ht="23.25" customHeight="1" x14ac:dyDescent="0.4"/>
    <row r="331" ht="23.25" customHeight="1" x14ac:dyDescent="0.4"/>
    <row r="332" ht="23.25" customHeight="1" x14ac:dyDescent="0.4"/>
    <row r="333" ht="23.25" customHeight="1" x14ac:dyDescent="0.4"/>
    <row r="334" ht="23.25" customHeight="1" x14ac:dyDescent="0.4"/>
    <row r="335" ht="23.25" customHeight="1" x14ac:dyDescent="0.4"/>
    <row r="336" ht="23.25" customHeight="1" x14ac:dyDescent="0.4"/>
    <row r="337" ht="23.25" customHeight="1" x14ac:dyDescent="0.4"/>
    <row r="338" ht="23.25" customHeight="1" x14ac:dyDescent="0.4"/>
    <row r="339" ht="23.25" customHeight="1" x14ac:dyDescent="0.4"/>
    <row r="340" ht="23.25" customHeight="1" x14ac:dyDescent="0.4"/>
    <row r="341" ht="23.25" customHeight="1" x14ac:dyDescent="0.4"/>
    <row r="342" ht="23.25" customHeight="1" x14ac:dyDescent="0.4"/>
    <row r="343" ht="23.25" customHeight="1" x14ac:dyDescent="0.4"/>
    <row r="344" ht="23.25" customHeight="1" x14ac:dyDescent="0.4"/>
    <row r="345" ht="23.25" customHeight="1" x14ac:dyDescent="0.4"/>
    <row r="346" ht="23.25" customHeight="1" x14ac:dyDescent="0.4"/>
    <row r="347" ht="23.25" customHeight="1" x14ac:dyDescent="0.4"/>
    <row r="348" ht="23.25" customHeight="1" x14ac:dyDescent="0.4"/>
    <row r="349" ht="23.25" customHeight="1" x14ac:dyDescent="0.4"/>
    <row r="350" ht="23.25" customHeight="1" x14ac:dyDescent="0.4"/>
    <row r="351" ht="23.25" customHeight="1" x14ac:dyDescent="0.4"/>
    <row r="352" ht="23.25" customHeight="1" x14ac:dyDescent="0.4"/>
    <row r="353" ht="23.25" customHeight="1" x14ac:dyDescent="0.4"/>
    <row r="354" ht="23.25" customHeight="1" x14ac:dyDescent="0.4"/>
    <row r="355" ht="23.25" customHeight="1" x14ac:dyDescent="0.4"/>
    <row r="356" ht="23.25" customHeight="1" x14ac:dyDescent="0.4"/>
    <row r="357" ht="23.25" customHeight="1" x14ac:dyDescent="0.4"/>
    <row r="358" ht="23.25" customHeight="1" x14ac:dyDescent="0.4"/>
    <row r="359" ht="23.25" customHeight="1" x14ac:dyDescent="0.4"/>
    <row r="360" ht="23.25" customHeight="1" x14ac:dyDescent="0.4"/>
    <row r="361" ht="23.25" customHeight="1" x14ac:dyDescent="0.4"/>
    <row r="362" ht="23.25" customHeight="1" x14ac:dyDescent="0.4"/>
    <row r="363" ht="23.25" customHeight="1" x14ac:dyDescent="0.4"/>
    <row r="364" ht="23.25" customHeight="1" x14ac:dyDescent="0.4"/>
    <row r="365" ht="23.25" customHeight="1" x14ac:dyDescent="0.4"/>
    <row r="366" ht="23.25" customHeight="1" x14ac:dyDescent="0.4"/>
    <row r="367" ht="23.25" customHeight="1" x14ac:dyDescent="0.4"/>
    <row r="368" ht="23.25" customHeight="1" x14ac:dyDescent="0.4"/>
    <row r="369" ht="23.25" customHeight="1" x14ac:dyDescent="0.4"/>
    <row r="370" ht="23.25" customHeight="1" x14ac:dyDescent="0.4"/>
    <row r="371" ht="23.25" customHeight="1" x14ac:dyDescent="0.4"/>
    <row r="372" ht="23.25" customHeight="1" x14ac:dyDescent="0.4"/>
    <row r="373" ht="23.25" customHeight="1" x14ac:dyDescent="0.4"/>
    <row r="374" ht="23.25" customHeight="1" x14ac:dyDescent="0.4"/>
    <row r="375" ht="23.25" customHeight="1" x14ac:dyDescent="0.4"/>
    <row r="376" ht="23.25" customHeight="1" x14ac:dyDescent="0.4"/>
    <row r="377" ht="23.25" customHeight="1" x14ac:dyDescent="0.4"/>
    <row r="378" ht="23.25" customHeight="1" x14ac:dyDescent="0.4"/>
    <row r="379" ht="23.25" customHeight="1" x14ac:dyDescent="0.4"/>
    <row r="380" ht="23.25" customHeight="1" x14ac:dyDescent="0.4"/>
    <row r="381" ht="23.25" customHeight="1" x14ac:dyDescent="0.4"/>
    <row r="382" ht="23.25" customHeight="1" x14ac:dyDescent="0.4"/>
    <row r="383" ht="23.25" customHeight="1" x14ac:dyDescent="0.4"/>
    <row r="384" ht="23.25" customHeight="1" x14ac:dyDescent="0.4"/>
    <row r="385" ht="23.25" customHeight="1" x14ac:dyDescent="0.4"/>
    <row r="386" ht="23.25" customHeight="1" x14ac:dyDescent="0.4"/>
    <row r="387" ht="23.25" customHeight="1" x14ac:dyDescent="0.4"/>
    <row r="388" ht="23.25" customHeight="1" x14ac:dyDescent="0.4"/>
    <row r="389" ht="23.25" customHeight="1" x14ac:dyDescent="0.4"/>
    <row r="390" ht="23.25" customHeight="1" x14ac:dyDescent="0.4"/>
    <row r="391" ht="23.25" customHeight="1" x14ac:dyDescent="0.4"/>
    <row r="392" ht="23.25" customHeight="1" x14ac:dyDescent="0.4"/>
    <row r="393" ht="23.25" customHeight="1" x14ac:dyDescent="0.4"/>
    <row r="394" ht="23.25" customHeight="1" x14ac:dyDescent="0.4"/>
    <row r="395" ht="23.25" customHeight="1" x14ac:dyDescent="0.4"/>
    <row r="396" ht="23.25" customHeight="1" x14ac:dyDescent="0.4"/>
    <row r="397" ht="23.25" customHeight="1" x14ac:dyDescent="0.4"/>
    <row r="398" ht="23.25" customHeight="1" x14ac:dyDescent="0.4"/>
    <row r="399" ht="23.25" customHeight="1" x14ac:dyDescent="0.4"/>
    <row r="400" ht="23.25" customHeight="1" x14ac:dyDescent="0.4"/>
    <row r="401" ht="23.25" customHeight="1" x14ac:dyDescent="0.4"/>
    <row r="402" ht="23.25" customHeight="1" x14ac:dyDescent="0.4"/>
    <row r="403" ht="23.25" customHeight="1" x14ac:dyDescent="0.4"/>
    <row r="404" ht="23.25" customHeight="1" x14ac:dyDescent="0.4"/>
    <row r="405" ht="23.25" customHeight="1" x14ac:dyDescent="0.4"/>
    <row r="406" ht="23.25" customHeight="1" x14ac:dyDescent="0.4"/>
    <row r="407" ht="23.25" customHeight="1" x14ac:dyDescent="0.4"/>
    <row r="408" ht="23.25" customHeight="1" x14ac:dyDescent="0.4"/>
    <row r="409" ht="23.25" customHeight="1" x14ac:dyDescent="0.4"/>
    <row r="410" ht="23.25" customHeight="1" x14ac:dyDescent="0.4"/>
    <row r="411" ht="23.25" customHeight="1" x14ac:dyDescent="0.4"/>
    <row r="412" ht="23.25" customHeight="1" x14ac:dyDescent="0.4"/>
    <row r="413" ht="23.25" customHeight="1" x14ac:dyDescent="0.4"/>
    <row r="414" ht="23.25" customHeight="1" x14ac:dyDescent="0.4"/>
    <row r="415" ht="23.25" customHeight="1" x14ac:dyDescent="0.4"/>
    <row r="416" ht="23.25" customHeight="1" x14ac:dyDescent="0.4"/>
    <row r="417" ht="23.25" customHeight="1" x14ac:dyDescent="0.4"/>
    <row r="418" ht="23.25" customHeight="1" x14ac:dyDescent="0.4"/>
    <row r="419" ht="23.25" customHeight="1" x14ac:dyDescent="0.4"/>
    <row r="420" ht="23.25" customHeight="1" x14ac:dyDescent="0.4"/>
    <row r="421" ht="23.25" customHeight="1" x14ac:dyDescent="0.4"/>
    <row r="422" ht="23.25" customHeight="1" x14ac:dyDescent="0.4"/>
    <row r="423" ht="23.25" customHeight="1" x14ac:dyDescent="0.4"/>
    <row r="424" ht="23.25" customHeight="1" x14ac:dyDescent="0.4"/>
    <row r="425" ht="23.25" customHeight="1" x14ac:dyDescent="0.4"/>
    <row r="426" ht="23.25" customHeight="1" x14ac:dyDescent="0.4"/>
    <row r="427" ht="23.25" customHeight="1" x14ac:dyDescent="0.4"/>
    <row r="428" ht="23.25" customHeight="1" x14ac:dyDescent="0.4"/>
    <row r="429" ht="23.25" customHeight="1" x14ac:dyDescent="0.4"/>
    <row r="430" ht="23.25" customHeight="1" x14ac:dyDescent="0.4"/>
    <row r="431" ht="23.25" customHeight="1" x14ac:dyDescent="0.4"/>
    <row r="432" ht="23.25" customHeight="1" x14ac:dyDescent="0.4"/>
    <row r="433" ht="23.25" customHeight="1" x14ac:dyDescent="0.4"/>
    <row r="434" ht="23.25" customHeight="1" x14ac:dyDescent="0.4"/>
    <row r="435" ht="23.25" customHeight="1" x14ac:dyDescent="0.4"/>
    <row r="436" ht="23.25" customHeight="1" x14ac:dyDescent="0.4"/>
    <row r="437" ht="23.25" customHeight="1" x14ac:dyDescent="0.4"/>
    <row r="438" ht="23.25" customHeight="1" x14ac:dyDescent="0.4"/>
    <row r="439" ht="23.25" customHeight="1" x14ac:dyDescent="0.4"/>
    <row r="440" ht="23.25" customHeight="1" x14ac:dyDescent="0.4"/>
    <row r="441" ht="23.25" customHeight="1" x14ac:dyDescent="0.4"/>
    <row r="442" ht="23.25" customHeight="1" x14ac:dyDescent="0.4"/>
    <row r="443" ht="23.25" customHeight="1" x14ac:dyDescent="0.4"/>
    <row r="444" ht="23.25" customHeight="1" x14ac:dyDescent="0.4"/>
    <row r="445" ht="23.25" customHeight="1" x14ac:dyDescent="0.4"/>
    <row r="446" ht="23.25" customHeight="1" x14ac:dyDescent="0.4"/>
    <row r="447" ht="23.25" customHeight="1" x14ac:dyDescent="0.4"/>
    <row r="448" ht="23.25" customHeight="1" x14ac:dyDescent="0.4"/>
    <row r="449" ht="23.25" customHeight="1" x14ac:dyDescent="0.4"/>
    <row r="450" ht="23.25" customHeight="1" x14ac:dyDescent="0.4"/>
    <row r="451" ht="23.25" customHeight="1" x14ac:dyDescent="0.4"/>
    <row r="452" ht="23.25" customHeight="1" x14ac:dyDescent="0.4"/>
    <row r="453" ht="23.25" customHeight="1" x14ac:dyDescent="0.4"/>
    <row r="454" ht="23.25" customHeight="1" x14ac:dyDescent="0.4"/>
    <row r="455" ht="23.25" customHeight="1" x14ac:dyDescent="0.4"/>
    <row r="456" ht="23.25" customHeight="1" x14ac:dyDescent="0.4"/>
    <row r="457" ht="23.25" customHeight="1" x14ac:dyDescent="0.4"/>
    <row r="458" ht="23.25" customHeight="1" x14ac:dyDescent="0.4"/>
    <row r="459" ht="23.25" customHeight="1" x14ac:dyDescent="0.4"/>
    <row r="460" ht="23.25" customHeight="1" x14ac:dyDescent="0.4"/>
    <row r="461" ht="23.25" customHeight="1" x14ac:dyDescent="0.4"/>
    <row r="462" ht="23.25" customHeight="1" x14ac:dyDescent="0.4"/>
    <row r="463" ht="23.25" customHeight="1" x14ac:dyDescent="0.4"/>
    <row r="464" ht="23.25" customHeight="1" x14ac:dyDescent="0.4"/>
    <row r="465" ht="23.25" customHeight="1" x14ac:dyDescent="0.4"/>
    <row r="466" ht="23.25" customHeight="1" x14ac:dyDescent="0.4"/>
    <row r="467" ht="23.25" customHeight="1" x14ac:dyDescent="0.4"/>
    <row r="468" ht="23.25" customHeight="1" x14ac:dyDescent="0.4"/>
    <row r="469" ht="23.25" customHeight="1" x14ac:dyDescent="0.4"/>
    <row r="470" ht="23.25" customHeight="1" x14ac:dyDescent="0.4"/>
    <row r="471" ht="23.25" customHeight="1" x14ac:dyDescent="0.4"/>
    <row r="472" ht="23.25" customHeight="1" x14ac:dyDescent="0.4"/>
    <row r="473" ht="23.25" customHeight="1" x14ac:dyDescent="0.4"/>
    <row r="474" ht="23.25" customHeight="1" x14ac:dyDescent="0.4"/>
    <row r="475" ht="23.25" customHeight="1" x14ac:dyDescent="0.4"/>
    <row r="476" ht="23.25" customHeight="1" x14ac:dyDescent="0.4"/>
    <row r="477" ht="23.25" customHeight="1" x14ac:dyDescent="0.4"/>
    <row r="478" ht="23.25" customHeight="1" x14ac:dyDescent="0.4"/>
    <row r="479" ht="23.25" customHeight="1" x14ac:dyDescent="0.4"/>
    <row r="480" ht="23.25" customHeight="1" x14ac:dyDescent="0.4"/>
    <row r="481" ht="23.25" customHeight="1" x14ac:dyDescent="0.4"/>
    <row r="482" ht="23.25" customHeight="1" x14ac:dyDescent="0.4"/>
    <row r="483" ht="23.25" customHeight="1" x14ac:dyDescent="0.4"/>
    <row r="484" ht="23.25" customHeight="1" x14ac:dyDescent="0.4"/>
    <row r="485" ht="23.25" customHeight="1" x14ac:dyDescent="0.4"/>
    <row r="486" ht="23.25" customHeight="1" x14ac:dyDescent="0.4"/>
    <row r="487" ht="23.25" customHeight="1" x14ac:dyDescent="0.4"/>
    <row r="488" ht="23.25" customHeight="1" x14ac:dyDescent="0.4"/>
    <row r="489" ht="23.25" customHeight="1" x14ac:dyDescent="0.4"/>
    <row r="490" ht="23.25" customHeight="1" x14ac:dyDescent="0.4"/>
    <row r="491" ht="23.25" customHeight="1" x14ac:dyDescent="0.4"/>
    <row r="492" ht="23.25" customHeight="1" x14ac:dyDescent="0.4"/>
    <row r="493" ht="23.25" customHeight="1" x14ac:dyDescent="0.4"/>
    <row r="494" ht="23.25" customHeight="1" x14ac:dyDescent="0.4"/>
    <row r="495" ht="23.25" customHeight="1" x14ac:dyDescent="0.4"/>
    <row r="496" ht="23.25" customHeight="1" x14ac:dyDescent="0.4"/>
    <row r="497" ht="23.25" customHeight="1" x14ac:dyDescent="0.4"/>
    <row r="498" ht="23.25" customHeight="1" x14ac:dyDescent="0.4"/>
    <row r="499" ht="23.25" customHeight="1" x14ac:dyDescent="0.4"/>
    <row r="500" ht="23.25" customHeight="1" x14ac:dyDescent="0.4"/>
    <row r="501" ht="23.25" customHeight="1" x14ac:dyDescent="0.4"/>
    <row r="502" ht="23.25" customHeight="1" x14ac:dyDescent="0.4"/>
    <row r="503" ht="23.25" customHeight="1" x14ac:dyDescent="0.4"/>
    <row r="504" ht="23.25" customHeight="1" x14ac:dyDescent="0.4"/>
    <row r="505" ht="23.25" customHeight="1" x14ac:dyDescent="0.4"/>
    <row r="506" ht="23.25" customHeight="1" x14ac:dyDescent="0.4"/>
    <row r="507" ht="23.25" customHeight="1" x14ac:dyDescent="0.4"/>
    <row r="508" ht="23.25" customHeight="1" x14ac:dyDescent="0.4"/>
    <row r="509" ht="23.25" customHeight="1" x14ac:dyDescent="0.4"/>
    <row r="510" ht="23.25" customHeight="1" x14ac:dyDescent="0.4"/>
    <row r="511" ht="23.25" customHeight="1" x14ac:dyDescent="0.4"/>
    <row r="512" ht="23.25" customHeight="1" x14ac:dyDescent="0.4"/>
    <row r="513" ht="23.25" customHeight="1" x14ac:dyDescent="0.4"/>
    <row r="514" ht="23.25" customHeight="1" x14ac:dyDescent="0.4"/>
    <row r="515" ht="23.25" customHeight="1" x14ac:dyDescent="0.4"/>
    <row r="516" ht="23.25" customHeight="1" x14ac:dyDescent="0.4"/>
    <row r="517" ht="23.25" customHeight="1" x14ac:dyDescent="0.4"/>
    <row r="518" ht="23.25" customHeight="1" x14ac:dyDescent="0.4"/>
    <row r="519" ht="23.25" customHeight="1" x14ac:dyDescent="0.4"/>
    <row r="520" ht="23.25" customHeight="1" x14ac:dyDescent="0.4"/>
    <row r="521" ht="23.25" customHeight="1" x14ac:dyDescent="0.4"/>
    <row r="522" ht="23.25" customHeight="1" x14ac:dyDescent="0.4"/>
    <row r="523" ht="23.25" customHeight="1" x14ac:dyDescent="0.4"/>
    <row r="524" ht="23.25" customHeight="1" x14ac:dyDescent="0.4"/>
    <row r="525" ht="23.25" customHeight="1" x14ac:dyDescent="0.4"/>
    <row r="526" ht="23.25" customHeight="1" x14ac:dyDescent="0.4"/>
    <row r="527" ht="23.25" customHeight="1" x14ac:dyDescent="0.4"/>
    <row r="528" ht="23.25" customHeight="1" x14ac:dyDescent="0.4"/>
    <row r="529" ht="23.25" customHeight="1" x14ac:dyDescent="0.4"/>
    <row r="530" ht="23.25" customHeight="1" x14ac:dyDescent="0.4"/>
    <row r="531" ht="23.25" customHeight="1" x14ac:dyDescent="0.4"/>
    <row r="532" ht="23.25" customHeight="1" x14ac:dyDescent="0.4"/>
    <row r="533" ht="23.25" customHeight="1" x14ac:dyDescent="0.4"/>
    <row r="534" ht="23.25" customHeight="1" x14ac:dyDescent="0.4"/>
    <row r="535" ht="23.25" customHeight="1" x14ac:dyDescent="0.4"/>
    <row r="536" ht="23.25" customHeight="1" x14ac:dyDescent="0.4"/>
    <row r="537" ht="23.25" customHeight="1" x14ac:dyDescent="0.4"/>
    <row r="538" ht="23.25" customHeight="1" x14ac:dyDescent="0.4"/>
    <row r="539" ht="23.25" customHeight="1" x14ac:dyDescent="0.4"/>
    <row r="540" ht="23.25" customHeight="1" x14ac:dyDescent="0.4"/>
    <row r="541" ht="23.25" customHeight="1" x14ac:dyDescent="0.4"/>
    <row r="542" ht="23.25" customHeight="1" x14ac:dyDescent="0.4"/>
    <row r="543" ht="23.25" customHeight="1" x14ac:dyDescent="0.4"/>
    <row r="544" ht="23.25" customHeight="1" x14ac:dyDescent="0.4"/>
    <row r="545" ht="23.25" customHeight="1" x14ac:dyDescent="0.4"/>
    <row r="546" ht="23.25" customHeight="1" x14ac:dyDescent="0.4"/>
    <row r="547" ht="23.25" customHeight="1" x14ac:dyDescent="0.4"/>
    <row r="548" ht="23.25" customHeight="1" x14ac:dyDescent="0.4"/>
    <row r="549" ht="23.25" customHeight="1" x14ac:dyDescent="0.4"/>
    <row r="550" ht="23.25" customHeight="1" x14ac:dyDescent="0.4"/>
    <row r="551" ht="23.25" customHeight="1" x14ac:dyDescent="0.4"/>
    <row r="552" ht="23.25" customHeight="1" x14ac:dyDescent="0.4"/>
    <row r="553" ht="23.25" customHeight="1" x14ac:dyDescent="0.4"/>
    <row r="554" ht="23.25" customHeight="1" x14ac:dyDescent="0.4"/>
    <row r="555" ht="23.25" customHeight="1" x14ac:dyDescent="0.4"/>
    <row r="556" ht="23.25" customHeight="1" x14ac:dyDescent="0.4"/>
    <row r="557" ht="23.25" customHeight="1" x14ac:dyDescent="0.4"/>
    <row r="558" ht="23.25" customHeight="1" x14ac:dyDescent="0.4"/>
    <row r="559" ht="23.25" customHeight="1" x14ac:dyDescent="0.4"/>
    <row r="560" ht="23.25" customHeight="1" x14ac:dyDescent="0.4"/>
    <row r="561" ht="23.25" customHeight="1" x14ac:dyDescent="0.4"/>
    <row r="562" ht="23.25" customHeight="1" x14ac:dyDescent="0.4"/>
    <row r="563" ht="23.25" customHeight="1" x14ac:dyDescent="0.4"/>
    <row r="564" ht="23.25" customHeight="1" x14ac:dyDescent="0.4"/>
    <row r="565" ht="23.25" customHeight="1" x14ac:dyDescent="0.4"/>
    <row r="566" ht="23.25" customHeight="1" x14ac:dyDescent="0.4"/>
    <row r="567" ht="23.25" customHeight="1" x14ac:dyDescent="0.4"/>
    <row r="568" ht="23.25" customHeight="1" x14ac:dyDescent="0.4"/>
    <row r="569" ht="23.25" customHeight="1" x14ac:dyDescent="0.4"/>
    <row r="570" ht="23.25" customHeight="1" x14ac:dyDescent="0.4"/>
    <row r="571" ht="23.25" customHeight="1" x14ac:dyDescent="0.4"/>
    <row r="572" ht="23.25" customHeight="1" x14ac:dyDescent="0.4"/>
    <row r="573" ht="23.25" customHeight="1" x14ac:dyDescent="0.4"/>
    <row r="574" ht="23.25" customHeight="1" x14ac:dyDescent="0.4"/>
    <row r="575" ht="23.25" customHeight="1" x14ac:dyDescent="0.4"/>
    <row r="576" ht="23.25" customHeight="1" x14ac:dyDescent="0.4"/>
    <row r="577" ht="23.25" customHeight="1" x14ac:dyDescent="0.4"/>
    <row r="578" ht="23.25" customHeight="1" x14ac:dyDescent="0.4"/>
    <row r="579" ht="23.25" customHeight="1" x14ac:dyDescent="0.4"/>
    <row r="580" ht="23.25" customHeight="1" x14ac:dyDescent="0.4"/>
    <row r="581" ht="23.25" customHeight="1" x14ac:dyDescent="0.4"/>
    <row r="582" ht="23.25" customHeight="1" x14ac:dyDescent="0.4"/>
    <row r="583" ht="23.25" customHeight="1" x14ac:dyDescent="0.4"/>
    <row r="584" ht="23.25" customHeight="1" x14ac:dyDescent="0.4"/>
    <row r="585" ht="23.25" customHeight="1" x14ac:dyDescent="0.4"/>
    <row r="586" ht="23.25" customHeight="1" x14ac:dyDescent="0.4"/>
    <row r="587" ht="23.25" customHeight="1" x14ac:dyDescent="0.4"/>
    <row r="588" ht="23.25" customHeight="1" x14ac:dyDescent="0.4"/>
    <row r="589" ht="23.25" customHeight="1" x14ac:dyDescent="0.4"/>
    <row r="590" ht="23.25" customHeight="1" x14ac:dyDescent="0.4"/>
    <row r="591" ht="23.25" customHeight="1" x14ac:dyDescent="0.4"/>
    <row r="592" ht="23.25" customHeight="1" x14ac:dyDescent="0.4"/>
    <row r="593" ht="23.25" customHeight="1" x14ac:dyDescent="0.4"/>
    <row r="594" ht="23.25" customHeight="1" x14ac:dyDescent="0.4"/>
    <row r="595" ht="23.25" customHeight="1" x14ac:dyDescent="0.4"/>
    <row r="596" ht="23.25" customHeight="1" x14ac:dyDescent="0.4"/>
    <row r="597" ht="23.25" customHeight="1" x14ac:dyDescent="0.4"/>
    <row r="598" ht="23.25" customHeight="1" x14ac:dyDescent="0.4"/>
    <row r="599" ht="23.25" customHeight="1" x14ac:dyDescent="0.4"/>
    <row r="600" ht="23.25" customHeight="1" x14ac:dyDescent="0.4"/>
    <row r="601" ht="23.25" customHeight="1" x14ac:dyDescent="0.4"/>
    <row r="602" ht="23.25" customHeight="1" x14ac:dyDescent="0.4"/>
    <row r="603" ht="23.25" customHeight="1" x14ac:dyDescent="0.4"/>
    <row r="604" ht="23.25" customHeight="1" x14ac:dyDescent="0.4"/>
    <row r="605" ht="23.25" customHeight="1" x14ac:dyDescent="0.4"/>
    <row r="606" ht="23.25" customHeight="1" x14ac:dyDescent="0.4"/>
    <row r="607" ht="23.25" customHeight="1" x14ac:dyDescent="0.4"/>
    <row r="608" ht="23.25" customHeight="1" x14ac:dyDescent="0.4"/>
    <row r="609" ht="23.25" customHeight="1" x14ac:dyDescent="0.4"/>
    <row r="610" ht="23.25" customHeight="1" x14ac:dyDescent="0.4"/>
    <row r="611" ht="23.25" customHeight="1" x14ac:dyDescent="0.4"/>
    <row r="612" ht="23.25" customHeight="1" x14ac:dyDescent="0.4"/>
    <row r="613" ht="23.25" customHeight="1" x14ac:dyDescent="0.4"/>
    <row r="614" ht="23.25" customHeight="1" x14ac:dyDescent="0.4"/>
    <row r="615" ht="23.25" customHeight="1" x14ac:dyDescent="0.4"/>
    <row r="616" ht="23.25" customHeight="1" x14ac:dyDescent="0.4"/>
    <row r="617" ht="23.25" customHeight="1" x14ac:dyDescent="0.4"/>
    <row r="618" ht="23.25" customHeight="1" x14ac:dyDescent="0.4"/>
    <row r="619" ht="23.25" customHeight="1" x14ac:dyDescent="0.4"/>
    <row r="620" ht="23.25" customHeight="1" x14ac:dyDescent="0.4"/>
    <row r="621" ht="23.25" customHeight="1" x14ac:dyDescent="0.4"/>
    <row r="622" ht="23.25" customHeight="1" x14ac:dyDescent="0.4"/>
    <row r="623" ht="23.25" customHeight="1" x14ac:dyDescent="0.4"/>
    <row r="624" ht="23.25" customHeight="1" x14ac:dyDescent="0.4"/>
    <row r="625" ht="23.25" customHeight="1" x14ac:dyDescent="0.4"/>
    <row r="626" ht="23.25" customHeight="1" x14ac:dyDescent="0.4"/>
    <row r="627" ht="23.25" customHeight="1" x14ac:dyDescent="0.4"/>
    <row r="628" ht="23.25" customHeight="1" x14ac:dyDescent="0.4"/>
    <row r="629" ht="23.25" customHeight="1" x14ac:dyDescent="0.4"/>
    <row r="630" ht="23.25" customHeight="1" x14ac:dyDescent="0.4"/>
    <row r="631" ht="23.25" customHeight="1" x14ac:dyDescent="0.4"/>
    <row r="632" ht="23.25" customHeight="1" x14ac:dyDescent="0.4"/>
    <row r="633" ht="23.25" customHeight="1" x14ac:dyDescent="0.4"/>
    <row r="634" ht="23.25" customHeight="1" x14ac:dyDescent="0.4"/>
    <row r="635" ht="23.25" customHeight="1" x14ac:dyDescent="0.4"/>
    <row r="636" ht="23.25" customHeight="1" x14ac:dyDescent="0.4"/>
    <row r="637" ht="23.25" customHeight="1" x14ac:dyDescent="0.4"/>
    <row r="638" ht="23.25" customHeight="1" x14ac:dyDescent="0.4"/>
    <row r="639" ht="23.25" customHeight="1" x14ac:dyDescent="0.4"/>
    <row r="640" ht="23.25" customHeight="1" x14ac:dyDescent="0.4"/>
    <row r="641" ht="23.25" customHeight="1" x14ac:dyDescent="0.4"/>
    <row r="642" ht="23.25" customHeight="1" x14ac:dyDescent="0.4"/>
    <row r="643" ht="23.25" customHeight="1" x14ac:dyDescent="0.4"/>
    <row r="644" ht="23.25" customHeight="1" x14ac:dyDescent="0.4"/>
    <row r="645" ht="23.25" customHeight="1" x14ac:dyDescent="0.4"/>
    <row r="646" ht="23.25" customHeight="1" x14ac:dyDescent="0.4"/>
    <row r="647" ht="23.25" customHeight="1" x14ac:dyDescent="0.4"/>
    <row r="648" ht="23.25" customHeight="1" x14ac:dyDescent="0.4"/>
    <row r="649" ht="23.25" customHeight="1" x14ac:dyDescent="0.4"/>
    <row r="650" ht="23.25" customHeight="1" x14ac:dyDescent="0.4"/>
    <row r="651" ht="23.25" customHeight="1" x14ac:dyDescent="0.4"/>
    <row r="652" ht="23.25" customHeight="1" x14ac:dyDescent="0.4"/>
    <row r="653" ht="23.25" customHeight="1" x14ac:dyDescent="0.4"/>
    <row r="654" ht="23.25" customHeight="1" x14ac:dyDescent="0.4"/>
    <row r="655" ht="23.25" customHeight="1" x14ac:dyDescent="0.4"/>
    <row r="656" ht="23.25" customHeight="1" x14ac:dyDescent="0.4"/>
    <row r="657" ht="23.25" customHeight="1" x14ac:dyDescent="0.4"/>
    <row r="658" ht="23.25" customHeight="1" x14ac:dyDescent="0.4"/>
    <row r="659" ht="23.25" customHeight="1" x14ac:dyDescent="0.4"/>
    <row r="660" ht="23.25" customHeight="1" x14ac:dyDescent="0.4"/>
    <row r="661" ht="23.25" customHeight="1" x14ac:dyDescent="0.4"/>
    <row r="662" ht="23.25" customHeight="1" x14ac:dyDescent="0.4"/>
    <row r="663" ht="23.25" customHeight="1" x14ac:dyDescent="0.4"/>
    <row r="664" ht="23.25" customHeight="1" x14ac:dyDescent="0.4"/>
    <row r="665" ht="23.25" customHeight="1" x14ac:dyDescent="0.4"/>
    <row r="666" ht="23.25" customHeight="1" x14ac:dyDescent="0.4"/>
    <row r="667" ht="23.25" customHeight="1" x14ac:dyDescent="0.4"/>
    <row r="668" ht="23.25" customHeight="1" x14ac:dyDescent="0.4"/>
    <row r="669" ht="23.25" customHeight="1" x14ac:dyDescent="0.4"/>
    <row r="670" ht="23.25" customHeight="1" x14ac:dyDescent="0.4"/>
    <row r="671" ht="23.25" customHeight="1" x14ac:dyDescent="0.4"/>
    <row r="672" ht="23.25" customHeight="1" x14ac:dyDescent="0.4"/>
    <row r="673" ht="23.25" customHeight="1" x14ac:dyDescent="0.4"/>
    <row r="674" ht="23.25" customHeight="1" x14ac:dyDescent="0.4"/>
    <row r="675" ht="23.25" customHeight="1" x14ac:dyDescent="0.4"/>
    <row r="676" ht="23.25" customHeight="1" x14ac:dyDescent="0.4"/>
    <row r="677" ht="23.25" customHeight="1" x14ac:dyDescent="0.4"/>
    <row r="678" ht="23.25" customHeight="1" x14ac:dyDescent="0.4"/>
    <row r="679" ht="23.25" customHeight="1" x14ac:dyDescent="0.4"/>
    <row r="680" ht="23.25" customHeight="1" x14ac:dyDescent="0.4"/>
    <row r="681" ht="23.25" customHeight="1" x14ac:dyDescent="0.4"/>
    <row r="682" ht="23.25" customHeight="1" x14ac:dyDescent="0.4"/>
    <row r="683" ht="23.25" customHeight="1" x14ac:dyDescent="0.4"/>
    <row r="684" ht="23.25" customHeight="1" x14ac:dyDescent="0.4"/>
    <row r="685" ht="23.25" customHeight="1" x14ac:dyDescent="0.4"/>
    <row r="686" ht="23.25" customHeight="1" x14ac:dyDescent="0.4"/>
    <row r="687" ht="23.25" customHeight="1" x14ac:dyDescent="0.4"/>
    <row r="688" ht="23.25" customHeight="1" x14ac:dyDescent="0.4"/>
    <row r="689" ht="23.25" customHeight="1" x14ac:dyDescent="0.4"/>
    <row r="690" ht="23.25" customHeight="1" x14ac:dyDescent="0.4"/>
    <row r="691" ht="23.25" customHeight="1" x14ac:dyDescent="0.4"/>
    <row r="692" ht="23.25" customHeight="1" x14ac:dyDescent="0.4"/>
    <row r="693" ht="23.25" customHeight="1" x14ac:dyDescent="0.4"/>
    <row r="694" ht="23.25" customHeight="1" x14ac:dyDescent="0.4"/>
    <row r="695" ht="23.25" customHeight="1" x14ac:dyDescent="0.4"/>
    <row r="696" ht="23.25" customHeight="1" x14ac:dyDescent="0.4"/>
    <row r="697" ht="23.25" customHeight="1" x14ac:dyDescent="0.4"/>
    <row r="698" ht="23.25" customHeight="1" x14ac:dyDescent="0.4"/>
    <row r="699" ht="23.25" customHeight="1" x14ac:dyDescent="0.4"/>
    <row r="700" ht="23.25" customHeight="1" x14ac:dyDescent="0.4"/>
    <row r="701" ht="23.25" customHeight="1" x14ac:dyDescent="0.4"/>
    <row r="702" ht="23.25" customHeight="1" x14ac:dyDescent="0.4"/>
    <row r="703" ht="23.25" customHeight="1" x14ac:dyDescent="0.4"/>
    <row r="704" ht="23.25" customHeight="1" x14ac:dyDescent="0.4"/>
    <row r="705" ht="23.25" customHeight="1" x14ac:dyDescent="0.4"/>
    <row r="706" ht="23.25" customHeight="1" x14ac:dyDescent="0.4"/>
    <row r="707" ht="23.25" customHeight="1" x14ac:dyDescent="0.4"/>
    <row r="708" ht="23.25" customHeight="1" x14ac:dyDescent="0.4"/>
    <row r="709" ht="23.25" customHeight="1" x14ac:dyDescent="0.4"/>
    <row r="710" ht="23.25" customHeight="1" x14ac:dyDescent="0.4"/>
    <row r="711" ht="23.25" customHeight="1" x14ac:dyDescent="0.4"/>
    <row r="712" ht="23.25" customHeight="1" x14ac:dyDescent="0.4"/>
    <row r="713" ht="23.25" customHeight="1" x14ac:dyDescent="0.4"/>
    <row r="714" ht="23.25" customHeight="1" x14ac:dyDescent="0.4"/>
    <row r="715" ht="23.25" customHeight="1" x14ac:dyDescent="0.4"/>
    <row r="716" ht="23.25" customHeight="1" x14ac:dyDescent="0.4"/>
    <row r="717" ht="23.25" customHeight="1" x14ac:dyDescent="0.4"/>
    <row r="718" ht="23.25" customHeight="1" x14ac:dyDescent="0.4"/>
    <row r="719" ht="23.25" customHeight="1" x14ac:dyDescent="0.4"/>
    <row r="720" ht="23.25" customHeight="1" x14ac:dyDescent="0.4"/>
    <row r="721" ht="23.25" customHeight="1" x14ac:dyDescent="0.4"/>
    <row r="722" ht="23.25" customHeight="1" x14ac:dyDescent="0.4"/>
    <row r="723" ht="23.25" customHeight="1" x14ac:dyDescent="0.4"/>
    <row r="724" ht="23.25" customHeight="1" x14ac:dyDescent="0.4"/>
    <row r="725" ht="23.25" customHeight="1" x14ac:dyDescent="0.4"/>
    <row r="726" ht="23.25" customHeight="1" x14ac:dyDescent="0.4"/>
    <row r="727" ht="23.25" customHeight="1" x14ac:dyDescent="0.4"/>
    <row r="728" ht="23.25" customHeight="1" x14ac:dyDescent="0.4"/>
    <row r="729" ht="23.25" customHeight="1" x14ac:dyDescent="0.4"/>
    <row r="730" ht="23.25" customHeight="1" x14ac:dyDescent="0.4"/>
    <row r="731" ht="23.25" customHeight="1" x14ac:dyDescent="0.4"/>
    <row r="732" ht="23.25" customHeight="1" x14ac:dyDescent="0.4"/>
    <row r="733" ht="23.25" customHeight="1" x14ac:dyDescent="0.4"/>
    <row r="734" ht="23.25" customHeight="1" x14ac:dyDescent="0.4"/>
    <row r="735" ht="23.25" customHeight="1" x14ac:dyDescent="0.4"/>
    <row r="736" ht="23.25" customHeight="1" x14ac:dyDescent="0.4"/>
    <row r="737" ht="23.25" customHeight="1" x14ac:dyDescent="0.4"/>
    <row r="738" ht="23.25" customHeight="1" x14ac:dyDescent="0.4"/>
    <row r="739" ht="23.25" customHeight="1" x14ac:dyDescent="0.4"/>
    <row r="740" ht="23.25" customHeight="1" x14ac:dyDescent="0.4"/>
    <row r="741" ht="23.25" customHeight="1" x14ac:dyDescent="0.4"/>
    <row r="742" ht="23.25" customHeight="1" x14ac:dyDescent="0.4"/>
    <row r="743" ht="23.25" customHeight="1" x14ac:dyDescent="0.4"/>
    <row r="744" ht="23.25" customHeight="1" x14ac:dyDescent="0.4"/>
    <row r="745" ht="23.25" customHeight="1" x14ac:dyDescent="0.4"/>
    <row r="746" ht="23.25" customHeight="1" x14ac:dyDescent="0.4"/>
    <row r="747" ht="23.25" customHeight="1" x14ac:dyDescent="0.4"/>
    <row r="748" ht="23.25" customHeight="1" x14ac:dyDescent="0.4"/>
    <row r="749" ht="23.25" customHeight="1" x14ac:dyDescent="0.4"/>
    <row r="750" ht="23.25" customHeight="1" x14ac:dyDescent="0.4"/>
    <row r="751" ht="23.25" customHeight="1" x14ac:dyDescent="0.4"/>
    <row r="752" ht="23.25" customHeight="1" x14ac:dyDescent="0.4"/>
    <row r="753" ht="23.25" customHeight="1" x14ac:dyDescent="0.4"/>
    <row r="754" ht="23.25" customHeight="1" x14ac:dyDescent="0.4"/>
    <row r="755" ht="23.25" customHeight="1" x14ac:dyDescent="0.4"/>
    <row r="756" ht="23.25" customHeight="1" x14ac:dyDescent="0.4"/>
    <row r="757" ht="23.25" customHeight="1" x14ac:dyDescent="0.4"/>
    <row r="758" ht="23.25" customHeight="1" x14ac:dyDescent="0.4"/>
    <row r="759" ht="23.25" customHeight="1" x14ac:dyDescent="0.4"/>
    <row r="760" ht="23.25" customHeight="1" x14ac:dyDescent="0.4"/>
    <row r="761" ht="23.25" customHeight="1" x14ac:dyDescent="0.4"/>
    <row r="762" ht="23.25" customHeight="1" x14ac:dyDescent="0.4"/>
    <row r="763" ht="23.25" customHeight="1" x14ac:dyDescent="0.4"/>
    <row r="764" ht="23.25" customHeight="1" x14ac:dyDescent="0.4"/>
    <row r="765" ht="23.25" customHeight="1" x14ac:dyDescent="0.4"/>
    <row r="766" ht="23.25" customHeight="1" x14ac:dyDescent="0.4"/>
    <row r="767" ht="23.25" customHeight="1" x14ac:dyDescent="0.4"/>
    <row r="768" ht="23.25" customHeight="1" x14ac:dyDescent="0.4"/>
    <row r="769" ht="23.25" customHeight="1" x14ac:dyDescent="0.4"/>
    <row r="770" ht="23.25" customHeight="1" x14ac:dyDescent="0.4"/>
    <row r="771" ht="23.25" customHeight="1" x14ac:dyDescent="0.4"/>
    <row r="772" ht="23.25" customHeight="1" x14ac:dyDescent="0.4"/>
    <row r="773" ht="23.25" customHeight="1" x14ac:dyDescent="0.4"/>
    <row r="774" ht="23.25" customHeight="1" x14ac:dyDescent="0.4"/>
    <row r="775" ht="23.25" customHeight="1" x14ac:dyDescent="0.4"/>
    <row r="776" ht="23.25" customHeight="1" x14ac:dyDescent="0.4"/>
    <row r="777" ht="23.25" customHeight="1" x14ac:dyDescent="0.4"/>
    <row r="778" ht="23.25" customHeight="1" x14ac:dyDescent="0.4"/>
    <row r="779" ht="23.25" customHeight="1" x14ac:dyDescent="0.4"/>
    <row r="780" ht="23.25" customHeight="1" x14ac:dyDescent="0.4"/>
    <row r="781" ht="23.25" customHeight="1" x14ac:dyDescent="0.4"/>
    <row r="782" ht="23.25" customHeight="1" x14ac:dyDescent="0.4"/>
    <row r="783" ht="23.25" customHeight="1" x14ac:dyDescent="0.4"/>
    <row r="784" ht="23.25" customHeight="1" x14ac:dyDescent="0.4"/>
    <row r="785" ht="23.25" customHeight="1" x14ac:dyDescent="0.4"/>
    <row r="786" ht="23.25" customHeight="1" x14ac:dyDescent="0.4"/>
    <row r="787" ht="23.25" customHeight="1" x14ac:dyDescent="0.4"/>
    <row r="788" ht="23.25" customHeight="1" x14ac:dyDescent="0.4"/>
    <row r="789" ht="23.25" customHeight="1" x14ac:dyDescent="0.4"/>
    <row r="790" ht="23.25" customHeight="1" x14ac:dyDescent="0.4"/>
    <row r="791" ht="23.25" customHeight="1" x14ac:dyDescent="0.4"/>
    <row r="792" ht="23.25" customHeight="1" x14ac:dyDescent="0.4"/>
    <row r="793" ht="23.25" customHeight="1" x14ac:dyDescent="0.4"/>
    <row r="794" ht="23.25" customHeight="1" x14ac:dyDescent="0.4"/>
    <row r="795" ht="23.25" customHeight="1" x14ac:dyDescent="0.4"/>
    <row r="796" ht="23.25" customHeight="1" x14ac:dyDescent="0.4"/>
    <row r="797" ht="23.25" customHeight="1" x14ac:dyDescent="0.4"/>
    <row r="798" ht="23.25" customHeight="1" x14ac:dyDescent="0.4"/>
    <row r="799" ht="23.25" customHeight="1" x14ac:dyDescent="0.4"/>
    <row r="800" ht="23.25" customHeight="1" x14ac:dyDescent="0.4"/>
    <row r="801" ht="23.25" customHeight="1" x14ac:dyDescent="0.4"/>
    <row r="802" ht="23.25" customHeight="1" x14ac:dyDescent="0.4"/>
    <row r="803" ht="23.25" customHeight="1" x14ac:dyDescent="0.4"/>
    <row r="804" ht="23.25" customHeight="1" x14ac:dyDescent="0.4"/>
    <row r="805" ht="23.25" customHeight="1" x14ac:dyDescent="0.4"/>
    <row r="806" ht="23.25" customHeight="1" x14ac:dyDescent="0.4"/>
    <row r="807" ht="23.25" customHeight="1" x14ac:dyDescent="0.4"/>
    <row r="808" ht="23.25" customHeight="1" x14ac:dyDescent="0.4"/>
    <row r="809" ht="23.25" customHeight="1" x14ac:dyDescent="0.4"/>
    <row r="810" ht="23.25" customHeight="1" x14ac:dyDescent="0.4"/>
    <row r="811" ht="23.25" customHeight="1" x14ac:dyDescent="0.4"/>
    <row r="812" ht="23.25" customHeight="1" x14ac:dyDescent="0.4"/>
    <row r="813" ht="23.25" customHeight="1" x14ac:dyDescent="0.4"/>
    <row r="814" ht="23.25" customHeight="1" x14ac:dyDescent="0.4"/>
    <row r="815" ht="23.25" customHeight="1" x14ac:dyDescent="0.4"/>
    <row r="816" ht="23.25" customHeight="1" x14ac:dyDescent="0.4"/>
    <row r="817" ht="23.25" customHeight="1" x14ac:dyDescent="0.4"/>
    <row r="818" ht="23.25" customHeight="1" x14ac:dyDescent="0.4"/>
    <row r="819" ht="23.25" customHeight="1" x14ac:dyDescent="0.4"/>
    <row r="820" ht="23.25" customHeight="1" x14ac:dyDescent="0.4"/>
    <row r="821" ht="23.25" customHeight="1" x14ac:dyDescent="0.4"/>
    <row r="822" ht="23.25" customHeight="1" x14ac:dyDescent="0.4"/>
    <row r="823" ht="23.25" customHeight="1" x14ac:dyDescent="0.4"/>
    <row r="824" ht="23.25" customHeight="1" x14ac:dyDescent="0.4"/>
    <row r="825" ht="23.25" customHeight="1" x14ac:dyDescent="0.4"/>
    <row r="826" ht="23.25" customHeight="1" x14ac:dyDescent="0.4"/>
    <row r="827" ht="23.25" customHeight="1" x14ac:dyDescent="0.4"/>
    <row r="828" ht="23.25" customHeight="1" x14ac:dyDescent="0.4"/>
    <row r="829" ht="23.25" customHeight="1" x14ac:dyDescent="0.4"/>
    <row r="830" ht="23.25" customHeight="1" x14ac:dyDescent="0.4"/>
    <row r="831" ht="23.25" customHeight="1" x14ac:dyDescent="0.4"/>
    <row r="832" ht="23.25" customHeight="1" x14ac:dyDescent="0.4"/>
    <row r="833" ht="23.25" customHeight="1" x14ac:dyDescent="0.4"/>
    <row r="834" ht="23.25" customHeight="1" x14ac:dyDescent="0.4"/>
    <row r="835" ht="23.25" customHeight="1" x14ac:dyDescent="0.4"/>
    <row r="836" ht="23.25" customHeight="1" x14ac:dyDescent="0.4"/>
    <row r="837" ht="23.25" customHeight="1" x14ac:dyDescent="0.4"/>
    <row r="838" ht="23.25" customHeight="1" x14ac:dyDescent="0.4"/>
    <row r="839" ht="23.25" customHeight="1" x14ac:dyDescent="0.4"/>
    <row r="840" ht="23.25" customHeight="1" x14ac:dyDescent="0.4"/>
    <row r="841" ht="23.25" customHeight="1" x14ac:dyDescent="0.4"/>
    <row r="842" ht="23.25" customHeight="1" x14ac:dyDescent="0.4"/>
    <row r="843" ht="23.25" customHeight="1" x14ac:dyDescent="0.4"/>
    <row r="844" ht="23.25" customHeight="1" x14ac:dyDescent="0.4"/>
    <row r="845" ht="23.25" customHeight="1" x14ac:dyDescent="0.4"/>
    <row r="846" ht="23.25" customHeight="1" x14ac:dyDescent="0.4"/>
    <row r="847" ht="23.25" customHeight="1" x14ac:dyDescent="0.4"/>
    <row r="848" ht="23.25" customHeight="1" x14ac:dyDescent="0.4"/>
    <row r="849" ht="23.25" customHeight="1" x14ac:dyDescent="0.4"/>
    <row r="850" ht="23.25" customHeight="1" x14ac:dyDescent="0.4"/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346CB-C7AE-4CC9-887E-0AF7654C05C0}">
  <dimension ref="B1:T850"/>
  <sheetViews>
    <sheetView workbookViewId="0"/>
  </sheetViews>
  <sheetFormatPr defaultRowHeight="17.399999999999999" x14ac:dyDescent="0.4"/>
  <cols>
    <col min="1" max="1" width="2.09765625" customWidth="1"/>
    <col min="2" max="2" width="27.69921875" customWidth="1"/>
    <col min="3" max="6" width="7" customWidth="1"/>
    <col min="7" max="7" width="30.8984375" customWidth="1"/>
    <col min="8" max="8" width="6.3984375" customWidth="1"/>
    <col min="9" max="9" width="18.69921875" customWidth="1"/>
    <col min="10" max="10" width="6.8984375" customWidth="1"/>
    <col min="11" max="11" width="46.69921875" customWidth="1"/>
    <col min="12" max="12" width="11.19921875" customWidth="1"/>
    <col min="13" max="13" width="9.796875" customWidth="1"/>
    <col min="14" max="14" width="13.796875" customWidth="1"/>
    <col min="15" max="16" width="9.796875" customWidth="1"/>
    <col min="17" max="17" width="11.796875" customWidth="1"/>
    <col min="18" max="18" width="12.19921875" customWidth="1"/>
    <col min="19" max="19" width="33.296875" customWidth="1"/>
    <col min="20" max="20" width="57.59765625" customWidth="1"/>
    <col min="21" max="30" width="8.8984375" customWidth="1"/>
  </cols>
  <sheetData>
    <row r="1" spans="2:20" ht="23.25" customHeight="1" x14ac:dyDescent="0.4">
      <c r="B1" s="107" t="s">
        <v>2385</v>
      </c>
      <c r="C1" s="109">
        <v>11.01</v>
      </c>
      <c r="D1" s="15" t="s">
        <v>23</v>
      </c>
      <c r="E1" s="90" t="s">
        <v>2386</v>
      </c>
      <c r="I1" s="44" t="s">
        <v>2387</v>
      </c>
      <c r="L1" s="5">
        <v>1</v>
      </c>
      <c r="M1" s="5">
        <v>6000</v>
      </c>
      <c r="N1" s="5">
        <f>+M1*L1</f>
        <v>6000</v>
      </c>
      <c r="Q1" s="5">
        <f>+N1</f>
        <v>6000</v>
      </c>
      <c r="R1" s="8" t="s">
        <v>2388</v>
      </c>
    </row>
    <row r="2" spans="2:20" ht="23.25" customHeight="1" x14ac:dyDescent="0.4">
      <c r="B2" s="107" t="s">
        <v>2389</v>
      </c>
      <c r="C2" s="18">
        <v>3.07</v>
      </c>
      <c r="D2" s="16" t="s">
        <v>28</v>
      </c>
      <c r="E2" s="20">
        <v>9.0299999999999994</v>
      </c>
      <c r="I2" s="44" t="s">
        <v>2390</v>
      </c>
      <c r="L2" s="5">
        <v>1</v>
      </c>
      <c r="M2" s="5">
        <v>6000</v>
      </c>
      <c r="N2" s="5">
        <f>+M2*L2</f>
        <v>6000</v>
      </c>
      <c r="O2" s="5">
        <f>+N2/1.1</f>
        <v>5454.545454545454</v>
      </c>
      <c r="P2" s="5">
        <f>+N2-O2</f>
        <v>545.45454545454595</v>
      </c>
      <c r="Q2" s="5">
        <f>+N2</f>
        <v>6000</v>
      </c>
      <c r="R2" s="8" t="s">
        <v>2391</v>
      </c>
    </row>
    <row r="3" spans="2:20" ht="23.25" customHeight="1" x14ac:dyDescent="0.4">
      <c r="B3" s="4" t="s">
        <v>701</v>
      </c>
      <c r="M3" s="109" t="s">
        <v>24</v>
      </c>
      <c r="N3" s="20" t="s">
        <v>24</v>
      </c>
      <c r="O3" s="18" t="s">
        <v>24</v>
      </c>
      <c r="P3" s="8" t="s">
        <v>2449</v>
      </c>
      <c r="Q3" s="5" t="s">
        <v>2472</v>
      </c>
      <c r="R3" s="18" t="s">
        <v>2394</v>
      </c>
    </row>
    <row r="4" spans="2:20" ht="24.75" customHeight="1" x14ac:dyDescent="0.4">
      <c r="K4" s="65" t="s">
        <v>2473</v>
      </c>
    </row>
    <row r="5" spans="2:20" ht="24.75" customHeight="1" x14ac:dyDescent="0.4">
      <c r="B5" s="108" t="s">
        <v>2396</v>
      </c>
      <c r="G5" s="113" t="s">
        <v>2397</v>
      </c>
      <c r="K5" s="65" t="s">
        <v>2398</v>
      </c>
    </row>
    <row r="6" spans="2:20" ht="37.5" customHeight="1" x14ac:dyDescent="0.4">
      <c r="B6" s="10" t="s">
        <v>30</v>
      </c>
      <c r="C6" s="110" t="s">
        <v>31</v>
      </c>
      <c r="D6" s="10" t="s">
        <v>32</v>
      </c>
      <c r="E6" s="10" t="s">
        <v>33</v>
      </c>
      <c r="F6" s="10" t="s">
        <v>34</v>
      </c>
      <c r="G6" s="16" t="s">
        <v>2399</v>
      </c>
      <c r="H6" s="114" t="s">
        <v>1</v>
      </c>
      <c r="I6" s="9" t="s">
        <v>36</v>
      </c>
      <c r="J6" s="10" t="s">
        <v>37</v>
      </c>
      <c r="K6" s="10" t="s">
        <v>38</v>
      </c>
      <c r="L6" s="10" t="s">
        <v>39</v>
      </c>
      <c r="M6" s="10" t="s">
        <v>40</v>
      </c>
      <c r="N6" s="10" t="s">
        <v>41</v>
      </c>
      <c r="O6" s="10" t="s">
        <v>42</v>
      </c>
      <c r="P6" s="10" t="s">
        <v>43</v>
      </c>
      <c r="Q6" s="10" t="s">
        <v>44</v>
      </c>
      <c r="R6" s="10" t="s">
        <v>45</v>
      </c>
      <c r="S6" s="9" t="s">
        <v>2400</v>
      </c>
      <c r="T6" s="10" t="s">
        <v>2401</v>
      </c>
    </row>
    <row r="7" spans="2:20" ht="24" customHeight="1" x14ac:dyDescent="0.4">
      <c r="B7" s="7" t="s">
        <v>381</v>
      </c>
      <c r="C7" s="8">
        <v>1.03</v>
      </c>
      <c r="D7" s="15" t="s">
        <v>23</v>
      </c>
      <c r="F7" s="8" t="s">
        <v>2368</v>
      </c>
      <c r="G7" s="15" t="s">
        <v>891</v>
      </c>
      <c r="H7" s="4">
        <v>606</v>
      </c>
      <c r="I7" s="5" t="s">
        <v>381</v>
      </c>
      <c r="J7" s="4">
        <v>12.24</v>
      </c>
      <c r="K7" s="48" t="s">
        <v>113</v>
      </c>
      <c r="L7" s="5">
        <v>35</v>
      </c>
      <c r="M7" s="68">
        <v>12000</v>
      </c>
      <c r="N7" s="8">
        <f>+M7*L7</f>
        <v>420000</v>
      </c>
      <c r="O7" s="5">
        <f>+N7/1.1</f>
        <v>381818.18181818177</v>
      </c>
      <c r="P7" s="5">
        <f>+N7-O7</f>
        <v>38181.818181818235</v>
      </c>
      <c r="Q7" s="5">
        <f>+N7</f>
        <v>420000</v>
      </c>
      <c r="R7" s="18">
        <v>1.1100000000000001</v>
      </c>
    </row>
    <row r="8" spans="2:20" ht="24" customHeight="1" x14ac:dyDescent="0.4">
      <c r="B8" s="8" t="s">
        <v>26</v>
      </c>
      <c r="C8" s="8">
        <v>1.06</v>
      </c>
      <c r="D8" s="15" t="s">
        <v>23</v>
      </c>
      <c r="F8" s="8" t="s">
        <v>1365</v>
      </c>
      <c r="G8" s="5" t="s">
        <v>2468</v>
      </c>
      <c r="H8" s="4">
        <v>157</v>
      </c>
      <c r="I8" s="5" t="s">
        <v>258</v>
      </c>
      <c r="J8" s="4">
        <v>1.06</v>
      </c>
      <c r="K8" s="32" t="s">
        <v>2474</v>
      </c>
      <c r="L8" s="5">
        <v>16</v>
      </c>
      <c r="M8" s="68">
        <v>5000</v>
      </c>
      <c r="N8" s="8">
        <f>+M8*L8</f>
        <v>80000</v>
      </c>
      <c r="O8" s="5">
        <f>+N8/1.1</f>
        <v>72727.272727272721</v>
      </c>
      <c r="P8" s="5">
        <f>+N8-O8</f>
        <v>7272.7272727272793</v>
      </c>
      <c r="Q8" s="5">
        <f>+N8</f>
        <v>80000</v>
      </c>
      <c r="R8" s="18">
        <v>1.1299999999999999</v>
      </c>
    </row>
    <row r="9" spans="2:20" ht="24" customHeight="1" x14ac:dyDescent="0.4">
      <c r="B9" s="8" t="s">
        <v>26</v>
      </c>
      <c r="C9" s="8">
        <v>1.03</v>
      </c>
      <c r="D9" s="15" t="s">
        <v>23</v>
      </c>
      <c r="F9" s="5" t="s">
        <v>1559</v>
      </c>
      <c r="G9" s="8" t="s">
        <v>1656</v>
      </c>
      <c r="H9" s="4">
        <v>1324</v>
      </c>
      <c r="I9" s="5" t="s">
        <v>2440</v>
      </c>
      <c r="J9" s="4">
        <v>12.1</v>
      </c>
      <c r="K9" s="5" t="s">
        <v>339</v>
      </c>
      <c r="L9" s="5">
        <v>3</v>
      </c>
      <c r="M9" s="68">
        <f>8000+3000</f>
        <v>11000</v>
      </c>
      <c r="N9" s="8">
        <f>+M9*L9</f>
        <v>33000</v>
      </c>
      <c r="O9" s="5">
        <f>+N9/1.1</f>
        <v>29999.999999999996</v>
      </c>
      <c r="P9" s="5">
        <f>+N9-O9</f>
        <v>3000.0000000000036</v>
      </c>
      <c r="Q9" s="15">
        <f>+N9</f>
        <v>33000</v>
      </c>
      <c r="R9" s="18">
        <v>1.1399999999999999</v>
      </c>
      <c r="S9" s="7" t="s">
        <v>97</v>
      </c>
    </row>
    <row r="10" spans="2:20" ht="24" customHeight="1" x14ac:dyDescent="0.4">
      <c r="B10" s="8" t="s">
        <v>26</v>
      </c>
      <c r="C10" s="8">
        <v>1.03</v>
      </c>
      <c r="D10" s="15" t="s">
        <v>23</v>
      </c>
      <c r="F10" s="5" t="s">
        <v>1559</v>
      </c>
      <c r="G10" s="8" t="s">
        <v>1656</v>
      </c>
      <c r="H10" s="4">
        <v>1324</v>
      </c>
      <c r="I10" s="5" t="s">
        <v>2440</v>
      </c>
      <c r="J10" s="4">
        <v>12.1</v>
      </c>
      <c r="K10" s="5" t="s">
        <v>340</v>
      </c>
      <c r="L10" s="5">
        <v>120</v>
      </c>
      <c r="M10" s="68">
        <v>600</v>
      </c>
      <c r="N10" s="8">
        <f>+M10*L10</f>
        <v>72000</v>
      </c>
      <c r="O10" s="5">
        <f>+N10/1.1</f>
        <v>65454.545454545449</v>
      </c>
      <c r="P10" s="5">
        <f>+N10-O10</f>
        <v>6545.4545454545514</v>
      </c>
      <c r="Q10" s="15">
        <f>+N10</f>
        <v>72000</v>
      </c>
      <c r="R10" s="18">
        <v>1.1399999999999999</v>
      </c>
      <c r="S10" s="7" t="s">
        <v>97</v>
      </c>
    </row>
    <row r="11" spans="2:20" ht="24" customHeight="1" x14ac:dyDescent="0.4">
      <c r="B11" s="8" t="s">
        <v>26</v>
      </c>
      <c r="C11" s="8">
        <v>1.03</v>
      </c>
      <c r="D11" s="15" t="s">
        <v>23</v>
      </c>
      <c r="F11" s="5" t="s">
        <v>1559</v>
      </c>
      <c r="G11" s="8" t="s">
        <v>1656</v>
      </c>
      <c r="H11" s="4">
        <v>1324</v>
      </c>
      <c r="I11" s="5" t="s">
        <v>2440</v>
      </c>
      <c r="J11" s="4">
        <v>12.23</v>
      </c>
      <c r="K11" s="46" t="s">
        <v>365</v>
      </c>
      <c r="L11" s="5">
        <v>20</v>
      </c>
      <c r="M11" s="68">
        <v>10000</v>
      </c>
      <c r="N11" s="8">
        <f>+M11*L11</f>
        <v>200000</v>
      </c>
      <c r="O11" s="5">
        <f>+N11/1.1</f>
        <v>181818.18181818179</v>
      </c>
      <c r="P11" s="5">
        <f>+N11-O11</f>
        <v>18181.818181818206</v>
      </c>
      <c r="Q11" s="15">
        <f>+N11</f>
        <v>200000</v>
      </c>
      <c r="R11" s="18">
        <v>1.1399999999999999</v>
      </c>
      <c r="S11" s="7" t="s">
        <v>97</v>
      </c>
    </row>
    <row r="12" spans="2:20" ht="24" customHeight="1" x14ac:dyDescent="0.4">
      <c r="B12" s="8" t="s">
        <v>26</v>
      </c>
      <c r="C12" s="8">
        <v>1.1200000000000001</v>
      </c>
      <c r="D12" s="15" t="s">
        <v>23</v>
      </c>
      <c r="E12" s="4" t="s">
        <v>2475</v>
      </c>
      <c r="F12" s="4" t="s">
        <v>1559</v>
      </c>
      <c r="G12" s="4" t="s">
        <v>2476</v>
      </c>
      <c r="H12" s="4">
        <v>719</v>
      </c>
      <c r="I12" s="4" t="s">
        <v>1493</v>
      </c>
      <c r="J12" s="4">
        <v>1.06</v>
      </c>
      <c r="K12" s="4" t="s">
        <v>198</v>
      </c>
      <c r="L12" s="5">
        <v>5</v>
      </c>
      <c r="M12" s="68">
        <v>9000</v>
      </c>
      <c r="N12" s="8">
        <f>+M12*L12</f>
        <v>45000</v>
      </c>
      <c r="O12" s="5">
        <f>+N12/1.1</f>
        <v>40909.090909090904</v>
      </c>
      <c r="P12" s="5">
        <f>+N12-O12</f>
        <v>4090.9090909090955</v>
      </c>
      <c r="Q12" s="5">
        <f>+N12</f>
        <v>45000</v>
      </c>
      <c r="R12" s="18">
        <v>1.1399999999999999</v>
      </c>
      <c r="S12" s="4" t="s">
        <v>390</v>
      </c>
    </row>
    <row r="13" spans="2:20" ht="24" customHeight="1" x14ac:dyDescent="0.4">
      <c r="B13" s="8" t="s">
        <v>26</v>
      </c>
      <c r="C13" s="8">
        <v>1.1200000000000001</v>
      </c>
      <c r="D13" s="15" t="s">
        <v>23</v>
      </c>
      <c r="E13" s="4" t="s">
        <v>2477</v>
      </c>
      <c r="F13" s="4" t="s">
        <v>1559</v>
      </c>
      <c r="G13" s="4" t="s">
        <v>2478</v>
      </c>
      <c r="H13" s="4">
        <v>719</v>
      </c>
      <c r="I13" s="4" t="s">
        <v>1493</v>
      </c>
      <c r="J13" s="4">
        <v>1.06</v>
      </c>
      <c r="K13" s="4" t="s">
        <v>198</v>
      </c>
      <c r="L13" s="5">
        <v>4</v>
      </c>
      <c r="M13" s="68">
        <v>9000</v>
      </c>
      <c r="N13" s="8">
        <f>+M13*L13</f>
        <v>36000</v>
      </c>
      <c r="O13" s="5">
        <f>+N13/1.1</f>
        <v>32727.272727272724</v>
      </c>
      <c r="P13" s="5">
        <f>+N13-O13</f>
        <v>3272.7272727272757</v>
      </c>
      <c r="Q13" s="5">
        <f>+N13</f>
        <v>36000</v>
      </c>
      <c r="R13" s="18">
        <v>1.17</v>
      </c>
      <c r="S13" s="4" t="s">
        <v>390</v>
      </c>
    </row>
    <row r="14" spans="2:20" ht="24" customHeight="1" x14ac:dyDescent="0.4">
      <c r="B14" s="8" t="s">
        <v>26</v>
      </c>
      <c r="C14" s="8">
        <v>1.04</v>
      </c>
      <c r="D14" s="15" t="s">
        <v>23</v>
      </c>
      <c r="F14" s="8" t="s">
        <v>2368</v>
      </c>
      <c r="G14" s="5" t="s">
        <v>968</v>
      </c>
      <c r="H14" s="4">
        <v>2634</v>
      </c>
      <c r="I14" s="5" t="s">
        <v>969</v>
      </c>
      <c r="J14" s="4">
        <v>12.28</v>
      </c>
      <c r="K14" s="3" t="s">
        <v>379</v>
      </c>
      <c r="L14" s="5">
        <v>23</v>
      </c>
      <c r="M14" s="68">
        <f>5000+3000</f>
        <v>8000</v>
      </c>
      <c r="N14" s="8">
        <f>+M14*L14</f>
        <v>184000</v>
      </c>
      <c r="O14" s="5">
        <f>+N14/1.1</f>
        <v>167272.72727272726</v>
      </c>
      <c r="P14" s="5">
        <f>+N14-O14</f>
        <v>16727.272727272735</v>
      </c>
      <c r="Q14" s="5">
        <f>+N14</f>
        <v>184000</v>
      </c>
      <c r="R14" s="18">
        <v>1.18</v>
      </c>
      <c r="S14" s="4" t="s">
        <v>121</v>
      </c>
    </row>
    <row r="15" spans="2:20" ht="24" customHeight="1" x14ac:dyDescent="0.4">
      <c r="B15" s="8" t="s">
        <v>26</v>
      </c>
      <c r="C15" s="8">
        <v>1.04</v>
      </c>
      <c r="D15" s="15" t="s">
        <v>23</v>
      </c>
      <c r="F15" s="8" t="s">
        <v>2368</v>
      </c>
      <c r="G15" s="4" t="s">
        <v>1917</v>
      </c>
      <c r="H15" s="4">
        <v>1025</v>
      </c>
      <c r="I15" s="5" t="s">
        <v>1918</v>
      </c>
      <c r="J15" s="4">
        <v>12.27</v>
      </c>
      <c r="K15" s="47" t="s">
        <v>367</v>
      </c>
      <c r="L15" s="5">
        <v>42</v>
      </c>
      <c r="M15" s="68">
        <v>5000</v>
      </c>
      <c r="N15" s="8">
        <f>+M15*L15</f>
        <v>210000</v>
      </c>
      <c r="O15" s="5">
        <f>+N15/1.1</f>
        <v>190909.09090909088</v>
      </c>
      <c r="P15" s="5">
        <f>+N15-O15</f>
        <v>19090.909090909117</v>
      </c>
      <c r="Q15" s="5">
        <f>+N15</f>
        <v>210000</v>
      </c>
      <c r="R15" s="18">
        <v>1.18</v>
      </c>
      <c r="S15" s="7" t="s">
        <v>322</v>
      </c>
    </row>
    <row r="16" spans="2:20" ht="24" customHeight="1" x14ac:dyDescent="0.4">
      <c r="B16" s="8" t="s">
        <v>26</v>
      </c>
      <c r="C16" s="8">
        <v>1.04</v>
      </c>
      <c r="D16" s="15" t="s">
        <v>23</v>
      </c>
      <c r="F16" s="8" t="s">
        <v>2368</v>
      </c>
      <c r="G16" s="4" t="s">
        <v>1917</v>
      </c>
      <c r="H16" s="4">
        <v>1025</v>
      </c>
      <c r="I16" s="5" t="s">
        <v>1918</v>
      </c>
      <c r="J16" s="4">
        <v>1.04</v>
      </c>
      <c r="K16" s="4" t="s">
        <v>385</v>
      </c>
      <c r="L16" s="5">
        <v>21</v>
      </c>
      <c r="M16" s="68">
        <f>6000+3000</f>
        <v>9000</v>
      </c>
      <c r="N16" s="8">
        <f>+M16*L16</f>
        <v>189000</v>
      </c>
      <c r="O16" s="5">
        <f>+N16/1.1</f>
        <v>171818.18181818179</v>
      </c>
      <c r="P16" s="5">
        <f>+N16-O16</f>
        <v>17181.818181818206</v>
      </c>
      <c r="Q16" s="5">
        <f>+N16</f>
        <v>189000</v>
      </c>
      <c r="R16" s="18">
        <v>1.18</v>
      </c>
      <c r="S16" s="7" t="s">
        <v>322</v>
      </c>
    </row>
    <row r="17" spans="2:19" ht="24" customHeight="1" x14ac:dyDescent="0.4">
      <c r="B17" s="8" t="s">
        <v>26</v>
      </c>
      <c r="C17" s="8">
        <v>1.04</v>
      </c>
      <c r="D17" s="15" t="s">
        <v>23</v>
      </c>
      <c r="F17" s="8" t="s">
        <v>2368</v>
      </c>
      <c r="G17" s="4" t="s">
        <v>1917</v>
      </c>
      <c r="H17" s="4">
        <v>1025</v>
      </c>
      <c r="I17" s="5" t="s">
        <v>1918</v>
      </c>
      <c r="J17" s="4">
        <v>1.04</v>
      </c>
      <c r="K17" s="32" t="s">
        <v>386</v>
      </c>
      <c r="L17" s="5">
        <v>11</v>
      </c>
      <c r="M17" s="68">
        <v>10000</v>
      </c>
      <c r="N17" s="8">
        <f>+M17*L17</f>
        <v>110000</v>
      </c>
      <c r="O17" s="5">
        <f>+N17/1.1</f>
        <v>99999.999999999985</v>
      </c>
      <c r="P17" s="5">
        <f>+N17-O17</f>
        <v>10000.000000000015</v>
      </c>
      <c r="Q17" s="5">
        <f>+N17</f>
        <v>110000</v>
      </c>
      <c r="R17" s="18">
        <v>1.18</v>
      </c>
      <c r="S17" s="7" t="s">
        <v>322</v>
      </c>
    </row>
    <row r="18" spans="2:19" ht="24" customHeight="1" x14ac:dyDescent="0.4">
      <c r="B18" s="8" t="s">
        <v>26</v>
      </c>
      <c r="C18" s="8">
        <v>1.17</v>
      </c>
      <c r="D18" s="15" t="s">
        <v>23</v>
      </c>
      <c r="F18" s="5" t="s">
        <v>1559</v>
      </c>
      <c r="G18" s="7" t="s">
        <v>1568</v>
      </c>
      <c r="H18" s="4">
        <v>571</v>
      </c>
      <c r="I18" s="4" t="s">
        <v>360</v>
      </c>
      <c r="J18" s="4">
        <v>1.1399999999999999</v>
      </c>
      <c r="K18" s="4" t="s">
        <v>429</v>
      </c>
      <c r="L18" s="5">
        <v>6</v>
      </c>
      <c r="M18" s="68">
        <f>10000+3000</f>
        <v>13000</v>
      </c>
      <c r="N18" s="8">
        <f>+M18*L18</f>
        <v>78000</v>
      </c>
      <c r="O18" s="5">
        <f>+N18/1.1</f>
        <v>70909.090909090897</v>
      </c>
      <c r="P18" s="5">
        <f>+N18-O18</f>
        <v>7090.9090909091028</v>
      </c>
      <c r="Q18" s="5">
        <f>+N18</f>
        <v>78000</v>
      </c>
      <c r="R18" s="18">
        <v>1.2</v>
      </c>
      <c r="S18" s="5" t="s">
        <v>81</v>
      </c>
    </row>
    <row r="19" spans="2:19" ht="24" customHeight="1" x14ac:dyDescent="0.4">
      <c r="B19" s="8" t="s">
        <v>26</v>
      </c>
      <c r="C19" s="8">
        <v>1.19</v>
      </c>
      <c r="D19" s="15" t="s">
        <v>23</v>
      </c>
      <c r="F19" s="4" t="s">
        <v>1845</v>
      </c>
      <c r="G19" s="5" t="s">
        <v>2479</v>
      </c>
      <c r="H19" s="4">
        <v>1154</v>
      </c>
      <c r="I19" s="4" t="s">
        <v>1890</v>
      </c>
      <c r="J19" s="4">
        <v>1.18</v>
      </c>
      <c r="K19" s="4" t="s">
        <v>538</v>
      </c>
      <c r="L19" s="5">
        <v>65</v>
      </c>
      <c r="M19" s="68">
        <v>6000</v>
      </c>
      <c r="N19" s="8">
        <f>+M19*L19</f>
        <v>390000</v>
      </c>
      <c r="O19" s="5">
        <f>+N19/1.1</f>
        <v>354545.45454545453</v>
      </c>
      <c r="P19" s="5">
        <f>+N19-O19</f>
        <v>35454.54545454547</v>
      </c>
      <c r="Q19" s="5">
        <f>+N19</f>
        <v>390000</v>
      </c>
      <c r="R19" s="18">
        <v>1.21</v>
      </c>
      <c r="S19" s="7" t="s">
        <v>442</v>
      </c>
    </row>
    <row r="20" spans="2:19" ht="24" customHeight="1" x14ac:dyDescent="0.4">
      <c r="B20" s="8" t="s">
        <v>381</v>
      </c>
      <c r="C20" s="8">
        <v>1.1100000000000001</v>
      </c>
      <c r="D20" s="15" t="s">
        <v>23</v>
      </c>
      <c r="F20" s="8" t="s">
        <v>2368</v>
      </c>
      <c r="G20" s="15" t="s">
        <v>891</v>
      </c>
      <c r="H20" s="4">
        <v>606</v>
      </c>
      <c r="I20" s="4" t="s">
        <v>381</v>
      </c>
      <c r="J20" s="4">
        <v>1.1000000000000001</v>
      </c>
      <c r="K20" s="4" t="s">
        <v>98</v>
      </c>
      <c r="L20" s="5">
        <v>35</v>
      </c>
      <c r="M20" s="68">
        <v>10000</v>
      </c>
      <c r="N20" s="8">
        <f>+M20*L20</f>
        <v>350000</v>
      </c>
      <c r="O20" s="5">
        <f>+N20/1.1</f>
        <v>318181.81818181818</v>
      </c>
      <c r="P20" s="5">
        <f>+N20-O20</f>
        <v>31818.181818181823</v>
      </c>
      <c r="Q20" s="5">
        <f>+N20</f>
        <v>350000</v>
      </c>
      <c r="R20" s="18">
        <v>1.24</v>
      </c>
      <c r="S20" s="7" t="s">
        <v>394</v>
      </c>
    </row>
    <row r="21" spans="2:19" ht="24" customHeight="1" x14ac:dyDescent="0.4">
      <c r="B21" s="8" t="s">
        <v>26</v>
      </c>
      <c r="C21" s="8">
        <v>1.1200000000000001</v>
      </c>
      <c r="D21" s="15" t="s">
        <v>23</v>
      </c>
      <c r="E21" s="4" t="s">
        <v>2480</v>
      </c>
      <c r="F21" s="4" t="s">
        <v>1559</v>
      </c>
      <c r="G21" s="4" t="s">
        <v>2481</v>
      </c>
      <c r="H21" s="4">
        <v>719</v>
      </c>
      <c r="I21" s="4" t="s">
        <v>1493</v>
      </c>
      <c r="J21" s="4">
        <v>1.06</v>
      </c>
      <c r="K21" s="4" t="s">
        <v>198</v>
      </c>
      <c r="L21" s="5">
        <v>6</v>
      </c>
      <c r="M21" s="68">
        <v>9000</v>
      </c>
      <c r="N21" s="8">
        <f>+M21*L21</f>
        <v>54000</v>
      </c>
      <c r="O21" s="5">
        <f>+N21/1.1</f>
        <v>49090.909090909088</v>
      </c>
      <c r="P21" s="5">
        <f>+N21-O21</f>
        <v>4909.0909090909117</v>
      </c>
      <c r="Q21" s="5">
        <f>+N21</f>
        <v>54000</v>
      </c>
      <c r="R21" s="18">
        <v>1.25</v>
      </c>
      <c r="S21" s="4" t="s">
        <v>390</v>
      </c>
    </row>
    <row r="22" spans="2:19" ht="24" customHeight="1" x14ac:dyDescent="0.4">
      <c r="B22" s="8" t="s">
        <v>26</v>
      </c>
      <c r="C22" s="8">
        <v>1.18</v>
      </c>
      <c r="D22" s="15" t="s">
        <v>23</v>
      </c>
      <c r="F22" s="5" t="s">
        <v>2368</v>
      </c>
      <c r="G22" s="5" t="s">
        <v>1965</v>
      </c>
      <c r="H22" s="4">
        <v>1220</v>
      </c>
      <c r="I22" s="4" t="s">
        <v>1923</v>
      </c>
      <c r="J22" s="4">
        <v>1.17</v>
      </c>
      <c r="K22" s="4" t="s">
        <v>367</v>
      </c>
      <c r="L22" s="5">
        <v>15</v>
      </c>
      <c r="M22" s="68">
        <f>5000+3000</f>
        <v>8000</v>
      </c>
      <c r="N22" s="8">
        <f>+M22*L22</f>
        <v>120000</v>
      </c>
      <c r="O22" s="5">
        <f>+N22/1.1</f>
        <v>109090.90909090909</v>
      </c>
      <c r="P22" s="5">
        <f>+N22-O22</f>
        <v>10909.090909090912</v>
      </c>
      <c r="Q22" s="5">
        <f>+N22</f>
        <v>120000</v>
      </c>
      <c r="R22" s="18">
        <v>1.25</v>
      </c>
      <c r="S22" s="4" t="s">
        <v>65</v>
      </c>
    </row>
    <row r="23" spans="2:19" ht="24" customHeight="1" x14ac:dyDescent="0.4">
      <c r="B23" s="8" t="s">
        <v>26</v>
      </c>
      <c r="C23" s="8">
        <v>1.21</v>
      </c>
      <c r="D23" s="15" t="s">
        <v>23</v>
      </c>
      <c r="F23" s="4" t="s">
        <v>1559</v>
      </c>
      <c r="G23" s="4" t="s">
        <v>789</v>
      </c>
      <c r="H23" s="4">
        <v>1331</v>
      </c>
      <c r="I23" s="4" t="s">
        <v>790</v>
      </c>
      <c r="J23" s="4">
        <v>1.1399999999999999</v>
      </c>
      <c r="K23" s="4" t="s">
        <v>432</v>
      </c>
      <c r="L23" s="5">
        <v>18</v>
      </c>
      <c r="M23" s="68">
        <f>6000+3000</f>
        <v>9000</v>
      </c>
      <c r="N23" s="8">
        <f>+M23*L23</f>
        <v>162000</v>
      </c>
      <c r="O23" s="5">
        <f>+N23/1.1</f>
        <v>147272.72727272726</v>
      </c>
      <c r="P23" s="5">
        <f>+N23-O23</f>
        <v>14727.272727272735</v>
      </c>
      <c r="Q23" s="5">
        <f>+N23</f>
        <v>162000</v>
      </c>
      <c r="R23" s="18">
        <v>1.25</v>
      </c>
      <c r="S23" s="4" t="s">
        <v>334</v>
      </c>
    </row>
    <row r="24" spans="2:19" ht="24" customHeight="1" x14ac:dyDescent="0.4">
      <c r="B24" s="8" t="s">
        <v>26</v>
      </c>
      <c r="C24" s="8">
        <v>1.21</v>
      </c>
      <c r="D24" s="15" t="s">
        <v>23</v>
      </c>
      <c r="F24" s="4" t="s">
        <v>1559</v>
      </c>
      <c r="G24" s="4" t="s">
        <v>2482</v>
      </c>
      <c r="H24" s="4">
        <v>719</v>
      </c>
      <c r="I24" s="4" t="s">
        <v>438</v>
      </c>
      <c r="J24" s="4">
        <v>1.19</v>
      </c>
      <c r="K24" s="4" t="s">
        <v>113</v>
      </c>
      <c r="L24" s="5">
        <v>95</v>
      </c>
      <c r="M24" s="69">
        <f>12000-2000</f>
        <v>10000</v>
      </c>
      <c r="N24" s="8">
        <f>+M24*L24</f>
        <v>950000</v>
      </c>
      <c r="O24" s="5">
        <f>+N24/1.1</f>
        <v>863636.36363636353</v>
      </c>
      <c r="P24" s="5">
        <f>+N24-O24</f>
        <v>86363.636363636469</v>
      </c>
      <c r="Q24" s="5">
        <f>+N24</f>
        <v>950000</v>
      </c>
      <c r="R24" s="18">
        <v>1.25</v>
      </c>
      <c r="S24" s="4" t="s">
        <v>448</v>
      </c>
    </row>
    <row r="25" spans="2:19" ht="24" customHeight="1" x14ac:dyDescent="0.4">
      <c r="B25" s="8" t="s">
        <v>26</v>
      </c>
      <c r="C25" s="8">
        <v>1.21</v>
      </c>
      <c r="D25" s="15" t="s">
        <v>23</v>
      </c>
      <c r="F25" s="5" t="s">
        <v>1559</v>
      </c>
      <c r="G25" s="7" t="s">
        <v>1568</v>
      </c>
      <c r="H25" s="4">
        <v>571</v>
      </c>
      <c r="I25" s="7" t="s">
        <v>360</v>
      </c>
      <c r="J25" s="4">
        <v>1.2</v>
      </c>
      <c r="K25" s="4" t="s">
        <v>459</v>
      </c>
      <c r="L25" s="5">
        <v>5</v>
      </c>
      <c r="M25" s="68">
        <f>10000+12000+3000</f>
        <v>25000</v>
      </c>
      <c r="N25" s="8">
        <f>+M25*L25</f>
        <v>125000</v>
      </c>
      <c r="O25" s="5">
        <f>+N25/1.1</f>
        <v>113636.36363636363</v>
      </c>
      <c r="P25" s="5">
        <f>+N25-O25</f>
        <v>11363.636363636368</v>
      </c>
      <c r="Q25" s="5">
        <f>+N25</f>
        <v>125000</v>
      </c>
      <c r="R25" s="18">
        <v>1.26</v>
      </c>
      <c r="S25" s="5" t="s">
        <v>81</v>
      </c>
    </row>
    <row r="26" spans="2:19" ht="24" customHeight="1" x14ac:dyDescent="0.4">
      <c r="B26" s="8" t="s">
        <v>26</v>
      </c>
      <c r="C26" s="8">
        <v>1.21</v>
      </c>
      <c r="D26" s="15" t="s">
        <v>23</v>
      </c>
      <c r="F26" s="5" t="s">
        <v>1559</v>
      </c>
      <c r="G26" s="7" t="s">
        <v>1568</v>
      </c>
      <c r="H26" s="4">
        <v>571</v>
      </c>
      <c r="I26" s="4" t="s">
        <v>360</v>
      </c>
      <c r="J26" s="4">
        <v>1.2</v>
      </c>
      <c r="K26" s="3" t="s">
        <v>2483</v>
      </c>
      <c r="L26" s="5">
        <v>5</v>
      </c>
      <c r="M26" s="71">
        <f>12000+3000</f>
        <v>15000</v>
      </c>
      <c r="N26" s="8">
        <f>+M26*L26</f>
        <v>75000</v>
      </c>
      <c r="O26" s="5">
        <f>+N26/1.1</f>
        <v>68181.818181818177</v>
      </c>
      <c r="P26" s="5">
        <f>+N26-O26</f>
        <v>6818.1818181818235</v>
      </c>
      <c r="Q26" s="5">
        <f>+N26</f>
        <v>75000</v>
      </c>
      <c r="R26" s="18">
        <v>1.26</v>
      </c>
      <c r="S26" s="5" t="s">
        <v>81</v>
      </c>
    </row>
    <row r="27" spans="2:19" ht="24" customHeight="1" x14ac:dyDescent="0.4">
      <c r="B27" s="8" t="s">
        <v>26</v>
      </c>
      <c r="C27" s="8">
        <v>1.24</v>
      </c>
      <c r="D27" s="15" t="s">
        <v>23</v>
      </c>
      <c r="E27" s="4" t="s">
        <v>2477</v>
      </c>
      <c r="F27" s="4" t="s">
        <v>1559</v>
      </c>
      <c r="G27" s="4" t="s">
        <v>2478</v>
      </c>
      <c r="H27" s="4">
        <v>719</v>
      </c>
      <c r="I27" s="4" t="s">
        <v>1493</v>
      </c>
      <c r="J27" s="4">
        <v>1.06</v>
      </c>
      <c r="K27" s="8" t="s">
        <v>198</v>
      </c>
      <c r="L27" s="5">
        <v>2</v>
      </c>
      <c r="M27" s="68">
        <v>9000</v>
      </c>
      <c r="N27" s="8">
        <f>+M27*L27</f>
        <v>18000</v>
      </c>
      <c r="O27" s="5">
        <f>+N27/1.1</f>
        <v>16363.636363636362</v>
      </c>
      <c r="P27" s="5">
        <f>+N27-O27</f>
        <v>1636.3636363636379</v>
      </c>
      <c r="Q27" s="5">
        <f>+N27</f>
        <v>18000</v>
      </c>
      <c r="R27" s="18">
        <v>1.26</v>
      </c>
      <c r="S27" s="4" t="s">
        <v>390</v>
      </c>
    </row>
    <row r="28" spans="2:19" ht="24" customHeight="1" x14ac:dyDescent="0.4">
      <c r="B28" s="8" t="s">
        <v>26</v>
      </c>
      <c r="C28" s="8">
        <v>1.24</v>
      </c>
      <c r="D28" s="15" t="s">
        <v>23</v>
      </c>
      <c r="E28" s="4" t="s">
        <v>2480</v>
      </c>
      <c r="F28" s="4" t="s">
        <v>1559</v>
      </c>
      <c r="G28" s="4" t="s">
        <v>2481</v>
      </c>
      <c r="H28" s="4">
        <v>719</v>
      </c>
      <c r="I28" s="4" t="s">
        <v>1493</v>
      </c>
      <c r="J28" s="4">
        <v>1.06</v>
      </c>
      <c r="K28" s="4" t="s">
        <v>198</v>
      </c>
      <c r="L28" s="5">
        <v>5</v>
      </c>
      <c r="M28" s="68">
        <v>9000</v>
      </c>
      <c r="N28" s="8">
        <f>+M28*L28</f>
        <v>45000</v>
      </c>
      <c r="O28" s="5">
        <f>+N28/1.1</f>
        <v>40909.090909090904</v>
      </c>
      <c r="P28" s="5">
        <f>+N28-O28</f>
        <v>4090.9090909090955</v>
      </c>
      <c r="Q28" s="5">
        <f>+N28</f>
        <v>45000</v>
      </c>
      <c r="R28" s="18">
        <v>1.26</v>
      </c>
      <c r="S28" s="4" t="s">
        <v>390</v>
      </c>
    </row>
    <row r="29" spans="2:19" ht="24" customHeight="1" x14ac:dyDescent="0.4">
      <c r="B29" s="8" t="s">
        <v>26</v>
      </c>
      <c r="C29" s="8">
        <v>1.25</v>
      </c>
      <c r="D29" s="15" t="s">
        <v>23</v>
      </c>
      <c r="F29" s="7" t="s">
        <v>1546</v>
      </c>
      <c r="G29" s="4" t="s">
        <v>2484</v>
      </c>
      <c r="H29" s="4">
        <v>629</v>
      </c>
      <c r="I29" s="4" t="s">
        <v>2485</v>
      </c>
      <c r="J29" s="4">
        <v>1.1100000000000001</v>
      </c>
      <c r="K29" s="4" t="s">
        <v>113</v>
      </c>
      <c r="L29" s="5">
        <v>30</v>
      </c>
      <c r="M29" s="68">
        <v>6000</v>
      </c>
      <c r="N29" s="8">
        <f>+M29*L29</f>
        <v>180000</v>
      </c>
      <c r="O29" s="5">
        <f>+N29/1.1</f>
        <v>163636.36363636362</v>
      </c>
      <c r="P29" s="5">
        <f>+N29-O29</f>
        <v>16363.636363636382</v>
      </c>
      <c r="Q29" s="5">
        <f>+N29</f>
        <v>180000</v>
      </c>
      <c r="R29" s="18">
        <v>1.26</v>
      </c>
      <c r="S29" s="4" t="s">
        <v>400</v>
      </c>
    </row>
    <row r="30" spans="2:19" ht="24" customHeight="1" x14ac:dyDescent="0.4">
      <c r="B30" s="7" t="s">
        <v>26</v>
      </c>
      <c r="C30" s="8">
        <v>1.25</v>
      </c>
      <c r="D30" s="15" t="s">
        <v>23</v>
      </c>
      <c r="F30" s="7" t="s">
        <v>1546</v>
      </c>
      <c r="G30" s="4" t="s">
        <v>2484</v>
      </c>
      <c r="H30" s="4">
        <v>629</v>
      </c>
      <c r="I30" s="4" t="s">
        <v>2485</v>
      </c>
      <c r="J30" s="4">
        <v>1.21</v>
      </c>
      <c r="K30" s="3" t="s">
        <v>308</v>
      </c>
      <c r="L30" s="5">
        <v>40</v>
      </c>
      <c r="M30" s="71">
        <v>5000</v>
      </c>
      <c r="N30" s="8">
        <f>+M30*L30</f>
        <v>200000</v>
      </c>
      <c r="O30" s="5">
        <f>+N30/1.1</f>
        <v>181818.18181818179</v>
      </c>
      <c r="P30" s="5">
        <f>+N30-O30</f>
        <v>18181.818181818206</v>
      </c>
      <c r="Q30" s="5">
        <f>+N30</f>
        <v>200000</v>
      </c>
      <c r="R30" s="18">
        <v>1.26</v>
      </c>
      <c r="S30" s="4" t="s">
        <v>400</v>
      </c>
    </row>
    <row r="31" spans="2:19" ht="24" customHeight="1" x14ac:dyDescent="0.4">
      <c r="B31" s="7" t="s">
        <v>26</v>
      </c>
      <c r="C31" s="7">
        <v>1.25</v>
      </c>
      <c r="D31" s="15" t="s">
        <v>23</v>
      </c>
      <c r="F31" s="7" t="s">
        <v>1546</v>
      </c>
      <c r="G31" s="4" t="s">
        <v>2486</v>
      </c>
      <c r="H31" s="4">
        <v>2899</v>
      </c>
      <c r="I31" s="4" t="s">
        <v>1581</v>
      </c>
      <c r="J31" s="4">
        <v>1.24</v>
      </c>
      <c r="K31" s="4" t="s">
        <v>2487</v>
      </c>
      <c r="L31" s="5">
        <v>11</v>
      </c>
      <c r="M31" s="69">
        <f>38000-6000</f>
        <v>32000</v>
      </c>
      <c r="N31" s="8">
        <f>+M31*L31</f>
        <v>352000</v>
      </c>
      <c r="O31" s="5">
        <f>+N31/1.1</f>
        <v>320000</v>
      </c>
      <c r="P31" s="5">
        <f>+N31-O31</f>
        <v>32000</v>
      </c>
      <c r="Q31" s="5">
        <f>+N31</f>
        <v>352000</v>
      </c>
      <c r="R31" s="18">
        <v>1.26</v>
      </c>
      <c r="S31" s="4" t="s">
        <v>2488</v>
      </c>
    </row>
    <row r="32" spans="2:19" ht="24" customHeight="1" x14ac:dyDescent="0.4">
      <c r="B32" s="7" t="s">
        <v>26</v>
      </c>
      <c r="C32" s="7">
        <v>1.25</v>
      </c>
      <c r="D32" s="15" t="s">
        <v>23</v>
      </c>
      <c r="F32" s="7" t="s">
        <v>1546</v>
      </c>
      <c r="G32" s="4" t="s">
        <v>2486</v>
      </c>
      <c r="H32" s="4">
        <v>629</v>
      </c>
      <c r="I32" s="4" t="s">
        <v>2485</v>
      </c>
      <c r="J32" s="4">
        <v>1.24</v>
      </c>
      <c r="K32" s="4" t="s">
        <v>2487</v>
      </c>
      <c r="L32" s="5">
        <v>5</v>
      </c>
      <c r="M32" s="69">
        <f>38000-6000</f>
        <v>32000</v>
      </c>
      <c r="N32" s="8">
        <f>+M32*L32</f>
        <v>160000</v>
      </c>
      <c r="O32" s="5">
        <f>+N32/1.1</f>
        <v>145454.54545454544</v>
      </c>
      <c r="P32" s="5">
        <f>+N32-O32</f>
        <v>14545.454545454559</v>
      </c>
      <c r="Q32" s="5">
        <f>+N32</f>
        <v>160000</v>
      </c>
      <c r="R32" s="18">
        <v>1.26</v>
      </c>
      <c r="S32" s="4" t="s">
        <v>2488</v>
      </c>
    </row>
    <row r="33" spans="2:19" ht="24" customHeight="1" x14ac:dyDescent="0.4">
      <c r="B33" s="7" t="s">
        <v>26</v>
      </c>
      <c r="C33" s="7">
        <v>1.25</v>
      </c>
      <c r="D33" s="15" t="s">
        <v>23</v>
      </c>
      <c r="F33" s="7" t="s">
        <v>1546</v>
      </c>
      <c r="G33" s="4" t="s">
        <v>2486</v>
      </c>
      <c r="H33" s="4">
        <v>279</v>
      </c>
      <c r="I33" s="4" t="s">
        <v>1577</v>
      </c>
      <c r="J33" s="4">
        <v>1.24</v>
      </c>
      <c r="K33" s="4" t="s">
        <v>2487</v>
      </c>
      <c r="L33" s="5">
        <v>1</v>
      </c>
      <c r="M33" s="69">
        <f>38000-6000</f>
        <v>32000</v>
      </c>
      <c r="N33" s="8">
        <f>+M33*L33</f>
        <v>32000</v>
      </c>
      <c r="O33" s="5">
        <f>+N33/1.1</f>
        <v>29090.909090909088</v>
      </c>
      <c r="P33" s="5">
        <f>+N33-O33</f>
        <v>2909.0909090909117</v>
      </c>
      <c r="Q33" s="5">
        <f>+N33</f>
        <v>32000</v>
      </c>
      <c r="R33" s="18">
        <v>1.26</v>
      </c>
      <c r="S33" s="4" t="s">
        <v>2488</v>
      </c>
    </row>
    <row r="34" spans="2:19" ht="24" customHeight="1" x14ac:dyDescent="0.4">
      <c r="B34" s="8" t="s">
        <v>26</v>
      </c>
      <c r="C34" s="8">
        <v>1.24</v>
      </c>
      <c r="D34" s="15" t="s">
        <v>23</v>
      </c>
      <c r="E34" s="4" t="s">
        <v>2475</v>
      </c>
      <c r="F34" s="4" t="s">
        <v>1559</v>
      </c>
      <c r="G34" s="4" t="s">
        <v>2476</v>
      </c>
      <c r="H34" s="4">
        <v>719</v>
      </c>
      <c r="I34" s="4" t="s">
        <v>1493</v>
      </c>
      <c r="J34" s="4">
        <v>1.06</v>
      </c>
      <c r="K34" s="4" t="s">
        <v>198</v>
      </c>
      <c r="L34" s="5">
        <v>4</v>
      </c>
      <c r="M34" s="68">
        <v>9000</v>
      </c>
      <c r="N34" s="8">
        <f>+M34*L34</f>
        <v>36000</v>
      </c>
      <c r="O34" s="5">
        <f>+N34/1.1</f>
        <v>32727.272727272724</v>
      </c>
      <c r="P34" s="5">
        <f>+N34-O34</f>
        <v>3272.7272727272757</v>
      </c>
      <c r="Q34" s="5">
        <f>+N34</f>
        <v>36000</v>
      </c>
      <c r="R34" s="18">
        <v>1.27</v>
      </c>
      <c r="S34" s="4" t="s">
        <v>390</v>
      </c>
    </row>
    <row r="35" spans="2:19" ht="24" customHeight="1" x14ac:dyDescent="0.4">
      <c r="B35" s="8" t="s">
        <v>26</v>
      </c>
      <c r="C35" s="8">
        <v>1.25</v>
      </c>
      <c r="D35" s="15" t="s">
        <v>23</v>
      </c>
      <c r="F35" s="7" t="s">
        <v>1546</v>
      </c>
      <c r="G35" s="4" t="s">
        <v>2489</v>
      </c>
      <c r="H35" s="4">
        <v>279</v>
      </c>
      <c r="I35" s="4" t="s">
        <v>1577</v>
      </c>
      <c r="J35" s="4">
        <v>1.1100000000000001</v>
      </c>
      <c r="K35" s="4" t="s">
        <v>113</v>
      </c>
      <c r="L35" s="5">
        <v>27</v>
      </c>
      <c r="M35" s="68">
        <v>6000</v>
      </c>
      <c r="N35" s="8">
        <f>+M35*L35</f>
        <v>162000</v>
      </c>
      <c r="O35" s="5">
        <f>+N35/1.1</f>
        <v>147272.72727272726</v>
      </c>
      <c r="P35" s="5">
        <f>+N35-O35</f>
        <v>14727.272727272735</v>
      </c>
      <c r="Q35" s="5">
        <f>+N35</f>
        <v>162000</v>
      </c>
      <c r="R35" s="18">
        <v>1.27</v>
      </c>
      <c r="S35" s="4" t="s">
        <v>402</v>
      </c>
    </row>
    <row r="36" spans="2:19" ht="24" customHeight="1" x14ac:dyDescent="0.4">
      <c r="B36" s="8" t="s">
        <v>26</v>
      </c>
      <c r="C36" s="8">
        <v>1.25</v>
      </c>
      <c r="D36" s="15" t="s">
        <v>23</v>
      </c>
      <c r="F36" s="7" t="s">
        <v>1546</v>
      </c>
      <c r="G36" s="4" t="s">
        <v>2489</v>
      </c>
      <c r="H36" s="4">
        <v>279</v>
      </c>
      <c r="I36" s="4" t="s">
        <v>1577</v>
      </c>
      <c r="J36" s="4">
        <v>1.2</v>
      </c>
      <c r="K36" s="4" t="s">
        <v>367</v>
      </c>
      <c r="L36" s="5">
        <v>46</v>
      </c>
      <c r="M36" s="68">
        <v>5000</v>
      </c>
      <c r="N36" s="8">
        <f>+M36*L36</f>
        <v>230000</v>
      </c>
      <c r="O36" s="5">
        <f>+N36/1.1</f>
        <v>209090.90909090909</v>
      </c>
      <c r="P36" s="5">
        <f>+N36-O36</f>
        <v>20909.090909090912</v>
      </c>
      <c r="Q36" s="5">
        <f>+N36</f>
        <v>230000</v>
      </c>
      <c r="R36" s="18">
        <v>1.27</v>
      </c>
      <c r="S36" s="4" t="s">
        <v>402</v>
      </c>
    </row>
    <row r="37" spans="2:19" ht="24" customHeight="1" x14ac:dyDescent="0.4">
      <c r="B37" s="8" t="s">
        <v>26</v>
      </c>
      <c r="C37" s="8">
        <v>1.25</v>
      </c>
      <c r="D37" s="15" t="s">
        <v>23</v>
      </c>
      <c r="F37" s="8" t="s">
        <v>2368</v>
      </c>
      <c r="G37" s="4" t="s">
        <v>926</v>
      </c>
      <c r="H37" s="4">
        <v>786</v>
      </c>
      <c r="I37" s="4" t="s">
        <v>943</v>
      </c>
      <c r="J37" s="4">
        <v>1.19</v>
      </c>
      <c r="K37" s="4" t="s">
        <v>2490</v>
      </c>
      <c r="L37" s="5">
        <v>10</v>
      </c>
      <c r="M37" s="68">
        <v>6000</v>
      </c>
      <c r="N37" s="8">
        <f>+M37*L37</f>
        <v>60000</v>
      </c>
      <c r="O37" s="5">
        <f>+N37/1.1</f>
        <v>54545.454545454544</v>
      </c>
      <c r="P37" s="5">
        <f>+N37-O37</f>
        <v>5454.5454545454559</v>
      </c>
      <c r="Q37" s="5">
        <f>+N37</f>
        <v>60000</v>
      </c>
      <c r="R37" s="18">
        <v>1.27</v>
      </c>
      <c r="S37" s="4" t="s">
        <v>446</v>
      </c>
    </row>
    <row r="38" spans="2:19" ht="24" customHeight="1" x14ac:dyDescent="0.4">
      <c r="B38" s="8" t="s">
        <v>26</v>
      </c>
      <c r="C38" s="8">
        <v>1.25</v>
      </c>
      <c r="D38" s="15" t="s">
        <v>23</v>
      </c>
      <c r="F38" s="8" t="s">
        <v>2368</v>
      </c>
      <c r="G38" s="5" t="s">
        <v>919</v>
      </c>
      <c r="H38" s="4">
        <v>786</v>
      </c>
      <c r="I38" s="4" t="s">
        <v>744</v>
      </c>
      <c r="J38" s="4">
        <v>1.19</v>
      </c>
      <c r="K38" s="4" t="s">
        <v>2491</v>
      </c>
      <c r="L38" s="5">
        <v>10</v>
      </c>
      <c r="M38" s="68">
        <v>6000</v>
      </c>
      <c r="N38" s="8">
        <f>+M38*L38</f>
        <v>60000</v>
      </c>
      <c r="O38" s="5">
        <f>+N38/1.1</f>
        <v>54545.454545454544</v>
      </c>
      <c r="P38" s="5">
        <f>+N38-O38</f>
        <v>5454.5454545454559</v>
      </c>
      <c r="Q38" s="5">
        <f>+N38</f>
        <v>60000</v>
      </c>
      <c r="R38" s="18">
        <v>1.27</v>
      </c>
      <c r="S38" s="4" t="s">
        <v>446</v>
      </c>
    </row>
    <row r="39" spans="2:19" ht="24" customHeight="1" x14ac:dyDescent="0.4">
      <c r="B39" s="8" t="s">
        <v>26</v>
      </c>
      <c r="C39" s="8">
        <v>1.25</v>
      </c>
      <c r="D39" s="15" t="s">
        <v>23</v>
      </c>
      <c r="F39" s="7" t="s">
        <v>1546</v>
      </c>
      <c r="G39" s="4" t="s">
        <v>2489</v>
      </c>
      <c r="H39" s="4">
        <v>279</v>
      </c>
      <c r="I39" s="4" t="s">
        <v>1577</v>
      </c>
      <c r="J39" s="4">
        <v>1.17</v>
      </c>
      <c r="K39" s="4" t="s">
        <v>396</v>
      </c>
      <c r="L39" s="5">
        <v>16</v>
      </c>
      <c r="M39" s="69">
        <f>38000-6000</f>
        <v>32000</v>
      </c>
      <c r="N39" s="8">
        <f>+M39*L39</f>
        <v>512000</v>
      </c>
      <c r="O39" s="5">
        <f>+N39/1.1</f>
        <v>465454.54545454541</v>
      </c>
      <c r="P39" s="5">
        <f>+N39-O39</f>
        <v>46545.454545454588</v>
      </c>
      <c r="Q39" s="5">
        <f>+N39</f>
        <v>512000</v>
      </c>
      <c r="R39" s="18">
        <v>1.27</v>
      </c>
      <c r="S39" s="4" t="s">
        <v>402</v>
      </c>
    </row>
    <row r="40" spans="2:19" ht="24" customHeight="1" x14ac:dyDescent="0.4">
      <c r="B40" s="8" t="s">
        <v>26</v>
      </c>
      <c r="C40" s="8">
        <v>1.19</v>
      </c>
      <c r="D40" s="15" t="s">
        <v>23</v>
      </c>
      <c r="E40" s="116" t="s">
        <v>2492</v>
      </c>
      <c r="F40" s="7" t="s">
        <v>1546</v>
      </c>
      <c r="G40" s="4" t="s">
        <v>2493</v>
      </c>
      <c r="H40" s="4">
        <v>2899</v>
      </c>
      <c r="I40" s="4" t="s">
        <v>1581</v>
      </c>
      <c r="J40" s="4">
        <v>1.17</v>
      </c>
      <c r="K40" s="4" t="s">
        <v>396</v>
      </c>
      <c r="L40" s="5">
        <v>10</v>
      </c>
      <c r="M40" s="69">
        <f>38000-6000</f>
        <v>32000</v>
      </c>
      <c r="N40" s="8">
        <f>+M40*L40</f>
        <v>320000</v>
      </c>
      <c r="O40" s="5">
        <f>+N40/1.1</f>
        <v>290909.09090909088</v>
      </c>
      <c r="P40" s="5">
        <f>+N40-O40</f>
        <v>29090.909090909117</v>
      </c>
      <c r="Q40" s="5">
        <f>+N40</f>
        <v>320000</v>
      </c>
      <c r="R40" s="18">
        <v>1.28</v>
      </c>
      <c r="S40" s="7" t="s">
        <v>398</v>
      </c>
    </row>
    <row r="41" spans="2:19" ht="24" customHeight="1" x14ac:dyDescent="0.4">
      <c r="B41" s="8" t="s">
        <v>26</v>
      </c>
      <c r="C41" s="8">
        <v>1.25</v>
      </c>
      <c r="D41" s="15" t="s">
        <v>23</v>
      </c>
      <c r="F41" s="8" t="s">
        <v>2368</v>
      </c>
      <c r="G41" s="5" t="s">
        <v>2436</v>
      </c>
      <c r="H41" s="4">
        <v>729</v>
      </c>
      <c r="I41" s="5" t="s">
        <v>746</v>
      </c>
      <c r="J41" s="4">
        <v>12.16</v>
      </c>
      <c r="K41" s="7" t="s">
        <v>308</v>
      </c>
      <c r="L41" s="5">
        <v>82</v>
      </c>
      <c r="M41" s="68">
        <v>5000</v>
      </c>
      <c r="N41" s="8">
        <f>+M41*L41</f>
        <v>410000</v>
      </c>
      <c r="O41" s="5">
        <f>+N41/1.1</f>
        <v>372727.27272727271</v>
      </c>
      <c r="P41" s="5">
        <f>+N41-O41</f>
        <v>37272.727272727294</v>
      </c>
      <c r="Q41" s="5">
        <f>+N41</f>
        <v>410000</v>
      </c>
      <c r="R41" s="18">
        <v>1.28</v>
      </c>
      <c r="S41" s="7" t="s">
        <v>2494</v>
      </c>
    </row>
    <row r="42" spans="2:19" ht="24" customHeight="1" x14ac:dyDescent="0.4">
      <c r="B42" s="8" t="s">
        <v>26</v>
      </c>
      <c r="C42" s="8">
        <v>1.25</v>
      </c>
      <c r="D42" s="15" t="s">
        <v>23</v>
      </c>
      <c r="E42" s="116" t="s">
        <v>2492</v>
      </c>
      <c r="F42" s="7" t="s">
        <v>1546</v>
      </c>
      <c r="G42" s="4" t="s">
        <v>2493</v>
      </c>
      <c r="H42" s="4">
        <v>2899</v>
      </c>
      <c r="I42" s="4" t="s">
        <v>1581</v>
      </c>
      <c r="J42" s="4">
        <v>1.17</v>
      </c>
      <c r="K42" s="4" t="s">
        <v>396</v>
      </c>
      <c r="L42" s="5">
        <v>1</v>
      </c>
      <c r="M42" s="69">
        <f>38000-6000</f>
        <v>32000</v>
      </c>
      <c r="N42" s="8">
        <f>+M42*L42</f>
        <v>32000</v>
      </c>
      <c r="O42" s="5">
        <f>+N42/1.1</f>
        <v>29090.909090909088</v>
      </c>
      <c r="P42" s="5">
        <f>+N42-O42</f>
        <v>2909.0909090909117</v>
      </c>
      <c r="Q42" s="5">
        <f>+N42</f>
        <v>32000</v>
      </c>
      <c r="R42" s="18">
        <v>1.28</v>
      </c>
      <c r="S42" s="7" t="s">
        <v>398</v>
      </c>
    </row>
    <row r="43" spans="2:19" ht="24" customHeight="1" x14ac:dyDescent="0.4">
      <c r="B43" s="8" t="s">
        <v>26</v>
      </c>
      <c r="C43" s="8">
        <v>1.25</v>
      </c>
      <c r="D43" s="15" t="s">
        <v>23</v>
      </c>
      <c r="F43" s="7" t="s">
        <v>1546</v>
      </c>
      <c r="G43" s="4" t="s">
        <v>2489</v>
      </c>
      <c r="H43" s="4">
        <v>279</v>
      </c>
      <c r="I43" s="4" t="s">
        <v>1577</v>
      </c>
      <c r="J43" s="4">
        <v>1.17</v>
      </c>
      <c r="K43" s="4" t="s">
        <v>396</v>
      </c>
      <c r="L43" s="5">
        <v>10</v>
      </c>
      <c r="M43" s="69">
        <f>38000-6000</f>
        <v>32000</v>
      </c>
      <c r="N43" s="8">
        <f>+M43*L43</f>
        <v>320000</v>
      </c>
      <c r="O43" s="5">
        <f>+N43/1.1</f>
        <v>290909.09090909088</v>
      </c>
      <c r="P43" s="5">
        <f>+N43-O43</f>
        <v>29090.909090909117</v>
      </c>
      <c r="Q43" s="5">
        <f>+N43</f>
        <v>320000</v>
      </c>
      <c r="R43" s="18">
        <v>1.28</v>
      </c>
      <c r="S43" s="4" t="s">
        <v>402</v>
      </c>
    </row>
    <row r="44" spans="2:19" ht="24" customHeight="1" x14ac:dyDescent="0.4">
      <c r="B44" s="8" t="s">
        <v>26</v>
      </c>
      <c r="C44" s="8">
        <v>1.25</v>
      </c>
      <c r="D44" s="15" t="s">
        <v>23</v>
      </c>
      <c r="F44" s="8" t="s">
        <v>2368</v>
      </c>
      <c r="G44" s="5" t="s">
        <v>933</v>
      </c>
      <c r="H44" s="4">
        <v>786</v>
      </c>
      <c r="I44" s="4" t="s">
        <v>938</v>
      </c>
      <c r="J44" s="4">
        <v>1.19</v>
      </c>
      <c r="K44" s="4" t="s">
        <v>2495</v>
      </c>
      <c r="L44" s="5">
        <v>20</v>
      </c>
      <c r="M44" s="68">
        <v>6000</v>
      </c>
      <c r="N44" s="8">
        <f>+M44*L44</f>
        <v>120000</v>
      </c>
      <c r="O44" s="5">
        <f>+N44/1.1</f>
        <v>109090.90909090909</v>
      </c>
      <c r="P44" s="5">
        <f>+N44-O44</f>
        <v>10909.090909090912</v>
      </c>
      <c r="Q44" s="5">
        <f>+N44</f>
        <v>120000</v>
      </c>
      <c r="R44" s="18">
        <v>1.28</v>
      </c>
      <c r="S44" s="4" t="s">
        <v>446</v>
      </c>
    </row>
    <row r="45" spans="2:19" ht="24" customHeight="1" x14ac:dyDescent="0.4">
      <c r="B45" s="8" t="s">
        <v>26</v>
      </c>
      <c r="C45" s="8">
        <v>1.25</v>
      </c>
      <c r="D45" s="15" t="s">
        <v>23</v>
      </c>
      <c r="F45" s="5" t="s">
        <v>1559</v>
      </c>
      <c r="G45" s="8" t="s">
        <v>2467</v>
      </c>
      <c r="H45" s="4">
        <v>1325</v>
      </c>
      <c r="I45" s="5" t="s">
        <v>728</v>
      </c>
      <c r="J45" s="4">
        <v>12.23</v>
      </c>
      <c r="K45" s="46" t="s">
        <v>365</v>
      </c>
      <c r="L45" s="5">
        <v>24</v>
      </c>
      <c r="M45" s="68">
        <v>10000</v>
      </c>
      <c r="N45" s="118">
        <f>+M45*L45</f>
        <v>240000</v>
      </c>
      <c r="O45" s="5">
        <f>+N45/1.1</f>
        <v>218181.81818181818</v>
      </c>
      <c r="P45" s="5">
        <f>+N45-O45</f>
        <v>21818.181818181823</v>
      </c>
      <c r="Q45" s="5">
        <f>+N45</f>
        <v>240000</v>
      </c>
      <c r="R45" s="18">
        <v>2.0299999999999998</v>
      </c>
      <c r="S45" s="4" t="s">
        <v>83</v>
      </c>
    </row>
    <row r="46" spans="2:19" ht="24" customHeight="1" x14ac:dyDescent="0.4">
      <c r="B46" s="72" t="s">
        <v>2433</v>
      </c>
      <c r="D46" s="111" t="s">
        <v>23</v>
      </c>
      <c r="N46" s="119">
        <f>SUBTOTAL(9,N1:N45)</f>
        <v>7384000</v>
      </c>
      <c r="O46" s="119">
        <f>SUBTOTAL(9,O1:O45)</f>
        <v>6707272.7272727275</v>
      </c>
      <c r="P46" s="119">
        <f>SUBTOTAL(9,P1:P45)</f>
        <v>670727.2727272734</v>
      </c>
      <c r="Q46" s="119">
        <f>SUBTOTAL(9,Q1:Q45)</f>
        <v>7384000</v>
      </c>
    </row>
    <row r="47" spans="2:19" ht="24" customHeight="1" x14ac:dyDescent="0.4">
      <c r="B47" s="8" t="s">
        <v>26</v>
      </c>
      <c r="C47" s="8">
        <v>1.03</v>
      </c>
      <c r="D47" s="16" t="s">
        <v>28</v>
      </c>
      <c r="F47" s="5" t="s">
        <v>1559</v>
      </c>
      <c r="G47" s="8" t="s">
        <v>1656</v>
      </c>
      <c r="H47" s="4">
        <v>1324</v>
      </c>
      <c r="I47" s="5" t="s">
        <v>2440</v>
      </c>
      <c r="J47" s="4">
        <v>11.29</v>
      </c>
      <c r="K47" s="5" t="s">
        <v>307</v>
      </c>
      <c r="L47" s="5">
        <v>1</v>
      </c>
      <c r="M47" s="68">
        <f>20000+3000</f>
        <v>23000</v>
      </c>
      <c r="N47" s="8">
        <f>+M47*L47</f>
        <v>23000</v>
      </c>
      <c r="Q47" s="15">
        <f>+N47</f>
        <v>23000</v>
      </c>
      <c r="R47" s="18">
        <v>1.1399999999999999</v>
      </c>
      <c r="S47" s="4" t="s">
        <v>83</v>
      </c>
    </row>
    <row r="48" spans="2:19" ht="24" customHeight="1" x14ac:dyDescent="0.4">
      <c r="B48" s="8" t="s">
        <v>26</v>
      </c>
      <c r="C48" s="8">
        <v>1.03</v>
      </c>
      <c r="D48" s="16" t="s">
        <v>28</v>
      </c>
      <c r="F48" s="8" t="s">
        <v>2368</v>
      </c>
      <c r="G48" s="4" t="s">
        <v>1917</v>
      </c>
      <c r="H48" s="4">
        <v>1025</v>
      </c>
      <c r="I48" s="5" t="s">
        <v>1918</v>
      </c>
      <c r="J48" s="4">
        <v>12.29</v>
      </c>
      <c r="K48" s="3" t="s">
        <v>380</v>
      </c>
      <c r="L48" s="5">
        <v>3</v>
      </c>
      <c r="M48" s="68">
        <f>20000+3000</f>
        <v>23000</v>
      </c>
      <c r="N48" s="8">
        <f>+M48*L48</f>
        <v>69000</v>
      </c>
      <c r="Q48" s="5">
        <f>+N48</f>
        <v>69000</v>
      </c>
      <c r="R48" s="18">
        <v>1.18</v>
      </c>
      <c r="S48" s="7" t="s">
        <v>322</v>
      </c>
    </row>
    <row r="49" spans="2:20" ht="24" customHeight="1" x14ac:dyDescent="0.4">
      <c r="B49" s="7" t="s">
        <v>438</v>
      </c>
      <c r="C49" s="8">
        <v>1.19</v>
      </c>
      <c r="D49" s="16" t="s">
        <v>28</v>
      </c>
      <c r="F49" s="4" t="s">
        <v>1559</v>
      </c>
      <c r="G49" s="4" t="s">
        <v>2482</v>
      </c>
      <c r="H49" s="4">
        <v>719</v>
      </c>
      <c r="I49" s="4" t="s">
        <v>438</v>
      </c>
      <c r="J49" s="4">
        <v>1.17</v>
      </c>
      <c r="K49" s="4" t="s">
        <v>440</v>
      </c>
      <c r="L49" s="5">
        <v>76</v>
      </c>
      <c r="M49" s="69">
        <f>60000-10000</f>
        <v>50000</v>
      </c>
      <c r="N49" s="8">
        <f>+M49*L49</f>
        <v>3800000</v>
      </c>
      <c r="Q49" s="5">
        <f>+N49</f>
        <v>3800000</v>
      </c>
      <c r="R49" s="18">
        <v>1.21</v>
      </c>
      <c r="S49" s="4" t="s">
        <v>448</v>
      </c>
    </row>
    <row r="50" spans="2:20" ht="24" customHeight="1" x14ac:dyDescent="0.4">
      <c r="B50" s="8" t="s">
        <v>26</v>
      </c>
      <c r="C50" s="8">
        <v>1.03</v>
      </c>
      <c r="D50" s="16" t="s">
        <v>28</v>
      </c>
      <c r="F50" s="8" t="s">
        <v>2368</v>
      </c>
      <c r="G50" s="4" t="s">
        <v>904</v>
      </c>
      <c r="H50" s="4">
        <v>602</v>
      </c>
      <c r="I50" s="5" t="s">
        <v>735</v>
      </c>
      <c r="J50" s="4">
        <v>12.28</v>
      </c>
      <c r="K50" s="4" t="s">
        <v>376</v>
      </c>
      <c r="L50" s="5">
        <v>1</v>
      </c>
      <c r="M50" s="68">
        <f>20000+3000</f>
        <v>23000</v>
      </c>
      <c r="N50" s="8">
        <f>+M50*L50</f>
        <v>23000</v>
      </c>
      <c r="Q50" s="5">
        <f>+N50</f>
        <v>23000</v>
      </c>
      <c r="R50" s="18">
        <v>1.24</v>
      </c>
      <c r="S50" s="7" t="s">
        <v>377</v>
      </c>
      <c r="T50" s="7" t="s">
        <v>377</v>
      </c>
    </row>
    <row r="51" spans="2:20" ht="24" customHeight="1" x14ac:dyDescent="0.4">
      <c r="B51" s="8" t="s">
        <v>26</v>
      </c>
      <c r="C51" s="8">
        <v>1.21</v>
      </c>
      <c r="D51" s="16" t="s">
        <v>28</v>
      </c>
      <c r="F51" s="4" t="s">
        <v>1559</v>
      </c>
      <c r="G51" s="4" t="s">
        <v>789</v>
      </c>
      <c r="H51" s="4">
        <v>1331</v>
      </c>
      <c r="I51" s="4" t="s">
        <v>790</v>
      </c>
      <c r="J51" s="4">
        <v>1.07</v>
      </c>
      <c r="K51" s="4" t="s">
        <v>405</v>
      </c>
      <c r="L51" s="5">
        <v>16</v>
      </c>
      <c r="M51" s="68">
        <f>6000+3000</f>
        <v>9000</v>
      </c>
      <c r="N51" s="8">
        <f>+M51*L51</f>
        <v>144000</v>
      </c>
      <c r="Q51" s="5">
        <f>+N51</f>
        <v>144000</v>
      </c>
      <c r="R51" s="18">
        <v>1.25</v>
      </c>
      <c r="S51" s="4" t="s">
        <v>334</v>
      </c>
    </row>
    <row r="52" spans="2:20" ht="24" customHeight="1" x14ac:dyDescent="0.4">
      <c r="B52" s="8" t="s">
        <v>26</v>
      </c>
      <c r="C52" s="8">
        <v>1.1299999999999999</v>
      </c>
      <c r="D52" s="16" t="s">
        <v>28</v>
      </c>
      <c r="F52" s="5" t="s">
        <v>1559</v>
      </c>
      <c r="G52" s="8" t="s">
        <v>1656</v>
      </c>
      <c r="H52" s="4">
        <v>1324</v>
      </c>
      <c r="I52" s="5" t="s">
        <v>2440</v>
      </c>
      <c r="J52" s="4">
        <v>12.02</v>
      </c>
      <c r="K52" s="3" t="s">
        <v>309</v>
      </c>
      <c r="L52" s="5">
        <v>10</v>
      </c>
      <c r="M52" s="68">
        <v>22800</v>
      </c>
      <c r="N52" s="8">
        <f>+M52*L52</f>
        <v>228000</v>
      </c>
      <c r="Q52" s="5">
        <f>+N52</f>
        <v>228000</v>
      </c>
      <c r="R52" s="18">
        <v>1.27</v>
      </c>
      <c r="S52" s="40" t="s">
        <v>312</v>
      </c>
    </row>
    <row r="53" spans="2:20" ht="24" customHeight="1" x14ac:dyDescent="0.4">
      <c r="B53" s="8" t="s">
        <v>26</v>
      </c>
      <c r="C53" s="8">
        <v>1.25</v>
      </c>
      <c r="D53" s="16" t="s">
        <v>28</v>
      </c>
      <c r="F53" s="8" t="s">
        <v>2368</v>
      </c>
      <c r="G53" s="4" t="s">
        <v>926</v>
      </c>
      <c r="H53" s="4">
        <v>540</v>
      </c>
      <c r="I53" s="4" t="s">
        <v>943</v>
      </c>
      <c r="J53" s="4">
        <v>1.2</v>
      </c>
      <c r="K53" s="4" t="s">
        <v>2496</v>
      </c>
      <c r="L53" s="5">
        <v>1</v>
      </c>
      <c r="M53" s="68">
        <v>23000</v>
      </c>
      <c r="N53" s="8">
        <f>+M53*L53</f>
        <v>23000</v>
      </c>
      <c r="Q53" s="5">
        <f>+N53</f>
        <v>23000</v>
      </c>
      <c r="R53" s="18">
        <v>1.27</v>
      </c>
      <c r="S53" s="7" t="s">
        <v>416</v>
      </c>
    </row>
    <row r="54" spans="2:20" ht="24" customHeight="1" x14ac:dyDescent="0.4">
      <c r="B54" s="8" t="s">
        <v>26</v>
      </c>
      <c r="C54" s="8">
        <v>1.25</v>
      </c>
      <c r="D54" s="16" t="s">
        <v>28</v>
      </c>
      <c r="F54" s="8" t="s">
        <v>2368</v>
      </c>
      <c r="G54" s="4" t="s">
        <v>926</v>
      </c>
      <c r="H54" s="4">
        <v>540</v>
      </c>
      <c r="I54" s="4" t="s">
        <v>943</v>
      </c>
      <c r="J54" s="4">
        <v>1.24</v>
      </c>
      <c r="K54" s="4" t="s">
        <v>2497</v>
      </c>
      <c r="L54" s="5">
        <v>5</v>
      </c>
      <c r="M54" s="68">
        <f>12000+3000</f>
        <v>15000</v>
      </c>
      <c r="N54" s="8">
        <f>+M54*L54</f>
        <v>75000</v>
      </c>
      <c r="Q54" s="5">
        <f>+N54</f>
        <v>75000</v>
      </c>
      <c r="R54" s="18">
        <v>1.27</v>
      </c>
      <c r="S54" s="7" t="s">
        <v>416</v>
      </c>
    </row>
    <row r="55" spans="2:20" ht="24" customHeight="1" x14ac:dyDescent="0.4">
      <c r="B55" s="8" t="s">
        <v>26</v>
      </c>
      <c r="C55" s="8">
        <v>1.06</v>
      </c>
      <c r="D55" s="16" t="s">
        <v>28</v>
      </c>
      <c r="F55" s="5" t="s">
        <v>1559</v>
      </c>
      <c r="G55" s="5" t="s">
        <v>2498</v>
      </c>
      <c r="H55" s="4">
        <v>2865</v>
      </c>
      <c r="I55" s="5" t="s">
        <v>1328</v>
      </c>
      <c r="J55" s="4">
        <v>11.29</v>
      </c>
      <c r="K55" s="3" t="s">
        <v>303</v>
      </c>
      <c r="L55" s="5">
        <v>3</v>
      </c>
      <c r="M55" s="68">
        <f>30000+3000</f>
        <v>33000</v>
      </c>
      <c r="N55" s="8">
        <f>+M55*L55</f>
        <v>99000</v>
      </c>
      <c r="Q55" s="5">
        <f>+N55</f>
        <v>99000</v>
      </c>
      <c r="R55" s="18">
        <v>1.28</v>
      </c>
    </row>
    <row r="56" spans="2:20" ht="24" customHeight="1" x14ac:dyDescent="0.4">
      <c r="B56" s="8" t="s">
        <v>26</v>
      </c>
      <c r="C56" s="8">
        <v>1.25</v>
      </c>
      <c r="D56" s="16" t="s">
        <v>28</v>
      </c>
      <c r="F56" s="8" t="s">
        <v>1559</v>
      </c>
      <c r="G56" s="5" t="s">
        <v>2499</v>
      </c>
      <c r="H56" s="4">
        <v>782</v>
      </c>
      <c r="I56" s="5" t="s">
        <v>730</v>
      </c>
      <c r="J56" s="4">
        <v>1.04</v>
      </c>
      <c r="K56" s="49" t="s">
        <v>383</v>
      </c>
      <c r="L56" s="5">
        <v>77</v>
      </c>
      <c r="M56" s="68">
        <v>6000</v>
      </c>
      <c r="N56" s="8">
        <f>+M56*L56</f>
        <v>462000</v>
      </c>
      <c r="Q56" s="5">
        <f>+N56</f>
        <v>462000</v>
      </c>
      <c r="R56" s="18">
        <v>1.28</v>
      </c>
      <c r="S56" s="4" t="s">
        <v>199</v>
      </c>
    </row>
    <row r="57" spans="2:20" ht="24" customHeight="1" x14ac:dyDescent="0.4">
      <c r="B57" s="8" t="s">
        <v>26</v>
      </c>
      <c r="C57" s="8">
        <v>1.25</v>
      </c>
      <c r="D57" s="16" t="s">
        <v>28</v>
      </c>
      <c r="F57" s="5" t="s">
        <v>1559</v>
      </c>
      <c r="G57" s="8" t="s">
        <v>2467</v>
      </c>
      <c r="H57" s="5">
        <v>1325</v>
      </c>
      <c r="I57" s="5" t="s">
        <v>728</v>
      </c>
      <c r="J57" s="5">
        <v>10.26</v>
      </c>
      <c r="K57" s="5" t="s">
        <v>2500</v>
      </c>
      <c r="L57" s="5">
        <v>4</v>
      </c>
      <c r="M57" s="68">
        <f>23000+3000</f>
        <v>26000</v>
      </c>
      <c r="N57" s="8">
        <f>+M57*L57</f>
        <v>104000</v>
      </c>
      <c r="Q57" s="15">
        <f>+N57</f>
        <v>104000</v>
      </c>
      <c r="R57" s="18">
        <v>1.28</v>
      </c>
      <c r="S57" s="5" t="s">
        <v>2501</v>
      </c>
      <c r="T57" s="4" t="s">
        <v>83</v>
      </c>
    </row>
    <row r="58" spans="2:20" ht="24" customHeight="1" x14ac:dyDescent="0.4">
      <c r="B58" s="8" t="s">
        <v>26</v>
      </c>
      <c r="C58" s="8">
        <v>1.25</v>
      </c>
      <c r="D58" s="16" t="s">
        <v>28</v>
      </c>
      <c r="F58" s="5" t="s">
        <v>1559</v>
      </c>
      <c r="G58" s="8" t="s">
        <v>2467</v>
      </c>
      <c r="H58" s="4">
        <v>1325</v>
      </c>
      <c r="I58" s="5" t="s">
        <v>728</v>
      </c>
      <c r="J58" s="4">
        <v>12.14</v>
      </c>
      <c r="K58" s="5" t="s">
        <v>347</v>
      </c>
      <c r="L58" s="5">
        <v>1</v>
      </c>
      <c r="M58" s="68">
        <f>40000+3000</f>
        <v>43000</v>
      </c>
      <c r="N58" s="8">
        <f>+M58*L58</f>
        <v>43000</v>
      </c>
      <c r="Q58" s="15">
        <f>+N58</f>
        <v>43000</v>
      </c>
      <c r="R58" s="18">
        <v>1.28</v>
      </c>
      <c r="S58" s="4" t="s">
        <v>83</v>
      </c>
    </row>
    <row r="59" spans="2:20" ht="24" customHeight="1" x14ac:dyDescent="0.4">
      <c r="B59" s="8" t="s">
        <v>26</v>
      </c>
      <c r="C59" s="8">
        <v>1.25</v>
      </c>
      <c r="D59" s="16" t="s">
        <v>28</v>
      </c>
      <c r="F59" s="5" t="s">
        <v>1559</v>
      </c>
      <c r="G59" s="8" t="s">
        <v>2467</v>
      </c>
      <c r="H59" s="4">
        <v>1325</v>
      </c>
      <c r="I59" s="5" t="s">
        <v>728</v>
      </c>
      <c r="J59" s="4">
        <v>12.14</v>
      </c>
      <c r="K59" s="5" t="s">
        <v>348</v>
      </c>
      <c r="L59" s="5">
        <v>3</v>
      </c>
      <c r="M59" s="68">
        <f>25000+3000</f>
        <v>28000</v>
      </c>
      <c r="N59" s="118">
        <f>+M59*L59</f>
        <v>84000</v>
      </c>
      <c r="Q59" s="15">
        <f>+N59</f>
        <v>84000</v>
      </c>
      <c r="R59" s="18">
        <v>1.28</v>
      </c>
      <c r="S59" s="4" t="s">
        <v>83</v>
      </c>
    </row>
    <row r="60" spans="2:20" ht="24" customHeight="1" x14ac:dyDescent="0.4">
      <c r="B60" s="8" t="s">
        <v>26</v>
      </c>
      <c r="C60" s="8">
        <v>1.25</v>
      </c>
      <c r="D60" s="16" t="s">
        <v>28</v>
      </c>
      <c r="F60" s="5" t="s">
        <v>1559</v>
      </c>
      <c r="G60" s="8" t="s">
        <v>2467</v>
      </c>
      <c r="H60" s="4">
        <v>1325</v>
      </c>
      <c r="I60" s="5" t="s">
        <v>728</v>
      </c>
      <c r="J60" s="4">
        <v>12.17</v>
      </c>
      <c r="K60" s="8" t="s">
        <v>354</v>
      </c>
      <c r="L60" s="5">
        <v>1</v>
      </c>
      <c r="M60" s="68">
        <v>43000</v>
      </c>
      <c r="N60" s="118">
        <f>+M60*L60</f>
        <v>43000</v>
      </c>
      <c r="Q60" s="15">
        <f>+N60</f>
        <v>43000</v>
      </c>
      <c r="R60" s="18">
        <v>1.28</v>
      </c>
      <c r="S60" s="4" t="s">
        <v>83</v>
      </c>
    </row>
    <row r="61" spans="2:20" ht="24" customHeight="1" x14ac:dyDescent="0.4">
      <c r="B61" s="8" t="s">
        <v>26</v>
      </c>
      <c r="C61" s="8">
        <v>1.25</v>
      </c>
      <c r="D61" s="16" t="s">
        <v>28</v>
      </c>
      <c r="F61" s="5" t="s">
        <v>1559</v>
      </c>
      <c r="G61" s="8" t="s">
        <v>2467</v>
      </c>
      <c r="H61" s="4">
        <v>1325</v>
      </c>
      <c r="I61" s="5" t="s">
        <v>728</v>
      </c>
      <c r="J61" s="4">
        <v>1.05</v>
      </c>
      <c r="K61" s="8" t="s">
        <v>388</v>
      </c>
      <c r="L61" s="5">
        <v>1</v>
      </c>
      <c r="M61" s="71">
        <v>38000</v>
      </c>
      <c r="N61" s="8">
        <f>+M61*L61</f>
        <v>38000</v>
      </c>
      <c r="Q61" s="15">
        <f>+N61</f>
        <v>38000</v>
      </c>
      <c r="R61" s="18">
        <v>1.28</v>
      </c>
      <c r="S61" s="4" t="s">
        <v>83</v>
      </c>
    </row>
    <row r="62" spans="2:20" ht="24" customHeight="1" x14ac:dyDescent="0.4">
      <c r="B62" s="8" t="s">
        <v>26</v>
      </c>
      <c r="C62" s="8">
        <v>1.25</v>
      </c>
      <c r="D62" s="16" t="s">
        <v>28</v>
      </c>
      <c r="F62" s="8" t="s">
        <v>2368</v>
      </c>
      <c r="G62" s="4" t="s">
        <v>904</v>
      </c>
      <c r="H62" s="4">
        <v>602</v>
      </c>
      <c r="I62" s="4" t="s">
        <v>735</v>
      </c>
      <c r="J62" s="4">
        <v>1.1100000000000001</v>
      </c>
      <c r="K62" s="4" t="s">
        <v>2502</v>
      </c>
      <c r="L62" s="5">
        <v>2</v>
      </c>
      <c r="M62" s="68">
        <f>20000+3000</f>
        <v>23000</v>
      </c>
      <c r="N62" s="8">
        <f>+M62*L62</f>
        <v>46000</v>
      </c>
      <c r="Q62" s="5">
        <f>+N62</f>
        <v>46000</v>
      </c>
      <c r="R62" s="18">
        <v>1.28</v>
      </c>
      <c r="S62" s="7" t="s">
        <v>377</v>
      </c>
    </row>
    <row r="63" spans="2:20" ht="24" customHeight="1" x14ac:dyDescent="0.4">
      <c r="B63" s="8" t="s">
        <v>26</v>
      </c>
      <c r="C63" s="8">
        <v>1.25</v>
      </c>
      <c r="D63" s="16" t="s">
        <v>28</v>
      </c>
      <c r="F63" s="8" t="s">
        <v>2368</v>
      </c>
      <c r="G63" s="5" t="s">
        <v>839</v>
      </c>
      <c r="H63" s="4">
        <v>148</v>
      </c>
      <c r="I63" s="4" t="s">
        <v>123</v>
      </c>
      <c r="J63" s="4">
        <v>1.25</v>
      </c>
      <c r="K63" s="4" t="s">
        <v>2503</v>
      </c>
      <c r="L63" s="5">
        <v>5</v>
      </c>
      <c r="M63" s="68">
        <f>12000+3000</f>
        <v>15000</v>
      </c>
      <c r="N63" s="8">
        <f>+M63*L63</f>
        <v>75000</v>
      </c>
      <c r="Q63" s="5">
        <f>+N63</f>
        <v>75000</v>
      </c>
      <c r="R63" s="18">
        <v>1.28</v>
      </c>
      <c r="S63" s="7" t="s">
        <v>117</v>
      </c>
    </row>
    <row r="64" spans="2:20" ht="24" customHeight="1" x14ac:dyDescent="0.4">
      <c r="B64" s="8" t="s">
        <v>26</v>
      </c>
      <c r="C64" s="8">
        <v>1.25</v>
      </c>
      <c r="D64" s="16" t="s">
        <v>28</v>
      </c>
      <c r="F64" s="5" t="s">
        <v>1559</v>
      </c>
      <c r="G64" s="8" t="s">
        <v>2467</v>
      </c>
      <c r="H64" s="4">
        <v>1325</v>
      </c>
      <c r="I64" s="7" t="s">
        <v>728</v>
      </c>
      <c r="J64" s="4">
        <v>1.2</v>
      </c>
      <c r="K64" s="4" t="s">
        <v>2504</v>
      </c>
      <c r="L64" s="5">
        <v>20</v>
      </c>
      <c r="M64" s="68">
        <f>30000+4000</f>
        <v>34000</v>
      </c>
      <c r="N64" s="8">
        <f>+M64*L64</f>
        <v>680000</v>
      </c>
      <c r="Q64" s="5">
        <f>+N64</f>
        <v>680000</v>
      </c>
      <c r="R64" s="18">
        <v>2.0299999999999998</v>
      </c>
      <c r="S64" s="4" t="s">
        <v>83</v>
      </c>
    </row>
    <row r="65" spans="2:20" ht="24" customHeight="1" x14ac:dyDescent="0.4">
      <c r="B65" s="8" t="s">
        <v>26</v>
      </c>
      <c r="C65" s="8">
        <v>1.25</v>
      </c>
      <c r="D65" s="16" t="s">
        <v>28</v>
      </c>
      <c r="F65" s="5" t="s">
        <v>1559</v>
      </c>
      <c r="G65" s="8" t="s">
        <v>2467</v>
      </c>
      <c r="H65" s="4">
        <v>1325</v>
      </c>
      <c r="I65" s="4" t="s">
        <v>728</v>
      </c>
      <c r="J65" s="4">
        <v>1.25</v>
      </c>
      <c r="K65" s="4" t="s">
        <v>467</v>
      </c>
      <c r="L65" s="5">
        <v>2</v>
      </c>
      <c r="M65" s="68">
        <f>45000+4000</f>
        <v>49000</v>
      </c>
      <c r="N65" s="8">
        <f>+M65*L65</f>
        <v>98000</v>
      </c>
      <c r="Q65" s="5">
        <f>+N65</f>
        <v>98000</v>
      </c>
      <c r="R65" s="18">
        <v>2.0299999999999998</v>
      </c>
      <c r="S65" s="4" t="s">
        <v>83</v>
      </c>
    </row>
    <row r="66" spans="2:20" ht="24" customHeight="1" x14ac:dyDescent="0.4">
      <c r="B66" s="8" t="s">
        <v>85</v>
      </c>
      <c r="C66" s="8">
        <v>1.2</v>
      </c>
      <c r="D66" s="16" t="s">
        <v>28</v>
      </c>
      <c r="F66" s="8" t="s">
        <v>2368</v>
      </c>
      <c r="G66" s="4" t="s">
        <v>2505</v>
      </c>
      <c r="H66" s="4">
        <v>692</v>
      </c>
      <c r="I66" s="7" t="s">
        <v>85</v>
      </c>
      <c r="J66" s="4">
        <v>1.19</v>
      </c>
      <c r="K66" s="4" t="s">
        <v>450</v>
      </c>
      <c r="L66" s="5">
        <v>79</v>
      </c>
      <c r="M66" s="68">
        <v>70000</v>
      </c>
      <c r="N66" s="8">
        <f>+M66*L66</f>
        <v>5530000</v>
      </c>
      <c r="Q66" s="5">
        <f>+N66</f>
        <v>5530000</v>
      </c>
      <c r="R66" s="18">
        <v>2.1800000000000002</v>
      </c>
      <c r="S66" s="7" t="s">
        <v>2506</v>
      </c>
    </row>
    <row r="67" spans="2:20" ht="24" customHeight="1" x14ac:dyDescent="0.4">
      <c r="B67" s="90" t="s">
        <v>2447</v>
      </c>
      <c r="D67" s="112" t="s">
        <v>28</v>
      </c>
      <c r="N67" s="90">
        <f>SUM(N47:N66)</f>
        <v>11687000</v>
      </c>
      <c r="Q67" s="90">
        <f>SUM(Q47:Q66)</f>
        <v>11687000</v>
      </c>
    </row>
    <row r="68" spans="2:20" ht="24" customHeight="1" x14ac:dyDescent="0.4">
      <c r="B68" s="90" t="s">
        <v>2507</v>
      </c>
      <c r="N68" s="90">
        <f>N67+N46</f>
        <v>19071000</v>
      </c>
      <c r="Q68" s="90">
        <f>Q67+Q46</f>
        <v>19071000</v>
      </c>
    </row>
    <row r="69" spans="2:20" ht="23.25" customHeight="1" x14ac:dyDescent="0.4"/>
    <row r="70" spans="2:20" ht="23.25" customHeight="1" x14ac:dyDescent="0.4"/>
    <row r="71" spans="2:20" ht="23.25" customHeight="1" x14ac:dyDescent="0.4"/>
    <row r="72" spans="2:20" ht="24" customHeight="1" x14ac:dyDescent="0.4">
      <c r="K72" s="117" t="s">
        <v>2508</v>
      </c>
    </row>
    <row r="73" spans="2:20" ht="23.25" customHeight="1" x14ac:dyDescent="0.4"/>
    <row r="74" spans="2:20" ht="24" customHeight="1" x14ac:dyDescent="0.4">
      <c r="B74" s="5" t="s">
        <v>157</v>
      </c>
      <c r="C74" s="20" t="s">
        <v>2509</v>
      </c>
      <c r="D74" s="16" t="s">
        <v>28</v>
      </c>
      <c r="F74" s="8" t="s">
        <v>2368</v>
      </c>
      <c r="G74" s="5" t="s">
        <v>817</v>
      </c>
      <c r="H74" s="5">
        <v>209</v>
      </c>
      <c r="I74" s="5" t="s">
        <v>157</v>
      </c>
      <c r="J74" s="5">
        <v>6.16</v>
      </c>
      <c r="K74" s="5" t="s">
        <v>701</v>
      </c>
      <c r="L74" s="5">
        <v>4</v>
      </c>
      <c r="M74" s="5">
        <v>5000</v>
      </c>
      <c r="N74" s="8">
        <f>+M74*L74</f>
        <v>20000</v>
      </c>
      <c r="Q74" s="5">
        <f>+N74</f>
        <v>20000</v>
      </c>
      <c r="R74" s="20" t="s">
        <v>2510</v>
      </c>
      <c r="T74" s="5" t="s">
        <v>216</v>
      </c>
    </row>
    <row r="75" spans="2:20" ht="24" customHeight="1" x14ac:dyDescent="0.4">
      <c r="B75" s="5" t="s">
        <v>157</v>
      </c>
      <c r="C75" s="20" t="s">
        <v>2509</v>
      </c>
      <c r="D75" s="16" t="s">
        <v>28</v>
      </c>
      <c r="F75" s="8" t="s">
        <v>2368</v>
      </c>
      <c r="G75" s="5" t="s">
        <v>817</v>
      </c>
      <c r="H75" s="5">
        <v>209</v>
      </c>
      <c r="I75" s="5" t="s">
        <v>157</v>
      </c>
      <c r="J75" s="5">
        <v>6.1</v>
      </c>
      <c r="K75" s="5" t="s">
        <v>592</v>
      </c>
      <c r="L75" s="5">
        <f>4+34+14+12</f>
        <v>64</v>
      </c>
      <c r="M75" s="5">
        <v>5000</v>
      </c>
      <c r="N75" s="8">
        <f>+M75*L75</f>
        <v>320000</v>
      </c>
      <c r="Q75" s="5">
        <f>+N75</f>
        <v>320000</v>
      </c>
      <c r="R75" s="20" t="s">
        <v>2510</v>
      </c>
      <c r="S75" s="5" t="s">
        <v>2511</v>
      </c>
      <c r="T75" s="5" t="s">
        <v>216</v>
      </c>
    </row>
    <row r="76" spans="2:20" ht="24" customHeight="1" x14ac:dyDescent="0.4">
      <c r="B76" s="8" t="s">
        <v>989</v>
      </c>
      <c r="C76" s="20" t="s">
        <v>2509</v>
      </c>
      <c r="D76" s="16" t="s">
        <v>28</v>
      </c>
      <c r="F76" s="8" t="s">
        <v>2368</v>
      </c>
      <c r="H76" s="5">
        <v>245</v>
      </c>
      <c r="I76" s="8" t="s">
        <v>989</v>
      </c>
      <c r="J76" s="5">
        <v>6.14</v>
      </c>
      <c r="K76" s="5" t="s">
        <v>2512</v>
      </c>
      <c r="L76" s="5">
        <v>120</v>
      </c>
      <c r="M76" s="5">
        <v>6000</v>
      </c>
      <c r="N76" s="8">
        <f>+M76*L76</f>
        <v>720000</v>
      </c>
      <c r="Q76" s="5">
        <f>+N76</f>
        <v>720000</v>
      </c>
      <c r="R76" s="20" t="s">
        <v>2513</v>
      </c>
      <c r="T76" s="5" t="s">
        <v>2514</v>
      </c>
    </row>
    <row r="77" spans="2:20" ht="24" customHeight="1" x14ac:dyDescent="0.4">
      <c r="B77" s="8" t="s">
        <v>26</v>
      </c>
      <c r="C77" s="20" t="s">
        <v>2509</v>
      </c>
      <c r="D77" s="16" t="s">
        <v>28</v>
      </c>
      <c r="F77" s="5" t="s">
        <v>2368</v>
      </c>
      <c r="G77" s="8" t="s">
        <v>954</v>
      </c>
      <c r="H77" s="8">
        <v>2709</v>
      </c>
      <c r="I77" s="8" t="s">
        <v>955</v>
      </c>
      <c r="J77" s="8">
        <v>6.24</v>
      </c>
      <c r="K77" s="8" t="s">
        <v>747</v>
      </c>
      <c r="L77" s="8">
        <f>84-42</f>
        <v>42</v>
      </c>
      <c r="M77" s="8">
        <v>5000</v>
      </c>
      <c r="N77" s="8">
        <f>+M77*L77</f>
        <v>210000</v>
      </c>
      <c r="Q77" s="5">
        <f>+N77</f>
        <v>210000</v>
      </c>
      <c r="R77" s="20" t="s">
        <v>2515</v>
      </c>
      <c r="T77" s="8" t="s">
        <v>216</v>
      </c>
    </row>
    <row r="78" spans="2:20" ht="24" customHeight="1" x14ac:dyDescent="0.4">
      <c r="B78" s="8" t="s">
        <v>26</v>
      </c>
      <c r="C78" s="20" t="s">
        <v>2509</v>
      </c>
      <c r="D78" s="15" t="s">
        <v>23</v>
      </c>
      <c r="F78" s="8" t="s">
        <v>2368</v>
      </c>
      <c r="H78" s="5">
        <v>389</v>
      </c>
      <c r="I78" s="5" t="s">
        <v>726</v>
      </c>
      <c r="J78" s="5">
        <v>7.23</v>
      </c>
      <c r="K78" s="5" t="s">
        <v>2516</v>
      </c>
      <c r="L78" s="5">
        <f>7+6</f>
        <v>13</v>
      </c>
      <c r="M78" s="68">
        <v>13000</v>
      </c>
      <c r="N78" s="8">
        <f>+M78*L78</f>
        <v>169000</v>
      </c>
      <c r="O78" s="5">
        <f>+N78/1.1</f>
        <v>153636.36363636362</v>
      </c>
      <c r="P78" s="5">
        <f>+N78-O78</f>
        <v>15363.636363636382</v>
      </c>
      <c r="Q78" s="5">
        <f>+N78</f>
        <v>169000</v>
      </c>
      <c r="R78" s="20" t="s">
        <v>2517</v>
      </c>
      <c r="S78" s="5" t="s">
        <v>2518</v>
      </c>
      <c r="T78" s="5" t="s">
        <v>2519</v>
      </c>
    </row>
    <row r="79" spans="2:20" ht="24" customHeight="1" x14ac:dyDescent="0.4">
      <c r="B79" s="8" t="s">
        <v>26</v>
      </c>
      <c r="C79" s="18" t="s">
        <v>2509</v>
      </c>
      <c r="D79" s="16" t="s">
        <v>28</v>
      </c>
      <c r="H79" s="5">
        <v>493</v>
      </c>
      <c r="I79" s="5" t="s">
        <v>2520</v>
      </c>
      <c r="J79" s="5">
        <v>9.14</v>
      </c>
      <c r="K79" s="5" t="s">
        <v>2521</v>
      </c>
      <c r="L79" s="5">
        <v>8</v>
      </c>
      <c r="M79" s="68">
        <f>60000+3000</f>
        <v>63000</v>
      </c>
      <c r="N79" s="8">
        <f>+M79*L79</f>
        <v>504000</v>
      </c>
      <c r="Q79" s="5">
        <f>+N79</f>
        <v>504000</v>
      </c>
      <c r="R79" s="18" t="s">
        <v>2522</v>
      </c>
      <c r="S79" s="4" t="s">
        <v>50</v>
      </c>
      <c r="T79" s="4" t="s">
        <v>140</v>
      </c>
    </row>
    <row r="80" spans="2:20" ht="24" customHeight="1" x14ac:dyDescent="0.4">
      <c r="B80" s="8" t="s">
        <v>157</v>
      </c>
      <c r="C80" s="8" t="s">
        <v>27</v>
      </c>
      <c r="D80" s="15" t="s">
        <v>23</v>
      </c>
      <c r="H80" s="5">
        <v>209</v>
      </c>
      <c r="I80" s="5" t="s">
        <v>955</v>
      </c>
      <c r="J80" s="5">
        <v>9.27</v>
      </c>
      <c r="K80" s="5" t="s">
        <v>159</v>
      </c>
      <c r="L80" s="5">
        <v>22.5</v>
      </c>
      <c r="M80" s="68">
        <v>6000</v>
      </c>
      <c r="N80" s="8">
        <f>+M80*L80</f>
        <v>135000</v>
      </c>
      <c r="O80" s="5">
        <f>+N80/1.1</f>
        <v>122727.27272727272</v>
      </c>
      <c r="P80" s="5">
        <f>+N80-O80</f>
        <v>12272.727272727279</v>
      </c>
      <c r="Q80" s="5">
        <f>+N80</f>
        <v>135000</v>
      </c>
      <c r="R80" s="18" t="s">
        <v>2523</v>
      </c>
      <c r="S80" s="5" t="s">
        <v>2524</v>
      </c>
      <c r="T80" s="4" t="s">
        <v>166</v>
      </c>
    </row>
    <row r="81" spans="2:20" ht="24" customHeight="1" x14ac:dyDescent="0.4">
      <c r="B81" s="8" t="s">
        <v>26</v>
      </c>
      <c r="C81" s="8" t="s">
        <v>27</v>
      </c>
      <c r="D81" s="16" t="s">
        <v>28</v>
      </c>
      <c r="F81" s="5" t="s">
        <v>2368</v>
      </c>
      <c r="G81" s="8" t="s">
        <v>954</v>
      </c>
      <c r="H81" s="5">
        <v>2709</v>
      </c>
      <c r="I81" s="4" t="s">
        <v>955</v>
      </c>
      <c r="J81" s="5">
        <v>10.119999999999999</v>
      </c>
      <c r="K81" s="7" t="s">
        <v>191</v>
      </c>
      <c r="L81" s="5">
        <v>23</v>
      </c>
      <c r="M81" s="68">
        <v>6000</v>
      </c>
      <c r="N81" s="8">
        <f>+M81*L81</f>
        <v>138000</v>
      </c>
      <c r="Q81" s="5">
        <f>+N81</f>
        <v>138000</v>
      </c>
      <c r="R81" s="18">
        <v>10.210000000000001</v>
      </c>
      <c r="T81" s="4" t="s">
        <v>192</v>
      </c>
    </row>
    <row r="82" spans="2:20" ht="24" customHeight="1" x14ac:dyDescent="0.4">
      <c r="B82" s="8" t="s">
        <v>26</v>
      </c>
      <c r="C82" s="8" t="s">
        <v>27</v>
      </c>
      <c r="D82" s="16" t="s">
        <v>28</v>
      </c>
      <c r="F82" s="5" t="s">
        <v>2368</v>
      </c>
      <c r="G82" s="8" t="s">
        <v>954</v>
      </c>
      <c r="H82" s="5">
        <v>2709</v>
      </c>
      <c r="I82" s="4" t="s">
        <v>955</v>
      </c>
      <c r="J82" s="5">
        <v>10.15</v>
      </c>
      <c r="K82" s="5" t="s">
        <v>214</v>
      </c>
      <c r="L82" s="5">
        <v>10.5</v>
      </c>
      <c r="M82" s="68">
        <v>6000</v>
      </c>
      <c r="N82" s="8">
        <f>+M82*L82</f>
        <v>63000</v>
      </c>
      <c r="Q82" s="5">
        <f>+N82</f>
        <v>63000</v>
      </c>
      <c r="R82" s="18">
        <v>10.210000000000001</v>
      </c>
      <c r="T82" s="4" t="s">
        <v>192</v>
      </c>
    </row>
    <row r="83" spans="2:20" ht="24" customHeight="1" x14ac:dyDescent="0.4">
      <c r="B83" s="8" t="s">
        <v>26</v>
      </c>
      <c r="C83" s="8" t="s">
        <v>27</v>
      </c>
      <c r="D83" s="15" t="s">
        <v>23</v>
      </c>
      <c r="H83" s="5">
        <v>493</v>
      </c>
      <c r="I83" s="5" t="s">
        <v>2520</v>
      </c>
      <c r="J83" s="5">
        <v>10.050000000000001</v>
      </c>
      <c r="K83" s="7" t="s">
        <v>183</v>
      </c>
      <c r="L83" s="5">
        <v>500</v>
      </c>
      <c r="M83" s="68">
        <v>1000</v>
      </c>
      <c r="N83" s="8">
        <f>+M83*L83</f>
        <v>500000</v>
      </c>
      <c r="O83" s="5">
        <f>+N83/1.1</f>
        <v>454545.45454545453</v>
      </c>
      <c r="P83" s="5">
        <f>+N83-O83</f>
        <v>45454.54545454547</v>
      </c>
      <c r="Q83" s="5">
        <f>+N83</f>
        <v>500000</v>
      </c>
      <c r="R83" s="8" t="s">
        <v>2525</v>
      </c>
      <c r="S83" s="5" t="s">
        <v>2406</v>
      </c>
      <c r="T83" s="4" t="s">
        <v>140</v>
      </c>
    </row>
    <row r="84" spans="2:20" ht="24" customHeight="1" x14ac:dyDescent="0.4">
      <c r="B84" s="8" t="s">
        <v>26</v>
      </c>
      <c r="C84" s="18" t="s">
        <v>2509</v>
      </c>
      <c r="D84" s="16" t="s">
        <v>28</v>
      </c>
      <c r="H84" s="5">
        <v>286</v>
      </c>
      <c r="I84" s="4" t="s">
        <v>989</v>
      </c>
      <c r="J84" s="5">
        <v>10.06</v>
      </c>
      <c r="K84" s="7" t="s">
        <v>186</v>
      </c>
      <c r="L84" s="5">
        <v>1</v>
      </c>
      <c r="M84" s="69">
        <f>60000-10000</f>
        <v>50000</v>
      </c>
      <c r="N84" s="8">
        <f>+M84*L84</f>
        <v>50000</v>
      </c>
      <c r="Q84" s="5">
        <f>+N84</f>
        <v>50000</v>
      </c>
      <c r="R84" s="75" t="s">
        <v>187</v>
      </c>
      <c r="S84" s="5" t="s">
        <v>2526</v>
      </c>
      <c r="T84" s="4" t="s">
        <v>188</v>
      </c>
    </row>
    <row r="85" spans="2:20" ht="24" customHeight="1" x14ac:dyDescent="0.4">
      <c r="B85" s="8" t="s">
        <v>26</v>
      </c>
      <c r="C85" s="8">
        <v>12.3</v>
      </c>
      <c r="D85" s="16" t="s">
        <v>28</v>
      </c>
      <c r="F85" s="8" t="s">
        <v>2368</v>
      </c>
      <c r="G85" s="5" t="s">
        <v>826</v>
      </c>
      <c r="H85" s="4">
        <v>182</v>
      </c>
      <c r="I85" s="5" t="s">
        <v>828</v>
      </c>
      <c r="J85" s="4">
        <v>12.02</v>
      </c>
      <c r="K85" s="5" t="s">
        <v>2466</v>
      </c>
      <c r="L85" s="5">
        <v>1</v>
      </c>
      <c r="M85" s="69">
        <v>15000</v>
      </c>
      <c r="N85" s="5">
        <f>+M85*L85</f>
        <v>15000</v>
      </c>
      <c r="Q85" s="5">
        <f>+N85</f>
        <v>15000</v>
      </c>
      <c r="R85" s="8" t="s">
        <v>2527</v>
      </c>
      <c r="S85" s="4" t="s">
        <v>249</v>
      </c>
    </row>
    <row r="86" spans="2:20" ht="24" customHeight="1" x14ac:dyDescent="0.4">
      <c r="B86" s="8" t="s">
        <v>26</v>
      </c>
      <c r="C86" s="8">
        <v>12.3</v>
      </c>
      <c r="D86" s="15" t="s">
        <v>23</v>
      </c>
      <c r="F86" s="8" t="s">
        <v>2368</v>
      </c>
      <c r="G86" s="5" t="s">
        <v>826</v>
      </c>
      <c r="H86" s="4">
        <v>182</v>
      </c>
      <c r="I86" s="5" t="s">
        <v>828</v>
      </c>
      <c r="J86" s="4">
        <v>12.07</v>
      </c>
      <c r="K86" s="5" t="s">
        <v>184</v>
      </c>
      <c r="L86" s="5">
        <v>30</v>
      </c>
      <c r="M86" s="69">
        <f>6000-500</f>
        <v>5500</v>
      </c>
      <c r="N86" s="8">
        <f>+M86*L86</f>
        <v>165000</v>
      </c>
      <c r="O86" s="5">
        <f>+N86/1.1</f>
        <v>150000</v>
      </c>
      <c r="P86" s="5">
        <f>+N86-O86</f>
        <v>15000</v>
      </c>
      <c r="Q86" s="5">
        <f>+N86</f>
        <v>165000</v>
      </c>
      <c r="R86" s="8" t="s">
        <v>2527</v>
      </c>
      <c r="S86" s="4" t="s">
        <v>249</v>
      </c>
    </row>
    <row r="87" spans="2:20" ht="23.25" customHeight="1" x14ac:dyDescent="0.4"/>
    <row r="88" spans="2:20" ht="23.25" customHeight="1" x14ac:dyDescent="0.4"/>
    <row r="89" spans="2:20" ht="23.25" customHeight="1" x14ac:dyDescent="0.4"/>
    <row r="90" spans="2:20" ht="23.25" customHeight="1" x14ac:dyDescent="0.4"/>
    <row r="91" spans="2:20" ht="23.25" customHeight="1" x14ac:dyDescent="0.4"/>
    <row r="92" spans="2:20" ht="23.25" customHeight="1" x14ac:dyDescent="0.4"/>
    <row r="93" spans="2:20" ht="23.25" customHeight="1" x14ac:dyDescent="0.4"/>
    <row r="94" spans="2:20" ht="23.25" customHeight="1" x14ac:dyDescent="0.4"/>
    <row r="95" spans="2:20" ht="23.25" customHeight="1" x14ac:dyDescent="0.4"/>
    <row r="96" spans="2:20" ht="23.25" customHeight="1" x14ac:dyDescent="0.4"/>
    <row r="97" ht="23.25" customHeight="1" x14ac:dyDescent="0.4"/>
    <row r="98" ht="23.25" customHeight="1" x14ac:dyDescent="0.4"/>
    <row r="99" ht="23.25" customHeight="1" x14ac:dyDescent="0.4"/>
    <row r="100" ht="23.25" customHeight="1" x14ac:dyDescent="0.4"/>
    <row r="101" ht="23.25" customHeight="1" x14ac:dyDescent="0.4"/>
    <row r="102" ht="23.25" customHeight="1" x14ac:dyDescent="0.4"/>
    <row r="103" ht="23.25" customHeight="1" x14ac:dyDescent="0.4"/>
    <row r="104" ht="23.25" customHeight="1" x14ac:dyDescent="0.4"/>
    <row r="105" ht="23.25" customHeight="1" x14ac:dyDescent="0.4"/>
    <row r="106" ht="23.25" customHeight="1" x14ac:dyDescent="0.4"/>
    <row r="107" ht="23.25" customHeight="1" x14ac:dyDescent="0.4"/>
    <row r="108" ht="23.25" customHeight="1" x14ac:dyDescent="0.4"/>
    <row r="109" ht="23.25" customHeight="1" x14ac:dyDescent="0.4"/>
    <row r="110" ht="23.25" customHeight="1" x14ac:dyDescent="0.4"/>
    <row r="111" ht="23.25" customHeight="1" x14ac:dyDescent="0.4"/>
    <row r="112" ht="23.25" customHeight="1" x14ac:dyDescent="0.4"/>
    <row r="113" ht="23.25" customHeight="1" x14ac:dyDescent="0.4"/>
    <row r="114" ht="23.25" customHeight="1" x14ac:dyDescent="0.4"/>
    <row r="115" ht="23.25" customHeight="1" x14ac:dyDescent="0.4"/>
    <row r="116" ht="23.25" customHeight="1" x14ac:dyDescent="0.4"/>
    <row r="117" ht="23.25" customHeight="1" x14ac:dyDescent="0.4"/>
    <row r="118" ht="23.25" customHeight="1" x14ac:dyDescent="0.4"/>
    <row r="119" ht="23.25" customHeight="1" x14ac:dyDescent="0.4"/>
    <row r="120" ht="23.25" customHeight="1" x14ac:dyDescent="0.4"/>
    <row r="121" ht="23.25" customHeight="1" x14ac:dyDescent="0.4"/>
    <row r="122" ht="23.25" customHeight="1" x14ac:dyDescent="0.4"/>
    <row r="123" ht="23.25" customHeight="1" x14ac:dyDescent="0.4"/>
    <row r="124" ht="23.25" customHeight="1" x14ac:dyDescent="0.4"/>
    <row r="125" ht="23.25" customHeight="1" x14ac:dyDescent="0.4"/>
    <row r="126" ht="23.25" customHeight="1" x14ac:dyDescent="0.4"/>
    <row r="127" ht="23.25" customHeight="1" x14ac:dyDescent="0.4"/>
    <row r="128" ht="23.25" customHeight="1" x14ac:dyDescent="0.4"/>
    <row r="129" ht="23.25" customHeight="1" x14ac:dyDescent="0.4"/>
    <row r="130" ht="23.25" customHeight="1" x14ac:dyDescent="0.4"/>
    <row r="131" ht="23.25" customHeight="1" x14ac:dyDescent="0.4"/>
    <row r="132" ht="23.25" customHeight="1" x14ac:dyDescent="0.4"/>
    <row r="133" ht="23.25" customHeight="1" x14ac:dyDescent="0.4"/>
    <row r="134" ht="23.25" customHeight="1" x14ac:dyDescent="0.4"/>
    <row r="135" ht="23.25" customHeight="1" x14ac:dyDescent="0.4"/>
    <row r="136" ht="23.25" customHeight="1" x14ac:dyDescent="0.4"/>
    <row r="137" ht="23.25" customHeight="1" x14ac:dyDescent="0.4"/>
    <row r="138" ht="23.25" customHeight="1" x14ac:dyDescent="0.4"/>
    <row r="139" ht="23.25" customHeight="1" x14ac:dyDescent="0.4"/>
    <row r="140" ht="23.25" customHeight="1" x14ac:dyDescent="0.4"/>
    <row r="141" ht="23.25" customHeight="1" x14ac:dyDescent="0.4"/>
    <row r="142" ht="23.25" customHeight="1" x14ac:dyDescent="0.4"/>
    <row r="143" ht="23.25" customHeight="1" x14ac:dyDescent="0.4"/>
    <row r="144" ht="23.25" customHeight="1" x14ac:dyDescent="0.4"/>
    <row r="145" ht="23.25" customHeight="1" x14ac:dyDescent="0.4"/>
    <row r="146" ht="23.25" customHeight="1" x14ac:dyDescent="0.4"/>
    <row r="147" ht="23.25" customHeight="1" x14ac:dyDescent="0.4"/>
    <row r="148" ht="23.25" customHeight="1" x14ac:dyDescent="0.4"/>
    <row r="149" ht="23.25" customHeight="1" x14ac:dyDescent="0.4"/>
    <row r="150" ht="23.25" customHeight="1" x14ac:dyDescent="0.4"/>
    <row r="151" ht="23.25" customHeight="1" x14ac:dyDescent="0.4"/>
    <row r="152" ht="23.25" customHeight="1" x14ac:dyDescent="0.4"/>
    <row r="153" ht="23.25" customHeight="1" x14ac:dyDescent="0.4"/>
    <row r="154" ht="23.25" customHeight="1" x14ac:dyDescent="0.4"/>
    <row r="155" ht="23.25" customHeight="1" x14ac:dyDescent="0.4"/>
    <row r="156" ht="23.25" customHeight="1" x14ac:dyDescent="0.4"/>
    <row r="157" ht="23.25" customHeight="1" x14ac:dyDescent="0.4"/>
    <row r="158" ht="23.25" customHeight="1" x14ac:dyDescent="0.4"/>
    <row r="159" ht="23.25" customHeight="1" x14ac:dyDescent="0.4"/>
    <row r="160" ht="23.25" customHeight="1" x14ac:dyDescent="0.4"/>
    <row r="161" ht="23.25" customHeight="1" x14ac:dyDescent="0.4"/>
    <row r="162" ht="23.25" customHeight="1" x14ac:dyDescent="0.4"/>
    <row r="163" ht="23.25" customHeight="1" x14ac:dyDescent="0.4"/>
    <row r="164" ht="23.25" customHeight="1" x14ac:dyDescent="0.4"/>
    <row r="165" ht="23.25" customHeight="1" x14ac:dyDescent="0.4"/>
    <row r="166" ht="23.25" customHeight="1" x14ac:dyDescent="0.4"/>
    <row r="167" ht="23.25" customHeight="1" x14ac:dyDescent="0.4"/>
    <row r="168" ht="23.25" customHeight="1" x14ac:dyDescent="0.4"/>
    <row r="169" ht="23.25" customHeight="1" x14ac:dyDescent="0.4"/>
    <row r="170" ht="23.25" customHeight="1" x14ac:dyDescent="0.4"/>
    <row r="171" ht="23.25" customHeight="1" x14ac:dyDescent="0.4"/>
    <row r="172" ht="23.25" customHeight="1" x14ac:dyDescent="0.4"/>
    <row r="173" ht="23.25" customHeight="1" x14ac:dyDescent="0.4"/>
    <row r="174" ht="23.25" customHeight="1" x14ac:dyDescent="0.4"/>
    <row r="175" ht="23.25" customHeight="1" x14ac:dyDescent="0.4"/>
    <row r="176" ht="23.25" customHeight="1" x14ac:dyDescent="0.4"/>
    <row r="177" ht="23.25" customHeight="1" x14ac:dyDescent="0.4"/>
    <row r="178" ht="23.25" customHeight="1" x14ac:dyDescent="0.4"/>
    <row r="179" ht="23.25" customHeight="1" x14ac:dyDescent="0.4"/>
    <row r="180" ht="23.25" customHeight="1" x14ac:dyDescent="0.4"/>
    <row r="181" ht="23.25" customHeight="1" x14ac:dyDescent="0.4"/>
    <row r="182" ht="23.25" customHeight="1" x14ac:dyDescent="0.4"/>
    <row r="183" ht="23.25" customHeight="1" x14ac:dyDescent="0.4"/>
    <row r="184" ht="23.25" customHeight="1" x14ac:dyDescent="0.4"/>
    <row r="185" ht="23.25" customHeight="1" x14ac:dyDescent="0.4"/>
    <row r="186" ht="23.25" customHeight="1" x14ac:dyDescent="0.4"/>
    <row r="187" ht="23.25" customHeight="1" x14ac:dyDescent="0.4"/>
    <row r="188" ht="23.25" customHeight="1" x14ac:dyDescent="0.4"/>
    <row r="189" ht="23.25" customHeight="1" x14ac:dyDescent="0.4"/>
    <row r="190" ht="23.25" customHeight="1" x14ac:dyDescent="0.4"/>
    <row r="191" ht="23.25" customHeight="1" x14ac:dyDescent="0.4"/>
    <row r="192" ht="23.25" customHeight="1" x14ac:dyDescent="0.4"/>
    <row r="193" ht="23.25" customHeight="1" x14ac:dyDescent="0.4"/>
    <row r="194" ht="23.25" customHeight="1" x14ac:dyDescent="0.4"/>
    <row r="195" ht="23.25" customHeight="1" x14ac:dyDescent="0.4"/>
    <row r="196" ht="23.25" customHeight="1" x14ac:dyDescent="0.4"/>
    <row r="197" ht="23.25" customHeight="1" x14ac:dyDescent="0.4"/>
    <row r="198" ht="23.25" customHeight="1" x14ac:dyDescent="0.4"/>
    <row r="199" ht="23.25" customHeight="1" x14ac:dyDescent="0.4"/>
    <row r="200" ht="23.25" customHeight="1" x14ac:dyDescent="0.4"/>
    <row r="201" ht="23.25" customHeight="1" x14ac:dyDescent="0.4"/>
    <row r="202" ht="23.25" customHeight="1" x14ac:dyDescent="0.4"/>
    <row r="203" ht="23.25" customHeight="1" x14ac:dyDescent="0.4"/>
    <row r="204" ht="23.25" customHeight="1" x14ac:dyDescent="0.4"/>
    <row r="205" ht="23.25" customHeight="1" x14ac:dyDescent="0.4"/>
    <row r="206" ht="23.25" customHeight="1" x14ac:dyDescent="0.4"/>
    <row r="207" ht="23.25" customHeight="1" x14ac:dyDescent="0.4"/>
    <row r="208" ht="23.25" customHeight="1" x14ac:dyDescent="0.4"/>
    <row r="209" ht="23.25" customHeight="1" x14ac:dyDescent="0.4"/>
    <row r="210" ht="23.25" customHeight="1" x14ac:dyDescent="0.4"/>
    <row r="211" ht="23.25" customHeight="1" x14ac:dyDescent="0.4"/>
    <row r="212" ht="23.25" customHeight="1" x14ac:dyDescent="0.4"/>
    <row r="213" ht="23.25" customHeight="1" x14ac:dyDescent="0.4"/>
    <row r="214" ht="23.25" customHeight="1" x14ac:dyDescent="0.4"/>
    <row r="215" ht="23.25" customHeight="1" x14ac:dyDescent="0.4"/>
    <row r="216" ht="23.25" customHeight="1" x14ac:dyDescent="0.4"/>
    <row r="217" ht="23.25" customHeight="1" x14ac:dyDescent="0.4"/>
    <row r="218" ht="23.25" customHeight="1" x14ac:dyDescent="0.4"/>
    <row r="219" ht="23.25" customHeight="1" x14ac:dyDescent="0.4"/>
    <row r="220" ht="23.25" customHeight="1" x14ac:dyDescent="0.4"/>
    <row r="221" ht="23.25" customHeight="1" x14ac:dyDescent="0.4"/>
    <row r="222" ht="23.25" customHeight="1" x14ac:dyDescent="0.4"/>
    <row r="223" ht="23.25" customHeight="1" x14ac:dyDescent="0.4"/>
    <row r="224" ht="23.25" customHeight="1" x14ac:dyDescent="0.4"/>
    <row r="225" ht="23.25" customHeight="1" x14ac:dyDescent="0.4"/>
    <row r="226" ht="23.25" customHeight="1" x14ac:dyDescent="0.4"/>
    <row r="227" ht="23.25" customHeight="1" x14ac:dyDescent="0.4"/>
    <row r="228" ht="23.25" customHeight="1" x14ac:dyDescent="0.4"/>
    <row r="229" ht="23.25" customHeight="1" x14ac:dyDescent="0.4"/>
    <row r="230" ht="23.25" customHeight="1" x14ac:dyDescent="0.4"/>
    <row r="231" ht="23.25" customHeight="1" x14ac:dyDescent="0.4"/>
    <row r="232" ht="23.25" customHeight="1" x14ac:dyDescent="0.4"/>
    <row r="233" ht="23.25" customHeight="1" x14ac:dyDescent="0.4"/>
    <row r="234" ht="23.25" customHeight="1" x14ac:dyDescent="0.4"/>
    <row r="235" ht="23.25" customHeight="1" x14ac:dyDescent="0.4"/>
    <row r="236" ht="23.25" customHeight="1" x14ac:dyDescent="0.4"/>
    <row r="237" ht="23.25" customHeight="1" x14ac:dyDescent="0.4"/>
    <row r="238" ht="23.25" customHeight="1" x14ac:dyDescent="0.4"/>
    <row r="239" ht="23.25" customHeight="1" x14ac:dyDescent="0.4"/>
    <row r="240" ht="23.25" customHeight="1" x14ac:dyDescent="0.4"/>
    <row r="241" ht="23.25" customHeight="1" x14ac:dyDescent="0.4"/>
    <row r="242" ht="23.25" customHeight="1" x14ac:dyDescent="0.4"/>
    <row r="243" ht="23.25" customHeight="1" x14ac:dyDescent="0.4"/>
    <row r="244" ht="23.25" customHeight="1" x14ac:dyDescent="0.4"/>
    <row r="245" ht="23.25" customHeight="1" x14ac:dyDescent="0.4"/>
    <row r="246" ht="23.25" customHeight="1" x14ac:dyDescent="0.4"/>
    <row r="247" ht="23.25" customHeight="1" x14ac:dyDescent="0.4"/>
    <row r="248" ht="23.25" customHeight="1" x14ac:dyDescent="0.4"/>
    <row r="249" ht="23.25" customHeight="1" x14ac:dyDescent="0.4"/>
    <row r="250" ht="23.25" customHeight="1" x14ac:dyDescent="0.4"/>
    <row r="251" ht="23.25" customHeight="1" x14ac:dyDescent="0.4"/>
    <row r="252" ht="23.25" customHeight="1" x14ac:dyDescent="0.4"/>
    <row r="253" ht="23.25" customHeight="1" x14ac:dyDescent="0.4"/>
    <row r="254" ht="23.25" customHeight="1" x14ac:dyDescent="0.4"/>
    <row r="255" ht="23.25" customHeight="1" x14ac:dyDescent="0.4"/>
    <row r="256" ht="23.25" customHeight="1" x14ac:dyDescent="0.4"/>
    <row r="257" ht="23.25" customHeight="1" x14ac:dyDescent="0.4"/>
    <row r="258" ht="23.25" customHeight="1" x14ac:dyDescent="0.4"/>
    <row r="259" ht="23.25" customHeight="1" x14ac:dyDescent="0.4"/>
    <row r="260" ht="23.25" customHeight="1" x14ac:dyDescent="0.4"/>
    <row r="261" ht="23.25" customHeight="1" x14ac:dyDescent="0.4"/>
    <row r="262" ht="23.25" customHeight="1" x14ac:dyDescent="0.4"/>
    <row r="263" ht="23.25" customHeight="1" x14ac:dyDescent="0.4"/>
    <row r="264" ht="23.25" customHeight="1" x14ac:dyDescent="0.4"/>
    <row r="265" ht="23.25" customHeight="1" x14ac:dyDescent="0.4"/>
    <row r="266" ht="23.25" customHeight="1" x14ac:dyDescent="0.4"/>
    <row r="267" ht="23.25" customHeight="1" x14ac:dyDescent="0.4"/>
    <row r="268" ht="23.25" customHeight="1" x14ac:dyDescent="0.4"/>
    <row r="269" ht="23.25" customHeight="1" x14ac:dyDescent="0.4"/>
    <row r="270" ht="23.25" customHeight="1" x14ac:dyDescent="0.4"/>
    <row r="271" ht="23.25" customHeight="1" x14ac:dyDescent="0.4"/>
    <row r="272" ht="23.25" customHeight="1" x14ac:dyDescent="0.4"/>
    <row r="273" ht="23.25" customHeight="1" x14ac:dyDescent="0.4"/>
    <row r="274" ht="23.25" customHeight="1" x14ac:dyDescent="0.4"/>
    <row r="275" ht="23.25" customHeight="1" x14ac:dyDescent="0.4"/>
    <row r="276" ht="23.25" customHeight="1" x14ac:dyDescent="0.4"/>
    <row r="277" ht="23.25" customHeight="1" x14ac:dyDescent="0.4"/>
    <row r="278" ht="23.25" customHeight="1" x14ac:dyDescent="0.4"/>
    <row r="279" ht="23.25" customHeight="1" x14ac:dyDescent="0.4"/>
    <row r="280" ht="23.25" customHeight="1" x14ac:dyDescent="0.4"/>
    <row r="281" ht="23.25" customHeight="1" x14ac:dyDescent="0.4"/>
    <row r="282" ht="23.25" customHeight="1" x14ac:dyDescent="0.4"/>
    <row r="283" ht="23.25" customHeight="1" x14ac:dyDescent="0.4"/>
    <row r="284" ht="23.25" customHeight="1" x14ac:dyDescent="0.4"/>
    <row r="285" ht="23.25" customHeight="1" x14ac:dyDescent="0.4"/>
    <row r="286" ht="23.25" customHeight="1" x14ac:dyDescent="0.4"/>
    <row r="287" ht="23.25" customHeight="1" x14ac:dyDescent="0.4"/>
    <row r="288" ht="23.25" customHeight="1" x14ac:dyDescent="0.4"/>
    <row r="289" ht="23.25" customHeight="1" x14ac:dyDescent="0.4"/>
    <row r="290" ht="23.25" customHeight="1" x14ac:dyDescent="0.4"/>
    <row r="291" ht="23.25" customHeight="1" x14ac:dyDescent="0.4"/>
    <row r="292" ht="23.25" customHeight="1" x14ac:dyDescent="0.4"/>
    <row r="293" ht="23.25" customHeight="1" x14ac:dyDescent="0.4"/>
    <row r="294" ht="23.25" customHeight="1" x14ac:dyDescent="0.4"/>
    <row r="295" ht="23.25" customHeight="1" x14ac:dyDescent="0.4"/>
    <row r="296" ht="23.25" customHeight="1" x14ac:dyDescent="0.4"/>
    <row r="297" ht="23.25" customHeight="1" x14ac:dyDescent="0.4"/>
    <row r="298" ht="23.25" customHeight="1" x14ac:dyDescent="0.4"/>
    <row r="299" ht="23.25" customHeight="1" x14ac:dyDescent="0.4"/>
    <row r="300" ht="23.25" customHeight="1" x14ac:dyDescent="0.4"/>
    <row r="301" ht="23.25" customHeight="1" x14ac:dyDescent="0.4"/>
    <row r="302" ht="23.25" customHeight="1" x14ac:dyDescent="0.4"/>
    <row r="303" ht="23.25" customHeight="1" x14ac:dyDescent="0.4"/>
    <row r="304" ht="23.25" customHeight="1" x14ac:dyDescent="0.4"/>
    <row r="305" ht="23.25" customHeight="1" x14ac:dyDescent="0.4"/>
    <row r="306" ht="23.25" customHeight="1" x14ac:dyDescent="0.4"/>
    <row r="307" ht="23.25" customHeight="1" x14ac:dyDescent="0.4"/>
    <row r="308" ht="23.25" customHeight="1" x14ac:dyDescent="0.4"/>
    <row r="309" ht="23.25" customHeight="1" x14ac:dyDescent="0.4"/>
    <row r="310" ht="23.25" customHeight="1" x14ac:dyDescent="0.4"/>
    <row r="311" ht="23.25" customHeight="1" x14ac:dyDescent="0.4"/>
    <row r="312" ht="23.25" customHeight="1" x14ac:dyDescent="0.4"/>
    <row r="313" ht="23.25" customHeight="1" x14ac:dyDescent="0.4"/>
    <row r="314" ht="23.25" customHeight="1" x14ac:dyDescent="0.4"/>
    <row r="315" ht="23.25" customHeight="1" x14ac:dyDescent="0.4"/>
    <row r="316" ht="23.25" customHeight="1" x14ac:dyDescent="0.4"/>
    <row r="317" ht="23.25" customHeight="1" x14ac:dyDescent="0.4"/>
    <row r="318" ht="23.25" customHeight="1" x14ac:dyDescent="0.4"/>
    <row r="319" ht="23.25" customHeight="1" x14ac:dyDescent="0.4"/>
    <row r="320" ht="23.25" customHeight="1" x14ac:dyDescent="0.4"/>
    <row r="321" ht="23.25" customHeight="1" x14ac:dyDescent="0.4"/>
    <row r="322" ht="23.25" customHeight="1" x14ac:dyDescent="0.4"/>
    <row r="323" ht="23.25" customHeight="1" x14ac:dyDescent="0.4"/>
    <row r="324" ht="23.25" customHeight="1" x14ac:dyDescent="0.4"/>
    <row r="325" ht="23.25" customHeight="1" x14ac:dyDescent="0.4"/>
    <row r="326" ht="23.25" customHeight="1" x14ac:dyDescent="0.4"/>
    <row r="327" ht="23.25" customHeight="1" x14ac:dyDescent="0.4"/>
    <row r="328" ht="23.25" customHeight="1" x14ac:dyDescent="0.4"/>
    <row r="329" ht="23.25" customHeight="1" x14ac:dyDescent="0.4"/>
    <row r="330" ht="23.25" customHeight="1" x14ac:dyDescent="0.4"/>
    <row r="331" ht="23.25" customHeight="1" x14ac:dyDescent="0.4"/>
    <row r="332" ht="23.25" customHeight="1" x14ac:dyDescent="0.4"/>
    <row r="333" ht="23.25" customHeight="1" x14ac:dyDescent="0.4"/>
    <row r="334" ht="23.25" customHeight="1" x14ac:dyDescent="0.4"/>
    <row r="335" ht="23.25" customHeight="1" x14ac:dyDescent="0.4"/>
    <row r="336" ht="23.25" customHeight="1" x14ac:dyDescent="0.4"/>
    <row r="337" ht="23.25" customHeight="1" x14ac:dyDescent="0.4"/>
    <row r="338" ht="23.25" customHeight="1" x14ac:dyDescent="0.4"/>
    <row r="339" ht="23.25" customHeight="1" x14ac:dyDescent="0.4"/>
    <row r="340" ht="23.25" customHeight="1" x14ac:dyDescent="0.4"/>
    <row r="341" ht="23.25" customHeight="1" x14ac:dyDescent="0.4"/>
    <row r="342" ht="23.25" customHeight="1" x14ac:dyDescent="0.4"/>
    <row r="343" ht="23.25" customHeight="1" x14ac:dyDescent="0.4"/>
    <row r="344" ht="23.25" customHeight="1" x14ac:dyDescent="0.4"/>
    <row r="345" ht="23.25" customHeight="1" x14ac:dyDescent="0.4"/>
    <row r="346" ht="23.25" customHeight="1" x14ac:dyDescent="0.4"/>
    <row r="347" ht="23.25" customHeight="1" x14ac:dyDescent="0.4"/>
    <row r="348" ht="23.25" customHeight="1" x14ac:dyDescent="0.4"/>
    <row r="349" ht="23.25" customHeight="1" x14ac:dyDescent="0.4"/>
    <row r="350" ht="23.25" customHeight="1" x14ac:dyDescent="0.4"/>
    <row r="351" ht="23.25" customHeight="1" x14ac:dyDescent="0.4"/>
    <row r="352" ht="23.25" customHeight="1" x14ac:dyDescent="0.4"/>
    <row r="353" ht="23.25" customHeight="1" x14ac:dyDescent="0.4"/>
    <row r="354" ht="23.25" customHeight="1" x14ac:dyDescent="0.4"/>
    <row r="355" ht="23.25" customHeight="1" x14ac:dyDescent="0.4"/>
    <row r="356" ht="23.25" customHeight="1" x14ac:dyDescent="0.4"/>
    <row r="357" ht="23.25" customHeight="1" x14ac:dyDescent="0.4"/>
    <row r="358" ht="23.25" customHeight="1" x14ac:dyDescent="0.4"/>
    <row r="359" ht="23.25" customHeight="1" x14ac:dyDescent="0.4"/>
    <row r="360" ht="23.25" customHeight="1" x14ac:dyDescent="0.4"/>
    <row r="361" ht="23.25" customHeight="1" x14ac:dyDescent="0.4"/>
    <row r="362" ht="23.25" customHeight="1" x14ac:dyDescent="0.4"/>
    <row r="363" ht="23.25" customHeight="1" x14ac:dyDescent="0.4"/>
    <row r="364" ht="23.25" customHeight="1" x14ac:dyDescent="0.4"/>
    <row r="365" ht="23.25" customHeight="1" x14ac:dyDescent="0.4"/>
    <row r="366" ht="23.25" customHeight="1" x14ac:dyDescent="0.4"/>
    <row r="367" ht="23.25" customHeight="1" x14ac:dyDescent="0.4"/>
    <row r="368" ht="23.25" customHeight="1" x14ac:dyDescent="0.4"/>
    <row r="369" ht="23.25" customHeight="1" x14ac:dyDescent="0.4"/>
    <row r="370" ht="23.25" customHeight="1" x14ac:dyDescent="0.4"/>
    <row r="371" ht="23.25" customHeight="1" x14ac:dyDescent="0.4"/>
    <row r="372" ht="23.25" customHeight="1" x14ac:dyDescent="0.4"/>
    <row r="373" ht="23.25" customHeight="1" x14ac:dyDescent="0.4"/>
    <row r="374" ht="23.25" customHeight="1" x14ac:dyDescent="0.4"/>
    <row r="375" ht="23.25" customHeight="1" x14ac:dyDescent="0.4"/>
    <row r="376" ht="23.25" customHeight="1" x14ac:dyDescent="0.4"/>
    <row r="377" ht="23.25" customHeight="1" x14ac:dyDescent="0.4"/>
    <row r="378" ht="23.25" customHeight="1" x14ac:dyDescent="0.4"/>
    <row r="379" ht="23.25" customHeight="1" x14ac:dyDescent="0.4"/>
    <row r="380" ht="23.25" customHeight="1" x14ac:dyDescent="0.4"/>
    <row r="381" ht="23.25" customHeight="1" x14ac:dyDescent="0.4"/>
    <row r="382" ht="23.25" customHeight="1" x14ac:dyDescent="0.4"/>
    <row r="383" ht="23.25" customHeight="1" x14ac:dyDescent="0.4"/>
    <row r="384" ht="23.25" customHeight="1" x14ac:dyDescent="0.4"/>
    <row r="385" ht="23.25" customHeight="1" x14ac:dyDescent="0.4"/>
    <row r="386" ht="23.25" customHeight="1" x14ac:dyDescent="0.4"/>
    <row r="387" ht="23.25" customHeight="1" x14ac:dyDescent="0.4"/>
    <row r="388" ht="23.25" customHeight="1" x14ac:dyDescent="0.4"/>
    <row r="389" ht="23.25" customHeight="1" x14ac:dyDescent="0.4"/>
    <row r="390" ht="23.25" customHeight="1" x14ac:dyDescent="0.4"/>
    <row r="391" ht="23.25" customHeight="1" x14ac:dyDescent="0.4"/>
    <row r="392" ht="23.25" customHeight="1" x14ac:dyDescent="0.4"/>
    <row r="393" ht="23.25" customHeight="1" x14ac:dyDescent="0.4"/>
    <row r="394" ht="23.25" customHeight="1" x14ac:dyDescent="0.4"/>
    <row r="395" ht="23.25" customHeight="1" x14ac:dyDescent="0.4"/>
    <row r="396" ht="23.25" customHeight="1" x14ac:dyDescent="0.4"/>
    <row r="397" ht="23.25" customHeight="1" x14ac:dyDescent="0.4"/>
    <row r="398" ht="23.25" customHeight="1" x14ac:dyDescent="0.4"/>
    <row r="399" ht="23.25" customHeight="1" x14ac:dyDescent="0.4"/>
    <row r="400" ht="23.25" customHeight="1" x14ac:dyDescent="0.4"/>
    <row r="401" ht="23.25" customHeight="1" x14ac:dyDescent="0.4"/>
    <row r="402" ht="23.25" customHeight="1" x14ac:dyDescent="0.4"/>
    <row r="403" ht="23.25" customHeight="1" x14ac:dyDescent="0.4"/>
    <row r="404" ht="23.25" customHeight="1" x14ac:dyDescent="0.4"/>
    <row r="405" ht="23.25" customHeight="1" x14ac:dyDescent="0.4"/>
    <row r="406" ht="23.25" customHeight="1" x14ac:dyDescent="0.4"/>
    <row r="407" ht="23.25" customHeight="1" x14ac:dyDescent="0.4"/>
    <row r="408" ht="23.25" customHeight="1" x14ac:dyDescent="0.4"/>
    <row r="409" ht="23.25" customHeight="1" x14ac:dyDescent="0.4"/>
    <row r="410" ht="23.25" customHeight="1" x14ac:dyDescent="0.4"/>
    <row r="411" ht="23.25" customHeight="1" x14ac:dyDescent="0.4"/>
    <row r="412" ht="23.25" customHeight="1" x14ac:dyDescent="0.4"/>
    <row r="413" ht="23.25" customHeight="1" x14ac:dyDescent="0.4"/>
    <row r="414" ht="23.25" customHeight="1" x14ac:dyDescent="0.4"/>
    <row r="415" ht="23.25" customHeight="1" x14ac:dyDescent="0.4"/>
    <row r="416" ht="23.25" customHeight="1" x14ac:dyDescent="0.4"/>
    <row r="417" ht="23.25" customHeight="1" x14ac:dyDescent="0.4"/>
    <row r="418" ht="23.25" customHeight="1" x14ac:dyDescent="0.4"/>
    <row r="419" ht="23.25" customHeight="1" x14ac:dyDescent="0.4"/>
    <row r="420" ht="23.25" customHeight="1" x14ac:dyDescent="0.4"/>
    <row r="421" ht="23.25" customHeight="1" x14ac:dyDescent="0.4"/>
    <row r="422" ht="23.25" customHeight="1" x14ac:dyDescent="0.4"/>
    <row r="423" ht="23.25" customHeight="1" x14ac:dyDescent="0.4"/>
    <row r="424" ht="23.25" customHeight="1" x14ac:dyDescent="0.4"/>
    <row r="425" ht="23.25" customHeight="1" x14ac:dyDescent="0.4"/>
    <row r="426" ht="23.25" customHeight="1" x14ac:dyDescent="0.4"/>
    <row r="427" ht="23.25" customHeight="1" x14ac:dyDescent="0.4"/>
    <row r="428" ht="23.25" customHeight="1" x14ac:dyDescent="0.4"/>
    <row r="429" ht="23.25" customHeight="1" x14ac:dyDescent="0.4"/>
    <row r="430" ht="23.25" customHeight="1" x14ac:dyDescent="0.4"/>
    <row r="431" ht="23.25" customHeight="1" x14ac:dyDescent="0.4"/>
    <row r="432" ht="23.25" customHeight="1" x14ac:dyDescent="0.4"/>
    <row r="433" ht="23.25" customHeight="1" x14ac:dyDescent="0.4"/>
    <row r="434" ht="23.25" customHeight="1" x14ac:dyDescent="0.4"/>
    <row r="435" ht="23.25" customHeight="1" x14ac:dyDescent="0.4"/>
    <row r="436" ht="23.25" customHeight="1" x14ac:dyDescent="0.4"/>
    <row r="437" ht="23.25" customHeight="1" x14ac:dyDescent="0.4"/>
    <row r="438" ht="23.25" customHeight="1" x14ac:dyDescent="0.4"/>
    <row r="439" ht="23.25" customHeight="1" x14ac:dyDescent="0.4"/>
    <row r="440" ht="23.25" customHeight="1" x14ac:dyDescent="0.4"/>
    <row r="441" ht="23.25" customHeight="1" x14ac:dyDescent="0.4"/>
    <row r="442" ht="23.25" customHeight="1" x14ac:dyDescent="0.4"/>
    <row r="443" ht="23.25" customHeight="1" x14ac:dyDescent="0.4"/>
    <row r="444" ht="23.25" customHeight="1" x14ac:dyDescent="0.4"/>
    <row r="445" ht="23.25" customHeight="1" x14ac:dyDescent="0.4"/>
    <row r="446" ht="23.25" customHeight="1" x14ac:dyDescent="0.4"/>
    <row r="447" ht="23.25" customHeight="1" x14ac:dyDescent="0.4"/>
    <row r="448" ht="23.25" customHeight="1" x14ac:dyDescent="0.4"/>
    <row r="449" ht="23.25" customHeight="1" x14ac:dyDescent="0.4"/>
    <row r="450" ht="23.25" customHeight="1" x14ac:dyDescent="0.4"/>
    <row r="451" ht="23.25" customHeight="1" x14ac:dyDescent="0.4"/>
    <row r="452" ht="23.25" customHeight="1" x14ac:dyDescent="0.4"/>
    <row r="453" ht="23.25" customHeight="1" x14ac:dyDescent="0.4"/>
    <row r="454" ht="23.25" customHeight="1" x14ac:dyDescent="0.4"/>
    <row r="455" ht="23.25" customHeight="1" x14ac:dyDescent="0.4"/>
    <row r="456" ht="23.25" customHeight="1" x14ac:dyDescent="0.4"/>
    <row r="457" ht="23.25" customHeight="1" x14ac:dyDescent="0.4"/>
    <row r="458" ht="23.25" customHeight="1" x14ac:dyDescent="0.4"/>
    <row r="459" ht="23.25" customHeight="1" x14ac:dyDescent="0.4"/>
    <row r="460" ht="23.25" customHeight="1" x14ac:dyDescent="0.4"/>
    <row r="461" ht="23.25" customHeight="1" x14ac:dyDescent="0.4"/>
    <row r="462" ht="23.25" customHeight="1" x14ac:dyDescent="0.4"/>
    <row r="463" ht="23.25" customHeight="1" x14ac:dyDescent="0.4"/>
    <row r="464" ht="23.25" customHeight="1" x14ac:dyDescent="0.4"/>
    <row r="465" ht="23.25" customHeight="1" x14ac:dyDescent="0.4"/>
    <row r="466" ht="23.25" customHeight="1" x14ac:dyDescent="0.4"/>
    <row r="467" ht="23.25" customHeight="1" x14ac:dyDescent="0.4"/>
    <row r="468" ht="23.25" customHeight="1" x14ac:dyDescent="0.4"/>
    <row r="469" ht="23.25" customHeight="1" x14ac:dyDescent="0.4"/>
    <row r="470" ht="23.25" customHeight="1" x14ac:dyDescent="0.4"/>
    <row r="471" ht="23.25" customHeight="1" x14ac:dyDescent="0.4"/>
    <row r="472" ht="23.25" customHeight="1" x14ac:dyDescent="0.4"/>
    <row r="473" ht="23.25" customHeight="1" x14ac:dyDescent="0.4"/>
    <row r="474" ht="23.25" customHeight="1" x14ac:dyDescent="0.4"/>
    <row r="475" ht="23.25" customHeight="1" x14ac:dyDescent="0.4"/>
    <row r="476" ht="23.25" customHeight="1" x14ac:dyDescent="0.4"/>
    <row r="477" ht="23.25" customHeight="1" x14ac:dyDescent="0.4"/>
    <row r="478" ht="23.25" customHeight="1" x14ac:dyDescent="0.4"/>
    <row r="479" ht="23.25" customHeight="1" x14ac:dyDescent="0.4"/>
    <row r="480" ht="23.25" customHeight="1" x14ac:dyDescent="0.4"/>
    <row r="481" ht="23.25" customHeight="1" x14ac:dyDescent="0.4"/>
    <row r="482" ht="23.25" customHeight="1" x14ac:dyDescent="0.4"/>
    <row r="483" ht="23.25" customHeight="1" x14ac:dyDescent="0.4"/>
    <row r="484" ht="23.25" customHeight="1" x14ac:dyDescent="0.4"/>
    <row r="485" ht="23.25" customHeight="1" x14ac:dyDescent="0.4"/>
    <row r="486" ht="23.25" customHeight="1" x14ac:dyDescent="0.4"/>
    <row r="487" ht="23.25" customHeight="1" x14ac:dyDescent="0.4"/>
    <row r="488" ht="23.25" customHeight="1" x14ac:dyDescent="0.4"/>
    <row r="489" ht="23.25" customHeight="1" x14ac:dyDescent="0.4"/>
    <row r="490" ht="23.25" customHeight="1" x14ac:dyDescent="0.4"/>
    <row r="491" ht="23.25" customHeight="1" x14ac:dyDescent="0.4"/>
    <row r="492" ht="23.25" customHeight="1" x14ac:dyDescent="0.4"/>
    <row r="493" ht="23.25" customHeight="1" x14ac:dyDescent="0.4"/>
    <row r="494" ht="23.25" customHeight="1" x14ac:dyDescent="0.4"/>
    <row r="495" ht="23.25" customHeight="1" x14ac:dyDescent="0.4"/>
    <row r="496" ht="23.25" customHeight="1" x14ac:dyDescent="0.4"/>
    <row r="497" ht="23.25" customHeight="1" x14ac:dyDescent="0.4"/>
    <row r="498" ht="23.25" customHeight="1" x14ac:dyDescent="0.4"/>
    <row r="499" ht="23.25" customHeight="1" x14ac:dyDescent="0.4"/>
    <row r="500" ht="23.25" customHeight="1" x14ac:dyDescent="0.4"/>
    <row r="501" ht="23.25" customHeight="1" x14ac:dyDescent="0.4"/>
    <row r="502" ht="23.25" customHeight="1" x14ac:dyDescent="0.4"/>
    <row r="503" ht="23.25" customHeight="1" x14ac:dyDescent="0.4"/>
    <row r="504" ht="23.25" customHeight="1" x14ac:dyDescent="0.4"/>
    <row r="505" ht="23.25" customHeight="1" x14ac:dyDescent="0.4"/>
    <row r="506" ht="23.25" customHeight="1" x14ac:dyDescent="0.4"/>
    <row r="507" ht="23.25" customHeight="1" x14ac:dyDescent="0.4"/>
    <row r="508" ht="23.25" customHeight="1" x14ac:dyDescent="0.4"/>
    <row r="509" ht="23.25" customHeight="1" x14ac:dyDescent="0.4"/>
    <row r="510" ht="23.25" customHeight="1" x14ac:dyDescent="0.4"/>
    <row r="511" ht="23.25" customHeight="1" x14ac:dyDescent="0.4"/>
    <row r="512" ht="23.25" customHeight="1" x14ac:dyDescent="0.4"/>
    <row r="513" ht="23.25" customHeight="1" x14ac:dyDescent="0.4"/>
    <row r="514" ht="23.25" customHeight="1" x14ac:dyDescent="0.4"/>
    <row r="515" ht="23.25" customHeight="1" x14ac:dyDescent="0.4"/>
    <row r="516" ht="23.25" customHeight="1" x14ac:dyDescent="0.4"/>
    <row r="517" ht="23.25" customHeight="1" x14ac:dyDescent="0.4"/>
    <row r="518" ht="23.25" customHeight="1" x14ac:dyDescent="0.4"/>
    <row r="519" ht="23.25" customHeight="1" x14ac:dyDescent="0.4"/>
    <row r="520" ht="23.25" customHeight="1" x14ac:dyDescent="0.4"/>
    <row r="521" ht="23.25" customHeight="1" x14ac:dyDescent="0.4"/>
    <row r="522" ht="23.25" customHeight="1" x14ac:dyDescent="0.4"/>
    <row r="523" ht="23.25" customHeight="1" x14ac:dyDescent="0.4"/>
    <row r="524" ht="23.25" customHeight="1" x14ac:dyDescent="0.4"/>
    <row r="525" ht="23.25" customHeight="1" x14ac:dyDescent="0.4"/>
    <row r="526" ht="23.25" customHeight="1" x14ac:dyDescent="0.4"/>
    <row r="527" ht="23.25" customHeight="1" x14ac:dyDescent="0.4"/>
    <row r="528" ht="23.25" customHeight="1" x14ac:dyDescent="0.4"/>
    <row r="529" ht="23.25" customHeight="1" x14ac:dyDescent="0.4"/>
    <row r="530" ht="23.25" customHeight="1" x14ac:dyDescent="0.4"/>
    <row r="531" ht="23.25" customHeight="1" x14ac:dyDescent="0.4"/>
    <row r="532" ht="23.25" customHeight="1" x14ac:dyDescent="0.4"/>
    <row r="533" ht="23.25" customHeight="1" x14ac:dyDescent="0.4"/>
    <row r="534" ht="23.25" customHeight="1" x14ac:dyDescent="0.4"/>
    <row r="535" ht="23.25" customHeight="1" x14ac:dyDescent="0.4"/>
    <row r="536" ht="23.25" customHeight="1" x14ac:dyDescent="0.4"/>
    <row r="537" ht="23.25" customHeight="1" x14ac:dyDescent="0.4"/>
    <row r="538" ht="23.25" customHeight="1" x14ac:dyDescent="0.4"/>
    <row r="539" ht="23.25" customHeight="1" x14ac:dyDescent="0.4"/>
    <row r="540" ht="23.25" customHeight="1" x14ac:dyDescent="0.4"/>
    <row r="541" ht="23.25" customHeight="1" x14ac:dyDescent="0.4"/>
    <row r="542" ht="23.25" customHeight="1" x14ac:dyDescent="0.4"/>
    <row r="543" ht="23.25" customHeight="1" x14ac:dyDescent="0.4"/>
    <row r="544" ht="23.25" customHeight="1" x14ac:dyDescent="0.4"/>
    <row r="545" ht="23.25" customHeight="1" x14ac:dyDescent="0.4"/>
    <row r="546" ht="23.25" customHeight="1" x14ac:dyDescent="0.4"/>
    <row r="547" ht="23.25" customHeight="1" x14ac:dyDescent="0.4"/>
    <row r="548" ht="23.25" customHeight="1" x14ac:dyDescent="0.4"/>
    <row r="549" ht="23.25" customHeight="1" x14ac:dyDescent="0.4"/>
    <row r="550" ht="23.25" customHeight="1" x14ac:dyDescent="0.4"/>
    <row r="551" ht="23.25" customHeight="1" x14ac:dyDescent="0.4"/>
    <row r="552" ht="23.25" customHeight="1" x14ac:dyDescent="0.4"/>
    <row r="553" ht="23.25" customHeight="1" x14ac:dyDescent="0.4"/>
    <row r="554" ht="23.25" customHeight="1" x14ac:dyDescent="0.4"/>
    <row r="555" ht="23.25" customHeight="1" x14ac:dyDescent="0.4"/>
    <row r="556" ht="23.25" customHeight="1" x14ac:dyDescent="0.4"/>
    <row r="557" ht="23.25" customHeight="1" x14ac:dyDescent="0.4"/>
    <row r="558" ht="23.25" customHeight="1" x14ac:dyDescent="0.4"/>
    <row r="559" ht="23.25" customHeight="1" x14ac:dyDescent="0.4"/>
    <row r="560" ht="23.25" customHeight="1" x14ac:dyDescent="0.4"/>
    <row r="561" ht="23.25" customHeight="1" x14ac:dyDescent="0.4"/>
    <row r="562" ht="23.25" customHeight="1" x14ac:dyDescent="0.4"/>
    <row r="563" ht="23.25" customHeight="1" x14ac:dyDescent="0.4"/>
    <row r="564" ht="23.25" customHeight="1" x14ac:dyDescent="0.4"/>
    <row r="565" ht="23.25" customHeight="1" x14ac:dyDescent="0.4"/>
    <row r="566" ht="23.25" customHeight="1" x14ac:dyDescent="0.4"/>
    <row r="567" ht="23.25" customHeight="1" x14ac:dyDescent="0.4"/>
    <row r="568" ht="23.25" customHeight="1" x14ac:dyDescent="0.4"/>
    <row r="569" ht="23.25" customHeight="1" x14ac:dyDescent="0.4"/>
    <row r="570" ht="23.25" customHeight="1" x14ac:dyDescent="0.4"/>
    <row r="571" ht="23.25" customHeight="1" x14ac:dyDescent="0.4"/>
    <row r="572" ht="23.25" customHeight="1" x14ac:dyDescent="0.4"/>
    <row r="573" ht="23.25" customHeight="1" x14ac:dyDescent="0.4"/>
    <row r="574" ht="23.25" customHeight="1" x14ac:dyDescent="0.4"/>
    <row r="575" ht="23.25" customHeight="1" x14ac:dyDescent="0.4"/>
    <row r="576" ht="23.25" customHeight="1" x14ac:dyDescent="0.4"/>
    <row r="577" ht="23.25" customHeight="1" x14ac:dyDescent="0.4"/>
    <row r="578" ht="23.25" customHeight="1" x14ac:dyDescent="0.4"/>
    <row r="579" ht="23.25" customHeight="1" x14ac:dyDescent="0.4"/>
    <row r="580" ht="23.25" customHeight="1" x14ac:dyDescent="0.4"/>
    <row r="581" ht="23.25" customHeight="1" x14ac:dyDescent="0.4"/>
    <row r="582" ht="23.25" customHeight="1" x14ac:dyDescent="0.4"/>
    <row r="583" ht="23.25" customHeight="1" x14ac:dyDescent="0.4"/>
    <row r="584" ht="23.25" customHeight="1" x14ac:dyDescent="0.4"/>
    <row r="585" ht="23.25" customHeight="1" x14ac:dyDescent="0.4"/>
    <row r="586" ht="23.25" customHeight="1" x14ac:dyDescent="0.4"/>
    <row r="587" ht="23.25" customHeight="1" x14ac:dyDescent="0.4"/>
    <row r="588" ht="23.25" customHeight="1" x14ac:dyDescent="0.4"/>
    <row r="589" ht="23.25" customHeight="1" x14ac:dyDescent="0.4"/>
    <row r="590" ht="23.25" customHeight="1" x14ac:dyDescent="0.4"/>
    <row r="591" ht="23.25" customHeight="1" x14ac:dyDescent="0.4"/>
    <row r="592" ht="23.25" customHeight="1" x14ac:dyDescent="0.4"/>
    <row r="593" ht="23.25" customHeight="1" x14ac:dyDescent="0.4"/>
    <row r="594" ht="23.25" customHeight="1" x14ac:dyDescent="0.4"/>
    <row r="595" ht="23.25" customHeight="1" x14ac:dyDescent="0.4"/>
    <row r="596" ht="23.25" customHeight="1" x14ac:dyDescent="0.4"/>
    <row r="597" ht="23.25" customHeight="1" x14ac:dyDescent="0.4"/>
    <row r="598" ht="23.25" customHeight="1" x14ac:dyDescent="0.4"/>
    <row r="599" ht="23.25" customHeight="1" x14ac:dyDescent="0.4"/>
    <row r="600" ht="23.25" customHeight="1" x14ac:dyDescent="0.4"/>
    <row r="601" ht="23.25" customHeight="1" x14ac:dyDescent="0.4"/>
    <row r="602" ht="23.25" customHeight="1" x14ac:dyDescent="0.4"/>
    <row r="603" ht="23.25" customHeight="1" x14ac:dyDescent="0.4"/>
    <row r="604" ht="23.25" customHeight="1" x14ac:dyDescent="0.4"/>
    <row r="605" ht="23.25" customHeight="1" x14ac:dyDescent="0.4"/>
    <row r="606" ht="23.25" customHeight="1" x14ac:dyDescent="0.4"/>
    <row r="607" ht="23.25" customHeight="1" x14ac:dyDescent="0.4"/>
    <row r="608" ht="23.25" customHeight="1" x14ac:dyDescent="0.4"/>
    <row r="609" ht="23.25" customHeight="1" x14ac:dyDescent="0.4"/>
    <row r="610" ht="23.25" customHeight="1" x14ac:dyDescent="0.4"/>
    <row r="611" ht="23.25" customHeight="1" x14ac:dyDescent="0.4"/>
    <row r="612" ht="23.25" customHeight="1" x14ac:dyDescent="0.4"/>
    <row r="613" ht="23.25" customHeight="1" x14ac:dyDescent="0.4"/>
    <row r="614" ht="23.25" customHeight="1" x14ac:dyDescent="0.4"/>
    <row r="615" ht="23.25" customHeight="1" x14ac:dyDescent="0.4"/>
    <row r="616" ht="23.25" customHeight="1" x14ac:dyDescent="0.4"/>
    <row r="617" ht="23.25" customHeight="1" x14ac:dyDescent="0.4"/>
    <row r="618" ht="23.25" customHeight="1" x14ac:dyDescent="0.4"/>
    <row r="619" ht="23.25" customHeight="1" x14ac:dyDescent="0.4"/>
    <row r="620" ht="23.25" customHeight="1" x14ac:dyDescent="0.4"/>
    <row r="621" ht="23.25" customHeight="1" x14ac:dyDescent="0.4"/>
    <row r="622" ht="23.25" customHeight="1" x14ac:dyDescent="0.4"/>
    <row r="623" ht="23.25" customHeight="1" x14ac:dyDescent="0.4"/>
    <row r="624" ht="23.25" customHeight="1" x14ac:dyDescent="0.4"/>
    <row r="625" ht="23.25" customHeight="1" x14ac:dyDescent="0.4"/>
    <row r="626" ht="23.25" customHeight="1" x14ac:dyDescent="0.4"/>
    <row r="627" ht="23.25" customHeight="1" x14ac:dyDescent="0.4"/>
    <row r="628" ht="23.25" customHeight="1" x14ac:dyDescent="0.4"/>
    <row r="629" ht="23.25" customHeight="1" x14ac:dyDescent="0.4"/>
    <row r="630" ht="23.25" customHeight="1" x14ac:dyDescent="0.4"/>
    <row r="631" ht="23.25" customHeight="1" x14ac:dyDescent="0.4"/>
    <row r="632" ht="23.25" customHeight="1" x14ac:dyDescent="0.4"/>
    <row r="633" ht="23.25" customHeight="1" x14ac:dyDescent="0.4"/>
    <row r="634" ht="23.25" customHeight="1" x14ac:dyDescent="0.4"/>
    <row r="635" ht="23.25" customHeight="1" x14ac:dyDescent="0.4"/>
    <row r="636" ht="23.25" customHeight="1" x14ac:dyDescent="0.4"/>
    <row r="637" ht="23.25" customHeight="1" x14ac:dyDescent="0.4"/>
    <row r="638" ht="23.25" customHeight="1" x14ac:dyDescent="0.4"/>
    <row r="639" ht="23.25" customHeight="1" x14ac:dyDescent="0.4"/>
    <row r="640" ht="23.25" customHeight="1" x14ac:dyDescent="0.4"/>
    <row r="641" ht="23.25" customHeight="1" x14ac:dyDescent="0.4"/>
    <row r="642" ht="23.25" customHeight="1" x14ac:dyDescent="0.4"/>
    <row r="643" ht="23.25" customHeight="1" x14ac:dyDescent="0.4"/>
    <row r="644" ht="23.25" customHeight="1" x14ac:dyDescent="0.4"/>
    <row r="645" ht="23.25" customHeight="1" x14ac:dyDescent="0.4"/>
    <row r="646" ht="23.25" customHeight="1" x14ac:dyDescent="0.4"/>
    <row r="647" ht="23.25" customHeight="1" x14ac:dyDescent="0.4"/>
    <row r="648" ht="23.25" customHeight="1" x14ac:dyDescent="0.4"/>
    <row r="649" ht="23.25" customHeight="1" x14ac:dyDescent="0.4"/>
    <row r="650" ht="23.25" customHeight="1" x14ac:dyDescent="0.4"/>
    <row r="651" ht="23.25" customHeight="1" x14ac:dyDescent="0.4"/>
    <row r="652" ht="23.25" customHeight="1" x14ac:dyDescent="0.4"/>
    <row r="653" ht="23.25" customHeight="1" x14ac:dyDescent="0.4"/>
    <row r="654" ht="23.25" customHeight="1" x14ac:dyDescent="0.4"/>
    <row r="655" ht="23.25" customHeight="1" x14ac:dyDescent="0.4"/>
    <row r="656" ht="23.25" customHeight="1" x14ac:dyDescent="0.4"/>
    <row r="657" ht="23.25" customHeight="1" x14ac:dyDescent="0.4"/>
    <row r="658" ht="23.25" customHeight="1" x14ac:dyDescent="0.4"/>
    <row r="659" ht="23.25" customHeight="1" x14ac:dyDescent="0.4"/>
    <row r="660" ht="23.25" customHeight="1" x14ac:dyDescent="0.4"/>
    <row r="661" ht="23.25" customHeight="1" x14ac:dyDescent="0.4"/>
    <row r="662" ht="23.25" customHeight="1" x14ac:dyDescent="0.4"/>
    <row r="663" ht="23.25" customHeight="1" x14ac:dyDescent="0.4"/>
    <row r="664" ht="23.25" customHeight="1" x14ac:dyDescent="0.4"/>
    <row r="665" ht="23.25" customHeight="1" x14ac:dyDescent="0.4"/>
    <row r="666" ht="23.25" customHeight="1" x14ac:dyDescent="0.4"/>
    <row r="667" ht="23.25" customHeight="1" x14ac:dyDescent="0.4"/>
    <row r="668" ht="23.25" customHeight="1" x14ac:dyDescent="0.4"/>
    <row r="669" ht="23.25" customHeight="1" x14ac:dyDescent="0.4"/>
    <row r="670" ht="23.25" customHeight="1" x14ac:dyDescent="0.4"/>
    <row r="671" ht="23.25" customHeight="1" x14ac:dyDescent="0.4"/>
    <row r="672" ht="23.25" customHeight="1" x14ac:dyDescent="0.4"/>
    <row r="673" ht="23.25" customHeight="1" x14ac:dyDescent="0.4"/>
    <row r="674" ht="23.25" customHeight="1" x14ac:dyDescent="0.4"/>
    <row r="675" ht="23.25" customHeight="1" x14ac:dyDescent="0.4"/>
    <row r="676" ht="23.25" customHeight="1" x14ac:dyDescent="0.4"/>
    <row r="677" ht="23.25" customHeight="1" x14ac:dyDescent="0.4"/>
    <row r="678" ht="23.25" customHeight="1" x14ac:dyDescent="0.4"/>
    <row r="679" ht="23.25" customHeight="1" x14ac:dyDescent="0.4"/>
    <row r="680" ht="23.25" customHeight="1" x14ac:dyDescent="0.4"/>
    <row r="681" ht="23.25" customHeight="1" x14ac:dyDescent="0.4"/>
    <row r="682" ht="23.25" customHeight="1" x14ac:dyDescent="0.4"/>
    <row r="683" ht="23.25" customHeight="1" x14ac:dyDescent="0.4"/>
    <row r="684" ht="23.25" customHeight="1" x14ac:dyDescent="0.4"/>
    <row r="685" ht="23.25" customHeight="1" x14ac:dyDescent="0.4"/>
    <row r="686" ht="23.25" customHeight="1" x14ac:dyDescent="0.4"/>
    <row r="687" ht="23.25" customHeight="1" x14ac:dyDescent="0.4"/>
    <row r="688" ht="23.25" customHeight="1" x14ac:dyDescent="0.4"/>
    <row r="689" ht="23.25" customHeight="1" x14ac:dyDescent="0.4"/>
    <row r="690" ht="23.25" customHeight="1" x14ac:dyDescent="0.4"/>
    <row r="691" ht="23.25" customHeight="1" x14ac:dyDescent="0.4"/>
    <row r="692" ht="23.25" customHeight="1" x14ac:dyDescent="0.4"/>
    <row r="693" ht="23.25" customHeight="1" x14ac:dyDescent="0.4"/>
    <row r="694" ht="23.25" customHeight="1" x14ac:dyDescent="0.4"/>
    <row r="695" ht="23.25" customHeight="1" x14ac:dyDescent="0.4"/>
    <row r="696" ht="23.25" customHeight="1" x14ac:dyDescent="0.4"/>
    <row r="697" ht="23.25" customHeight="1" x14ac:dyDescent="0.4"/>
    <row r="698" ht="23.25" customHeight="1" x14ac:dyDescent="0.4"/>
    <row r="699" ht="23.25" customHeight="1" x14ac:dyDescent="0.4"/>
    <row r="700" ht="23.25" customHeight="1" x14ac:dyDescent="0.4"/>
    <row r="701" ht="23.25" customHeight="1" x14ac:dyDescent="0.4"/>
    <row r="702" ht="23.25" customHeight="1" x14ac:dyDescent="0.4"/>
    <row r="703" ht="23.25" customHeight="1" x14ac:dyDescent="0.4"/>
    <row r="704" ht="23.25" customHeight="1" x14ac:dyDescent="0.4"/>
    <row r="705" ht="23.25" customHeight="1" x14ac:dyDescent="0.4"/>
    <row r="706" ht="23.25" customHeight="1" x14ac:dyDescent="0.4"/>
    <row r="707" ht="23.25" customHeight="1" x14ac:dyDescent="0.4"/>
    <row r="708" ht="23.25" customHeight="1" x14ac:dyDescent="0.4"/>
    <row r="709" ht="23.25" customHeight="1" x14ac:dyDescent="0.4"/>
    <row r="710" ht="23.25" customHeight="1" x14ac:dyDescent="0.4"/>
    <row r="711" ht="23.25" customHeight="1" x14ac:dyDescent="0.4"/>
    <row r="712" ht="23.25" customHeight="1" x14ac:dyDescent="0.4"/>
    <row r="713" ht="23.25" customHeight="1" x14ac:dyDescent="0.4"/>
    <row r="714" ht="23.25" customHeight="1" x14ac:dyDescent="0.4"/>
    <row r="715" ht="23.25" customHeight="1" x14ac:dyDescent="0.4"/>
    <row r="716" ht="23.25" customHeight="1" x14ac:dyDescent="0.4"/>
    <row r="717" ht="23.25" customHeight="1" x14ac:dyDescent="0.4"/>
    <row r="718" ht="23.25" customHeight="1" x14ac:dyDescent="0.4"/>
    <row r="719" ht="23.25" customHeight="1" x14ac:dyDescent="0.4"/>
    <row r="720" ht="23.25" customHeight="1" x14ac:dyDescent="0.4"/>
    <row r="721" ht="23.25" customHeight="1" x14ac:dyDescent="0.4"/>
    <row r="722" ht="23.25" customHeight="1" x14ac:dyDescent="0.4"/>
    <row r="723" ht="23.25" customHeight="1" x14ac:dyDescent="0.4"/>
    <row r="724" ht="23.25" customHeight="1" x14ac:dyDescent="0.4"/>
    <row r="725" ht="23.25" customHeight="1" x14ac:dyDescent="0.4"/>
    <row r="726" ht="23.25" customHeight="1" x14ac:dyDescent="0.4"/>
    <row r="727" ht="23.25" customHeight="1" x14ac:dyDescent="0.4"/>
    <row r="728" ht="23.25" customHeight="1" x14ac:dyDescent="0.4"/>
    <row r="729" ht="23.25" customHeight="1" x14ac:dyDescent="0.4"/>
    <row r="730" ht="23.25" customHeight="1" x14ac:dyDescent="0.4"/>
    <row r="731" ht="23.25" customHeight="1" x14ac:dyDescent="0.4"/>
    <row r="732" ht="23.25" customHeight="1" x14ac:dyDescent="0.4"/>
    <row r="733" ht="23.25" customHeight="1" x14ac:dyDescent="0.4"/>
    <row r="734" ht="23.25" customHeight="1" x14ac:dyDescent="0.4"/>
    <row r="735" ht="23.25" customHeight="1" x14ac:dyDescent="0.4"/>
    <row r="736" ht="23.25" customHeight="1" x14ac:dyDescent="0.4"/>
    <row r="737" ht="23.25" customHeight="1" x14ac:dyDescent="0.4"/>
    <row r="738" ht="23.25" customHeight="1" x14ac:dyDescent="0.4"/>
    <row r="739" ht="23.25" customHeight="1" x14ac:dyDescent="0.4"/>
    <row r="740" ht="23.25" customHeight="1" x14ac:dyDescent="0.4"/>
    <row r="741" ht="23.25" customHeight="1" x14ac:dyDescent="0.4"/>
    <row r="742" ht="23.25" customHeight="1" x14ac:dyDescent="0.4"/>
    <row r="743" ht="23.25" customHeight="1" x14ac:dyDescent="0.4"/>
    <row r="744" ht="23.25" customHeight="1" x14ac:dyDescent="0.4"/>
    <row r="745" ht="23.25" customHeight="1" x14ac:dyDescent="0.4"/>
    <row r="746" ht="23.25" customHeight="1" x14ac:dyDescent="0.4"/>
    <row r="747" ht="23.25" customHeight="1" x14ac:dyDescent="0.4"/>
    <row r="748" ht="23.25" customHeight="1" x14ac:dyDescent="0.4"/>
    <row r="749" ht="23.25" customHeight="1" x14ac:dyDescent="0.4"/>
    <row r="750" ht="23.25" customHeight="1" x14ac:dyDescent="0.4"/>
    <row r="751" ht="23.25" customHeight="1" x14ac:dyDescent="0.4"/>
    <row r="752" ht="23.25" customHeight="1" x14ac:dyDescent="0.4"/>
    <row r="753" ht="23.25" customHeight="1" x14ac:dyDescent="0.4"/>
    <row r="754" ht="23.25" customHeight="1" x14ac:dyDescent="0.4"/>
    <row r="755" ht="23.25" customHeight="1" x14ac:dyDescent="0.4"/>
    <row r="756" ht="23.25" customHeight="1" x14ac:dyDescent="0.4"/>
    <row r="757" ht="23.25" customHeight="1" x14ac:dyDescent="0.4"/>
    <row r="758" ht="23.25" customHeight="1" x14ac:dyDescent="0.4"/>
    <row r="759" ht="23.25" customHeight="1" x14ac:dyDescent="0.4"/>
    <row r="760" ht="23.25" customHeight="1" x14ac:dyDescent="0.4"/>
    <row r="761" ht="23.25" customHeight="1" x14ac:dyDescent="0.4"/>
    <row r="762" ht="23.25" customHeight="1" x14ac:dyDescent="0.4"/>
    <row r="763" ht="23.25" customHeight="1" x14ac:dyDescent="0.4"/>
    <row r="764" ht="23.25" customHeight="1" x14ac:dyDescent="0.4"/>
    <row r="765" ht="23.25" customHeight="1" x14ac:dyDescent="0.4"/>
    <row r="766" ht="23.25" customHeight="1" x14ac:dyDescent="0.4"/>
    <row r="767" ht="23.25" customHeight="1" x14ac:dyDescent="0.4"/>
    <row r="768" ht="23.25" customHeight="1" x14ac:dyDescent="0.4"/>
    <row r="769" ht="23.25" customHeight="1" x14ac:dyDescent="0.4"/>
    <row r="770" ht="23.25" customHeight="1" x14ac:dyDescent="0.4"/>
    <row r="771" ht="23.25" customHeight="1" x14ac:dyDescent="0.4"/>
    <row r="772" ht="23.25" customHeight="1" x14ac:dyDescent="0.4"/>
    <row r="773" ht="23.25" customHeight="1" x14ac:dyDescent="0.4"/>
    <row r="774" ht="23.25" customHeight="1" x14ac:dyDescent="0.4"/>
    <row r="775" ht="23.25" customHeight="1" x14ac:dyDescent="0.4"/>
    <row r="776" ht="23.25" customHeight="1" x14ac:dyDescent="0.4"/>
    <row r="777" ht="23.25" customHeight="1" x14ac:dyDescent="0.4"/>
    <row r="778" ht="23.25" customHeight="1" x14ac:dyDescent="0.4"/>
    <row r="779" ht="23.25" customHeight="1" x14ac:dyDescent="0.4"/>
    <row r="780" ht="23.25" customHeight="1" x14ac:dyDescent="0.4"/>
    <row r="781" ht="23.25" customHeight="1" x14ac:dyDescent="0.4"/>
    <row r="782" ht="23.25" customHeight="1" x14ac:dyDescent="0.4"/>
    <row r="783" ht="23.25" customHeight="1" x14ac:dyDescent="0.4"/>
    <row r="784" ht="23.25" customHeight="1" x14ac:dyDescent="0.4"/>
    <row r="785" ht="23.25" customHeight="1" x14ac:dyDescent="0.4"/>
    <row r="786" ht="23.25" customHeight="1" x14ac:dyDescent="0.4"/>
    <row r="787" ht="23.25" customHeight="1" x14ac:dyDescent="0.4"/>
    <row r="788" ht="23.25" customHeight="1" x14ac:dyDescent="0.4"/>
    <row r="789" ht="23.25" customHeight="1" x14ac:dyDescent="0.4"/>
    <row r="790" ht="23.25" customHeight="1" x14ac:dyDescent="0.4"/>
    <row r="791" ht="23.25" customHeight="1" x14ac:dyDescent="0.4"/>
    <row r="792" ht="23.25" customHeight="1" x14ac:dyDescent="0.4"/>
    <row r="793" ht="23.25" customHeight="1" x14ac:dyDescent="0.4"/>
    <row r="794" ht="23.25" customHeight="1" x14ac:dyDescent="0.4"/>
    <row r="795" ht="23.25" customHeight="1" x14ac:dyDescent="0.4"/>
    <row r="796" ht="23.25" customHeight="1" x14ac:dyDescent="0.4"/>
    <row r="797" ht="23.25" customHeight="1" x14ac:dyDescent="0.4"/>
    <row r="798" ht="23.25" customHeight="1" x14ac:dyDescent="0.4"/>
    <row r="799" ht="23.25" customHeight="1" x14ac:dyDescent="0.4"/>
    <row r="800" ht="23.25" customHeight="1" x14ac:dyDescent="0.4"/>
    <row r="801" ht="23.25" customHeight="1" x14ac:dyDescent="0.4"/>
    <row r="802" ht="23.25" customHeight="1" x14ac:dyDescent="0.4"/>
    <row r="803" ht="23.25" customHeight="1" x14ac:dyDescent="0.4"/>
    <row r="804" ht="23.25" customHeight="1" x14ac:dyDescent="0.4"/>
    <row r="805" ht="23.25" customHeight="1" x14ac:dyDescent="0.4"/>
    <row r="806" ht="23.25" customHeight="1" x14ac:dyDescent="0.4"/>
    <row r="807" ht="23.25" customHeight="1" x14ac:dyDescent="0.4"/>
    <row r="808" ht="23.25" customHeight="1" x14ac:dyDescent="0.4"/>
    <row r="809" ht="23.25" customHeight="1" x14ac:dyDescent="0.4"/>
    <row r="810" ht="23.25" customHeight="1" x14ac:dyDescent="0.4"/>
    <row r="811" ht="23.25" customHeight="1" x14ac:dyDescent="0.4"/>
    <row r="812" ht="23.25" customHeight="1" x14ac:dyDescent="0.4"/>
    <row r="813" ht="23.25" customHeight="1" x14ac:dyDescent="0.4"/>
    <row r="814" ht="23.25" customHeight="1" x14ac:dyDescent="0.4"/>
    <row r="815" ht="23.25" customHeight="1" x14ac:dyDescent="0.4"/>
    <row r="816" ht="23.25" customHeight="1" x14ac:dyDescent="0.4"/>
    <row r="817" ht="23.25" customHeight="1" x14ac:dyDescent="0.4"/>
    <row r="818" ht="23.25" customHeight="1" x14ac:dyDescent="0.4"/>
    <row r="819" ht="23.25" customHeight="1" x14ac:dyDescent="0.4"/>
    <row r="820" ht="23.25" customHeight="1" x14ac:dyDescent="0.4"/>
    <row r="821" ht="23.25" customHeight="1" x14ac:dyDescent="0.4"/>
    <row r="822" ht="23.25" customHeight="1" x14ac:dyDescent="0.4"/>
    <row r="823" ht="23.25" customHeight="1" x14ac:dyDescent="0.4"/>
    <row r="824" ht="23.25" customHeight="1" x14ac:dyDescent="0.4"/>
    <row r="825" ht="23.25" customHeight="1" x14ac:dyDescent="0.4"/>
    <row r="826" ht="23.25" customHeight="1" x14ac:dyDescent="0.4"/>
    <row r="827" ht="23.25" customHeight="1" x14ac:dyDescent="0.4"/>
    <row r="828" ht="23.25" customHeight="1" x14ac:dyDescent="0.4"/>
    <row r="829" ht="23.25" customHeight="1" x14ac:dyDescent="0.4"/>
    <row r="830" ht="23.25" customHeight="1" x14ac:dyDescent="0.4"/>
    <row r="831" ht="23.25" customHeight="1" x14ac:dyDescent="0.4"/>
    <row r="832" ht="23.25" customHeight="1" x14ac:dyDescent="0.4"/>
    <row r="833" ht="23.25" customHeight="1" x14ac:dyDescent="0.4"/>
    <row r="834" ht="23.25" customHeight="1" x14ac:dyDescent="0.4"/>
    <row r="835" ht="23.25" customHeight="1" x14ac:dyDescent="0.4"/>
    <row r="836" ht="23.25" customHeight="1" x14ac:dyDescent="0.4"/>
    <row r="837" ht="23.25" customHeight="1" x14ac:dyDescent="0.4"/>
    <row r="838" ht="23.25" customHeight="1" x14ac:dyDescent="0.4"/>
    <row r="839" ht="23.25" customHeight="1" x14ac:dyDescent="0.4"/>
    <row r="840" ht="23.25" customHeight="1" x14ac:dyDescent="0.4"/>
    <row r="841" ht="23.25" customHeight="1" x14ac:dyDescent="0.4"/>
    <row r="842" ht="23.25" customHeight="1" x14ac:dyDescent="0.4"/>
    <row r="843" ht="23.25" customHeight="1" x14ac:dyDescent="0.4"/>
    <row r="844" ht="23.25" customHeight="1" x14ac:dyDescent="0.4"/>
    <row r="845" ht="23.25" customHeight="1" x14ac:dyDescent="0.4"/>
    <row r="846" ht="23.25" customHeight="1" x14ac:dyDescent="0.4"/>
    <row r="847" ht="23.25" customHeight="1" x14ac:dyDescent="0.4"/>
    <row r="848" ht="23.25" customHeight="1" x14ac:dyDescent="0.4"/>
    <row r="849" ht="23.25" customHeight="1" x14ac:dyDescent="0.4"/>
    <row r="850" ht="23.25" customHeight="1" x14ac:dyDescent="0.4"/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6368E-7EA6-4491-830A-41C202B9BB8A}">
  <dimension ref="B1:T850"/>
  <sheetViews>
    <sheetView workbookViewId="0"/>
  </sheetViews>
  <sheetFormatPr defaultRowHeight="17.399999999999999" x14ac:dyDescent="0.4"/>
  <cols>
    <col min="1" max="1" width="2.09765625" customWidth="1"/>
    <col min="2" max="2" width="27.69921875" customWidth="1"/>
    <col min="3" max="6" width="7" customWidth="1"/>
    <col min="7" max="7" width="30.8984375" customWidth="1"/>
    <col min="8" max="8" width="6.3984375" customWidth="1"/>
    <col min="9" max="9" width="18.69921875" customWidth="1"/>
    <col min="10" max="10" width="6.8984375" customWidth="1"/>
    <col min="11" max="11" width="38.59765625" customWidth="1"/>
    <col min="12" max="12" width="11.19921875" customWidth="1"/>
    <col min="13" max="13" width="9.796875" customWidth="1"/>
    <col min="14" max="14" width="13.796875" customWidth="1"/>
    <col min="15" max="16" width="9.796875" customWidth="1"/>
    <col min="17" max="17" width="11.796875" customWidth="1"/>
    <col min="18" max="18" width="12.19921875" customWidth="1"/>
    <col min="19" max="19" width="33.296875" customWidth="1"/>
    <col min="20" max="20" width="57.59765625" customWidth="1"/>
    <col min="21" max="30" width="8.8984375" customWidth="1"/>
  </cols>
  <sheetData>
    <row r="1" spans="2:20" ht="23.25" customHeight="1" x14ac:dyDescent="0.4">
      <c r="B1" s="107" t="s">
        <v>2385</v>
      </c>
      <c r="C1" s="109">
        <v>11.01</v>
      </c>
      <c r="D1" s="15" t="s">
        <v>23</v>
      </c>
      <c r="E1" s="90" t="s">
        <v>2386</v>
      </c>
      <c r="I1" s="44" t="s">
        <v>2387</v>
      </c>
      <c r="L1" s="5">
        <v>1</v>
      </c>
      <c r="M1" s="5">
        <v>6000</v>
      </c>
      <c r="N1" s="5">
        <f>+M1*L1</f>
        <v>6000</v>
      </c>
      <c r="Q1" s="5">
        <f>+N1</f>
        <v>6000</v>
      </c>
      <c r="R1" s="8" t="s">
        <v>2388</v>
      </c>
    </row>
    <row r="2" spans="2:20" ht="23.25" customHeight="1" x14ac:dyDescent="0.4">
      <c r="B2" s="107" t="s">
        <v>2389</v>
      </c>
      <c r="C2" s="18">
        <v>10.220000000000001</v>
      </c>
      <c r="D2" s="16" t="s">
        <v>28</v>
      </c>
      <c r="E2" s="20">
        <v>9.0299999999999994</v>
      </c>
      <c r="I2" s="44" t="s">
        <v>2390</v>
      </c>
      <c r="L2" s="5">
        <v>1</v>
      </c>
      <c r="M2" s="5">
        <v>6000</v>
      </c>
      <c r="N2" s="5">
        <f>+M2*L2</f>
        <v>6000</v>
      </c>
      <c r="O2" s="5">
        <f>+N2/1.1</f>
        <v>5454.545454545454</v>
      </c>
      <c r="P2" s="5">
        <f>+N2-O2</f>
        <v>545.45454545454595</v>
      </c>
      <c r="Q2" s="5">
        <f>+N2</f>
        <v>6000</v>
      </c>
      <c r="R2" s="8" t="s">
        <v>2391</v>
      </c>
    </row>
    <row r="3" spans="2:20" ht="23.25" customHeight="1" x14ac:dyDescent="0.4">
      <c r="B3" s="4" t="s">
        <v>701</v>
      </c>
      <c r="M3" s="109" t="s">
        <v>24</v>
      </c>
      <c r="N3" s="20" t="s">
        <v>24</v>
      </c>
      <c r="O3" s="18" t="s">
        <v>24</v>
      </c>
      <c r="P3" s="8" t="s">
        <v>2449</v>
      </c>
      <c r="Q3" s="8" t="s">
        <v>2450</v>
      </c>
      <c r="R3" s="18" t="s">
        <v>2394</v>
      </c>
    </row>
    <row r="4" spans="2:20" ht="24.75" customHeight="1" x14ac:dyDescent="0.4">
      <c r="K4" s="65" t="s">
        <v>2395</v>
      </c>
    </row>
    <row r="5" spans="2:20" ht="24.75" customHeight="1" x14ac:dyDescent="0.4">
      <c r="B5" s="108" t="s">
        <v>2396</v>
      </c>
      <c r="G5" s="113" t="s">
        <v>2397</v>
      </c>
      <c r="K5" s="65" t="s">
        <v>2398</v>
      </c>
    </row>
    <row r="6" spans="2:20" ht="37.5" customHeight="1" x14ac:dyDescent="0.4">
      <c r="B6" s="10" t="s">
        <v>30</v>
      </c>
      <c r="C6" s="110" t="s">
        <v>31</v>
      </c>
      <c r="D6" s="10" t="s">
        <v>32</v>
      </c>
      <c r="E6" s="10" t="s">
        <v>33</v>
      </c>
      <c r="F6" s="10" t="s">
        <v>34</v>
      </c>
      <c r="G6" s="16" t="s">
        <v>2399</v>
      </c>
      <c r="H6" s="114" t="s">
        <v>1</v>
      </c>
      <c r="I6" s="9" t="s">
        <v>36</v>
      </c>
      <c r="J6" s="10" t="s">
        <v>37</v>
      </c>
      <c r="K6" s="10" t="s">
        <v>38</v>
      </c>
      <c r="L6" s="10" t="s">
        <v>39</v>
      </c>
      <c r="M6" s="10" t="s">
        <v>40</v>
      </c>
      <c r="N6" s="10" t="s">
        <v>41</v>
      </c>
      <c r="O6" s="10" t="s">
        <v>42</v>
      </c>
      <c r="P6" s="10" t="s">
        <v>43</v>
      </c>
      <c r="Q6" s="10" t="s">
        <v>44</v>
      </c>
      <c r="R6" s="10" t="s">
        <v>45</v>
      </c>
      <c r="S6" s="9" t="s">
        <v>2400</v>
      </c>
      <c r="T6" s="10" t="s">
        <v>2401</v>
      </c>
    </row>
    <row r="7" spans="2:20" ht="24" customHeight="1" x14ac:dyDescent="0.4">
      <c r="B7" s="8" t="s">
        <v>26</v>
      </c>
      <c r="C7" s="8">
        <v>12.01</v>
      </c>
      <c r="D7" s="15" t="s">
        <v>23</v>
      </c>
      <c r="F7" s="5" t="s">
        <v>1559</v>
      </c>
      <c r="G7" s="8" t="s">
        <v>1663</v>
      </c>
      <c r="H7" s="4">
        <v>1325</v>
      </c>
      <c r="I7" s="5" t="s">
        <v>728</v>
      </c>
      <c r="J7" s="4">
        <v>11.12</v>
      </c>
      <c r="K7" s="5" t="s">
        <v>2451</v>
      </c>
      <c r="L7" s="5">
        <f>60+30</f>
        <v>90</v>
      </c>
      <c r="M7" s="68">
        <v>5000</v>
      </c>
      <c r="N7" s="5">
        <f>+M7*L7</f>
        <v>450000</v>
      </c>
      <c r="O7" s="5">
        <f>+N7/1.1</f>
        <v>409090.90909090906</v>
      </c>
      <c r="P7" s="5">
        <f>+N7-O7</f>
        <v>40909.090909090941</v>
      </c>
      <c r="Q7" s="5">
        <f>+N7</f>
        <v>450000</v>
      </c>
      <c r="R7" s="18">
        <v>12.03</v>
      </c>
      <c r="S7" s="4" t="s">
        <v>83</v>
      </c>
    </row>
    <row r="8" spans="2:20" ht="24" customHeight="1" x14ac:dyDescent="0.4">
      <c r="B8" s="8" t="s">
        <v>26</v>
      </c>
      <c r="C8" s="8">
        <v>12.01</v>
      </c>
      <c r="D8" s="15" t="s">
        <v>23</v>
      </c>
      <c r="F8" s="8" t="s">
        <v>2368</v>
      </c>
      <c r="G8" s="5" t="s">
        <v>2436</v>
      </c>
      <c r="H8" s="4">
        <v>729</v>
      </c>
      <c r="I8" s="5" t="s">
        <v>746</v>
      </c>
      <c r="J8" s="4">
        <v>11.22</v>
      </c>
      <c r="K8" s="5" t="s">
        <v>291</v>
      </c>
      <c r="L8" s="5">
        <v>8</v>
      </c>
      <c r="M8" s="71">
        <f>15000+4000</f>
        <v>19000</v>
      </c>
      <c r="N8" s="8">
        <f>+M8*L8</f>
        <v>152000</v>
      </c>
      <c r="O8" s="5">
        <f>+N8/1.1</f>
        <v>138181.81818181818</v>
      </c>
      <c r="P8" s="5">
        <f>+N8-O8</f>
        <v>13818.181818181823</v>
      </c>
      <c r="Q8" s="5">
        <f>+N8</f>
        <v>152000</v>
      </c>
      <c r="R8" s="18">
        <v>12.31</v>
      </c>
      <c r="S8" s="4" t="s">
        <v>110</v>
      </c>
    </row>
    <row r="9" spans="2:20" ht="24" customHeight="1" x14ac:dyDescent="0.4">
      <c r="B9" s="8" t="s">
        <v>639</v>
      </c>
      <c r="C9" s="8">
        <v>12.01</v>
      </c>
      <c r="D9" s="15" t="s">
        <v>23</v>
      </c>
      <c r="F9" s="8" t="s">
        <v>2368</v>
      </c>
      <c r="G9" s="5" t="s">
        <v>928</v>
      </c>
      <c r="H9" s="5">
        <v>786</v>
      </c>
      <c r="I9" s="5" t="s">
        <v>949</v>
      </c>
      <c r="J9" s="5">
        <v>11.3</v>
      </c>
      <c r="K9" s="5" t="s">
        <v>2452</v>
      </c>
      <c r="L9" s="5">
        <v>10</v>
      </c>
      <c r="M9" s="68">
        <v>6000</v>
      </c>
      <c r="N9" s="8">
        <f>+M9*L9</f>
        <v>60000</v>
      </c>
      <c r="O9" s="5">
        <f>+N9/1.1</f>
        <v>54545.454545454544</v>
      </c>
      <c r="P9" s="5">
        <f>+N9-O9</f>
        <v>5454.5454545454559</v>
      </c>
      <c r="Q9" s="5">
        <f>+N9</f>
        <v>60000</v>
      </c>
      <c r="R9" s="18">
        <v>12.31</v>
      </c>
      <c r="S9" s="5" t="s">
        <v>2453</v>
      </c>
    </row>
    <row r="10" spans="2:20" ht="24" customHeight="1" x14ac:dyDescent="0.4">
      <c r="B10" s="8" t="s">
        <v>26</v>
      </c>
      <c r="C10" s="8">
        <v>12.02</v>
      </c>
      <c r="D10" s="15" t="s">
        <v>23</v>
      </c>
      <c r="F10" s="8" t="s">
        <v>2368</v>
      </c>
      <c r="G10" s="5" t="s">
        <v>826</v>
      </c>
      <c r="H10" s="4">
        <v>182</v>
      </c>
      <c r="I10" s="5" t="s">
        <v>828</v>
      </c>
      <c r="J10" s="4">
        <v>11.3</v>
      </c>
      <c r="K10" s="5" t="s">
        <v>184</v>
      </c>
      <c r="L10" s="5">
        <v>155</v>
      </c>
      <c r="M10" s="69">
        <f>6000-500</f>
        <v>5500</v>
      </c>
      <c r="N10" s="8">
        <f>+M10*L10</f>
        <v>852500</v>
      </c>
      <c r="O10" s="5">
        <f>+N10/1.1</f>
        <v>774999.99999999988</v>
      </c>
      <c r="P10" s="5">
        <f>+N10-O10</f>
        <v>77500.000000000116</v>
      </c>
      <c r="Q10" s="5">
        <f>+N10</f>
        <v>852500</v>
      </c>
      <c r="R10" s="18">
        <v>12.06</v>
      </c>
      <c r="S10" s="4" t="s">
        <v>249</v>
      </c>
    </row>
    <row r="11" spans="2:20" ht="24" customHeight="1" x14ac:dyDescent="0.4">
      <c r="B11" s="8" t="s">
        <v>26</v>
      </c>
      <c r="C11" s="8">
        <v>12.06</v>
      </c>
      <c r="D11" s="15" t="s">
        <v>23</v>
      </c>
      <c r="F11" s="5" t="s">
        <v>2368</v>
      </c>
      <c r="G11" s="5" t="s">
        <v>1011</v>
      </c>
      <c r="H11" s="4">
        <v>550</v>
      </c>
      <c r="I11" s="5" t="s">
        <v>748</v>
      </c>
      <c r="J11" s="4">
        <v>12.06</v>
      </c>
      <c r="K11" s="3" t="s">
        <v>313</v>
      </c>
      <c r="L11" s="5">
        <v>74</v>
      </c>
      <c r="M11" s="68">
        <v>5000</v>
      </c>
      <c r="N11" s="8">
        <f>+M11*L11</f>
        <v>370000</v>
      </c>
      <c r="O11" s="5">
        <f>+N11/1.1</f>
        <v>336363.63636363635</v>
      </c>
      <c r="P11" s="5">
        <f>+N11-O11</f>
        <v>33636.363636363647</v>
      </c>
      <c r="Q11" s="5">
        <f>+N11</f>
        <v>370000</v>
      </c>
      <c r="R11" s="18">
        <v>12.07</v>
      </c>
    </row>
    <row r="12" spans="2:20" ht="24" customHeight="1" x14ac:dyDescent="0.4">
      <c r="B12" s="8" t="s">
        <v>26</v>
      </c>
      <c r="C12" s="8">
        <v>12.1</v>
      </c>
      <c r="D12" s="15" t="s">
        <v>23</v>
      </c>
      <c r="F12" s="8" t="s">
        <v>2368</v>
      </c>
      <c r="G12" s="4" t="s">
        <v>1917</v>
      </c>
      <c r="H12" s="4">
        <v>1025</v>
      </c>
      <c r="I12" s="5" t="s">
        <v>1918</v>
      </c>
      <c r="J12" s="4">
        <v>12.07</v>
      </c>
      <c r="K12" s="5" t="s">
        <v>321</v>
      </c>
      <c r="L12" s="5">
        <v>22</v>
      </c>
      <c r="M12" s="68">
        <f>5000+3000</f>
        <v>8000</v>
      </c>
      <c r="N12" s="8">
        <f>+M12*L12</f>
        <v>176000</v>
      </c>
      <c r="O12" s="5">
        <f>+N12/1.1</f>
        <v>160000</v>
      </c>
      <c r="P12" s="5">
        <f>+N12-O12</f>
        <v>16000</v>
      </c>
      <c r="Q12" s="5">
        <f>+N12</f>
        <v>176000</v>
      </c>
      <c r="R12" s="18">
        <v>12.16</v>
      </c>
      <c r="S12" s="7" t="s">
        <v>322</v>
      </c>
    </row>
    <row r="13" spans="2:20" ht="24" customHeight="1" x14ac:dyDescent="0.4">
      <c r="B13" s="8" t="s">
        <v>26</v>
      </c>
      <c r="C13" s="8">
        <v>12.1</v>
      </c>
      <c r="D13" s="15" t="s">
        <v>23</v>
      </c>
      <c r="F13" s="8" t="s">
        <v>2368</v>
      </c>
      <c r="G13" s="4" t="s">
        <v>1917</v>
      </c>
      <c r="H13" s="4">
        <v>1025</v>
      </c>
      <c r="I13" s="5" t="s">
        <v>1918</v>
      </c>
      <c r="J13" s="4">
        <v>12.1</v>
      </c>
      <c r="K13" s="5" t="s">
        <v>2454</v>
      </c>
      <c r="L13" s="5">
        <v>2</v>
      </c>
      <c r="M13" s="68">
        <v>3000</v>
      </c>
      <c r="N13" s="8">
        <f>+M13*L13</f>
        <v>6000</v>
      </c>
      <c r="O13" s="5">
        <f>+N13/1.1</f>
        <v>5454.545454545454</v>
      </c>
      <c r="P13" s="5">
        <f>+N13-O13</f>
        <v>545.45454545454595</v>
      </c>
      <c r="Q13" s="5">
        <f>+N13</f>
        <v>6000</v>
      </c>
      <c r="R13" s="18">
        <v>12.16</v>
      </c>
      <c r="S13" s="7" t="s">
        <v>2455</v>
      </c>
    </row>
    <row r="14" spans="2:20" ht="24" customHeight="1" x14ac:dyDescent="0.4">
      <c r="B14" s="7" t="s">
        <v>323</v>
      </c>
      <c r="C14" s="8">
        <v>12.13</v>
      </c>
      <c r="D14" s="15" t="s">
        <v>23</v>
      </c>
      <c r="F14" s="8" t="s">
        <v>2368</v>
      </c>
      <c r="G14" s="5" t="s">
        <v>2456</v>
      </c>
      <c r="H14" s="4">
        <v>453</v>
      </c>
      <c r="I14" s="5" t="s">
        <v>323</v>
      </c>
      <c r="J14" s="4">
        <v>12.08</v>
      </c>
      <c r="K14" s="5" t="s">
        <v>325</v>
      </c>
      <c r="L14" s="5">
        <v>33</v>
      </c>
      <c r="M14" s="68">
        <v>12000</v>
      </c>
      <c r="N14" s="8">
        <f>+M14*L14</f>
        <v>396000</v>
      </c>
      <c r="O14" s="5">
        <f>+N14/1.1</f>
        <v>360000</v>
      </c>
      <c r="P14" s="5">
        <f>+N14-O14</f>
        <v>36000</v>
      </c>
      <c r="Q14" s="5">
        <f>+N14</f>
        <v>396000</v>
      </c>
      <c r="R14" s="18">
        <v>12.17</v>
      </c>
      <c r="S14" s="4" t="s">
        <v>326</v>
      </c>
    </row>
    <row r="15" spans="2:20" ht="24" customHeight="1" x14ac:dyDescent="0.4">
      <c r="B15" s="8" t="s">
        <v>26</v>
      </c>
      <c r="C15" s="8">
        <v>12.14</v>
      </c>
      <c r="D15" s="15" t="s">
        <v>23</v>
      </c>
      <c r="F15" s="8" t="s">
        <v>1365</v>
      </c>
      <c r="G15" s="5" t="s">
        <v>2457</v>
      </c>
      <c r="H15" s="4">
        <v>1634</v>
      </c>
      <c r="I15" s="5" t="s">
        <v>2458</v>
      </c>
      <c r="J15" s="4">
        <v>12.07</v>
      </c>
      <c r="K15" s="5" t="s">
        <v>318</v>
      </c>
      <c r="L15" s="5">
        <v>23</v>
      </c>
      <c r="M15" s="68">
        <v>7000</v>
      </c>
      <c r="N15" s="8">
        <f>+M15*L15</f>
        <v>161000</v>
      </c>
      <c r="O15" s="5">
        <f>+N15/1.1</f>
        <v>146363.63636363635</v>
      </c>
      <c r="P15" s="5">
        <f>+N15-O15</f>
        <v>14636.363636363647</v>
      </c>
      <c r="Q15" s="5">
        <f>+N15</f>
        <v>161000</v>
      </c>
      <c r="R15" s="18">
        <v>12.15</v>
      </c>
      <c r="S15" s="7" t="s">
        <v>319</v>
      </c>
    </row>
    <row r="16" spans="2:20" ht="24" customHeight="1" x14ac:dyDescent="0.4">
      <c r="B16" s="8" t="s">
        <v>26</v>
      </c>
      <c r="C16" s="8">
        <v>12.2</v>
      </c>
      <c r="D16" s="15" t="s">
        <v>23</v>
      </c>
      <c r="F16" s="8" t="s">
        <v>2368</v>
      </c>
      <c r="G16" s="15" t="s">
        <v>908</v>
      </c>
      <c r="H16" s="4">
        <v>786</v>
      </c>
      <c r="I16" s="5" t="s">
        <v>639</v>
      </c>
      <c r="J16" s="4">
        <v>12.16</v>
      </c>
      <c r="K16" s="8" t="s">
        <v>351</v>
      </c>
      <c r="L16" s="5">
        <v>15</v>
      </c>
      <c r="M16" s="68">
        <v>20000</v>
      </c>
      <c r="N16" s="8">
        <f>+M16*L16</f>
        <v>300000</v>
      </c>
      <c r="O16" s="5">
        <f>+N16/1.1</f>
        <v>272727.27272727271</v>
      </c>
      <c r="P16" s="5">
        <f>+N16-O16</f>
        <v>27272.727272727294</v>
      </c>
      <c r="Q16" s="5">
        <f>+N16</f>
        <v>300000</v>
      </c>
      <c r="R16" s="18">
        <v>12.2</v>
      </c>
    </row>
    <row r="17" spans="2:19" ht="24" customHeight="1" x14ac:dyDescent="0.4">
      <c r="B17" s="8" t="s">
        <v>26</v>
      </c>
      <c r="C17" s="8">
        <v>12.2</v>
      </c>
      <c r="D17" s="15" t="s">
        <v>23</v>
      </c>
      <c r="F17" s="8" t="s">
        <v>2368</v>
      </c>
      <c r="G17" s="4" t="s">
        <v>1917</v>
      </c>
      <c r="H17" s="4">
        <v>1025</v>
      </c>
      <c r="I17" s="5" t="s">
        <v>1918</v>
      </c>
      <c r="J17" s="4">
        <v>12.13</v>
      </c>
      <c r="K17" s="5" t="s">
        <v>344</v>
      </c>
      <c r="L17" s="5">
        <v>12</v>
      </c>
      <c r="M17" s="68">
        <f>5000+3000</f>
        <v>8000</v>
      </c>
      <c r="N17" s="8">
        <f>+M17*L17</f>
        <v>96000</v>
      </c>
      <c r="O17" s="5">
        <f>+N17/1.1</f>
        <v>87272.727272727265</v>
      </c>
      <c r="P17" s="5">
        <f>+N17-O17</f>
        <v>8727.2727272727352</v>
      </c>
      <c r="Q17" s="5">
        <f>+N17</f>
        <v>96000</v>
      </c>
      <c r="R17" s="18">
        <v>12.24</v>
      </c>
      <c r="S17" s="7" t="s">
        <v>322</v>
      </c>
    </row>
    <row r="18" spans="2:19" ht="24" customHeight="1" x14ac:dyDescent="0.4">
      <c r="B18" s="8" t="s">
        <v>26</v>
      </c>
      <c r="C18" s="8">
        <v>12.2</v>
      </c>
      <c r="D18" s="15" t="s">
        <v>23</v>
      </c>
      <c r="F18" s="8" t="s">
        <v>2368</v>
      </c>
      <c r="G18" s="4" t="s">
        <v>1917</v>
      </c>
      <c r="H18" s="4">
        <v>1025</v>
      </c>
      <c r="I18" s="5" t="s">
        <v>1918</v>
      </c>
      <c r="J18" s="4">
        <v>12.2</v>
      </c>
      <c r="K18" s="60" t="s">
        <v>2459</v>
      </c>
      <c r="L18" s="5">
        <v>10</v>
      </c>
      <c r="M18" s="68">
        <f>5000+3000</f>
        <v>8000</v>
      </c>
      <c r="N18" s="8">
        <f>+M18*L18</f>
        <v>80000</v>
      </c>
      <c r="O18" s="5">
        <f>+N18/1.1</f>
        <v>72727.272727272721</v>
      </c>
      <c r="P18" s="5">
        <f>+N18-O18</f>
        <v>7272.7272727272793</v>
      </c>
      <c r="Q18" s="5">
        <f>+N18</f>
        <v>80000</v>
      </c>
      <c r="R18" s="18">
        <v>12.24</v>
      </c>
      <c r="S18" s="7" t="s">
        <v>322</v>
      </c>
    </row>
    <row r="19" spans="2:19" ht="24" customHeight="1" x14ac:dyDescent="0.4">
      <c r="B19" s="8" t="s">
        <v>26</v>
      </c>
      <c r="C19" s="8">
        <v>12.22</v>
      </c>
      <c r="D19" s="15" t="s">
        <v>23</v>
      </c>
      <c r="F19" s="8" t="s">
        <v>2368</v>
      </c>
      <c r="G19" s="4" t="s">
        <v>2460</v>
      </c>
      <c r="H19" s="4">
        <v>262</v>
      </c>
      <c r="I19" s="5" t="s">
        <v>836</v>
      </c>
      <c r="J19" s="4">
        <v>12.14</v>
      </c>
      <c r="K19" s="5" t="s">
        <v>304</v>
      </c>
      <c r="L19" s="5">
        <v>50</v>
      </c>
      <c r="M19" s="68">
        <v>6000</v>
      </c>
      <c r="N19" s="8">
        <f>+M19*L19</f>
        <v>300000</v>
      </c>
      <c r="O19" s="5">
        <f>+N19/1.1</f>
        <v>272727.27272727271</v>
      </c>
      <c r="P19" s="5">
        <f>+N19-O19</f>
        <v>27272.727272727294</v>
      </c>
      <c r="Q19" s="5">
        <f>+N19</f>
        <v>300000</v>
      </c>
      <c r="R19" s="18">
        <v>12.28</v>
      </c>
      <c r="S19" s="4" t="s">
        <v>346</v>
      </c>
    </row>
    <row r="20" spans="2:19" ht="24" customHeight="1" x14ac:dyDescent="0.4">
      <c r="B20" s="8" t="s">
        <v>26</v>
      </c>
      <c r="C20" s="8">
        <v>12.22</v>
      </c>
      <c r="D20" s="15" t="s">
        <v>23</v>
      </c>
      <c r="F20" s="8" t="s">
        <v>2368</v>
      </c>
      <c r="G20" s="4" t="s">
        <v>2460</v>
      </c>
      <c r="H20" s="4">
        <v>262</v>
      </c>
      <c r="I20" s="5" t="s">
        <v>836</v>
      </c>
      <c r="J20" s="4">
        <v>12.14</v>
      </c>
      <c r="K20" s="5" t="s">
        <v>184</v>
      </c>
      <c r="L20" s="5">
        <v>30</v>
      </c>
      <c r="M20" s="68">
        <v>6000</v>
      </c>
      <c r="N20" s="8">
        <f>+M20*L20</f>
        <v>180000</v>
      </c>
      <c r="O20" s="5">
        <f>+N20/1.1</f>
        <v>163636.36363636362</v>
      </c>
      <c r="P20" s="5">
        <f>+N20-O20</f>
        <v>16363.636363636382</v>
      </c>
      <c r="Q20" s="5">
        <f>+N20</f>
        <v>180000</v>
      </c>
      <c r="R20" s="18">
        <v>12.28</v>
      </c>
      <c r="S20" s="4" t="s">
        <v>346</v>
      </c>
    </row>
    <row r="21" spans="2:19" ht="24" customHeight="1" x14ac:dyDescent="0.4">
      <c r="B21" s="8" t="s">
        <v>26</v>
      </c>
      <c r="C21" s="8">
        <v>12.22</v>
      </c>
      <c r="D21" s="15" t="s">
        <v>23</v>
      </c>
      <c r="F21" s="5" t="s">
        <v>1559</v>
      </c>
      <c r="G21" s="7" t="s">
        <v>1568</v>
      </c>
      <c r="H21" s="4">
        <v>571</v>
      </c>
      <c r="I21" s="21" t="s">
        <v>360</v>
      </c>
      <c r="J21" s="4">
        <v>12.23</v>
      </c>
      <c r="K21" s="31" t="s">
        <v>2461</v>
      </c>
      <c r="L21" s="5">
        <v>7</v>
      </c>
      <c r="M21" s="68">
        <f>10000+3000</f>
        <v>13000</v>
      </c>
      <c r="N21" s="8">
        <f>+M21*L21</f>
        <v>91000</v>
      </c>
      <c r="O21" s="5">
        <f>+N21/1.1</f>
        <v>82727.272727272721</v>
      </c>
      <c r="P21" s="5">
        <f>+N21-O21</f>
        <v>8272.7272727272793</v>
      </c>
      <c r="Q21" s="5">
        <f>+N21</f>
        <v>91000</v>
      </c>
      <c r="R21" s="18">
        <v>12.3</v>
      </c>
    </row>
    <row r="22" spans="2:19" ht="24" customHeight="1" x14ac:dyDescent="0.4">
      <c r="B22" s="8" t="s">
        <v>26</v>
      </c>
      <c r="C22" s="8">
        <v>12.22</v>
      </c>
      <c r="D22" s="15" t="s">
        <v>23</v>
      </c>
      <c r="F22" s="8" t="s">
        <v>2368</v>
      </c>
      <c r="G22" s="5" t="s">
        <v>968</v>
      </c>
      <c r="H22" s="4">
        <v>2634</v>
      </c>
      <c r="I22" s="5" t="s">
        <v>969</v>
      </c>
      <c r="J22" s="4">
        <v>12.08</v>
      </c>
      <c r="K22" s="5" t="s">
        <v>328</v>
      </c>
      <c r="L22" s="5">
        <v>19</v>
      </c>
      <c r="M22" s="68">
        <f>6000+3000</f>
        <v>9000</v>
      </c>
      <c r="N22" s="8">
        <f>+M22*L22</f>
        <v>171000</v>
      </c>
      <c r="O22" s="5">
        <f>+N22/1.1</f>
        <v>155454.54545454544</v>
      </c>
      <c r="P22" s="5">
        <f>+N22-O22</f>
        <v>15545.454545454559</v>
      </c>
      <c r="Q22" s="5">
        <f>+N22</f>
        <v>171000</v>
      </c>
      <c r="R22" s="18">
        <v>12.28</v>
      </c>
      <c r="S22" s="4" t="s">
        <v>121</v>
      </c>
    </row>
    <row r="23" spans="2:19" ht="24" customHeight="1" x14ac:dyDescent="0.4">
      <c r="B23" s="8" t="s">
        <v>26</v>
      </c>
      <c r="C23" s="8">
        <v>12.22</v>
      </c>
      <c r="D23" s="15" t="s">
        <v>23</v>
      </c>
      <c r="F23" s="4" t="s">
        <v>1559</v>
      </c>
      <c r="G23" s="4" t="s">
        <v>789</v>
      </c>
      <c r="H23" s="4">
        <v>1331</v>
      </c>
      <c r="I23" s="5" t="s">
        <v>790</v>
      </c>
      <c r="J23" s="4">
        <v>12.1</v>
      </c>
      <c r="K23" s="5" t="s">
        <v>333</v>
      </c>
      <c r="L23" s="5">
        <v>30</v>
      </c>
      <c r="M23" s="68">
        <f>5000+3000</f>
        <v>8000</v>
      </c>
      <c r="N23" s="8">
        <f>+M23*L23</f>
        <v>240000</v>
      </c>
      <c r="O23" s="5">
        <f>+N23/1.1</f>
        <v>218181.81818181818</v>
      </c>
      <c r="P23" s="5">
        <f>+N23-O23</f>
        <v>21818.181818181823</v>
      </c>
      <c r="Q23" s="5">
        <f>+N23</f>
        <v>240000</v>
      </c>
      <c r="R23" s="18">
        <v>12.24</v>
      </c>
      <c r="S23" s="4" t="s">
        <v>334</v>
      </c>
    </row>
    <row r="24" spans="2:19" ht="24" customHeight="1" x14ac:dyDescent="0.4">
      <c r="B24" s="8" t="s">
        <v>26</v>
      </c>
      <c r="C24" s="8">
        <v>12.22</v>
      </c>
      <c r="D24" s="15" t="s">
        <v>23</v>
      </c>
      <c r="F24" s="8" t="s">
        <v>2368</v>
      </c>
      <c r="G24" s="4" t="s">
        <v>2462</v>
      </c>
      <c r="H24" s="4">
        <v>150</v>
      </c>
      <c r="I24" s="5" t="s">
        <v>2245</v>
      </c>
      <c r="J24" s="4">
        <v>12.13</v>
      </c>
      <c r="K24" s="5" t="s">
        <v>198</v>
      </c>
      <c r="L24" s="5">
        <v>10</v>
      </c>
      <c r="M24" s="68">
        <v>9000</v>
      </c>
      <c r="N24" s="8">
        <f>+M24*L24</f>
        <v>90000</v>
      </c>
      <c r="O24" s="5">
        <f>+N24/1.1</f>
        <v>81818.181818181809</v>
      </c>
      <c r="P24" s="5">
        <f>+N24-O24</f>
        <v>8181.8181818181911</v>
      </c>
      <c r="Q24" s="5">
        <f>+N24</f>
        <v>90000</v>
      </c>
      <c r="R24" s="18">
        <v>12.31</v>
      </c>
      <c r="S24" s="4" t="s">
        <v>341</v>
      </c>
    </row>
    <row r="25" spans="2:19" ht="24" customHeight="1" x14ac:dyDescent="0.4">
      <c r="B25" s="8" t="s">
        <v>26</v>
      </c>
      <c r="C25" s="8">
        <v>12.22</v>
      </c>
      <c r="D25" s="15" t="s">
        <v>23</v>
      </c>
      <c r="F25" s="8" t="s">
        <v>2368</v>
      </c>
      <c r="G25" s="4" t="s">
        <v>2462</v>
      </c>
      <c r="H25" s="4">
        <v>150</v>
      </c>
      <c r="I25" s="5" t="s">
        <v>2245</v>
      </c>
      <c r="J25" s="4">
        <v>12.13</v>
      </c>
      <c r="K25" s="5" t="s">
        <v>342</v>
      </c>
      <c r="L25" s="5">
        <v>120</v>
      </c>
      <c r="M25" s="68">
        <v>600</v>
      </c>
      <c r="N25" s="8">
        <f>+M25*L25</f>
        <v>72000</v>
      </c>
      <c r="O25" s="5">
        <f>+N25/1.1</f>
        <v>65454.545454545449</v>
      </c>
      <c r="P25" s="5">
        <f>+N25-O25</f>
        <v>6545.4545454545514</v>
      </c>
      <c r="Q25" s="5">
        <f>+N25</f>
        <v>72000</v>
      </c>
      <c r="R25" s="18">
        <v>12.31</v>
      </c>
      <c r="S25" s="4" t="s">
        <v>341</v>
      </c>
    </row>
    <row r="26" spans="2:19" ht="24" customHeight="1" x14ac:dyDescent="0.4">
      <c r="B26" s="8" t="s">
        <v>26</v>
      </c>
      <c r="C26" s="8">
        <v>12.22</v>
      </c>
      <c r="D26" s="15" t="s">
        <v>23</v>
      </c>
      <c r="F26" s="8" t="s">
        <v>2368</v>
      </c>
      <c r="G26" s="4" t="s">
        <v>2462</v>
      </c>
      <c r="H26" s="4">
        <v>150</v>
      </c>
      <c r="I26" s="5" t="s">
        <v>2245</v>
      </c>
      <c r="J26" s="4">
        <v>12.13</v>
      </c>
      <c r="K26" s="5" t="s">
        <v>343</v>
      </c>
      <c r="L26" s="5">
        <v>15</v>
      </c>
      <c r="M26" s="68">
        <v>10000</v>
      </c>
      <c r="N26" s="8">
        <f>+M26*L26</f>
        <v>150000</v>
      </c>
      <c r="O26" s="5">
        <f>+N26/1.1</f>
        <v>136363.63636363635</v>
      </c>
      <c r="P26" s="5">
        <f>+N26-O26</f>
        <v>13636.363636363647</v>
      </c>
      <c r="Q26" s="5">
        <f>+N26</f>
        <v>150000</v>
      </c>
      <c r="R26" s="18">
        <v>12.31</v>
      </c>
      <c r="S26" s="4" t="s">
        <v>341</v>
      </c>
    </row>
    <row r="27" spans="2:19" ht="24" customHeight="1" x14ac:dyDescent="0.4">
      <c r="B27" s="8" t="s">
        <v>26</v>
      </c>
      <c r="C27" s="8">
        <v>12.22</v>
      </c>
      <c r="D27" s="15" t="s">
        <v>23</v>
      </c>
      <c r="F27" s="4" t="s">
        <v>1559</v>
      </c>
      <c r="G27" s="4" t="s">
        <v>789</v>
      </c>
      <c r="H27" s="4">
        <v>1331</v>
      </c>
      <c r="I27" s="5" t="s">
        <v>790</v>
      </c>
      <c r="J27" s="4">
        <v>12.17</v>
      </c>
      <c r="K27" s="6" t="s">
        <v>355</v>
      </c>
      <c r="L27" s="5">
        <v>10</v>
      </c>
      <c r="M27" s="68">
        <f>5000+3000</f>
        <v>8000</v>
      </c>
      <c r="N27" s="8">
        <f>+M27*L27</f>
        <v>80000</v>
      </c>
      <c r="O27" s="5">
        <f>+N27/1.1</f>
        <v>72727.272727272721</v>
      </c>
      <c r="P27" s="5">
        <f>+N27-O27</f>
        <v>7272.7272727272793</v>
      </c>
      <c r="Q27" s="5">
        <f>+N27</f>
        <v>80000</v>
      </c>
      <c r="R27" s="18">
        <v>12.24</v>
      </c>
      <c r="S27" s="4" t="s">
        <v>334</v>
      </c>
    </row>
    <row r="28" spans="2:19" ht="24" customHeight="1" x14ac:dyDescent="0.4">
      <c r="B28" s="8" t="s">
        <v>26</v>
      </c>
      <c r="C28" s="8">
        <v>12.22</v>
      </c>
      <c r="D28" s="15" t="s">
        <v>23</v>
      </c>
      <c r="F28" s="4" t="s">
        <v>1365</v>
      </c>
      <c r="G28" s="4" t="s">
        <v>2463</v>
      </c>
      <c r="H28" s="4">
        <v>248</v>
      </c>
      <c r="I28" s="5" t="s">
        <v>1060</v>
      </c>
      <c r="J28" s="4">
        <v>12.23</v>
      </c>
      <c r="K28" s="4" t="s">
        <v>366</v>
      </c>
      <c r="L28" s="5">
        <v>30</v>
      </c>
      <c r="M28" s="68">
        <v>1500</v>
      </c>
      <c r="N28" s="8">
        <f>+M28*L28</f>
        <v>45000</v>
      </c>
      <c r="O28" s="5">
        <f>+N28/1.1</f>
        <v>40909.090909090904</v>
      </c>
      <c r="P28" s="5">
        <f>+N28-O28</f>
        <v>4090.9090909090955</v>
      </c>
      <c r="Q28" s="5">
        <f>+N28</f>
        <v>45000</v>
      </c>
      <c r="R28" s="18">
        <v>12.24</v>
      </c>
      <c r="S28" s="7" t="s">
        <v>234</v>
      </c>
    </row>
    <row r="29" spans="2:19" ht="24" customHeight="1" x14ac:dyDescent="0.4">
      <c r="B29" s="8" t="s">
        <v>26</v>
      </c>
      <c r="C29" s="8">
        <v>12.24</v>
      </c>
      <c r="D29" s="15" t="s">
        <v>23</v>
      </c>
      <c r="F29" s="4" t="s">
        <v>1559</v>
      </c>
      <c r="G29" s="5" t="s">
        <v>2464</v>
      </c>
      <c r="H29" s="4">
        <v>775</v>
      </c>
      <c r="I29" s="5" t="s">
        <v>757</v>
      </c>
      <c r="J29" s="4">
        <v>12.16</v>
      </c>
      <c r="K29" s="8" t="s">
        <v>198</v>
      </c>
      <c r="L29" s="5">
        <v>20</v>
      </c>
      <c r="M29" s="68">
        <v>9000</v>
      </c>
      <c r="N29" s="8">
        <f>+M29*L29</f>
        <v>180000</v>
      </c>
      <c r="O29" s="5">
        <f>+N29/1.1</f>
        <v>163636.36363636362</v>
      </c>
      <c r="P29" s="5">
        <f>+N29-O29</f>
        <v>16363.636363636382</v>
      </c>
      <c r="Q29" s="5">
        <f>+N29</f>
        <v>180000</v>
      </c>
      <c r="R29" s="18">
        <v>12.28</v>
      </c>
    </row>
    <row r="30" spans="2:19" ht="24" customHeight="1" x14ac:dyDescent="0.4">
      <c r="B30" s="8" t="s">
        <v>26</v>
      </c>
      <c r="C30" s="8">
        <v>12.24</v>
      </c>
      <c r="D30" s="15" t="s">
        <v>23</v>
      </c>
      <c r="F30" s="4" t="s">
        <v>1365</v>
      </c>
      <c r="G30" s="4" t="s">
        <v>1050</v>
      </c>
      <c r="H30" s="4">
        <v>161</v>
      </c>
      <c r="I30" s="5" t="s">
        <v>1051</v>
      </c>
      <c r="J30" s="4">
        <v>12.2</v>
      </c>
      <c r="K30" s="8" t="s">
        <v>268</v>
      </c>
      <c r="L30" s="5">
        <v>30</v>
      </c>
      <c r="M30" s="68">
        <v>5000</v>
      </c>
      <c r="N30" s="8">
        <f>+M30*L30</f>
        <v>150000</v>
      </c>
      <c r="O30" s="5">
        <f>+N30/1.1</f>
        <v>136363.63636363635</v>
      </c>
      <c r="P30" s="5">
        <f>+N30-O30</f>
        <v>13636.363636363647</v>
      </c>
      <c r="Q30" s="5">
        <f>+N30</f>
        <v>150000</v>
      </c>
      <c r="R30" s="18">
        <v>12.28</v>
      </c>
      <c r="S30" s="7" t="s">
        <v>359</v>
      </c>
    </row>
    <row r="31" spans="2:19" ht="24" customHeight="1" x14ac:dyDescent="0.4">
      <c r="B31" s="8" t="s">
        <v>26</v>
      </c>
      <c r="C31" s="8" t="s">
        <v>27</v>
      </c>
      <c r="D31" s="15" t="s">
        <v>23</v>
      </c>
      <c r="F31" s="8" t="s">
        <v>2368</v>
      </c>
      <c r="G31" s="5" t="s">
        <v>978</v>
      </c>
      <c r="H31" s="4">
        <v>605</v>
      </c>
      <c r="I31" s="5" t="s">
        <v>2465</v>
      </c>
      <c r="J31" s="4">
        <v>12.01</v>
      </c>
      <c r="K31" s="3" t="s">
        <v>308</v>
      </c>
      <c r="L31" s="5">
        <v>55</v>
      </c>
      <c r="M31" s="68">
        <v>5000</v>
      </c>
      <c r="N31" s="8">
        <f>+M31*L31</f>
        <v>275000</v>
      </c>
      <c r="O31" s="5">
        <f>+N31/1.1</f>
        <v>249999.99999999997</v>
      </c>
      <c r="P31" s="5">
        <f>+N31-O31</f>
        <v>25000.000000000029</v>
      </c>
      <c r="Q31" s="5">
        <f>+N31</f>
        <v>275000</v>
      </c>
      <c r="R31" s="18">
        <v>12.24</v>
      </c>
    </row>
    <row r="32" spans="2:19" ht="24" customHeight="1" x14ac:dyDescent="0.4">
      <c r="B32" s="90" t="s">
        <v>2433</v>
      </c>
      <c r="D32" s="111" t="s">
        <v>23</v>
      </c>
      <c r="N32" s="90">
        <f>SUM(N7:N31)</f>
        <v>5123500</v>
      </c>
      <c r="O32" s="39">
        <f>SUM(O7:O31)</f>
        <v>4657727.2727272725</v>
      </c>
      <c r="P32" s="39">
        <f>SUM(P7:P31)</f>
        <v>465772.72727272764</v>
      </c>
      <c r="Q32" s="115">
        <f>SUM(Q7:Q31)</f>
        <v>5123500</v>
      </c>
    </row>
    <row r="33" spans="2:19" ht="24" customHeight="1" x14ac:dyDescent="0.4">
      <c r="B33" s="8" t="s">
        <v>26</v>
      </c>
      <c r="C33" s="8">
        <v>12.01</v>
      </c>
      <c r="D33" s="16" t="s">
        <v>28</v>
      </c>
      <c r="F33" s="5" t="s">
        <v>1559</v>
      </c>
      <c r="G33" s="8" t="s">
        <v>1663</v>
      </c>
      <c r="H33" s="4">
        <v>1325</v>
      </c>
      <c r="I33" s="5" t="s">
        <v>728</v>
      </c>
      <c r="J33" s="4">
        <v>11.17</v>
      </c>
      <c r="K33" s="5" t="s">
        <v>286</v>
      </c>
      <c r="L33" s="5">
        <v>1</v>
      </c>
      <c r="M33" s="68">
        <v>53000</v>
      </c>
      <c r="N33" s="5">
        <f>+M33*L33</f>
        <v>53000</v>
      </c>
      <c r="Q33" s="5">
        <f>+N33</f>
        <v>53000</v>
      </c>
      <c r="R33" s="18">
        <v>12.03</v>
      </c>
      <c r="S33" s="4" t="s">
        <v>83</v>
      </c>
    </row>
    <row r="34" spans="2:19" ht="24" customHeight="1" x14ac:dyDescent="0.4">
      <c r="B34" s="8" t="s">
        <v>26</v>
      </c>
      <c r="C34" s="8">
        <v>12.01</v>
      </c>
      <c r="D34" s="16" t="s">
        <v>28</v>
      </c>
      <c r="F34" s="5" t="s">
        <v>1559</v>
      </c>
      <c r="G34" s="8" t="s">
        <v>1663</v>
      </c>
      <c r="H34" s="4">
        <v>1325</v>
      </c>
      <c r="I34" s="5" t="s">
        <v>728</v>
      </c>
      <c r="J34" s="4">
        <v>11.19</v>
      </c>
      <c r="K34" s="5" t="s">
        <v>287</v>
      </c>
      <c r="L34" s="5">
        <v>1</v>
      </c>
      <c r="M34" s="68">
        <v>26000</v>
      </c>
      <c r="N34" s="5">
        <f>+M34*L34</f>
        <v>26000</v>
      </c>
      <c r="Q34" s="5">
        <f>+N34</f>
        <v>26000</v>
      </c>
      <c r="R34" s="18">
        <v>12.03</v>
      </c>
      <c r="S34" s="4" t="s">
        <v>83</v>
      </c>
    </row>
    <row r="35" spans="2:19" ht="24" customHeight="1" x14ac:dyDescent="0.4">
      <c r="B35" s="8" t="s">
        <v>26</v>
      </c>
      <c r="C35" s="8">
        <v>12.01</v>
      </c>
      <c r="D35" s="16" t="s">
        <v>28</v>
      </c>
      <c r="F35" s="5" t="s">
        <v>1559</v>
      </c>
      <c r="G35" s="8" t="s">
        <v>1663</v>
      </c>
      <c r="H35" s="4">
        <v>1325</v>
      </c>
      <c r="I35" s="5" t="s">
        <v>728</v>
      </c>
      <c r="J35" s="4">
        <v>11.23</v>
      </c>
      <c r="K35" s="5" t="s">
        <v>294</v>
      </c>
      <c r="L35" s="5">
        <v>1</v>
      </c>
      <c r="M35" s="68">
        <v>33000</v>
      </c>
      <c r="N35" s="5">
        <f>+M35*L35</f>
        <v>33000</v>
      </c>
      <c r="Q35" s="5">
        <f>+N35</f>
        <v>33000</v>
      </c>
      <c r="R35" s="18">
        <v>12.03</v>
      </c>
      <c r="S35" s="4" t="s">
        <v>83</v>
      </c>
    </row>
    <row r="36" spans="2:19" ht="24" customHeight="1" x14ac:dyDescent="0.4">
      <c r="B36" s="8" t="s">
        <v>26</v>
      </c>
      <c r="C36" s="8">
        <v>12.01</v>
      </c>
      <c r="D36" s="16" t="s">
        <v>28</v>
      </c>
      <c r="F36" s="5" t="s">
        <v>1559</v>
      </c>
      <c r="G36" s="8" t="s">
        <v>1663</v>
      </c>
      <c r="H36" s="4">
        <v>1325</v>
      </c>
      <c r="I36" s="5" t="s">
        <v>728</v>
      </c>
      <c r="J36" s="4">
        <v>11.25</v>
      </c>
      <c r="K36" s="3" t="s">
        <v>305</v>
      </c>
      <c r="L36" s="5">
        <v>4</v>
      </c>
      <c r="M36" s="68">
        <f>20000+3000</f>
        <v>23000</v>
      </c>
      <c r="N36" s="8">
        <f>+M36*L36</f>
        <v>92000</v>
      </c>
      <c r="Q36" s="5">
        <f>+N36</f>
        <v>92000</v>
      </c>
      <c r="R36" s="18">
        <v>12.03</v>
      </c>
      <c r="S36" s="4" t="s">
        <v>83</v>
      </c>
    </row>
    <row r="37" spans="2:19" ht="24" customHeight="1" x14ac:dyDescent="0.4">
      <c r="B37" s="8" t="s">
        <v>26</v>
      </c>
      <c r="C37" s="8">
        <v>12.02</v>
      </c>
      <c r="D37" s="16" t="s">
        <v>28</v>
      </c>
      <c r="F37" s="8" t="s">
        <v>2368</v>
      </c>
      <c r="G37" s="5" t="s">
        <v>826</v>
      </c>
      <c r="H37" s="4">
        <v>182</v>
      </c>
      <c r="I37" s="5" t="s">
        <v>828</v>
      </c>
      <c r="J37" s="4">
        <v>12.02</v>
      </c>
      <c r="K37" s="5" t="s">
        <v>2466</v>
      </c>
      <c r="L37" s="5">
        <v>10</v>
      </c>
      <c r="M37" s="69">
        <v>15000</v>
      </c>
      <c r="N37" s="5">
        <f>+M37*L37</f>
        <v>150000</v>
      </c>
      <c r="Q37" s="5">
        <f>+N37</f>
        <v>150000</v>
      </c>
      <c r="R37" s="18">
        <v>12.06</v>
      </c>
      <c r="S37" s="4" t="s">
        <v>249</v>
      </c>
    </row>
    <row r="38" spans="2:19" ht="24" customHeight="1" x14ac:dyDescent="0.4">
      <c r="B38" s="8" t="s">
        <v>26</v>
      </c>
      <c r="C38" s="8">
        <v>12.07</v>
      </c>
      <c r="D38" s="16" t="s">
        <v>28</v>
      </c>
      <c r="F38" s="5" t="s">
        <v>1559</v>
      </c>
      <c r="G38" s="8" t="s">
        <v>2467</v>
      </c>
      <c r="H38" s="4">
        <v>1325</v>
      </c>
      <c r="I38" s="5" t="s">
        <v>728</v>
      </c>
      <c r="J38" s="4">
        <v>11.29</v>
      </c>
      <c r="K38" s="5" t="s">
        <v>306</v>
      </c>
      <c r="L38" s="5">
        <v>1</v>
      </c>
      <c r="M38" s="68">
        <f>20000+3000</f>
        <v>23000</v>
      </c>
      <c r="N38" s="8">
        <f>+M38*L38</f>
        <v>23000</v>
      </c>
      <c r="Q38" s="5">
        <f>+N38</f>
        <v>23000</v>
      </c>
      <c r="R38" s="18">
        <v>12.31</v>
      </c>
      <c r="S38" s="4" t="s">
        <v>83</v>
      </c>
    </row>
    <row r="39" spans="2:19" ht="24" customHeight="1" x14ac:dyDescent="0.4">
      <c r="B39" s="7" t="s">
        <v>258</v>
      </c>
      <c r="C39" s="8">
        <v>12.08</v>
      </c>
      <c r="D39" s="16" t="s">
        <v>28</v>
      </c>
      <c r="F39" s="8" t="s">
        <v>1365</v>
      </c>
      <c r="G39" s="5" t="s">
        <v>2468</v>
      </c>
      <c r="H39" s="4">
        <v>157</v>
      </c>
      <c r="I39" s="5" t="s">
        <v>258</v>
      </c>
      <c r="J39" s="4">
        <v>12.14</v>
      </c>
      <c r="K39" s="5" t="s">
        <v>214</v>
      </c>
      <c r="L39" s="5">
        <v>314</v>
      </c>
      <c r="M39" s="68">
        <v>6000</v>
      </c>
      <c r="N39" s="5">
        <f>+M39*L39</f>
        <v>1884000</v>
      </c>
      <c r="Q39" s="5">
        <f>+N39</f>
        <v>1884000</v>
      </c>
      <c r="R39" s="18">
        <v>12.08</v>
      </c>
      <c r="S39" s="7" t="s">
        <v>2469</v>
      </c>
    </row>
    <row r="40" spans="2:19" ht="24" customHeight="1" x14ac:dyDescent="0.4">
      <c r="B40" s="8" t="s">
        <v>26</v>
      </c>
      <c r="C40" s="8">
        <v>12.22</v>
      </c>
      <c r="D40" s="16" t="s">
        <v>28</v>
      </c>
      <c r="F40" s="8" t="s">
        <v>2368</v>
      </c>
      <c r="G40" s="5" t="s">
        <v>839</v>
      </c>
      <c r="H40" s="4">
        <v>148</v>
      </c>
      <c r="I40" s="5" t="s">
        <v>123</v>
      </c>
      <c r="J40" s="4">
        <v>12.23</v>
      </c>
      <c r="K40" s="5" t="s">
        <v>2470</v>
      </c>
      <c r="L40" s="5">
        <v>4</v>
      </c>
      <c r="M40" s="68">
        <f>12000+3000</f>
        <v>15000</v>
      </c>
      <c r="N40" s="8">
        <f>+M40*L40</f>
        <v>60000</v>
      </c>
      <c r="Q40" s="5">
        <f>+N40</f>
        <v>60000</v>
      </c>
      <c r="R40" s="18">
        <v>12.31</v>
      </c>
      <c r="S40" s="7" t="s">
        <v>117</v>
      </c>
    </row>
    <row r="41" spans="2:19" ht="24" customHeight="1" x14ac:dyDescent="0.4">
      <c r="B41" s="8" t="s">
        <v>26</v>
      </c>
      <c r="C41" s="8">
        <v>12.22</v>
      </c>
      <c r="D41" s="16" t="s">
        <v>28</v>
      </c>
      <c r="F41" s="8" t="s">
        <v>2368</v>
      </c>
      <c r="G41" s="5" t="s">
        <v>919</v>
      </c>
      <c r="H41" s="4">
        <v>532</v>
      </c>
      <c r="I41" s="5" t="s">
        <v>744</v>
      </c>
      <c r="J41" s="4">
        <v>12.17</v>
      </c>
      <c r="K41" s="8" t="s">
        <v>353</v>
      </c>
      <c r="L41" s="5">
        <v>1</v>
      </c>
      <c r="M41" s="68">
        <f>12000+3000</f>
        <v>15000</v>
      </c>
      <c r="N41" s="8">
        <f>+M41*L41</f>
        <v>15000</v>
      </c>
      <c r="Q41" s="5">
        <f>+N41</f>
        <v>15000</v>
      </c>
      <c r="R41" s="18">
        <v>12.3</v>
      </c>
      <c r="S41" s="7" t="s">
        <v>131</v>
      </c>
    </row>
    <row r="42" spans="2:19" ht="24" customHeight="1" x14ac:dyDescent="0.4">
      <c r="B42" s="8" t="s">
        <v>26</v>
      </c>
      <c r="C42" s="8">
        <v>12.24</v>
      </c>
      <c r="D42" s="16" t="s">
        <v>28</v>
      </c>
      <c r="F42" s="5" t="s">
        <v>1559</v>
      </c>
      <c r="G42" s="8" t="s">
        <v>2467</v>
      </c>
      <c r="H42" s="4">
        <v>1325</v>
      </c>
      <c r="I42" s="5" t="s">
        <v>728</v>
      </c>
      <c r="J42" s="4">
        <v>12.02</v>
      </c>
      <c r="K42" s="3" t="s">
        <v>309</v>
      </c>
      <c r="L42" s="5">
        <v>20</v>
      </c>
      <c r="M42" s="68">
        <v>31400</v>
      </c>
      <c r="N42" s="8">
        <f>+M42*L42</f>
        <v>628000</v>
      </c>
      <c r="Q42" s="5">
        <f>+N42</f>
        <v>628000</v>
      </c>
      <c r="R42" s="18">
        <v>1.03</v>
      </c>
      <c r="S42" s="40" t="s">
        <v>310</v>
      </c>
    </row>
    <row r="43" spans="2:19" ht="24" customHeight="1" x14ac:dyDescent="0.4">
      <c r="B43" s="90" t="s">
        <v>2447</v>
      </c>
      <c r="D43" s="112" t="s">
        <v>28</v>
      </c>
      <c r="N43" s="90">
        <f>SUM(N33:N42)</f>
        <v>2964000</v>
      </c>
      <c r="Q43" s="115">
        <f>SUM(Q33:Q42)</f>
        <v>2964000</v>
      </c>
    </row>
    <row r="44" spans="2:19" ht="24" customHeight="1" x14ac:dyDescent="0.4">
      <c r="B44" s="90" t="s">
        <v>2471</v>
      </c>
      <c r="N44" s="90">
        <f>N32+N43</f>
        <v>8087500</v>
      </c>
      <c r="Q44" s="90">
        <f>Q32+Q43</f>
        <v>8087500</v>
      </c>
    </row>
    <row r="45" spans="2:19" ht="23.25" customHeight="1" x14ac:dyDescent="0.4"/>
    <row r="46" spans="2:19" ht="23.25" customHeight="1" x14ac:dyDescent="0.4"/>
    <row r="47" spans="2:19" ht="23.25" customHeight="1" x14ac:dyDescent="0.4"/>
    <row r="48" spans="2:19" ht="23.25" customHeight="1" x14ac:dyDescent="0.4"/>
    <row r="49" ht="23.25" customHeight="1" x14ac:dyDescent="0.4"/>
    <row r="50" ht="23.25" customHeight="1" x14ac:dyDescent="0.4"/>
    <row r="51" ht="23.25" customHeight="1" x14ac:dyDescent="0.4"/>
    <row r="52" ht="23.25" customHeight="1" x14ac:dyDescent="0.4"/>
    <row r="53" ht="23.25" customHeight="1" x14ac:dyDescent="0.4"/>
    <row r="54" ht="23.25" customHeight="1" x14ac:dyDescent="0.4"/>
    <row r="55" ht="23.25" customHeight="1" x14ac:dyDescent="0.4"/>
    <row r="56" ht="23.25" customHeight="1" x14ac:dyDescent="0.4"/>
    <row r="57" ht="23.25" customHeight="1" x14ac:dyDescent="0.4"/>
    <row r="58" ht="23.25" customHeight="1" x14ac:dyDescent="0.4"/>
    <row r="59" ht="23.25" customHeight="1" x14ac:dyDescent="0.4"/>
    <row r="60" ht="23.25" customHeight="1" x14ac:dyDescent="0.4"/>
    <row r="61" ht="23.25" customHeight="1" x14ac:dyDescent="0.4"/>
    <row r="62" ht="23.25" customHeight="1" x14ac:dyDescent="0.4"/>
    <row r="63" ht="23.25" customHeight="1" x14ac:dyDescent="0.4"/>
    <row r="64" ht="23.25" customHeight="1" x14ac:dyDescent="0.4"/>
    <row r="65" ht="23.25" customHeight="1" x14ac:dyDescent="0.4"/>
    <row r="66" ht="23.25" customHeight="1" x14ac:dyDescent="0.4"/>
    <row r="67" ht="23.25" customHeight="1" x14ac:dyDescent="0.4"/>
    <row r="68" ht="23.25" customHeight="1" x14ac:dyDescent="0.4"/>
    <row r="69" ht="23.25" customHeight="1" x14ac:dyDescent="0.4"/>
    <row r="70" ht="23.25" customHeight="1" x14ac:dyDescent="0.4"/>
    <row r="71" ht="23.25" customHeight="1" x14ac:dyDescent="0.4"/>
    <row r="72" ht="23.25" customHeight="1" x14ac:dyDescent="0.4"/>
    <row r="73" ht="23.25" customHeight="1" x14ac:dyDescent="0.4"/>
    <row r="74" ht="23.25" customHeight="1" x14ac:dyDescent="0.4"/>
    <row r="75" ht="23.25" customHeight="1" x14ac:dyDescent="0.4"/>
    <row r="76" ht="23.25" customHeight="1" x14ac:dyDescent="0.4"/>
    <row r="77" ht="23.25" customHeight="1" x14ac:dyDescent="0.4"/>
    <row r="78" ht="23.25" customHeight="1" x14ac:dyDescent="0.4"/>
    <row r="79" ht="23.25" customHeight="1" x14ac:dyDescent="0.4"/>
    <row r="80" ht="23.25" customHeight="1" x14ac:dyDescent="0.4"/>
    <row r="81" ht="23.25" customHeight="1" x14ac:dyDescent="0.4"/>
    <row r="82" ht="23.25" customHeight="1" x14ac:dyDescent="0.4"/>
    <row r="83" ht="23.25" customHeight="1" x14ac:dyDescent="0.4"/>
    <row r="84" ht="23.25" customHeight="1" x14ac:dyDescent="0.4"/>
    <row r="85" ht="23.25" customHeight="1" x14ac:dyDescent="0.4"/>
    <row r="86" ht="23.25" customHeight="1" x14ac:dyDescent="0.4"/>
    <row r="87" ht="23.25" customHeight="1" x14ac:dyDescent="0.4"/>
    <row r="88" ht="23.25" customHeight="1" x14ac:dyDescent="0.4"/>
    <row r="89" ht="23.25" customHeight="1" x14ac:dyDescent="0.4"/>
    <row r="90" ht="23.25" customHeight="1" x14ac:dyDescent="0.4"/>
    <row r="91" ht="23.25" customHeight="1" x14ac:dyDescent="0.4"/>
    <row r="92" ht="23.25" customHeight="1" x14ac:dyDescent="0.4"/>
    <row r="93" ht="23.25" customHeight="1" x14ac:dyDescent="0.4"/>
    <row r="94" ht="23.25" customHeight="1" x14ac:dyDescent="0.4"/>
    <row r="95" ht="23.25" customHeight="1" x14ac:dyDescent="0.4"/>
    <row r="96" ht="23.25" customHeight="1" x14ac:dyDescent="0.4"/>
    <row r="97" ht="23.25" customHeight="1" x14ac:dyDescent="0.4"/>
    <row r="98" ht="23.25" customHeight="1" x14ac:dyDescent="0.4"/>
    <row r="99" ht="23.25" customHeight="1" x14ac:dyDescent="0.4"/>
    <row r="100" ht="23.25" customHeight="1" x14ac:dyDescent="0.4"/>
    <row r="101" ht="23.25" customHeight="1" x14ac:dyDescent="0.4"/>
    <row r="102" ht="23.25" customHeight="1" x14ac:dyDescent="0.4"/>
    <row r="103" ht="23.25" customHeight="1" x14ac:dyDescent="0.4"/>
    <row r="104" ht="23.25" customHeight="1" x14ac:dyDescent="0.4"/>
    <row r="105" ht="23.25" customHeight="1" x14ac:dyDescent="0.4"/>
    <row r="106" ht="23.25" customHeight="1" x14ac:dyDescent="0.4"/>
    <row r="107" ht="23.25" customHeight="1" x14ac:dyDescent="0.4"/>
    <row r="108" ht="23.25" customHeight="1" x14ac:dyDescent="0.4"/>
    <row r="109" ht="23.25" customHeight="1" x14ac:dyDescent="0.4"/>
    <row r="110" ht="23.25" customHeight="1" x14ac:dyDescent="0.4"/>
    <row r="111" ht="23.25" customHeight="1" x14ac:dyDescent="0.4"/>
    <row r="112" ht="23.25" customHeight="1" x14ac:dyDescent="0.4"/>
    <row r="113" ht="23.25" customHeight="1" x14ac:dyDescent="0.4"/>
    <row r="114" ht="23.25" customHeight="1" x14ac:dyDescent="0.4"/>
    <row r="115" ht="23.25" customHeight="1" x14ac:dyDescent="0.4"/>
    <row r="116" ht="23.25" customHeight="1" x14ac:dyDescent="0.4"/>
    <row r="117" ht="23.25" customHeight="1" x14ac:dyDescent="0.4"/>
    <row r="118" ht="23.25" customHeight="1" x14ac:dyDescent="0.4"/>
    <row r="119" ht="23.25" customHeight="1" x14ac:dyDescent="0.4"/>
    <row r="120" ht="23.25" customHeight="1" x14ac:dyDescent="0.4"/>
    <row r="121" ht="23.25" customHeight="1" x14ac:dyDescent="0.4"/>
    <row r="122" ht="23.25" customHeight="1" x14ac:dyDescent="0.4"/>
    <row r="123" ht="23.25" customHeight="1" x14ac:dyDescent="0.4"/>
    <row r="124" ht="23.25" customHeight="1" x14ac:dyDescent="0.4"/>
    <row r="125" ht="23.25" customHeight="1" x14ac:dyDescent="0.4"/>
    <row r="126" ht="23.25" customHeight="1" x14ac:dyDescent="0.4"/>
    <row r="127" ht="23.25" customHeight="1" x14ac:dyDescent="0.4"/>
    <row r="128" ht="23.25" customHeight="1" x14ac:dyDescent="0.4"/>
    <row r="129" ht="23.25" customHeight="1" x14ac:dyDescent="0.4"/>
    <row r="130" ht="23.25" customHeight="1" x14ac:dyDescent="0.4"/>
    <row r="131" ht="23.25" customHeight="1" x14ac:dyDescent="0.4"/>
    <row r="132" ht="23.25" customHeight="1" x14ac:dyDescent="0.4"/>
    <row r="133" ht="23.25" customHeight="1" x14ac:dyDescent="0.4"/>
    <row r="134" ht="23.25" customHeight="1" x14ac:dyDescent="0.4"/>
    <row r="135" ht="23.25" customHeight="1" x14ac:dyDescent="0.4"/>
    <row r="136" ht="23.25" customHeight="1" x14ac:dyDescent="0.4"/>
    <row r="137" ht="23.25" customHeight="1" x14ac:dyDescent="0.4"/>
    <row r="138" ht="23.25" customHeight="1" x14ac:dyDescent="0.4"/>
    <row r="139" ht="23.25" customHeight="1" x14ac:dyDescent="0.4"/>
    <row r="140" ht="23.25" customHeight="1" x14ac:dyDescent="0.4"/>
    <row r="141" ht="23.25" customHeight="1" x14ac:dyDescent="0.4"/>
    <row r="142" ht="23.25" customHeight="1" x14ac:dyDescent="0.4"/>
    <row r="143" ht="23.25" customHeight="1" x14ac:dyDescent="0.4"/>
    <row r="144" ht="23.25" customHeight="1" x14ac:dyDescent="0.4"/>
    <row r="145" ht="23.25" customHeight="1" x14ac:dyDescent="0.4"/>
    <row r="146" ht="23.25" customHeight="1" x14ac:dyDescent="0.4"/>
    <row r="147" ht="23.25" customHeight="1" x14ac:dyDescent="0.4"/>
    <row r="148" ht="23.25" customHeight="1" x14ac:dyDescent="0.4"/>
    <row r="149" ht="23.25" customHeight="1" x14ac:dyDescent="0.4"/>
    <row r="150" ht="23.25" customHeight="1" x14ac:dyDescent="0.4"/>
    <row r="151" ht="23.25" customHeight="1" x14ac:dyDescent="0.4"/>
    <row r="152" ht="23.25" customHeight="1" x14ac:dyDescent="0.4"/>
    <row r="153" ht="23.25" customHeight="1" x14ac:dyDescent="0.4"/>
    <row r="154" ht="23.25" customHeight="1" x14ac:dyDescent="0.4"/>
    <row r="155" ht="23.25" customHeight="1" x14ac:dyDescent="0.4"/>
    <row r="156" ht="23.25" customHeight="1" x14ac:dyDescent="0.4"/>
    <row r="157" ht="23.25" customHeight="1" x14ac:dyDescent="0.4"/>
    <row r="158" ht="23.25" customHeight="1" x14ac:dyDescent="0.4"/>
    <row r="159" ht="23.25" customHeight="1" x14ac:dyDescent="0.4"/>
    <row r="160" ht="23.25" customHeight="1" x14ac:dyDescent="0.4"/>
    <row r="161" ht="23.25" customHeight="1" x14ac:dyDescent="0.4"/>
    <row r="162" ht="23.25" customHeight="1" x14ac:dyDescent="0.4"/>
    <row r="163" ht="23.25" customHeight="1" x14ac:dyDescent="0.4"/>
    <row r="164" ht="23.25" customHeight="1" x14ac:dyDescent="0.4"/>
    <row r="165" ht="23.25" customHeight="1" x14ac:dyDescent="0.4"/>
    <row r="166" ht="23.25" customHeight="1" x14ac:dyDescent="0.4"/>
    <row r="167" ht="23.25" customHeight="1" x14ac:dyDescent="0.4"/>
    <row r="168" ht="23.25" customHeight="1" x14ac:dyDescent="0.4"/>
    <row r="169" ht="23.25" customHeight="1" x14ac:dyDescent="0.4"/>
    <row r="170" ht="23.25" customHeight="1" x14ac:dyDescent="0.4"/>
    <row r="171" ht="23.25" customHeight="1" x14ac:dyDescent="0.4"/>
    <row r="172" ht="23.25" customHeight="1" x14ac:dyDescent="0.4"/>
    <row r="173" ht="23.25" customHeight="1" x14ac:dyDescent="0.4"/>
    <row r="174" ht="23.25" customHeight="1" x14ac:dyDescent="0.4"/>
    <row r="175" ht="23.25" customHeight="1" x14ac:dyDescent="0.4"/>
    <row r="176" ht="23.25" customHeight="1" x14ac:dyDescent="0.4"/>
    <row r="177" ht="23.25" customHeight="1" x14ac:dyDescent="0.4"/>
    <row r="178" ht="23.25" customHeight="1" x14ac:dyDescent="0.4"/>
    <row r="179" ht="23.25" customHeight="1" x14ac:dyDescent="0.4"/>
    <row r="180" ht="23.25" customHeight="1" x14ac:dyDescent="0.4"/>
    <row r="181" ht="23.25" customHeight="1" x14ac:dyDescent="0.4"/>
    <row r="182" ht="23.25" customHeight="1" x14ac:dyDescent="0.4"/>
    <row r="183" ht="23.25" customHeight="1" x14ac:dyDescent="0.4"/>
    <row r="184" ht="23.25" customHeight="1" x14ac:dyDescent="0.4"/>
    <row r="185" ht="23.25" customHeight="1" x14ac:dyDescent="0.4"/>
    <row r="186" ht="23.25" customHeight="1" x14ac:dyDescent="0.4"/>
    <row r="187" ht="23.25" customHeight="1" x14ac:dyDescent="0.4"/>
    <row r="188" ht="23.25" customHeight="1" x14ac:dyDescent="0.4"/>
    <row r="189" ht="23.25" customHeight="1" x14ac:dyDescent="0.4"/>
    <row r="190" ht="23.25" customHeight="1" x14ac:dyDescent="0.4"/>
    <row r="191" ht="23.25" customHeight="1" x14ac:dyDescent="0.4"/>
    <row r="192" ht="23.25" customHeight="1" x14ac:dyDescent="0.4"/>
    <row r="193" ht="23.25" customHeight="1" x14ac:dyDescent="0.4"/>
    <row r="194" ht="23.25" customHeight="1" x14ac:dyDescent="0.4"/>
    <row r="195" ht="23.25" customHeight="1" x14ac:dyDescent="0.4"/>
    <row r="196" ht="23.25" customHeight="1" x14ac:dyDescent="0.4"/>
    <row r="197" ht="23.25" customHeight="1" x14ac:dyDescent="0.4"/>
    <row r="198" ht="23.25" customHeight="1" x14ac:dyDescent="0.4"/>
    <row r="199" ht="23.25" customHeight="1" x14ac:dyDescent="0.4"/>
    <row r="200" ht="23.25" customHeight="1" x14ac:dyDescent="0.4"/>
    <row r="201" ht="23.25" customHeight="1" x14ac:dyDescent="0.4"/>
    <row r="202" ht="23.25" customHeight="1" x14ac:dyDescent="0.4"/>
    <row r="203" ht="23.25" customHeight="1" x14ac:dyDescent="0.4"/>
    <row r="204" ht="23.25" customHeight="1" x14ac:dyDescent="0.4"/>
    <row r="205" ht="23.25" customHeight="1" x14ac:dyDescent="0.4"/>
    <row r="206" ht="23.25" customHeight="1" x14ac:dyDescent="0.4"/>
    <row r="207" ht="23.25" customHeight="1" x14ac:dyDescent="0.4"/>
    <row r="208" ht="23.25" customHeight="1" x14ac:dyDescent="0.4"/>
    <row r="209" ht="23.25" customHeight="1" x14ac:dyDescent="0.4"/>
    <row r="210" ht="23.25" customHeight="1" x14ac:dyDescent="0.4"/>
    <row r="211" ht="23.25" customHeight="1" x14ac:dyDescent="0.4"/>
    <row r="212" ht="23.25" customHeight="1" x14ac:dyDescent="0.4"/>
    <row r="213" ht="23.25" customHeight="1" x14ac:dyDescent="0.4"/>
    <row r="214" ht="23.25" customHeight="1" x14ac:dyDescent="0.4"/>
    <row r="215" ht="23.25" customHeight="1" x14ac:dyDescent="0.4"/>
    <row r="216" ht="23.25" customHeight="1" x14ac:dyDescent="0.4"/>
    <row r="217" ht="23.25" customHeight="1" x14ac:dyDescent="0.4"/>
    <row r="218" ht="23.25" customHeight="1" x14ac:dyDescent="0.4"/>
    <row r="219" ht="23.25" customHeight="1" x14ac:dyDescent="0.4"/>
    <row r="220" ht="23.25" customHeight="1" x14ac:dyDescent="0.4"/>
    <row r="221" ht="23.25" customHeight="1" x14ac:dyDescent="0.4"/>
    <row r="222" ht="23.25" customHeight="1" x14ac:dyDescent="0.4"/>
    <row r="223" ht="23.25" customHeight="1" x14ac:dyDescent="0.4"/>
    <row r="224" ht="23.25" customHeight="1" x14ac:dyDescent="0.4"/>
    <row r="225" ht="23.25" customHeight="1" x14ac:dyDescent="0.4"/>
    <row r="226" ht="23.25" customHeight="1" x14ac:dyDescent="0.4"/>
    <row r="227" ht="23.25" customHeight="1" x14ac:dyDescent="0.4"/>
    <row r="228" ht="23.25" customHeight="1" x14ac:dyDescent="0.4"/>
    <row r="229" ht="23.25" customHeight="1" x14ac:dyDescent="0.4"/>
    <row r="230" ht="23.25" customHeight="1" x14ac:dyDescent="0.4"/>
    <row r="231" ht="23.25" customHeight="1" x14ac:dyDescent="0.4"/>
    <row r="232" ht="23.25" customHeight="1" x14ac:dyDescent="0.4"/>
    <row r="233" ht="23.25" customHeight="1" x14ac:dyDescent="0.4"/>
    <row r="234" ht="23.25" customHeight="1" x14ac:dyDescent="0.4"/>
    <row r="235" ht="23.25" customHeight="1" x14ac:dyDescent="0.4"/>
    <row r="236" ht="23.25" customHeight="1" x14ac:dyDescent="0.4"/>
    <row r="237" ht="23.25" customHeight="1" x14ac:dyDescent="0.4"/>
    <row r="238" ht="23.25" customHeight="1" x14ac:dyDescent="0.4"/>
    <row r="239" ht="23.25" customHeight="1" x14ac:dyDescent="0.4"/>
    <row r="240" ht="23.25" customHeight="1" x14ac:dyDescent="0.4"/>
    <row r="241" ht="23.25" customHeight="1" x14ac:dyDescent="0.4"/>
    <row r="242" ht="23.25" customHeight="1" x14ac:dyDescent="0.4"/>
    <row r="243" ht="23.25" customHeight="1" x14ac:dyDescent="0.4"/>
    <row r="244" ht="23.25" customHeight="1" x14ac:dyDescent="0.4"/>
    <row r="245" ht="23.25" customHeight="1" x14ac:dyDescent="0.4"/>
    <row r="246" ht="23.25" customHeight="1" x14ac:dyDescent="0.4"/>
    <row r="247" ht="23.25" customHeight="1" x14ac:dyDescent="0.4"/>
    <row r="248" ht="23.25" customHeight="1" x14ac:dyDescent="0.4"/>
    <row r="249" ht="23.25" customHeight="1" x14ac:dyDescent="0.4"/>
    <row r="250" ht="23.25" customHeight="1" x14ac:dyDescent="0.4"/>
    <row r="251" ht="23.25" customHeight="1" x14ac:dyDescent="0.4"/>
    <row r="252" ht="23.25" customHeight="1" x14ac:dyDescent="0.4"/>
    <row r="253" ht="23.25" customHeight="1" x14ac:dyDescent="0.4"/>
    <row r="254" ht="23.25" customHeight="1" x14ac:dyDescent="0.4"/>
    <row r="255" ht="23.25" customHeight="1" x14ac:dyDescent="0.4"/>
    <row r="256" ht="23.25" customHeight="1" x14ac:dyDescent="0.4"/>
    <row r="257" ht="23.25" customHeight="1" x14ac:dyDescent="0.4"/>
    <row r="258" ht="23.25" customHeight="1" x14ac:dyDescent="0.4"/>
    <row r="259" ht="23.25" customHeight="1" x14ac:dyDescent="0.4"/>
    <row r="260" ht="23.25" customHeight="1" x14ac:dyDescent="0.4"/>
    <row r="261" ht="23.25" customHeight="1" x14ac:dyDescent="0.4"/>
    <row r="262" ht="23.25" customHeight="1" x14ac:dyDescent="0.4"/>
    <row r="263" ht="23.25" customHeight="1" x14ac:dyDescent="0.4"/>
    <row r="264" ht="23.25" customHeight="1" x14ac:dyDescent="0.4"/>
    <row r="265" ht="23.25" customHeight="1" x14ac:dyDescent="0.4"/>
    <row r="266" ht="23.25" customHeight="1" x14ac:dyDescent="0.4"/>
    <row r="267" ht="23.25" customHeight="1" x14ac:dyDescent="0.4"/>
    <row r="268" ht="23.25" customHeight="1" x14ac:dyDescent="0.4"/>
    <row r="269" ht="23.25" customHeight="1" x14ac:dyDescent="0.4"/>
    <row r="270" ht="23.25" customHeight="1" x14ac:dyDescent="0.4"/>
    <row r="271" ht="23.25" customHeight="1" x14ac:dyDescent="0.4"/>
    <row r="272" ht="23.25" customHeight="1" x14ac:dyDescent="0.4"/>
    <row r="273" ht="23.25" customHeight="1" x14ac:dyDescent="0.4"/>
    <row r="274" ht="23.25" customHeight="1" x14ac:dyDescent="0.4"/>
    <row r="275" ht="23.25" customHeight="1" x14ac:dyDescent="0.4"/>
    <row r="276" ht="23.25" customHeight="1" x14ac:dyDescent="0.4"/>
    <row r="277" ht="23.25" customHeight="1" x14ac:dyDescent="0.4"/>
    <row r="278" ht="23.25" customHeight="1" x14ac:dyDescent="0.4"/>
    <row r="279" ht="23.25" customHeight="1" x14ac:dyDescent="0.4"/>
    <row r="280" ht="23.25" customHeight="1" x14ac:dyDescent="0.4"/>
    <row r="281" ht="23.25" customHeight="1" x14ac:dyDescent="0.4"/>
    <row r="282" ht="23.25" customHeight="1" x14ac:dyDescent="0.4"/>
    <row r="283" ht="23.25" customHeight="1" x14ac:dyDescent="0.4"/>
    <row r="284" ht="23.25" customHeight="1" x14ac:dyDescent="0.4"/>
    <row r="285" ht="23.25" customHeight="1" x14ac:dyDescent="0.4"/>
    <row r="286" ht="23.25" customHeight="1" x14ac:dyDescent="0.4"/>
    <row r="287" ht="23.25" customHeight="1" x14ac:dyDescent="0.4"/>
    <row r="288" ht="23.25" customHeight="1" x14ac:dyDescent="0.4"/>
    <row r="289" ht="23.25" customHeight="1" x14ac:dyDescent="0.4"/>
    <row r="290" ht="23.25" customHeight="1" x14ac:dyDescent="0.4"/>
    <row r="291" ht="23.25" customHeight="1" x14ac:dyDescent="0.4"/>
    <row r="292" ht="23.25" customHeight="1" x14ac:dyDescent="0.4"/>
    <row r="293" ht="23.25" customHeight="1" x14ac:dyDescent="0.4"/>
    <row r="294" ht="23.25" customHeight="1" x14ac:dyDescent="0.4"/>
    <row r="295" ht="23.25" customHeight="1" x14ac:dyDescent="0.4"/>
    <row r="296" ht="23.25" customHeight="1" x14ac:dyDescent="0.4"/>
    <row r="297" ht="23.25" customHeight="1" x14ac:dyDescent="0.4"/>
    <row r="298" ht="23.25" customHeight="1" x14ac:dyDescent="0.4"/>
    <row r="299" ht="23.25" customHeight="1" x14ac:dyDescent="0.4"/>
    <row r="300" ht="23.25" customHeight="1" x14ac:dyDescent="0.4"/>
    <row r="301" ht="23.25" customHeight="1" x14ac:dyDescent="0.4"/>
    <row r="302" ht="23.25" customHeight="1" x14ac:dyDescent="0.4"/>
    <row r="303" ht="23.25" customHeight="1" x14ac:dyDescent="0.4"/>
    <row r="304" ht="23.25" customHeight="1" x14ac:dyDescent="0.4"/>
    <row r="305" ht="23.25" customHeight="1" x14ac:dyDescent="0.4"/>
    <row r="306" ht="23.25" customHeight="1" x14ac:dyDescent="0.4"/>
    <row r="307" ht="23.25" customHeight="1" x14ac:dyDescent="0.4"/>
    <row r="308" ht="23.25" customHeight="1" x14ac:dyDescent="0.4"/>
    <row r="309" ht="23.25" customHeight="1" x14ac:dyDescent="0.4"/>
    <row r="310" ht="23.25" customHeight="1" x14ac:dyDescent="0.4"/>
    <row r="311" ht="23.25" customHeight="1" x14ac:dyDescent="0.4"/>
    <row r="312" ht="23.25" customHeight="1" x14ac:dyDescent="0.4"/>
    <row r="313" ht="23.25" customHeight="1" x14ac:dyDescent="0.4"/>
    <row r="314" ht="23.25" customHeight="1" x14ac:dyDescent="0.4"/>
    <row r="315" ht="23.25" customHeight="1" x14ac:dyDescent="0.4"/>
    <row r="316" ht="23.25" customHeight="1" x14ac:dyDescent="0.4"/>
    <row r="317" ht="23.25" customHeight="1" x14ac:dyDescent="0.4"/>
    <row r="318" ht="23.25" customHeight="1" x14ac:dyDescent="0.4"/>
    <row r="319" ht="23.25" customHeight="1" x14ac:dyDescent="0.4"/>
    <row r="320" ht="23.25" customHeight="1" x14ac:dyDescent="0.4"/>
    <row r="321" ht="23.25" customHeight="1" x14ac:dyDescent="0.4"/>
    <row r="322" ht="23.25" customHeight="1" x14ac:dyDescent="0.4"/>
    <row r="323" ht="23.25" customHeight="1" x14ac:dyDescent="0.4"/>
    <row r="324" ht="23.25" customHeight="1" x14ac:dyDescent="0.4"/>
    <row r="325" ht="23.25" customHeight="1" x14ac:dyDescent="0.4"/>
    <row r="326" ht="23.25" customHeight="1" x14ac:dyDescent="0.4"/>
    <row r="327" ht="23.25" customHeight="1" x14ac:dyDescent="0.4"/>
    <row r="328" ht="23.25" customHeight="1" x14ac:dyDescent="0.4"/>
    <row r="329" ht="23.25" customHeight="1" x14ac:dyDescent="0.4"/>
    <row r="330" ht="23.25" customHeight="1" x14ac:dyDescent="0.4"/>
    <row r="331" ht="23.25" customHeight="1" x14ac:dyDescent="0.4"/>
    <row r="332" ht="23.25" customHeight="1" x14ac:dyDescent="0.4"/>
    <row r="333" ht="23.25" customHeight="1" x14ac:dyDescent="0.4"/>
    <row r="334" ht="23.25" customHeight="1" x14ac:dyDescent="0.4"/>
    <row r="335" ht="23.25" customHeight="1" x14ac:dyDescent="0.4"/>
    <row r="336" ht="23.25" customHeight="1" x14ac:dyDescent="0.4"/>
    <row r="337" ht="23.25" customHeight="1" x14ac:dyDescent="0.4"/>
    <row r="338" ht="23.25" customHeight="1" x14ac:dyDescent="0.4"/>
    <row r="339" ht="23.25" customHeight="1" x14ac:dyDescent="0.4"/>
    <row r="340" ht="23.25" customHeight="1" x14ac:dyDescent="0.4"/>
    <row r="341" ht="23.25" customHeight="1" x14ac:dyDescent="0.4"/>
    <row r="342" ht="23.25" customHeight="1" x14ac:dyDescent="0.4"/>
    <row r="343" ht="23.25" customHeight="1" x14ac:dyDescent="0.4"/>
    <row r="344" ht="23.25" customHeight="1" x14ac:dyDescent="0.4"/>
    <row r="345" ht="23.25" customHeight="1" x14ac:dyDescent="0.4"/>
    <row r="346" ht="23.25" customHeight="1" x14ac:dyDescent="0.4"/>
    <row r="347" ht="23.25" customHeight="1" x14ac:dyDescent="0.4"/>
    <row r="348" ht="23.25" customHeight="1" x14ac:dyDescent="0.4"/>
    <row r="349" ht="23.25" customHeight="1" x14ac:dyDescent="0.4"/>
    <row r="350" ht="23.25" customHeight="1" x14ac:dyDescent="0.4"/>
    <row r="351" ht="23.25" customHeight="1" x14ac:dyDescent="0.4"/>
    <row r="352" ht="23.25" customHeight="1" x14ac:dyDescent="0.4"/>
    <row r="353" ht="23.25" customHeight="1" x14ac:dyDescent="0.4"/>
    <row r="354" ht="23.25" customHeight="1" x14ac:dyDescent="0.4"/>
    <row r="355" ht="23.25" customHeight="1" x14ac:dyDescent="0.4"/>
    <row r="356" ht="23.25" customHeight="1" x14ac:dyDescent="0.4"/>
    <row r="357" ht="23.25" customHeight="1" x14ac:dyDescent="0.4"/>
    <row r="358" ht="23.25" customHeight="1" x14ac:dyDescent="0.4"/>
    <row r="359" ht="23.25" customHeight="1" x14ac:dyDescent="0.4"/>
    <row r="360" ht="23.25" customHeight="1" x14ac:dyDescent="0.4"/>
    <row r="361" ht="23.25" customHeight="1" x14ac:dyDescent="0.4"/>
    <row r="362" ht="23.25" customHeight="1" x14ac:dyDescent="0.4"/>
    <row r="363" ht="23.25" customHeight="1" x14ac:dyDescent="0.4"/>
    <row r="364" ht="23.25" customHeight="1" x14ac:dyDescent="0.4"/>
    <row r="365" ht="23.25" customHeight="1" x14ac:dyDescent="0.4"/>
    <row r="366" ht="23.25" customHeight="1" x14ac:dyDescent="0.4"/>
    <row r="367" ht="23.25" customHeight="1" x14ac:dyDescent="0.4"/>
    <row r="368" ht="23.25" customHeight="1" x14ac:dyDescent="0.4"/>
    <row r="369" ht="23.25" customHeight="1" x14ac:dyDescent="0.4"/>
    <row r="370" ht="23.25" customHeight="1" x14ac:dyDescent="0.4"/>
    <row r="371" ht="23.25" customHeight="1" x14ac:dyDescent="0.4"/>
    <row r="372" ht="23.25" customHeight="1" x14ac:dyDescent="0.4"/>
    <row r="373" ht="23.25" customHeight="1" x14ac:dyDescent="0.4"/>
    <row r="374" ht="23.25" customHeight="1" x14ac:dyDescent="0.4"/>
    <row r="375" ht="23.25" customHeight="1" x14ac:dyDescent="0.4"/>
    <row r="376" ht="23.25" customHeight="1" x14ac:dyDescent="0.4"/>
    <row r="377" ht="23.25" customHeight="1" x14ac:dyDescent="0.4"/>
    <row r="378" ht="23.25" customHeight="1" x14ac:dyDescent="0.4"/>
    <row r="379" ht="23.25" customHeight="1" x14ac:dyDescent="0.4"/>
    <row r="380" ht="23.25" customHeight="1" x14ac:dyDescent="0.4"/>
    <row r="381" ht="23.25" customHeight="1" x14ac:dyDescent="0.4"/>
    <row r="382" ht="23.25" customHeight="1" x14ac:dyDescent="0.4"/>
    <row r="383" ht="23.25" customHeight="1" x14ac:dyDescent="0.4"/>
    <row r="384" ht="23.25" customHeight="1" x14ac:dyDescent="0.4"/>
    <row r="385" ht="23.25" customHeight="1" x14ac:dyDescent="0.4"/>
    <row r="386" ht="23.25" customHeight="1" x14ac:dyDescent="0.4"/>
    <row r="387" ht="23.25" customHeight="1" x14ac:dyDescent="0.4"/>
    <row r="388" ht="23.25" customHeight="1" x14ac:dyDescent="0.4"/>
    <row r="389" ht="23.25" customHeight="1" x14ac:dyDescent="0.4"/>
    <row r="390" ht="23.25" customHeight="1" x14ac:dyDescent="0.4"/>
    <row r="391" ht="23.25" customHeight="1" x14ac:dyDescent="0.4"/>
    <row r="392" ht="23.25" customHeight="1" x14ac:dyDescent="0.4"/>
    <row r="393" ht="23.25" customHeight="1" x14ac:dyDescent="0.4"/>
    <row r="394" ht="23.25" customHeight="1" x14ac:dyDescent="0.4"/>
    <row r="395" ht="23.25" customHeight="1" x14ac:dyDescent="0.4"/>
    <row r="396" ht="23.25" customHeight="1" x14ac:dyDescent="0.4"/>
    <row r="397" ht="23.25" customHeight="1" x14ac:dyDescent="0.4"/>
    <row r="398" ht="23.25" customHeight="1" x14ac:dyDescent="0.4"/>
    <row r="399" ht="23.25" customHeight="1" x14ac:dyDescent="0.4"/>
    <row r="400" ht="23.25" customHeight="1" x14ac:dyDescent="0.4"/>
    <row r="401" ht="23.25" customHeight="1" x14ac:dyDescent="0.4"/>
    <row r="402" ht="23.25" customHeight="1" x14ac:dyDescent="0.4"/>
    <row r="403" ht="23.25" customHeight="1" x14ac:dyDescent="0.4"/>
    <row r="404" ht="23.25" customHeight="1" x14ac:dyDescent="0.4"/>
    <row r="405" ht="23.25" customHeight="1" x14ac:dyDescent="0.4"/>
    <row r="406" ht="23.25" customHeight="1" x14ac:dyDescent="0.4"/>
    <row r="407" ht="23.25" customHeight="1" x14ac:dyDescent="0.4"/>
    <row r="408" ht="23.25" customHeight="1" x14ac:dyDescent="0.4"/>
    <row r="409" ht="23.25" customHeight="1" x14ac:dyDescent="0.4"/>
    <row r="410" ht="23.25" customHeight="1" x14ac:dyDescent="0.4"/>
    <row r="411" ht="23.25" customHeight="1" x14ac:dyDescent="0.4"/>
    <row r="412" ht="23.25" customHeight="1" x14ac:dyDescent="0.4"/>
    <row r="413" ht="23.25" customHeight="1" x14ac:dyDescent="0.4"/>
    <row r="414" ht="23.25" customHeight="1" x14ac:dyDescent="0.4"/>
    <row r="415" ht="23.25" customHeight="1" x14ac:dyDescent="0.4"/>
    <row r="416" ht="23.25" customHeight="1" x14ac:dyDescent="0.4"/>
    <row r="417" ht="23.25" customHeight="1" x14ac:dyDescent="0.4"/>
    <row r="418" ht="23.25" customHeight="1" x14ac:dyDescent="0.4"/>
    <row r="419" ht="23.25" customHeight="1" x14ac:dyDescent="0.4"/>
    <row r="420" ht="23.25" customHeight="1" x14ac:dyDescent="0.4"/>
    <row r="421" ht="23.25" customHeight="1" x14ac:dyDescent="0.4"/>
    <row r="422" ht="23.25" customHeight="1" x14ac:dyDescent="0.4"/>
    <row r="423" ht="23.25" customHeight="1" x14ac:dyDescent="0.4"/>
    <row r="424" ht="23.25" customHeight="1" x14ac:dyDescent="0.4"/>
    <row r="425" ht="23.25" customHeight="1" x14ac:dyDescent="0.4"/>
    <row r="426" ht="23.25" customHeight="1" x14ac:dyDescent="0.4"/>
    <row r="427" ht="23.25" customHeight="1" x14ac:dyDescent="0.4"/>
    <row r="428" ht="23.25" customHeight="1" x14ac:dyDescent="0.4"/>
    <row r="429" ht="23.25" customHeight="1" x14ac:dyDescent="0.4"/>
    <row r="430" ht="23.25" customHeight="1" x14ac:dyDescent="0.4"/>
    <row r="431" ht="23.25" customHeight="1" x14ac:dyDescent="0.4"/>
    <row r="432" ht="23.25" customHeight="1" x14ac:dyDescent="0.4"/>
    <row r="433" ht="23.25" customHeight="1" x14ac:dyDescent="0.4"/>
    <row r="434" ht="23.25" customHeight="1" x14ac:dyDescent="0.4"/>
    <row r="435" ht="23.25" customHeight="1" x14ac:dyDescent="0.4"/>
    <row r="436" ht="23.25" customHeight="1" x14ac:dyDescent="0.4"/>
    <row r="437" ht="23.25" customHeight="1" x14ac:dyDescent="0.4"/>
    <row r="438" ht="23.25" customHeight="1" x14ac:dyDescent="0.4"/>
    <row r="439" ht="23.25" customHeight="1" x14ac:dyDescent="0.4"/>
    <row r="440" ht="23.25" customHeight="1" x14ac:dyDescent="0.4"/>
    <row r="441" ht="23.25" customHeight="1" x14ac:dyDescent="0.4"/>
    <row r="442" ht="23.25" customHeight="1" x14ac:dyDescent="0.4"/>
    <row r="443" ht="23.25" customHeight="1" x14ac:dyDescent="0.4"/>
    <row r="444" ht="23.25" customHeight="1" x14ac:dyDescent="0.4"/>
    <row r="445" ht="23.25" customHeight="1" x14ac:dyDescent="0.4"/>
    <row r="446" ht="23.25" customHeight="1" x14ac:dyDescent="0.4"/>
    <row r="447" ht="23.25" customHeight="1" x14ac:dyDescent="0.4"/>
    <row r="448" ht="23.25" customHeight="1" x14ac:dyDescent="0.4"/>
    <row r="449" ht="23.25" customHeight="1" x14ac:dyDescent="0.4"/>
    <row r="450" ht="23.25" customHeight="1" x14ac:dyDescent="0.4"/>
    <row r="451" ht="23.25" customHeight="1" x14ac:dyDescent="0.4"/>
    <row r="452" ht="23.25" customHeight="1" x14ac:dyDescent="0.4"/>
    <row r="453" ht="23.25" customHeight="1" x14ac:dyDescent="0.4"/>
    <row r="454" ht="23.25" customHeight="1" x14ac:dyDescent="0.4"/>
    <row r="455" ht="23.25" customHeight="1" x14ac:dyDescent="0.4"/>
    <row r="456" ht="23.25" customHeight="1" x14ac:dyDescent="0.4"/>
    <row r="457" ht="23.25" customHeight="1" x14ac:dyDescent="0.4"/>
    <row r="458" ht="23.25" customHeight="1" x14ac:dyDescent="0.4"/>
    <row r="459" ht="23.25" customHeight="1" x14ac:dyDescent="0.4"/>
    <row r="460" ht="23.25" customHeight="1" x14ac:dyDescent="0.4"/>
    <row r="461" ht="23.25" customHeight="1" x14ac:dyDescent="0.4"/>
    <row r="462" ht="23.25" customHeight="1" x14ac:dyDescent="0.4"/>
    <row r="463" ht="23.25" customHeight="1" x14ac:dyDescent="0.4"/>
    <row r="464" ht="23.25" customHeight="1" x14ac:dyDescent="0.4"/>
    <row r="465" ht="23.25" customHeight="1" x14ac:dyDescent="0.4"/>
    <row r="466" ht="23.25" customHeight="1" x14ac:dyDescent="0.4"/>
    <row r="467" ht="23.25" customHeight="1" x14ac:dyDescent="0.4"/>
    <row r="468" ht="23.25" customHeight="1" x14ac:dyDescent="0.4"/>
    <row r="469" ht="23.25" customHeight="1" x14ac:dyDescent="0.4"/>
    <row r="470" ht="23.25" customHeight="1" x14ac:dyDescent="0.4"/>
    <row r="471" ht="23.25" customHeight="1" x14ac:dyDescent="0.4"/>
    <row r="472" ht="23.25" customHeight="1" x14ac:dyDescent="0.4"/>
    <row r="473" ht="23.25" customHeight="1" x14ac:dyDescent="0.4"/>
    <row r="474" ht="23.25" customHeight="1" x14ac:dyDescent="0.4"/>
    <row r="475" ht="23.25" customHeight="1" x14ac:dyDescent="0.4"/>
    <row r="476" ht="23.25" customHeight="1" x14ac:dyDescent="0.4"/>
    <row r="477" ht="23.25" customHeight="1" x14ac:dyDescent="0.4"/>
    <row r="478" ht="23.25" customHeight="1" x14ac:dyDescent="0.4"/>
    <row r="479" ht="23.25" customHeight="1" x14ac:dyDescent="0.4"/>
    <row r="480" ht="23.25" customHeight="1" x14ac:dyDescent="0.4"/>
    <row r="481" ht="23.25" customHeight="1" x14ac:dyDescent="0.4"/>
    <row r="482" ht="23.25" customHeight="1" x14ac:dyDescent="0.4"/>
    <row r="483" ht="23.25" customHeight="1" x14ac:dyDescent="0.4"/>
    <row r="484" ht="23.25" customHeight="1" x14ac:dyDescent="0.4"/>
    <row r="485" ht="23.25" customHeight="1" x14ac:dyDescent="0.4"/>
    <row r="486" ht="23.25" customHeight="1" x14ac:dyDescent="0.4"/>
    <row r="487" ht="23.25" customHeight="1" x14ac:dyDescent="0.4"/>
    <row r="488" ht="23.25" customHeight="1" x14ac:dyDescent="0.4"/>
    <row r="489" ht="23.25" customHeight="1" x14ac:dyDescent="0.4"/>
    <row r="490" ht="23.25" customHeight="1" x14ac:dyDescent="0.4"/>
    <row r="491" ht="23.25" customHeight="1" x14ac:dyDescent="0.4"/>
    <row r="492" ht="23.25" customHeight="1" x14ac:dyDescent="0.4"/>
    <row r="493" ht="23.25" customHeight="1" x14ac:dyDescent="0.4"/>
    <row r="494" ht="23.25" customHeight="1" x14ac:dyDescent="0.4"/>
    <row r="495" ht="23.25" customHeight="1" x14ac:dyDescent="0.4"/>
    <row r="496" ht="23.25" customHeight="1" x14ac:dyDescent="0.4"/>
    <row r="497" ht="23.25" customHeight="1" x14ac:dyDescent="0.4"/>
    <row r="498" ht="23.25" customHeight="1" x14ac:dyDescent="0.4"/>
    <row r="499" ht="23.25" customHeight="1" x14ac:dyDescent="0.4"/>
    <row r="500" ht="23.25" customHeight="1" x14ac:dyDescent="0.4"/>
    <row r="501" ht="23.25" customHeight="1" x14ac:dyDescent="0.4"/>
    <row r="502" ht="23.25" customHeight="1" x14ac:dyDescent="0.4"/>
    <row r="503" ht="23.25" customHeight="1" x14ac:dyDescent="0.4"/>
    <row r="504" ht="23.25" customHeight="1" x14ac:dyDescent="0.4"/>
    <row r="505" ht="23.25" customHeight="1" x14ac:dyDescent="0.4"/>
    <row r="506" ht="23.25" customHeight="1" x14ac:dyDescent="0.4"/>
    <row r="507" ht="23.25" customHeight="1" x14ac:dyDescent="0.4"/>
    <row r="508" ht="23.25" customHeight="1" x14ac:dyDescent="0.4"/>
    <row r="509" ht="23.25" customHeight="1" x14ac:dyDescent="0.4"/>
    <row r="510" ht="23.25" customHeight="1" x14ac:dyDescent="0.4"/>
    <row r="511" ht="23.25" customHeight="1" x14ac:dyDescent="0.4"/>
    <row r="512" ht="23.25" customHeight="1" x14ac:dyDescent="0.4"/>
    <row r="513" ht="23.25" customHeight="1" x14ac:dyDescent="0.4"/>
    <row r="514" ht="23.25" customHeight="1" x14ac:dyDescent="0.4"/>
    <row r="515" ht="23.25" customHeight="1" x14ac:dyDescent="0.4"/>
    <row r="516" ht="23.25" customHeight="1" x14ac:dyDescent="0.4"/>
    <row r="517" ht="23.25" customHeight="1" x14ac:dyDescent="0.4"/>
    <row r="518" ht="23.25" customHeight="1" x14ac:dyDescent="0.4"/>
    <row r="519" ht="23.25" customHeight="1" x14ac:dyDescent="0.4"/>
    <row r="520" ht="23.25" customHeight="1" x14ac:dyDescent="0.4"/>
    <row r="521" ht="23.25" customHeight="1" x14ac:dyDescent="0.4"/>
    <row r="522" ht="23.25" customHeight="1" x14ac:dyDescent="0.4"/>
    <row r="523" ht="23.25" customHeight="1" x14ac:dyDescent="0.4"/>
    <row r="524" ht="23.25" customHeight="1" x14ac:dyDescent="0.4"/>
    <row r="525" ht="23.25" customHeight="1" x14ac:dyDescent="0.4"/>
    <row r="526" ht="23.25" customHeight="1" x14ac:dyDescent="0.4"/>
    <row r="527" ht="23.25" customHeight="1" x14ac:dyDescent="0.4"/>
    <row r="528" ht="23.25" customHeight="1" x14ac:dyDescent="0.4"/>
    <row r="529" ht="23.25" customHeight="1" x14ac:dyDescent="0.4"/>
    <row r="530" ht="23.25" customHeight="1" x14ac:dyDescent="0.4"/>
    <row r="531" ht="23.25" customHeight="1" x14ac:dyDescent="0.4"/>
    <row r="532" ht="23.25" customHeight="1" x14ac:dyDescent="0.4"/>
    <row r="533" ht="23.25" customHeight="1" x14ac:dyDescent="0.4"/>
    <row r="534" ht="23.25" customHeight="1" x14ac:dyDescent="0.4"/>
    <row r="535" ht="23.25" customHeight="1" x14ac:dyDescent="0.4"/>
    <row r="536" ht="23.25" customHeight="1" x14ac:dyDescent="0.4"/>
    <row r="537" ht="23.25" customHeight="1" x14ac:dyDescent="0.4"/>
    <row r="538" ht="23.25" customHeight="1" x14ac:dyDescent="0.4"/>
    <row r="539" ht="23.25" customHeight="1" x14ac:dyDescent="0.4"/>
    <row r="540" ht="23.25" customHeight="1" x14ac:dyDescent="0.4"/>
    <row r="541" ht="23.25" customHeight="1" x14ac:dyDescent="0.4"/>
    <row r="542" ht="23.25" customHeight="1" x14ac:dyDescent="0.4"/>
    <row r="543" ht="23.25" customHeight="1" x14ac:dyDescent="0.4"/>
    <row r="544" ht="23.25" customHeight="1" x14ac:dyDescent="0.4"/>
    <row r="545" ht="23.25" customHeight="1" x14ac:dyDescent="0.4"/>
    <row r="546" ht="23.25" customHeight="1" x14ac:dyDescent="0.4"/>
    <row r="547" ht="23.25" customHeight="1" x14ac:dyDescent="0.4"/>
    <row r="548" ht="23.25" customHeight="1" x14ac:dyDescent="0.4"/>
    <row r="549" ht="23.25" customHeight="1" x14ac:dyDescent="0.4"/>
    <row r="550" ht="23.25" customHeight="1" x14ac:dyDescent="0.4"/>
    <row r="551" ht="23.25" customHeight="1" x14ac:dyDescent="0.4"/>
    <row r="552" ht="23.25" customHeight="1" x14ac:dyDescent="0.4"/>
    <row r="553" ht="23.25" customHeight="1" x14ac:dyDescent="0.4"/>
    <row r="554" ht="23.25" customHeight="1" x14ac:dyDescent="0.4"/>
    <row r="555" ht="23.25" customHeight="1" x14ac:dyDescent="0.4"/>
    <row r="556" ht="23.25" customHeight="1" x14ac:dyDescent="0.4"/>
    <row r="557" ht="23.25" customHeight="1" x14ac:dyDescent="0.4"/>
    <row r="558" ht="23.25" customHeight="1" x14ac:dyDescent="0.4"/>
    <row r="559" ht="23.25" customHeight="1" x14ac:dyDescent="0.4"/>
    <row r="560" ht="23.25" customHeight="1" x14ac:dyDescent="0.4"/>
    <row r="561" ht="23.25" customHeight="1" x14ac:dyDescent="0.4"/>
    <row r="562" ht="23.25" customHeight="1" x14ac:dyDescent="0.4"/>
    <row r="563" ht="23.25" customHeight="1" x14ac:dyDescent="0.4"/>
    <row r="564" ht="23.25" customHeight="1" x14ac:dyDescent="0.4"/>
    <row r="565" ht="23.25" customHeight="1" x14ac:dyDescent="0.4"/>
    <row r="566" ht="23.25" customHeight="1" x14ac:dyDescent="0.4"/>
    <row r="567" ht="23.25" customHeight="1" x14ac:dyDescent="0.4"/>
    <row r="568" ht="23.25" customHeight="1" x14ac:dyDescent="0.4"/>
    <row r="569" ht="23.25" customHeight="1" x14ac:dyDescent="0.4"/>
    <row r="570" ht="23.25" customHeight="1" x14ac:dyDescent="0.4"/>
    <row r="571" ht="23.25" customHeight="1" x14ac:dyDescent="0.4"/>
    <row r="572" ht="23.25" customHeight="1" x14ac:dyDescent="0.4"/>
    <row r="573" ht="23.25" customHeight="1" x14ac:dyDescent="0.4"/>
    <row r="574" ht="23.25" customHeight="1" x14ac:dyDescent="0.4"/>
    <row r="575" ht="23.25" customHeight="1" x14ac:dyDescent="0.4"/>
    <row r="576" ht="23.25" customHeight="1" x14ac:dyDescent="0.4"/>
    <row r="577" ht="23.25" customHeight="1" x14ac:dyDescent="0.4"/>
    <row r="578" ht="23.25" customHeight="1" x14ac:dyDescent="0.4"/>
    <row r="579" ht="23.25" customHeight="1" x14ac:dyDescent="0.4"/>
    <row r="580" ht="23.25" customHeight="1" x14ac:dyDescent="0.4"/>
    <row r="581" ht="23.25" customHeight="1" x14ac:dyDescent="0.4"/>
    <row r="582" ht="23.25" customHeight="1" x14ac:dyDescent="0.4"/>
    <row r="583" ht="23.25" customHeight="1" x14ac:dyDescent="0.4"/>
    <row r="584" ht="23.25" customHeight="1" x14ac:dyDescent="0.4"/>
    <row r="585" ht="23.25" customHeight="1" x14ac:dyDescent="0.4"/>
    <row r="586" ht="23.25" customHeight="1" x14ac:dyDescent="0.4"/>
    <row r="587" ht="23.25" customHeight="1" x14ac:dyDescent="0.4"/>
    <row r="588" ht="23.25" customHeight="1" x14ac:dyDescent="0.4"/>
    <row r="589" ht="23.25" customHeight="1" x14ac:dyDescent="0.4"/>
    <row r="590" ht="23.25" customHeight="1" x14ac:dyDescent="0.4"/>
    <row r="591" ht="23.25" customHeight="1" x14ac:dyDescent="0.4"/>
    <row r="592" ht="23.25" customHeight="1" x14ac:dyDescent="0.4"/>
    <row r="593" ht="23.25" customHeight="1" x14ac:dyDescent="0.4"/>
    <row r="594" ht="23.25" customHeight="1" x14ac:dyDescent="0.4"/>
    <row r="595" ht="23.25" customHeight="1" x14ac:dyDescent="0.4"/>
    <row r="596" ht="23.25" customHeight="1" x14ac:dyDescent="0.4"/>
    <row r="597" ht="23.25" customHeight="1" x14ac:dyDescent="0.4"/>
    <row r="598" ht="23.25" customHeight="1" x14ac:dyDescent="0.4"/>
    <row r="599" ht="23.25" customHeight="1" x14ac:dyDescent="0.4"/>
    <row r="600" ht="23.25" customHeight="1" x14ac:dyDescent="0.4"/>
    <row r="601" ht="23.25" customHeight="1" x14ac:dyDescent="0.4"/>
    <row r="602" ht="23.25" customHeight="1" x14ac:dyDescent="0.4"/>
    <row r="603" ht="23.25" customHeight="1" x14ac:dyDescent="0.4"/>
    <row r="604" ht="23.25" customHeight="1" x14ac:dyDescent="0.4"/>
    <row r="605" ht="23.25" customHeight="1" x14ac:dyDescent="0.4"/>
    <row r="606" ht="23.25" customHeight="1" x14ac:dyDescent="0.4"/>
    <row r="607" ht="23.25" customHeight="1" x14ac:dyDescent="0.4"/>
    <row r="608" ht="23.25" customHeight="1" x14ac:dyDescent="0.4"/>
    <row r="609" ht="23.25" customHeight="1" x14ac:dyDescent="0.4"/>
    <row r="610" ht="23.25" customHeight="1" x14ac:dyDescent="0.4"/>
    <row r="611" ht="23.25" customHeight="1" x14ac:dyDescent="0.4"/>
    <row r="612" ht="23.25" customHeight="1" x14ac:dyDescent="0.4"/>
    <row r="613" ht="23.25" customHeight="1" x14ac:dyDescent="0.4"/>
    <row r="614" ht="23.25" customHeight="1" x14ac:dyDescent="0.4"/>
    <row r="615" ht="23.25" customHeight="1" x14ac:dyDescent="0.4"/>
    <row r="616" ht="23.25" customHeight="1" x14ac:dyDescent="0.4"/>
    <row r="617" ht="23.25" customHeight="1" x14ac:dyDescent="0.4"/>
    <row r="618" ht="23.25" customHeight="1" x14ac:dyDescent="0.4"/>
    <row r="619" ht="23.25" customHeight="1" x14ac:dyDescent="0.4"/>
    <row r="620" ht="23.25" customHeight="1" x14ac:dyDescent="0.4"/>
    <row r="621" ht="23.25" customHeight="1" x14ac:dyDescent="0.4"/>
    <row r="622" ht="23.25" customHeight="1" x14ac:dyDescent="0.4"/>
    <row r="623" ht="23.25" customHeight="1" x14ac:dyDescent="0.4"/>
    <row r="624" ht="23.25" customHeight="1" x14ac:dyDescent="0.4"/>
    <row r="625" ht="23.25" customHeight="1" x14ac:dyDescent="0.4"/>
    <row r="626" ht="23.25" customHeight="1" x14ac:dyDescent="0.4"/>
    <row r="627" ht="23.25" customHeight="1" x14ac:dyDescent="0.4"/>
    <row r="628" ht="23.25" customHeight="1" x14ac:dyDescent="0.4"/>
    <row r="629" ht="23.25" customHeight="1" x14ac:dyDescent="0.4"/>
    <row r="630" ht="23.25" customHeight="1" x14ac:dyDescent="0.4"/>
    <row r="631" ht="23.25" customHeight="1" x14ac:dyDescent="0.4"/>
    <row r="632" ht="23.25" customHeight="1" x14ac:dyDescent="0.4"/>
    <row r="633" ht="23.25" customHeight="1" x14ac:dyDescent="0.4"/>
    <row r="634" ht="23.25" customHeight="1" x14ac:dyDescent="0.4"/>
    <row r="635" ht="23.25" customHeight="1" x14ac:dyDescent="0.4"/>
    <row r="636" ht="23.25" customHeight="1" x14ac:dyDescent="0.4"/>
    <row r="637" ht="23.25" customHeight="1" x14ac:dyDescent="0.4"/>
    <row r="638" ht="23.25" customHeight="1" x14ac:dyDescent="0.4"/>
    <row r="639" ht="23.25" customHeight="1" x14ac:dyDescent="0.4"/>
    <row r="640" ht="23.25" customHeight="1" x14ac:dyDescent="0.4"/>
    <row r="641" ht="23.25" customHeight="1" x14ac:dyDescent="0.4"/>
    <row r="642" ht="23.25" customHeight="1" x14ac:dyDescent="0.4"/>
    <row r="643" ht="23.25" customHeight="1" x14ac:dyDescent="0.4"/>
    <row r="644" ht="23.25" customHeight="1" x14ac:dyDescent="0.4"/>
    <row r="645" ht="23.25" customHeight="1" x14ac:dyDescent="0.4"/>
    <row r="646" ht="23.25" customHeight="1" x14ac:dyDescent="0.4"/>
    <row r="647" ht="23.25" customHeight="1" x14ac:dyDescent="0.4"/>
    <row r="648" ht="23.25" customHeight="1" x14ac:dyDescent="0.4"/>
    <row r="649" ht="23.25" customHeight="1" x14ac:dyDescent="0.4"/>
    <row r="650" ht="23.25" customHeight="1" x14ac:dyDescent="0.4"/>
    <row r="651" ht="23.25" customHeight="1" x14ac:dyDescent="0.4"/>
    <row r="652" ht="23.25" customHeight="1" x14ac:dyDescent="0.4"/>
    <row r="653" ht="23.25" customHeight="1" x14ac:dyDescent="0.4"/>
    <row r="654" ht="23.25" customHeight="1" x14ac:dyDescent="0.4"/>
    <row r="655" ht="23.25" customHeight="1" x14ac:dyDescent="0.4"/>
    <row r="656" ht="23.25" customHeight="1" x14ac:dyDescent="0.4"/>
    <row r="657" ht="23.25" customHeight="1" x14ac:dyDescent="0.4"/>
    <row r="658" ht="23.25" customHeight="1" x14ac:dyDescent="0.4"/>
    <row r="659" ht="23.25" customHeight="1" x14ac:dyDescent="0.4"/>
    <row r="660" ht="23.25" customHeight="1" x14ac:dyDescent="0.4"/>
    <row r="661" ht="23.25" customHeight="1" x14ac:dyDescent="0.4"/>
    <row r="662" ht="23.25" customHeight="1" x14ac:dyDescent="0.4"/>
    <row r="663" ht="23.25" customHeight="1" x14ac:dyDescent="0.4"/>
    <row r="664" ht="23.25" customHeight="1" x14ac:dyDescent="0.4"/>
    <row r="665" ht="23.25" customHeight="1" x14ac:dyDescent="0.4"/>
    <row r="666" ht="23.25" customHeight="1" x14ac:dyDescent="0.4"/>
    <row r="667" ht="23.25" customHeight="1" x14ac:dyDescent="0.4"/>
    <row r="668" ht="23.25" customHeight="1" x14ac:dyDescent="0.4"/>
    <row r="669" ht="23.25" customHeight="1" x14ac:dyDescent="0.4"/>
    <row r="670" ht="23.25" customHeight="1" x14ac:dyDescent="0.4"/>
    <row r="671" ht="23.25" customHeight="1" x14ac:dyDescent="0.4"/>
    <row r="672" ht="23.25" customHeight="1" x14ac:dyDescent="0.4"/>
    <row r="673" ht="23.25" customHeight="1" x14ac:dyDescent="0.4"/>
    <row r="674" ht="23.25" customHeight="1" x14ac:dyDescent="0.4"/>
    <row r="675" ht="23.25" customHeight="1" x14ac:dyDescent="0.4"/>
    <row r="676" ht="23.25" customHeight="1" x14ac:dyDescent="0.4"/>
    <row r="677" ht="23.25" customHeight="1" x14ac:dyDescent="0.4"/>
    <row r="678" ht="23.25" customHeight="1" x14ac:dyDescent="0.4"/>
    <row r="679" ht="23.25" customHeight="1" x14ac:dyDescent="0.4"/>
    <row r="680" ht="23.25" customHeight="1" x14ac:dyDescent="0.4"/>
    <row r="681" ht="23.25" customHeight="1" x14ac:dyDescent="0.4"/>
    <row r="682" ht="23.25" customHeight="1" x14ac:dyDescent="0.4"/>
    <row r="683" ht="23.25" customHeight="1" x14ac:dyDescent="0.4"/>
    <row r="684" ht="23.25" customHeight="1" x14ac:dyDescent="0.4"/>
    <row r="685" ht="23.25" customHeight="1" x14ac:dyDescent="0.4"/>
    <row r="686" ht="23.25" customHeight="1" x14ac:dyDescent="0.4"/>
    <row r="687" ht="23.25" customHeight="1" x14ac:dyDescent="0.4"/>
    <row r="688" ht="23.25" customHeight="1" x14ac:dyDescent="0.4"/>
    <row r="689" ht="23.25" customHeight="1" x14ac:dyDescent="0.4"/>
    <row r="690" ht="23.25" customHeight="1" x14ac:dyDescent="0.4"/>
    <row r="691" ht="23.25" customHeight="1" x14ac:dyDescent="0.4"/>
    <row r="692" ht="23.25" customHeight="1" x14ac:dyDescent="0.4"/>
    <row r="693" ht="23.25" customHeight="1" x14ac:dyDescent="0.4"/>
    <row r="694" ht="23.25" customHeight="1" x14ac:dyDescent="0.4"/>
    <row r="695" ht="23.25" customHeight="1" x14ac:dyDescent="0.4"/>
    <row r="696" ht="23.25" customHeight="1" x14ac:dyDescent="0.4"/>
    <row r="697" ht="23.25" customHeight="1" x14ac:dyDescent="0.4"/>
    <row r="698" ht="23.25" customHeight="1" x14ac:dyDescent="0.4"/>
    <row r="699" ht="23.25" customHeight="1" x14ac:dyDescent="0.4"/>
    <row r="700" ht="23.25" customHeight="1" x14ac:dyDescent="0.4"/>
    <row r="701" ht="23.25" customHeight="1" x14ac:dyDescent="0.4"/>
    <row r="702" ht="23.25" customHeight="1" x14ac:dyDescent="0.4"/>
    <row r="703" ht="23.25" customHeight="1" x14ac:dyDescent="0.4"/>
    <row r="704" ht="23.25" customHeight="1" x14ac:dyDescent="0.4"/>
    <row r="705" ht="23.25" customHeight="1" x14ac:dyDescent="0.4"/>
    <row r="706" ht="23.25" customHeight="1" x14ac:dyDescent="0.4"/>
    <row r="707" ht="23.25" customHeight="1" x14ac:dyDescent="0.4"/>
    <row r="708" ht="23.25" customHeight="1" x14ac:dyDescent="0.4"/>
    <row r="709" ht="23.25" customHeight="1" x14ac:dyDescent="0.4"/>
    <row r="710" ht="23.25" customHeight="1" x14ac:dyDescent="0.4"/>
    <row r="711" ht="23.25" customHeight="1" x14ac:dyDescent="0.4"/>
    <row r="712" ht="23.25" customHeight="1" x14ac:dyDescent="0.4"/>
    <row r="713" ht="23.25" customHeight="1" x14ac:dyDescent="0.4"/>
    <row r="714" ht="23.25" customHeight="1" x14ac:dyDescent="0.4"/>
    <row r="715" ht="23.25" customHeight="1" x14ac:dyDescent="0.4"/>
    <row r="716" ht="23.25" customHeight="1" x14ac:dyDescent="0.4"/>
    <row r="717" ht="23.25" customHeight="1" x14ac:dyDescent="0.4"/>
    <row r="718" ht="23.25" customHeight="1" x14ac:dyDescent="0.4"/>
    <row r="719" ht="23.25" customHeight="1" x14ac:dyDescent="0.4"/>
    <row r="720" ht="23.25" customHeight="1" x14ac:dyDescent="0.4"/>
    <row r="721" ht="23.25" customHeight="1" x14ac:dyDescent="0.4"/>
    <row r="722" ht="23.25" customHeight="1" x14ac:dyDescent="0.4"/>
    <row r="723" ht="23.25" customHeight="1" x14ac:dyDescent="0.4"/>
    <row r="724" ht="23.25" customHeight="1" x14ac:dyDescent="0.4"/>
    <row r="725" ht="23.25" customHeight="1" x14ac:dyDescent="0.4"/>
    <row r="726" ht="23.25" customHeight="1" x14ac:dyDescent="0.4"/>
    <row r="727" ht="23.25" customHeight="1" x14ac:dyDescent="0.4"/>
    <row r="728" ht="23.25" customHeight="1" x14ac:dyDescent="0.4"/>
    <row r="729" ht="23.25" customHeight="1" x14ac:dyDescent="0.4"/>
    <row r="730" ht="23.25" customHeight="1" x14ac:dyDescent="0.4"/>
    <row r="731" ht="23.25" customHeight="1" x14ac:dyDescent="0.4"/>
    <row r="732" ht="23.25" customHeight="1" x14ac:dyDescent="0.4"/>
    <row r="733" ht="23.25" customHeight="1" x14ac:dyDescent="0.4"/>
    <row r="734" ht="23.25" customHeight="1" x14ac:dyDescent="0.4"/>
    <row r="735" ht="23.25" customHeight="1" x14ac:dyDescent="0.4"/>
    <row r="736" ht="23.25" customHeight="1" x14ac:dyDescent="0.4"/>
    <row r="737" ht="23.25" customHeight="1" x14ac:dyDescent="0.4"/>
    <row r="738" ht="23.25" customHeight="1" x14ac:dyDescent="0.4"/>
    <row r="739" ht="23.25" customHeight="1" x14ac:dyDescent="0.4"/>
    <row r="740" ht="23.25" customHeight="1" x14ac:dyDescent="0.4"/>
    <row r="741" ht="23.25" customHeight="1" x14ac:dyDescent="0.4"/>
    <row r="742" ht="23.25" customHeight="1" x14ac:dyDescent="0.4"/>
    <row r="743" ht="23.25" customHeight="1" x14ac:dyDescent="0.4"/>
    <row r="744" ht="23.25" customHeight="1" x14ac:dyDescent="0.4"/>
    <row r="745" ht="23.25" customHeight="1" x14ac:dyDescent="0.4"/>
    <row r="746" ht="23.25" customHeight="1" x14ac:dyDescent="0.4"/>
    <row r="747" ht="23.25" customHeight="1" x14ac:dyDescent="0.4"/>
    <row r="748" ht="23.25" customHeight="1" x14ac:dyDescent="0.4"/>
    <row r="749" ht="23.25" customHeight="1" x14ac:dyDescent="0.4"/>
    <row r="750" ht="23.25" customHeight="1" x14ac:dyDescent="0.4"/>
    <row r="751" ht="23.25" customHeight="1" x14ac:dyDescent="0.4"/>
    <row r="752" ht="23.25" customHeight="1" x14ac:dyDescent="0.4"/>
    <row r="753" ht="23.25" customHeight="1" x14ac:dyDescent="0.4"/>
    <row r="754" ht="23.25" customHeight="1" x14ac:dyDescent="0.4"/>
    <row r="755" ht="23.25" customHeight="1" x14ac:dyDescent="0.4"/>
    <row r="756" ht="23.25" customHeight="1" x14ac:dyDescent="0.4"/>
    <row r="757" ht="23.25" customHeight="1" x14ac:dyDescent="0.4"/>
    <row r="758" ht="23.25" customHeight="1" x14ac:dyDescent="0.4"/>
    <row r="759" ht="23.25" customHeight="1" x14ac:dyDescent="0.4"/>
    <row r="760" ht="23.25" customHeight="1" x14ac:dyDescent="0.4"/>
    <row r="761" ht="23.25" customHeight="1" x14ac:dyDescent="0.4"/>
    <row r="762" ht="23.25" customHeight="1" x14ac:dyDescent="0.4"/>
    <row r="763" ht="23.25" customHeight="1" x14ac:dyDescent="0.4"/>
    <row r="764" ht="23.25" customHeight="1" x14ac:dyDescent="0.4"/>
    <row r="765" ht="23.25" customHeight="1" x14ac:dyDescent="0.4"/>
    <row r="766" ht="23.25" customHeight="1" x14ac:dyDescent="0.4"/>
    <row r="767" ht="23.25" customHeight="1" x14ac:dyDescent="0.4"/>
    <row r="768" ht="23.25" customHeight="1" x14ac:dyDescent="0.4"/>
    <row r="769" ht="23.25" customHeight="1" x14ac:dyDescent="0.4"/>
    <row r="770" ht="23.25" customHeight="1" x14ac:dyDescent="0.4"/>
    <row r="771" ht="23.25" customHeight="1" x14ac:dyDescent="0.4"/>
    <row r="772" ht="23.25" customHeight="1" x14ac:dyDescent="0.4"/>
    <row r="773" ht="23.25" customHeight="1" x14ac:dyDescent="0.4"/>
    <row r="774" ht="23.25" customHeight="1" x14ac:dyDescent="0.4"/>
    <row r="775" ht="23.25" customHeight="1" x14ac:dyDescent="0.4"/>
    <row r="776" ht="23.25" customHeight="1" x14ac:dyDescent="0.4"/>
    <row r="777" ht="23.25" customHeight="1" x14ac:dyDescent="0.4"/>
    <row r="778" ht="23.25" customHeight="1" x14ac:dyDescent="0.4"/>
    <row r="779" ht="23.25" customHeight="1" x14ac:dyDescent="0.4"/>
    <row r="780" ht="23.25" customHeight="1" x14ac:dyDescent="0.4"/>
    <row r="781" ht="23.25" customHeight="1" x14ac:dyDescent="0.4"/>
    <row r="782" ht="23.25" customHeight="1" x14ac:dyDescent="0.4"/>
    <row r="783" ht="23.25" customHeight="1" x14ac:dyDescent="0.4"/>
    <row r="784" ht="23.25" customHeight="1" x14ac:dyDescent="0.4"/>
    <row r="785" ht="23.25" customHeight="1" x14ac:dyDescent="0.4"/>
    <row r="786" ht="23.25" customHeight="1" x14ac:dyDescent="0.4"/>
    <row r="787" ht="23.25" customHeight="1" x14ac:dyDescent="0.4"/>
    <row r="788" ht="23.25" customHeight="1" x14ac:dyDescent="0.4"/>
    <row r="789" ht="23.25" customHeight="1" x14ac:dyDescent="0.4"/>
    <row r="790" ht="23.25" customHeight="1" x14ac:dyDescent="0.4"/>
    <row r="791" ht="23.25" customHeight="1" x14ac:dyDescent="0.4"/>
    <row r="792" ht="23.25" customHeight="1" x14ac:dyDescent="0.4"/>
    <row r="793" ht="23.25" customHeight="1" x14ac:dyDescent="0.4"/>
    <row r="794" ht="23.25" customHeight="1" x14ac:dyDescent="0.4"/>
    <row r="795" ht="23.25" customHeight="1" x14ac:dyDescent="0.4"/>
    <row r="796" ht="23.25" customHeight="1" x14ac:dyDescent="0.4"/>
    <row r="797" ht="23.25" customHeight="1" x14ac:dyDescent="0.4"/>
    <row r="798" ht="23.25" customHeight="1" x14ac:dyDescent="0.4"/>
    <row r="799" ht="23.25" customHeight="1" x14ac:dyDescent="0.4"/>
    <row r="800" ht="23.25" customHeight="1" x14ac:dyDescent="0.4"/>
    <row r="801" ht="23.25" customHeight="1" x14ac:dyDescent="0.4"/>
    <row r="802" ht="23.25" customHeight="1" x14ac:dyDescent="0.4"/>
    <row r="803" ht="23.25" customHeight="1" x14ac:dyDescent="0.4"/>
    <row r="804" ht="23.25" customHeight="1" x14ac:dyDescent="0.4"/>
    <row r="805" ht="23.25" customHeight="1" x14ac:dyDescent="0.4"/>
    <row r="806" ht="23.25" customHeight="1" x14ac:dyDescent="0.4"/>
    <row r="807" ht="23.25" customHeight="1" x14ac:dyDescent="0.4"/>
    <row r="808" ht="23.25" customHeight="1" x14ac:dyDescent="0.4"/>
    <row r="809" ht="23.25" customHeight="1" x14ac:dyDescent="0.4"/>
    <row r="810" ht="23.25" customHeight="1" x14ac:dyDescent="0.4"/>
    <row r="811" ht="23.25" customHeight="1" x14ac:dyDescent="0.4"/>
    <row r="812" ht="23.25" customHeight="1" x14ac:dyDescent="0.4"/>
    <row r="813" ht="23.25" customHeight="1" x14ac:dyDescent="0.4"/>
    <row r="814" ht="23.25" customHeight="1" x14ac:dyDescent="0.4"/>
    <row r="815" ht="23.25" customHeight="1" x14ac:dyDescent="0.4"/>
    <row r="816" ht="23.25" customHeight="1" x14ac:dyDescent="0.4"/>
    <row r="817" ht="23.25" customHeight="1" x14ac:dyDescent="0.4"/>
    <row r="818" ht="23.25" customHeight="1" x14ac:dyDescent="0.4"/>
    <row r="819" ht="23.25" customHeight="1" x14ac:dyDescent="0.4"/>
    <row r="820" ht="23.25" customHeight="1" x14ac:dyDescent="0.4"/>
    <row r="821" ht="23.25" customHeight="1" x14ac:dyDescent="0.4"/>
    <row r="822" ht="23.25" customHeight="1" x14ac:dyDescent="0.4"/>
    <row r="823" ht="23.25" customHeight="1" x14ac:dyDescent="0.4"/>
    <row r="824" ht="23.25" customHeight="1" x14ac:dyDescent="0.4"/>
    <row r="825" ht="23.25" customHeight="1" x14ac:dyDescent="0.4"/>
    <row r="826" ht="23.25" customHeight="1" x14ac:dyDescent="0.4"/>
    <row r="827" ht="23.25" customHeight="1" x14ac:dyDescent="0.4"/>
    <row r="828" ht="23.25" customHeight="1" x14ac:dyDescent="0.4"/>
    <row r="829" ht="23.25" customHeight="1" x14ac:dyDescent="0.4"/>
    <row r="830" ht="23.25" customHeight="1" x14ac:dyDescent="0.4"/>
    <row r="831" ht="23.25" customHeight="1" x14ac:dyDescent="0.4"/>
    <row r="832" ht="23.25" customHeight="1" x14ac:dyDescent="0.4"/>
    <row r="833" ht="23.25" customHeight="1" x14ac:dyDescent="0.4"/>
    <row r="834" ht="23.25" customHeight="1" x14ac:dyDescent="0.4"/>
    <row r="835" ht="23.25" customHeight="1" x14ac:dyDescent="0.4"/>
    <row r="836" ht="23.25" customHeight="1" x14ac:dyDescent="0.4"/>
    <row r="837" ht="23.25" customHeight="1" x14ac:dyDescent="0.4"/>
    <row r="838" ht="23.25" customHeight="1" x14ac:dyDescent="0.4"/>
    <row r="839" ht="23.25" customHeight="1" x14ac:dyDescent="0.4"/>
    <row r="840" ht="23.25" customHeight="1" x14ac:dyDescent="0.4"/>
    <row r="841" ht="23.25" customHeight="1" x14ac:dyDescent="0.4"/>
    <row r="842" ht="23.25" customHeight="1" x14ac:dyDescent="0.4"/>
    <row r="843" ht="23.25" customHeight="1" x14ac:dyDescent="0.4"/>
    <row r="844" ht="23.25" customHeight="1" x14ac:dyDescent="0.4"/>
    <row r="845" ht="23.25" customHeight="1" x14ac:dyDescent="0.4"/>
    <row r="846" ht="23.25" customHeight="1" x14ac:dyDescent="0.4"/>
    <row r="847" ht="23.25" customHeight="1" x14ac:dyDescent="0.4"/>
    <row r="848" ht="23.25" customHeight="1" x14ac:dyDescent="0.4"/>
    <row r="849" ht="23.25" customHeight="1" x14ac:dyDescent="0.4"/>
    <row r="850" ht="23.25" customHeight="1" x14ac:dyDescent="0.4"/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F242B-E8B9-4497-9069-1A87C3920493}">
  <dimension ref="B1:T850"/>
  <sheetViews>
    <sheetView workbookViewId="0"/>
  </sheetViews>
  <sheetFormatPr defaultRowHeight="17.399999999999999" x14ac:dyDescent="0.4"/>
  <cols>
    <col min="1" max="1" width="2.09765625" customWidth="1"/>
    <col min="2" max="2" width="27.69921875" customWidth="1"/>
    <col min="3" max="6" width="7" customWidth="1"/>
    <col min="7" max="7" width="30.8984375" customWidth="1"/>
    <col min="8" max="8" width="6.3984375" customWidth="1"/>
    <col min="9" max="9" width="18.69921875" customWidth="1"/>
    <col min="10" max="10" width="6.8984375" customWidth="1"/>
    <col min="11" max="11" width="38.59765625" customWidth="1"/>
    <col min="12" max="12" width="11.19921875" customWidth="1"/>
    <col min="13" max="13" width="9.796875" customWidth="1"/>
    <col min="14" max="14" width="13.796875" customWidth="1"/>
    <col min="15" max="16" width="9.796875" customWidth="1"/>
    <col min="17" max="17" width="11.796875" customWidth="1"/>
    <col min="18" max="18" width="12.19921875" customWidth="1"/>
    <col min="19" max="19" width="33.296875" customWidth="1"/>
    <col min="20" max="20" width="57.59765625" customWidth="1"/>
    <col min="21" max="30" width="8.8984375" customWidth="1"/>
  </cols>
  <sheetData>
    <row r="1" spans="2:20" ht="23.25" customHeight="1" x14ac:dyDescent="0.4">
      <c r="B1" s="107" t="s">
        <v>2385</v>
      </c>
      <c r="C1" s="109">
        <v>11.01</v>
      </c>
      <c r="D1" s="15" t="s">
        <v>23</v>
      </c>
      <c r="E1" s="90" t="s">
        <v>2386</v>
      </c>
      <c r="I1" s="44" t="s">
        <v>2387</v>
      </c>
      <c r="L1" s="5">
        <v>1</v>
      </c>
      <c r="M1" s="5">
        <v>6000</v>
      </c>
      <c r="N1" s="5">
        <f>+M1*L1</f>
        <v>6000</v>
      </c>
      <c r="Q1" s="5">
        <f>+N1</f>
        <v>6000</v>
      </c>
      <c r="R1" s="8" t="s">
        <v>2388</v>
      </c>
    </row>
    <row r="2" spans="2:20" ht="23.25" customHeight="1" x14ac:dyDescent="0.4">
      <c r="B2" s="107" t="s">
        <v>2389</v>
      </c>
      <c r="C2" s="18">
        <v>10.220000000000001</v>
      </c>
      <c r="D2" s="16" t="s">
        <v>28</v>
      </c>
      <c r="E2" s="20">
        <v>9.0299999999999994</v>
      </c>
      <c r="I2" s="44" t="s">
        <v>2390</v>
      </c>
      <c r="L2" s="5">
        <v>1</v>
      </c>
      <c r="M2" s="5">
        <v>6000</v>
      </c>
      <c r="N2" s="5">
        <f>+M2*L2</f>
        <v>6000</v>
      </c>
      <c r="O2" s="5">
        <f>+N2/1.1</f>
        <v>5454.545454545454</v>
      </c>
      <c r="P2" s="5">
        <f>+N2-O2</f>
        <v>545.45454545454595</v>
      </c>
      <c r="Q2" s="5">
        <f>+N2</f>
        <v>6000</v>
      </c>
      <c r="R2" s="8" t="s">
        <v>2391</v>
      </c>
    </row>
    <row r="3" spans="2:20" ht="23.25" customHeight="1" x14ac:dyDescent="0.4">
      <c r="B3" s="4" t="s">
        <v>701</v>
      </c>
      <c r="M3" s="109" t="s">
        <v>24</v>
      </c>
      <c r="N3" s="20" t="s">
        <v>24</v>
      </c>
      <c r="O3" s="18" t="s">
        <v>24</v>
      </c>
      <c r="P3" s="8" t="s">
        <v>2392</v>
      </c>
      <c r="Q3" s="8" t="s">
        <v>2393</v>
      </c>
      <c r="R3" s="18" t="s">
        <v>2394</v>
      </c>
    </row>
    <row r="4" spans="2:20" ht="24.75" customHeight="1" x14ac:dyDescent="0.4">
      <c r="K4" s="65" t="s">
        <v>2395</v>
      </c>
    </row>
    <row r="5" spans="2:20" ht="24.75" customHeight="1" x14ac:dyDescent="0.4">
      <c r="B5" s="108" t="s">
        <v>2396</v>
      </c>
      <c r="G5" s="113" t="s">
        <v>2397</v>
      </c>
      <c r="K5" s="65" t="s">
        <v>2398</v>
      </c>
    </row>
    <row r="6" spans="2:20" ht="37.5" customHeight="1" x14ac:dyDescent="0.4">
      <c r="B6" s="10" t="s">
        <v>30</v>
      </c>
      <c r="C6" s="110" t="s">
        <v>31</v>
      </c>
      <c r="D6" s="10" t="s">
        <v>32</v>
      </c>
      <c r="E6" s="10" t="s">
        <v>33</v>
      </c>
      <c r="F6" s="10" t="s">
        <v>34</v>
      </c>
      <c r="G6" s="16" t="s">
        <v>2399</v>
      </c>
      <c r="H6" s="114" t="s">
        <v>1</v>
      </c>
      <c r="I6" s="9" t="s">
        <v>36</v>
      </c>
      <c r="J6" s="10" t="s">
        <v>37</v>
      </c>
      <c r="K6" s="10" t="s">
        <v>38</v>
      </c>
      <c r="L6" s="10" t="s">
        <v>39</v>
      </c>
      <c r="M6" s="10" t="s">
        <v>40</v>
      </c>
      <c r="N6" s="10" t="s">
        <v>41</v>
      </c>
      <c r="O6" s="10" t="s">
        <v>42</v>
      </c>
      <c r="P6" s="10" t="s">
        <v>43</v>
      </c>
      <c r="Q6" s="10" t="s">
        <v>44</v>
      </c>
      <c r="R6" s="10" t="s">
        <v>45</v>
      </c>
      <c r="S6" s="9" t="s">
        <v>2400</v>
      </c>
      <c r="T6" s="10" t="s">
        <v>2401</v>
      </c>
    </row>
    <row r="7" spans="2:20" ht="24" customHeight="1" x14ac:dyDescent="0.4">
      <c r="B7" s="8" t="s">
        <v>26</v>
      </c>
      <c r="C7" s="8">
        <v>11.02</v>
      </c>
      <c r="D7" s="15" t="s">
        <v>23</v>
      </c>
      <c r="F7" s="8" t="s">
        <v>1559</v>
      </c>
      <c r="G7" s="5" t="s">
        <v>1560</v>
      </c>
      <c r="H7" s="5">
        <v>782</v>
      </c>
      <c r="I7" s="5" t="s">
        <v>730</v>
      </c>
      <c r="J7" s="5">
        <v>11.03</v>
      </c>
      <c r="K7" s="4" t="s">
        <v>198</v>
      </c>
      <c r="L7" s="5">
        <v>14</v>
      </c>
      <c r="M7" s="68">
        <v>9000</v>
      </c>
      <c r="N7" s="8">
        <f>+M7*L7</f>
        <v>126000</v>
      </c>
      <c r="O7" s="5">
        <f>+N7/1.1</f>
        <v>114545.45454545453</v>
      </c>
      <c r="P7" s="5">
        <f>+N7-O7</f>
        <v>11454.54545454547</v>
      </c>
      <c r="Q7" s="5">
        <f>+N7</f>
        <v>126000</v>
      </c>
      <c r="R7" s="18">
        <v>11.09</v>
      </c>
    </row>
    <row r="8" spans="2:20" ht="24" customHeight="1" x14ac:dyDescent="0.4">
      <c r="B8" s="8" t="s">
        <v>26</v>
      </c>
      <c r="C8" s="8">
        <v>11.02</v>
      </c>
      <c r="D8" s="15" t="s">
        <v>23</v>
      </c>
      <c r="F8" s="8" t="s">
        <v>1559</v>
      </c>
      <c r="G8" s="5" t="s">
        <v>1681</v>
      </c>
      <c r="H8" s="5">
        <v>829</v>
      </c>
      <c r="I8" s="5" t="s">
        <v>2402</v>
      </c>
      <c r="J8" s="5">
        <v>11.03</v>
      </c>
      <c r="K8" s="4" t="s">
        <v>198</v>
      </c>
      <c r="L8" s="5">
        <v>6</v>
      </c>
      <c r="M8" s="68">
        <v>9000</v>
      </c>
      <c r="N8" s="8">
        <f>+M8*L8</f>
        <v>54000</v>
      </c>
      <c r="O8" s="5">
        <f>+N8/1.1</f>
        <v>49090.909090909088</v>
      </c>
      <c r="P8" s="5">
        <f>+N8-O8</f>
        <v>4909.0909090909117</v>
      </c>
      <c r="Q8" s="5">
        <f>+N8</f>
        <v>54000</v>
      </c>
      <c r="R8" s="18">
        <v>11.1</v>
      </c>
    </row>
    <row r="9" spans="2:20" ht="24" customHeight="1" x14ac:dyDescent="0.4">
      <c r="B9" s="8" t="s">
        <v>157</v>
      </c>
      <c r="C9" s="8">
        <v>11.04</v>
      </c>
      <c r="D9" s="15" t="s">
        <v>23</v>
      </c>
      <c r="F9" s="8" t="s">
        <v>2368</v>
      </c>
      <c r="G9" s="5" t="s">
        <v>968</v>
      </c>
      <c r="H9" s="5">
        <v>209</v>
      </c>
      <c r="I9" s="5" t="s">
        <v>969</v>
      </c>
      <c r="J9" s="5">
        <v>9.27</v>
      </c>
      <c r="K9" s="5" t="s">
        <v>159</v>
      </c>
      <c r="L9" s="5">
        <v>32</v>
      </c>
      <c r="M9" s="68">
        <v>6000</v>
      </c>
      <c r="N9" s="8">
        <f>+M9*L9</f>
        <v>192000</v>
      </c>
      <c r="O9" s="5">
        <f>+N9/1.1</f>
        <v>174545.45454545453</v>
      </c>
      <c r="P9" s="5">
        <f>+N9-O9</f>
        <v>17454.54545454547</v>
      </c>
      <c r="Q9" s="5">
        <f>+N9</f>
        <v>192000</v>
      </c>
      <c r="R9" s="18">
        <v>11.23</v>
      </c>
      <c r="T9" s="4" t="s">
        <v>166</v>
      </c>
    </row>
    <row r="10" spans="2:20" ht="24" customHeight="1" x14ac:dyDescent="0.4">
      <c r="B10" s="8" t="s">
        <v>26</v>
      </c>
      <c r="C10" s="8">
        <v>11.08</v>
      </c>
      <c r="D10" s="15" t="s">
        <v>23</v>
      </c>
      <c r="F10" s="5" t="s">
        <v>2368</v>
      </c>
      <c r="G10" s="5" t="s">
        <v>1011</v>
      </c>
      <c r="H10" s="5">
        <v>550</v>
      </c>
      <c r="I10" s="5" t="s">
        <v>748</v>
      </c>
      <c r="J10" s="5">
        <v>10.29</v>
      </c>
      <c r="K10" s="7" t="s">
        <v>226</v>
      </c>
      <c r="L10" s="5">
        <v>1</v>
      </c>
      <c r="M10" s="68">
        <v>9000</v>
      </c>
      <c r="N10" s="8">
        <f>+M10*L10</f>
        <v>9000</v>
      </c>
      <c r="O10" s="5">
        <f>+N10/1.1</f>
        <v>8181.8181818181811</v>
      </c>
      <c r="P10" s="5">
        <f>+N10-O10</f>
        <v>818.18181818181893</v>
      </c>
      <c r="Q10" s="5">
        <f>+N10</f>
        <v>9000</v>
      </c>
      <c r="R10" s="18">
        <v>11.1</v>
      </c>
      <c r="T10" s="7" t="s">
        <v>51</v>
      </c>
    </row>
    <row r="11" spans="2:20" ht="24" customHeight="1" x14ac:dyDescent="0.4">
      <c r="B11" s="8" t="s">
        <v>26</v>
      </c>
      <c r="C11" s="8">
        <v>11.08</v>
      </c>
      <c r="D11" s="15" t="s">
        <v>23</v>
      </c>
      <c r="F11" s="5" t="s">
        <v>2368</v>
      </c>
      <c r="G11" s="5" t="s">
        <v>1011</v>
      </c>
      <c r="H11" s="5">
        <v>550</v>
      </c>
      <c r="I11" s="4" t="s">
        <v>748</v>
      </c>
      <c r="J11" s="5">
        <v>11.05</v>
      </c>
      <c r="K11" s="7" t="s">
        <v>231</v>
      </c>
      <c r="L11" s="5">
        <f>60+10</f>
        <v>70</v>
      </c>
      <c r="M11" s="68">
        <v>5000</v>
      </c>
      <c r="N11" s="8">
        <f>+M11*L11</f>
        <v>350000</v>
      </c>
      <c r="O11" s="5">
        <f>+N11/1.1</f>
        <v>318181.81818181818</v>
      </c>
      <c r="P11" s="5">
        <f>+N11-O11</f>
        <v>31818.181818181823</v>
      </c>
      <c r="Q11" s="5">
        <f>+N11</f>
        <v>350000</v>
      </c>
      <c r="R11" s="18">
        <v>11.1</v>
      </c>
      <c r="S11" s="7" t="s">
        <v>51</v>
      </c>
    </row>
    <row r="12" spans="2:20" ht="24" customHeight="1" x14ac:dyDescent="0.4">
      <c r="B12" s="8" t="s">
        <v>26</v>
      </c>
      <c r="C12" s="8">
        <v>11.08</v>
      </c>
      <c r="D12" s="15" t="s">
        <v>23</v>
      </c>
      <c r="F12" s="8" t="s">
        <v>2368</v>
      </c>
      <c r="G12" s="5" t="s">
        <v>826</v>
      </c>
      <c r="H12" s="4">
        <v>182</v>
      </c>
      <c r="I12" s="5" t="s">
        <v>828</v>
      </c>
      <c r="J12" s="4">
        <v>10.28</v>
      </c>
      <c r="K12" s="7" t="s">
        <v>248</v>
      </c>
      <c r="L12" s="5">
        <v>165</v>
      </c>
      <c r="M12" s="69">
        <f>5500-500</f>
        <v>5000</v>
      </c>
      <c r="N12" s="5">
        <f>+M12*L12</f>
        <v>825000</v>
      </c>
      <c r="O12" s="5">
        <f>+N12/1.1</f>
        <v>749999.99999999988</v>
      </c>
      <c r="P12" s="5">
        <f>+N12-O12</f>
        <v>75000.000000000116</v>
      </c>
      <c r="Q12" s="5">
        <f>+N12</f>
        <v>825000</v>
      </c>
      <c r="R12" s="18">
        <v>11.1</v>
      </c>
      <c r="S12" s="4" t="s">
        <v>249</v>
      </c>
    </row>
    <row r="13" spans="2:20" ht="24" customHeight="1" x14ac:dyDescent="0.4">
      <c r="B13" s="8" t="s">
        <v>639</v>
      </c>
      <c r="C13" s="8">
        <v>11.09</v>
      </c>
      <c r="D13" s="15" t="s">
        <v>23</v>
      </c>
      <c r="F13" s="8" t="s">
        <v>2368</v>
      </c>
      <c r="G13" s="5" t="s">
        <v>919</v>
      </c>
      <c r="H13" s="5">
        <v>786</v>
      </c>
      <c r="I13" s="5" t="s">
        <v>744</v>
      </c>
      <c r="J13" s="5">
        <v>9.23</v>
      </c>
      <c r="K13" s="5" t="s">
        <v>2403</v>
      </c>
      <c r="L13" s="5">
        <v>20</v>
      </c>
      <c r="M13" s="68">
        <v>6000</v>
      </c>
      <c r="N13" s="8">
        <f>+M13*L13</f>
        <v>120000</v>
      </c>
      <c r="O13" s="5">
        <f>+N13/1.1</f>
        <v>109090.90909090909</v>
      </c>
      <c r="P13" s="5">
        <f>+N13-O13</f>
        <v>10909.090909090912</v>
      </c>
      <c r="Q13" s="5">
        <f>+N13</f>
        <v>120000</v>
      </c>
      <c r="R13" s="18">
        <v>11.1</v>
      </c>
      <c r="S13" s="5" t="s">
        <v>2404</v>
      </c>
      <c r="T13" s="5" t="s">
        <v>544</v>
      </c>
    </row>
    <row r="14" spans="2:20" ht="24" customHeight="1" x14ac:dyDescent="0.4">
      <c r="B14" s="8" t="s">
        <v>639</v>
      </c>
      <c r="C14" s="8">
        <v>11.09</v>
      </c>
      <c r="D14" s="15" t="s">
        <v>23</v>
      </c>
      <c r="F14" s="8" t="s">
        <v>2368</v>
      </c>
      <c r="G14" s="5" t="s">
        <v>933</v>
      </c>
      <c r="H14" s="5">
        <v>786</v>
      </c>
      <c r="I14" s="5" t="s">
        <v>938</v>
      </c>
      <c r="J14" s="5">
        <v>9.23</v>
      </c>
      <c r="K14" s="5" t="s">
        <v>2405</v>
      </c>
      <c r="L14" s="5">
        <v>30</v>
      </c>
      <c r="M14" s="68">
        <v>6000</v>
      </c>
      <c r="N14" s="8">
        <f>+M14*L14</f>
        <v>180000</v>
      </c>
      <c r="O14" s="5">
        <f>+N14/1.1</f>
        <v>163636.36363636362</v>
      </c>
      <c r="P14" s="5">
        <f>+N14-O14</f>
        <v>16363.636363636382</v>
      </c>
      <c r="Q14" s="5">
        <f>+N14</f>
        <v>180000</v>
      </c>
      <c r="R14" s="18">
        <v>11.15</v>
      </c>
      <c r="S14" s="5" t="s">
        <v>2406</v>
      </c>
      <c r="T14" s="5" t="s">
        <v>544</v>
      </c>
    </row>
    <row r="15" spans="2:20" ht="24" customHeight="1" x14ac:dyDescent="0.4">
      <c r="B15" s="8" t="s">
        <v>26</v>
      </c>
      <c r="C15" s="8">
        <v>11.09</v>
      </c>
      <c r="D15" s="15" t="s">
        <v>23</v>
      </c>
      <c r="F15" s="5" t="s">
        <v>1559</v>
      </c>
      <c r="G15" s="5" t="s">
        <v>2407</v>
      </c>
      <c r="H15" s="5">
        <v>2865</v>
      </c>
      <c r="I15" s="5" t="s">
        <v>1328</v>
      </c>
      <c r="J15" s="5">
        <v>9.27</v>
      </c>
      <c r="K15" s="3" t="s">
        <v>170</v>
      </c>
      <c r="L15" s="5">
        <v>17</v>
      </c>
      <c r="M15" s="68">
        <f>5000+3000</f>
        <v>8000</v>
      </c>
      <c r="N15" s="8">
        <f>+M15*L15</f>
        <v>136000</v>
      </c>
      <c r="O15" s="5">
        <f>+N15/1.1</f>
        <v>123636.36363636363</v>
      </c>
      <c r="P15" s="5">
        <f>+N15-O15</f>
        <v>12363.636363636368</v>
      </c>
      <c r="Q15" s="5">
        <f>+N15</f>
        <v>136000</v>
      </c>
      <c r="R15" s="18">
        <v>11.1</v>
      </c>
      <c r="S15" s="40" t="s">
        <v>2408</v>
      </c>
      <c r="T15" s="4" t="s">
        <v>171</v>
      </c>
    </row>
    <row r="16" spans="2:20" ht="24" customHeight="1" x14ac:dyDescent="0.4">
      <c r="B16" s="8" t="s">
        <v>26</v>
      </c>
      <c r="C16" s="8">
        <v>11.1</v>
      </c>
      <c r="D16" s="15" t="s">
        <v>23</v>
      </c>
      <c r="F16" s="5" t="s">
        <v>1365</v>
      </c>
      <c r="G16" s="5" t="s">
        <v>2409</v>
      </c>
      <c r="H16" s="5">
        <v>455</v>
      </c>
      <c r="I16" s="5" t="s">
        <v>2410</v>
      </c>
      <c r="J16" s="5">
        <v>9.2799999999999994</v>
      </c>
      <c r="K16" s="31" t="s">
        <v>172</v>
      </c>
      <c r="L16" s="5">
        <f>45-11-16-4</f>
        <v>14</v>
      </c>
      <c r="M16" s="68">
        <v>10000</v>
      </c>
      <c r="N16" s="8">
        <f>+M16*L16</f>
        <v>140000</v>
      </c>
      <c r="O16" s="5">
        <f>+N16/1.1</f>
        <v>127272.72727272726</v>
      </c>
      <c r="P16" s="5">
        <f>+N16-O16</f>
        <v>12727.272727272735</v>
      </c>
      <c r="Q16" s="5">
        <f>+N16</f>
        <v>140000</v>
      </c>
      <c r="R16" s="18">
        <v>11.15</v>
      </c>
      <c r="T16" s="7" t="s">
        <v>74</v>
      </c>
    </row>
    <row r="17" spans="2:20" ht="24" customHeight="1" x14ac:dyDescent="0.4">
      <c r="B17" s="8" t="s">
        <v>26</v>
      </c>
      <c r="C17" s="8">
        <v>11.1</v>
      </c>
      <c r="D17" s="15" t="s">
        <v>23</v>
      </c>
      <c r="F17" s="5" t="s">
        <v>1365</v>
      </c>
      <c r="G17" s="5" t="s">
        <v>2409</v>
      </c>
      <c r="H17" s="5">
        <v>455</v>
      </c>
      <c r="I17" s="5" t="s">
        <v>2410</v>
      </c>
      <c r="J17" s="5">
        <v>10.26</v>
      </c>
      <c r="K17" s="7" t="s">
        <v>222</v>
      </c>
      <c r="L17" s="5">
        <v>15</v>
      </c>
      <c r="M17" s="68">
        <v>10000</v>
      </c>
      <c r="N17" s="8">
        <f>+M17*L17</f>
        <v>150000</v>
      </c>
      <c r="O17" s="5">
        <f>+N17/1.1</f>
        <v>136363.63636363635</v>
      </c>
      <c r="P17" s="5">
        <f>+N17-O17</f>
        <v>13636.363636363647</v>
      </c>
      <c r="Q17" s="5">
        <f>+N17</f>
        <v>150000</v>
      </c>
      <c r="R17" s="18">
        <v>11.15</v>
      </c>
      <c r="T17" s="7" t="s">
        <v>74</v>
      </c>
    </row>
    <row r="18" spans="2:20" ht="24" customHeight="1" x14ac:dyDescent="0.4">
      <c r="B18" s="8" t="s">
        <v>26</v>
      </c>
      <c r="C18" s="8">
        <v>11.1</v>
      </c>
      <c r="D18" s="15" t="s">
        <v>23</v>
      </c>
      <c r="F18" s="5" t="s">
        <v>1365</v>
      </c>
      <c r="G18" s="5" t="s">
        <v>2411</v>
      </c>
      <c r="H18" s="5">
        <v>143</v>
      </c>
      <c r="I18" s="5" t="s">
        <v>1042</v>
      </c>
      <c r="J18" s="5">
        <v>11.08</v>
      </c>
      <c r="K18" s="35" t="s">
        <v>184</v>
      </c>
      <c r="L18" s="5">
        <v>302</v>
      </c>
      <c r="M18" s="68">
        <v>5000</v>
      </c>
      <c r="N18" s="8">
        <f>+M18*L18</f>
        <v>1510000</v>
      </c>
      <c r="O18" s="5">
        <f>+N18/1.1</f>
        <v>1372727.2727272727</v>
      </c>
      <c r="P18" s="5">
        <f>+N18-O18</f>
        <v>137272.72727272729</v>
      </c>
      <c r="Q18" s="5">
        <f>+N18</f>
        <v>1510000</v>
      </c>
      <c r="R18" s="18">
        <v>11.11</v>
      </c>
      <c r="S18" s="7" t="s">
        <v>234</v>
      </c>
    </row>
    <row r="19" spans="2:20" ht="24" customHeight="1" x14ac:dyDescent="0.4">
      <c r="B19" s="8" t="s">
        <v>26</v>
      </c>
      <c r="C19" s="8">
        <v>11.1</v>
      </c>
      <c r="D19" s="15" t="s">
        <v>23</v>
      </c>
      <c r="F19" s="5" t="s">
        <v>1365</v>
      </c>
      <c r="G19" s="5" t="s">
        <v>2412</v>
      </c>
      <c r="H19" s="5">
        <v>159</v>
      </c>
      <c r="I19" s="5" t="s">
        <v>1045</v>
      </c>
      <c r="J19" s="5">
        <v>11.08</v>
      </c>
      <c r="K19" s="35" t="s">
        <v>184</v>
      </c>
      <c r="L19" s="5">
        <v>230</v>
      </c>
      <c r="M19" s="68">
        <v>5000</v>
      </c>
      <c r="N19" s="8">
        <f>+M19*L19</f>
        <v>1150000</v>
      </c>
      <c r="O19" s="5">
        <f>+N19/1.1</f>
        <v>1045454.5454545454</v>
      </c>
      <c r="P19" s="5">
        <f>+N19-O19</f>
        <v>104545.45454545459</v>
      </c>
      <c r="Q19" s="5">
        <f>+N19</f>
        <v>1150000</v>
      </c>
      <c r="R19" s="18">
        <v>11.11</v>
      </c>
      <c r="S19" s="7" t="s">
        <v>236</v>
      </c>
    </row>
    <row r="20" spans="2:20" ht="24" customHeight="1" x14ac:dyDescent="0.4">
      <c r="B20" s="8" t="s">
        <v>26</v>
      </c>
      <c r="C20" s="8">
        <v>11.16</v>
      </c>
      <c r="D20" s="15" t="s">
        <v>23</v>
      </c>
      <c r="F20" s="5" t="s">
        <v>1365</v>
      </c>
      <c r="G20" s="5" t="s">
        <v>1089</v>
      </c>
      <c r="H20" s="4">
        <v>247</v>
      </c>
      <c r="I20" s="5" t="s">
        <v>1090</v>
      </c>
      <c r="J20" s="4">
        <v>11.09</v>
      </c>
      <c r="K20" s="8" t="s">
        <v>198</v>
      </c>
      <c r="L20" s="5">
        <v>10</v>
      </c>
      <c r="M20" s="68">
        <v>9000</v>
      </c>
      <c r="N20" s="8">
        <f>+M20*L20</f>
        <v>90000</v>
      </c>
      <c r="O20" s="5">
        <f>+N20/1.1</f>
        <v>81818.181818181809</v>
      </c>
      <c r="P20" s="5">
        <f>+N20-O20</f>
        <v>8181.8181818181911</v>
      </c>
      <c r="Q20" s="5">
        <f>+N20</f>
        <v>90000</v>
      </c>
      <c r="R20" s="18">
        <v>11.17</v>
      </c>
    </row>
    <row r="21" spans="2:20" ht="24" customHeight="1" x14ac:dyDescent="0.4">
      <c r="B21" s="8" t="s">
        <v>26</v>
      </c>
      <c r="C21" s="8">
        <v>11.16</v>
      </c>
      <c r="D21" s="15" t="s">
        <v>23</v>
      </c>
      <c r="F21" s="8" t="s">
        <v>2368</v>
      </c>
      <c r="G21" s="5" t="s">
        <v>862</v>
      </c>
      <c r="H21" s="4">
        <v>1720</v>
      </c>
      <c r="I21" s="5" t="s">
        <v>1006</v>
      </c>
      <c r="J21" s="4">
        <v>11.09</v>
      </c>
      <c r="K21" s="8" t="s">
        <v>253</v>
      </c>
      <c r="L21" s="5">
        <v>8</v>
      </c>
      <c r="M21" s="68">
        <f>5000+3000</f>
        <v>8000</v>
      </c>
      <c r="N21" s="8">
        <f>+M21*L21</f>
        <v>64000</v>
      </c>
      <c r="O21" s="5">
        <f>+N21/1.1</f>
        <v>58181.818181818177</v>
      </c>
      <c r="P21" s="5">
        <f>+N21-O21</f>
        <v>5818.1818181818235</v>
      </c>
      <c r="Q21" s="5">
        <f>+N21</f>
        <v>64000</v>
      </c>
      <c r="R21" s="18">
        <v>11.17</v>
      </c>
    </row>
    <row r="22" spans="2:20" ht="24" customHeight="1" x14ac:dyDescent="0.4">
      <c r="B22" s="8" t="s">
        <v>26</v>
      </c>
      <c r="C22" s="8">
        <v>11.16</v>
      </c>
      <c r="D22" s="15" t="s">
        <v>23</v>
      </c>
      <c r="F22" s="5" t="s">
        <v>2368</v>
      </c>
      <c r="G22" s="5" t="s">
        <v>1011</v>
      </c>
      <c r="H22" s="4">
        <v>550</v>
      </c>
      <c r="I22" s="5" t="s">
        <v>748</v>
      </c>
      <c r="J22" s="4">
        <v>11.16</v>
      </c>
      <c r="K22" s="5" t="s">
        <v>184</v>
      </c>
      <c r="L22" s="5">
        <v>80</v>
      </c>
      <c r="M22" s="68">
        <v>6000</v>
      </c>
      <c r="N22" s="8">
        <f>+M22*L22</f>
        <v>480000</v>
      </c>
      <c r="O22" s="5">
        <f>+N22/1.1</f>
        <v>436363.63636363635</v>
      </c>
      <c r="P22" s="5">
        <f>+N22-O22</f>
        <v>43636.363636363647</v>
      </c>
      <c r="Q22" s="5">
        <f>+N22</f>
        <v>480000</v>
      </c>
      <c r="R22" s="18">
        <v>11.17</v>
      </c>
      <c r="S22" s="7" t="s">
        <v>51</v>
      </c>
    </row>
    <row r="23" spans="2:20" ht="24" customHeight="1" x14ac:dyDescent="0.4">
      <c r="B23" s="8" t="s">
        <v>26</v>
      </c>
      <c r="C23" s="8">
        <v>11.16</v>
      </c>
      <c r="D23" s="15" t="s">
        <v>23</v>
      </c>
      <c r="F23" s="8" t="s">
        <v>2368</v>
      </c>
      <c r="G23" s="5" t="s">
        <v>862</v>
      </c>
      <c r="H23" s="4">
        <v>1720</v>
      </c>
      <c r="I23" s="5" t="s">
        <v>1006</v>
      </c>
      <c r="J23" s="4">
        <v>11.16</v>
      </c>
      <c r="K23" s="5" t="s">
        <v>231</v>
      </c>
      <c r="L23" s="5">
        <v>47</v>
      </c>
      <c r="M23" s="68">
        <v>5000</v>
      </c>
      <c r="N23" s="8">
        <f>+M23*L23</f>
        <v>235000</v>
      </c>
      <c r="O23" s="5">
        <f>+N23/1.1</f>
        <v>213636.36363636362</v>
      </c>
      <c r="P23" s="5">
        <f>+N23-O23</f>
        <v>21363.636363636382</v>
      </c>
      <c r="Q23" s="5">
        <f>+N23</f>
        <v>235000</v>
      </c>
      <c r="R23" s="18">
        <v>11.17</v>
      </c>
      <c r="S23" s="4" t="s">
        <v>55</v>
      </c>
    </row>
    <row r="24" spans="2:20" ht="24" customHeight="1" x14ac:dyDescent="0.4">
      <c r="B24" s="7" t="s">
        <v>258</v>
      </c>
      <c r="C24" s="8">
        <v>11.16</v>
      </c>
      <c r="D24" s="15" t="s">
        <v>23</v>
      </c>
      <c r="F24" s="8" t="s">
        <v>1365</v>
      </c>
      <c r="G24" s="5" t="s">
        <v>1050</v>
      </c>
      <c r="H24" s="4">
        <v>157</v>
      </c>
      <c r="I24" s="18" t="s">
        <v>1051</v>
      </c>
      <c r="J24" s="4">
        <v>11.11</v>
      </c>
      <c r="K24" s="5" t="s">
        <v>184</v>
      </c>
      <c r="L24" s="5">
        <v>55</v>
      </c>
      <c r="M24" s="68">
        <v>6000</v>
      </c>
      <c r="N24" s="8">
        <f>+M24*L24</f>
        <v>330000</v>
      </c>
      <c r="O24" s="5">
        <f>+N24/1.1</f>
        <v>300000</v>
      </c>
      <c r="P24" s="5">
        <f>+N24-O24</f>
        <v>30000</v>
      </c>
      <c r="Q24" s="5">
        <f>+N24</f>
        <v>330000</v>
      </c>
      <c r="R24" s="18">
        <v>11.18</v>
      </c>
      <c r="S24" s="7" t="s">
        <v>260</v>
      </c>
    </row>
    <row r="25" spans="2:20" ht="24" customHeight="1" x14ac:dyDescent="0.4">
      <c r="B25" s="8" t="s">
        <v>639</v>
      </c>
      <c r="C25" s="8">
        <v>11.16</v>
      </c>
      <c r="D25" s="15" t="s">
        <v>23</v>
      </c>
      <c r="F25" s="8" t="s">
        <v>2368</v>
      </c>
      <c r="G25" s="5" t="s">
        <v>919</v>
      </c>
      <c r="H25" s="5">
        <v>786</v>
      </c>
      <c r="I25" s="5" t="s">
        <v>744</v>
      </c>
      <c r="J25" s="4">
        <v>10.25</v>
      </c>
      <c r="K25" s="5" t="s">
        <v>2413</v>
      </c>
      <c r="L25" s="5">
        <v>20</v>
      </c>
      <c r="M25" s="68">
        <v>6000</v>
      </c>
      <c r="N25" s="8">
        <f>+M25*L25</f>
        <v>120000</v>
      </c>
      <c r="O25" s="5">
        <f>+N25/1.1</f>
        <v>109090.90909090909</v>
      </c>
      <c r="P25" s="5">
        <f>+N25-O25</f>
        <v>10909.090909090912</v>
      </c>
      <c r="Q25" s="5">
        <f>+N25</f>
        <v>120000</v>
      </c>
      <c r="R25" s="18">
        <v>11.17</v>
      </c>
      <c r="S25" s="4" t="s">
        <v>544</v>
      </c>
    </row>
    <row r="26" spans="2:20" ht="24" customHeight="1" x14ac:dyDescent="0.4">
      <c r="B26" s="8" t="s">
        <v>639</v>
      </c>
      <c r="C26" s="8">
        <v>11.16</v>
      </c>
      <c r="D26" s="15" t="s">
        <v>23</v>
      </c>
      <c r="F26" s="8" t="s">
        <v>2368</v>
      </c>
      <c r="G26" s="5" t="s">
        <v>933</v>
      </c>
      <c r="H26" s="5">
        <v>786</v>
      </c>
      <c r="I26" s="5" t="s">
        <v>938</v>
      </c>
      <c r="J26" s="4">
        <v>10.25</v>
      </c>
      <c r="K26" s="5" t="s">
        <v>2414</v>
      </c>
      <c r="L26" s="5">
        <v>10</v>
      </c>
      <c r="M26" s="68">
        <v>6000</v>
      </c>
      <c r="N26" s="8">
        <f>+M26*L26</f>
        <v>60000</v>
      </c>
      <c r="O26" s="5">
        <f>+N26/1.1</f>
        <v>54545.454545454544</v>
      </c>
      <c r="P26" s="5">
        <f>+N26-O26</f>
        <v>5454.5454545454559</v>
      </c>
      <c r="Q26" s="5">
        <f>+N26</f>
        <v>60000</v>
      </c>
      <c r="R26" s="18">
        <v>11.23</v>
      </c>
      <c r="S26" s="4" t="s">
        <v>544</v>
      </c>
    </row>
    <row r="27" spans="2:20" ht="24" customHeight="1" x14ac:dyDescent="0.4">
      <c r="B27" s="8" t="s">
        <v>639</v>
      </c>
      <c r="C27" s="8">
        <v>11.16</v>
      </c>
      <c r="D27" s="15" t="s">
        <v>23</v>
      </c>
      <c r="F27" s="8" t="s">
        <v>2368</v>
      </c>
      <c r="G27" s="5" t="s">
        <v>928</v>
      </c>
      <c r="H27" s="5">
        <v>786</v>
      </c>
      <c r="I27" s="5" t="s">
        <v>949</v>
      </c>
      <c r="J27" s="4">
        <v>10.25</v>
      </c>
      <c r="K27" s="5" t="s">
        <v>2415</v>
      </c>
      <c r="L27" s="5">
        <v>10</v>
      </c>
      <c r="M27" s="68">
        <v>6000</v>
      </c>
      <c r="N27" s="8">
        <f>+M27*L27</f>
        <v>60000</v>
      </c>
      <c r="O27" s="5">
        <f>+N27/1.1</f>
        <v>54545.454545454544</v>
      </c>
      <c r="P27" s="5">
        <f>+N27-O27</f>
        <v>5454.5454545454559</v>
      </c>
      <c r="Q27" s="5">
        <f>+N27</f>
        <v>60000</v>
      </c>
      <c r="R27" s="18">
        <v>11.29</v>
      </c>
      <c r="S27" s="4" t="s">
        <v>544</v>
      </c>
    </row>
    <row r="28" spans="2:20" ht="24" customHeight="1" x14ac:dyDescent="0.4">
      <c r="B28" s="8" t="s">
        <v>639</v>
      </c>
      <c r="C28" s="8">
        <v>11.16</v>
      </c>
      <c r="D28" s="15" t="s">
        <v>23</v>
      </c>
      <c r="F28" s="8" t="s">
        <v>2368</v>
      </c>
      <c r="G28" s="5" t="s">
        <v>893</v>
      </c>
      <c r="H28" s="5">
        <v>786</v>
      </c>
      <c r="I28" s="5" t="s">
        <v>923</v>
      </c>
      <c r="J28" s="4">
        <v>10.25</v>
      </c>
      <c r="K28" s="5" t="s">
        <v>2416</v>
      </c>
      <c r="L28" s="5">
        <v>10</v>
      </c>
      <c r="M28" s="68">
        <v>6000</v>
      </c>
      <c r="N28" s="8">
        <f>+M28*L28</f>
        <v>60000</v>
      </c>
      <c r="O28" s="5">
        <f>+N28/1.1</f>
        <v>54545.454545454544</v>
      </c>
      <c r="P28" s="5">
        <f>+N28-O28</f>
        <v>5454.5454545454559</v>
      </c>
      <c r="Q28" s="5">
        <f>+N28</f>
        <v>60000</v>
      </c>
      <c r="R28" s="18">
        <v>11.18</v>
      </c>
      <c r="S28" s="4" t="s">
        <v>544</v>
      </c>
    </row>
    <row r="29" spans="2:20" ht="24" customHeight="1" x14ac:dyDescent="0.4">
      <c r="B29" s="7" t="s">
        <v>258</v>
      </c>
      <c r="C29" s="8">
        <v>11.16</v>
      </c>
      <c r="D29" s="15" t="s">
        <v>23</v>
      </c>
      <c r="F29" s="8" t="s">
        <v>1365</v>
      </c>
      <c r="G29" s="5" t="s">
        <v>1047</v>
      </c>
      <c r="H29" s="4">
        <v>157</v>
      </c>
      <c r="I29" s="5" t="s">
        <v>1048</v>
      </c>
      <c r="J29" s="4">
        <v>11.11</v>
      </c>
      <c r="K29" s="5" t="s">
        <v>184</v>
      </c>
      <c r="L29" s="5">
        <v>73</v>
      </c>
      <c r="M29" s="68">
        <v>6000</v>
      </c>
      <c r="N29" s="8">
        <f>+M29*L29</f>
        <v>438000</v>
      </c>
      <c r="O29" s="5">
        <f>+N29/1.1</f>
        <v>398181.81818181818</v>
      </c>
      <c r="P29" s="5">
        <f>+N29-O29</f>
        <v>39818.181818181823</v>
      </c>
      <c r="Q29" s="5">
        <f>+N29</f>
        <v>438000</v>
      </c>
      <c r="R29" s="18">
        <v>11.18</v>
      </c>
      <c r="S29" s="7" t="s">
        <v>2417</v>
      </c>
    </row>
    <row r="30" spans="2:20" ht="24" customHeight="1" x14ac:dyDescent="0.4">
      <c r="B30" s="7" t="s">
        <v>258</v>
      </c>
      <c r="C30" s="8">
        <v>11.16</v>
      </c>
      <c r="D30" s="15" t="s">
        <v>23</v>
      </c>
      <c r="F30" s="8" t="s">
        <v>1365</v>
      </c>
      <c r="G30" s="5" t="s">
        <v>1056</v>
      </c>
      <c r="H30" s="4">
        <v>157</v>
      </c>
      <c r="I30" s="5" t="s">
        <v>1057</v>
      </c>
      <c r="J30" s="4">
        <v>11.11</v>
      </c>
      <c r="K30" s="5" t="s">
        <v>184</v>
      </c>
      <c r="L30" s="5">
        <f>150+30</f>
        <v>180</v>
      </c>
      <c r="M30" s="68">
        <v>6000</v>
      </c>
      <c r="N30" s="8">
        <f>+M30*L30</f>
        <v>1080000</v>
      </c>
      <c r="O30" s="5">
        <f>+N30/1.1</f>
        <v>981818.18181818177</v>
      </c>
      <c r="P30" s="5">
        <f>+N30-O30</f>
        <v>98181.818181818235</v>
      </c>
      <c r="Q30" s="5">
        <f>+N30</f>
        <v>1080000</v>
      </c>
      <c r="R30" s="18">
        <v>11.18</v>
      </c>
      <c r="S30" s="7" t="s">
        <v>260</v>
      </c>
    </row>
    <row r="31" spans="2:20" ht="24" customHeight="1" x14ac:dyDescent="0.4">
      <c r="B31" s="8" t="s">
        <v>26</v>
      </c>
      <c r="C31" s="8">
        <v>11.19</v>
      </c>
      <c r="D31" s="15" t="s">
        <v>23</v>
      </c>
      <c r="F31" s="8" t="s">
        <v>1365</v>
      </c>
      <c r="G31" s="4" t="s">
        <v>2418</v>
      </c>
      <c r="H31" s="4">
        <v>253</v>
      </c>
      <c r="I31" s="5" t="s">
        <v>1081</v>
      </c>
      <c r="J31" s="4">
        <v>11.16</v>
      </c>
      <c r="K31" s="5" t="s">
        <v>268</v>
      </c>
      <c r="L31" s="5">
        <v>10</v>
      </c>
      <c r="M31" s="68">
        <v>6000</v>
      </c>
      <c r="N31" s="8">
        <f>+M31*L31</f>
        <v>60000</v>
      </c>
      <c r="O31" s="5">
        <f>+N31/1.1</f>
        <v>54545.454545454544</v>
      </c>
      <c r="P31" s="5">
        <f>+N31-O31</f>
        <v>5454.5454545454559</v>
      </c>
      <c r="Q31" s="5">
        <f>+N31</f>
        <v>60000</v>
      </c>
      <c r="R31" s="18">
        <v>11.22</v>
      </c>
      <c r="S31" s="7" t="s">
        <v>269</v>
      </c>
    </row>
    <row r="32" spans="2:20" ht="24" customHeight="1" x14ac:dyDescent="0.4">
      <c r="B32" s="8" t="s">
        <v>157</v>
      </c>
      <c r="C32" s="8">
        <v>11.19</v>
      </c>
      <c r="D32" s="15" t="s">
        <v>23</v>
      </c>
      <c r="F32" s="8" t="s">
        <v>2368</v>
      </c>
      <c r="G32" s="5" t="s">
        <v>968</v>
      </c>
      <c r="H32" s="5">
        <v>209</v>
      </c>
      <c r="I32" s="5" t="s">
        <v>969</v>
      </c>
      <c r="J32" s="5">
        <v>9.27</v>
      </c>
      <c r="K32" s="5" t="s">
        <v>159</v>
      </c>
      <c r="L32" s="5">
        <v>32</v>
      </c>
      <c r="M32" s="68">
        <v>6000</v>
      </c>
      <c r="N32" s="8">
        <f>+M32*L32</f>
        <v>192000</v>
      </c>
      <c r="O32" s="5">
        <f>+N32/1.1</f>
        <v>174545.45454545453</v>
      </c>
      <c r="P32" s="5">
        <f>+N32-O32</f>
        <v>17454.54545454547</v>
      </c>
      <c r="Q32" s="5">
        <f>+N32</f>
        <v>192000</v>
      </c>
      <c r="R32" s="18">
        <v>11.23</v>
      </c>
      <c r="T32" s="4" t="s">
        <v>166</v>
      </c>
    </row>
    <row r="33" spans="2:20" ht="24" customHeight="1" x14ac:dyDescent="0.4">
      <c r="B33" s="7" t="s">
        <v>258</v>
      </c>
      <c r="C33" s="8">
        <v>11.19</v>
      </c>
      <c r="D33" s="15" t="s">
        <v>23</v>
      </c>
      <c r="F33" s="8" t="s">
        <v>1365</v>
      </c>
      <c r="G33" s="5" t="s">
        <v>2419</v>
      </c>
      <c r="H33" s="4">
        <v>157</v>
      </c>
      <c r="I33" s="18" t="s">
        <v>1035</v>
      </c>
      <c r="J33" s="4">
        <v>11.11</v>
      </c>
      <c r="K33" s="5" t="s">
        <v>184</v>
      </c>
      <c r="L33" s="5">
        <v>136.66666670000001</v>
      </c>
      <c r="M33" s="68">
        <v>6000</v>
      </c>
      <c r="N33" s="8">
        <f>+M33*L33</f>
        <v>820000.00020000001</v>
      </c>
      <c r="O33" s="5">
        <f>+N33/1.1</f>
        <v>745454.54563636356</v>
      </c>
      <c r="P33" s="5">
        <f>+N33-O33</f>
        <v>74545.454563636449</v>
      </c>
      <c r="Q33" s="5">
        <f>+N33</f>
        <v>820000.00020000001</v>
      </c>
      <c r="R33" s="18">
        <v>11.24</v>
      </c>
      <c r="S33" s="7" t="s">
        <v>2420</v>
      </c>
    </row>
    <row r="34" spans="2:20" ht="24" customHeight="1" x14ac:dyDescent="0.4">
      <c r="B34" s="8" t="s">
        <v>26</v>
      </c>
      <c r="C34" s="8">
        <v>11.19</v>
      </c>
      <c r="D34" s="15" t="s">
        <v>23</v>
      </c>
      <c r="F34" s="5" t="s">
        <v>1365</v>
      </c>
      <c r="G34" s="5" t="s">
        <v>2409</v>
      </c>
      <c r="H34" s="4">
        <v>455</v>
      </c>
      <c r="I34" s="5" t="s">
        <v>2410</v>
      </c>
      <c r="J34" s="4">
        <v>11.16</v>
      </c>
      <c r="K34" s="31" t="s">
        <v>281</v>
      </c>
      <c r="L34" s="5">
        <v>8</v>
      </c>
      <c r="M34" s="68">
        <v>10000</v>
      </c>
      <c r="N34" s="8">
        <f>+M34*L34</f>
        <v>80000</v>
      </c>
      <c r="O34" s="5">
        <f>+N34/1.1</f>
        <v>72727.272727272721</v>
      </c>
      <c r="P34" s="5">
        <f>+N34-O34</f>
        <v>7272.7272727272793</v>
      </c>
      <c r="Q34" s="5">
        <f>+N34</f>
        <v>80000</v>
      </c>
      <c r="R34" s="18">
        <v>11.25</v>
      </c>
      <c r="S34" s="7" t="s">
        <v>74</v>
      </c>
    </row>
    <row r="35" spans="2:20" ht="24" customHeight="1" x14ac:dyDescent="0.4">
      <c r="B35" s="8" t="s">
        <v>26</v>
      </c>
      <c r="C35" s="8">
        <v>11.19</v>
      </c>
      <c r="D35" s="15" t="s">
        <v>23</v>
      </c>
      <c r="F35" s="5" t="s">
        <v>1365</v>
      </c>
      <c r="G35" s="5" t="s">
        <v>2411</v>
      </c>
      <c r="H35" s="4">
        <v>143</v>
      </c>
      <c r="I35" s="5" t="s">
        <v>1042</v>
      </c>
      <c r="J35" s="4">
        <v>11.18</v>
      </c>
      <c r="K35" s="5" t="s">
        <v>184</v>
      </c>
      <c r="L35" s="5">
        <v>30</v>
      </c>
      <c r="M35" s="69">
        <f>6000-2000</f>
        <v>4000</v>
      </c>
      <c r="N35" s="8">
        <f>+M35*L35</f>
        <v>120000</v>
      </c>
      <c r="O35" s="5">
        <f>+N35/1.1</f>
        <v>109090.90909090909</v>
      </c>
      <c r="P35" s="5">
        <f>+N35-O35</f>
        <v>10909.090909090912</v>
      </c>
      <c r="Q35" s="5">
        <f>+N35</f>
        <v>120000</v>
      </c>
      <c r="R35" s="18">
        <v>11.23</v>
      </c>
    </row>
    <row r="36" spans="2:20" ht="24" customHeight="1" x14ac:dyDescent="0.4">
      <c r="B36" s="8" t="s">
        <v>157</v>
      </c>
      <c r="C36" s="8">
        <v>11.22</v>
      </c>
      <c r="D36" s="15" t="s">
        <v>23</v>
      </c>
      <c r="F36" s="8" t="s">
        <v>2368</v>
      </c>
      <c r="G36" s="8" t="s">
        <v>977</v>
      </c>
      <c r="H36" s="5">
        <v>209</v>
      </c>
      <c r="I36" s="5" t="s">
        <v>985</v>
      </c>
      <c r="J36" s="5">
        <v>9.27</v>
      </c>
      <c r="K36" s="5" t="s">
        <v>159</v>
      </c>
      <c r="L36" s="5">
        <v>53.333333330000002</v>
      </c>
      <c r="M36" s="68">
        <v>6000</v>
      </c>
      <c r="N36" s="8">
        <f>+M36*L36</f>
        <v>319999.99998000002</v>
      </c>
      <c r="O36" s="5">
        <f>+N36/1.1</f>
        <v>290909.09089090908</v>
      </c>
      <c r="P36" s="5">
        <f>+N36-O36</f>
        <v>29090.909089090943</v>
      </c>
      <c r="Q36" s="5">
        <f>+N36</f>
        <v>319999.99998000002</v>
      </c>
      <c r="R36" s="18">
        <v>11.24</v>
      </c>
      <c r="S36" s="5" t="s">
        <v>2421</v>
      </c>
      <c r="T36" s="4" t="s">
        <v>166</v>
      </c>
    </row>
    <row r="37" spans="2:20" ht="24" customHeight="1" x14ac:dyDescent="0.4">
      <c r="B37" s="7" t="s">
        <v>258</v>
      </c>
      <c r="C37" s="8">
        <v>11.22</v>
      </c>
      <c r="D37" s="15" t="s">
        <v>23</v>
      </c>
      <c r="F37" s="8" t="s">
        <v>1365</v>
      </c>
      <c r="G37" s="5" t="s">
        <v>2422</v>
      </c>
      <c r="H37" s="4">
        <v>157</v>
      </c>
      <c r="I37" s="5" t="s">
        <v>1054</v>
      </c>
      <c r="J37" s="4">
        <v>11.11</v>
      </c>
      <c r="K37" s="5" t="s">
        <v>184</v>
      </c>
      <c r="L37" s="5">
        <v>170</v>
      </c>
      <c r="M37" s="68">
        <v>6000</v>
      </c>
      <c r="N37" s="8">
        <f>+M37*L37</f>
        <v>1020000</v>
      </c>
      <c r="O37" s="5">
        <f>+N37/1.1</f>
        <v>927272.72727272718</v>
      </c>
      <c r="P37" s="5">
        <f>+N37-O37</f>
        <v>92727.272727272823</v>
      </c>
      <c r="Q37" s="5">
        <f>+N37</f>
        <v>1020000</v>
      </c>
      <c r="R37" s="18">
        <v>11.24</v>
      </c>
      <c r="S37" s="7" t="s">
        <v>260</v>
      </c>
    </row>
    <row r="38" spans="2:20" ht="24" customHeight="1" x14ac:dyDescent="0.4">
      <c r="B38" s="8" t="s">
        <v>26</v>
      </c>
      <c r="C38" s="8">
        <v>11.23</v>
      </c>
      <c r="D38" s="15" t="s">
        <v>23</v>
      </c>
      <c r="F38" s="8" t="s">
        <v>1365</v>
      </c>
      <c r="G38" s="4" t="s">
        <v>2423</v>
      </c>
      <c r="H38" s="4">
        <v>557</v>
      </c>
      <c r="I38" s="5" t="s">
        <v>2424</v>
      </c>
      <c r="J38" s="4">
        <v>11.17</v>
      </c>
      <c r="K38" s="38" t="s">
        <v>184</v>
      </c>
      <c r="L38" s="5">
        <v>160</v>
      </c>
      <c r="M38" s="68">
        <v>5000</v>
      </c>
      <c r="N38" s="8">
        <f>+M38*L38</f>
        <v>800000</v>
      </c>
      <c r="O38" s="5">
        <f>+N38/1.1</f>
        <v>727272.72727272718</v>
      </c>
      <c r="P38" s="5">
        <f>+N38-O38</f>
        <v>72727.272727272823</v>
      </c>
      <c r="Q38" s="5">
        <f>+N38</f>
        <v>800000</v>
      </c>
      <c r="R38" s="18">
        <v>11.24</v>
      </c>
      <c r="S38" s="7" t="s">
        <v>285</v>
      </c>
    </row>
    <row r="39" spans="2:20" ht="24" customHeight="1" x14ac:dyDescent="0.4">
      <c r="B39" s="8" t="s">
        <v>26</v>
      </c>
      <c r="C39" s="8">
        <v>11.23</v>
      </c>
      <c r="D39" s="15" t="s">
        <v>23</v>
      </c>
      <c r="F39" s="4" t="s">
        <v>1365</v>
      </c>
      <c r="G39" s="4" t="s">
        <v>2425</v>
      </c>
      <c r="H39" s="4">
        <v>248</v>
      </c>
      <c r="I39" s="5" t="s">
        <v>1060</v>
      </c>
      <c r="J39" s="4">
        <v>11.22</v>
      </c>
      <c r="K39" s="5" t="s">
        <v>268</v>
      </c>
      <c r="L39" s="5">
        <v>20</v>
      </c>
      <c r="M39" s="68">
        <v>6000</v>
      </c>
      <c r="N39" s="8">
        <f>+M39*L39</f>
        <v>120000</v>
      </c>
      <c r="O39" s="5">
        <f>+N39/1.1</f>
        <v>109090.90909090909</v>
      </c>
      <c r="P39" s="5">
        <f>+N39-O39</f>
        <v>10909.090909090912</v>
      </c>
      <c r="Q39" s="5">
        <f>+N39</f>
        <v>120000</v>
      </c>
      <c r="R39" s="18">
        <v>11.24</v>
      </c>
      <c r="S39" s="7" t="s">
        <v>290</v>
      </c>
    </row>
    <row r="40" spans="2:20" ht="24" customHeight="1" x14ac:dyDescent="0.4">
      <c r="B40" s="8" t="s">
        <v>26</v>
      </c>
      <c r="C40" s="8">
        <v>11.24</v>
      </c>
      <c r="D40" s="15" t="s">
        <v>23</v>
      </c>
      <c r="F40" s="8" t="s">
        <v>1559</v>
      </c>
      <c r="G40" s="5" t="s">
        <v>1560</v>
      </c>
      <c r="H40" s="4">
        <v>782</v>
      </c>
      <c r="I40" s="5" t="s">
        <v>730</v>
      </c>
      <c r="J40" s="4">
        <v>11.25</v>
      </c>
      <c r="K40" s="4" t="s">
        <v>198</v>
      </c>
      <c r="L40" s="5">
        <v>38</v>
      </c>
      <c r="M40" s="68">
        <v>9000</v>
      </c>
      <c r="N40" s="8">
        <f>+M40*L40</f>
        <v>342000</v>
      </c>
      <c r="O40" s="5">
        <f>+N40/1.1</f>
        <v>310909.09090909088</v>
      </c>
      <c r="P40" s="5">
        <f>+N40-O40</f>
        <v>31090.909090909117</v>
      </c>
      <c r="Q40" s="5">
        <f>+N40</f>
        <v>342000</v>
      </c>
      <c r="R40" s="18">
        <v>11.25</v>
      </c>
      <c r="S40" s="21" t="s">
        <v>197</v>
      </c>
    </row>
    <row r="41" spans="2:20" ht="24" customHeight="1" x14ac:dyDescent="0.4">
      <c r="B41" s="8" t="s">
        <v>26</v>
      </c>
      <c r="C41" s="8">
        <v>11.24</v>
      </c>
      <c r="D41" s="15" t="s">
        <v>23</v>
      </c>
      <c r="F41" s="8" t="s">
        <v>1559</v>
      </c>
      <c r="G41" s="5" t="s">
        <v>1681</v>
      </c>
      <c r="H41" s="4">
        <v>829</v>
      </c>
      <c r="I41" s="5" t="s">
        <v>2402</v>
      </c>
      <c r="J41" s="4">
        <v>11.25</v>
      </c>
      <c r="K41" s="4" t="s">
        <v>198</v>
      </c>
      <c r="L41" s="5">
        <v>10</v>
      </c>
      <c r="M41" s="68">
        <v>9000</v>
      </c>
      <c r="N41" s="8">
        <f>+M41*L41</f>
        <v>90000</v>
      </c>
      <c r="O41" s="5">
        <f>+N41/1.1</f>
        <v>81818.181818181809</v>
      </c>
      <c r="P41" s="5">
        <f>+N41-O41</f>
        <v>8181.8181818181911</v>
      </c>
      <c r="Q41" s="5">
        <f>+N41</f>
        <v>90000</v>
      </c>
      <c r="R41" s="18">
        <v>11.26</v>
      </c>
      <c r="S41" s="21" t="s">
        <v>201</v>
      </c>
    </row>
    <row r="42" spans="2:20" ht="24" customHeight="1" x14ac:dyDescent="0.4">
      <c r="B42" s="8" t="s">
        <v>26</v>
      </c>
      <c r="C42" s="8">
        <v>11.24</v>
      </c>
      <c r="D42" s="15" t="s">
        <v>23</v>
      </c>
      <c r="F42" s="8" t="s">
        <v>2368</v>
      </c>
      <c r="G42" s="5" t="s">
        <v>959</v>
      </c>
      <c r="H42" s="8">
        <v>1019</v>
      </c>
      <c r="I42" s="5" t="s">
        <v>960</v>
      </c>
      <c r="J42" s="4" t="s">
        <v>2426</v>
      </c>
      <c r="K42" s="4" t="s">
        <v>2427</v>
      </c>
      <c r="L42" s="5">
        <v>100</v>
      </c>
      <c r="M42" s="68">
        <v>1000</v>
      </c>
      <c r="N42" s="8">
        <f>+M42*L42</f>
        <v>100000</v>
      </c>
      <c r="O42" s="5">
        <f>+N42/1.1</f>
        <v>90909.090909090897</v>
      </c>
      <c r="P42" s="5">
        <f>+N42-O42</f>
        <v>9090.9090909091028</v>
      </c>
      <c r="Q42" s="5">
        <f>+N42</f>
        <v>100000</v>
      </c>
      <c r="R42" s="18">
        <v>12.01</v>
      </c>
    </row>
    <row r="43" spans="2:20" ht="24" customHeight="1" x14ac:dyDescent="0.4">
      <c r="B43" s="8" t="s">
        <v>26</v>
      </c>
      <c r="C43" s="8">
        <v>11.24</v>
      </c>
      <c r="D43" s="15" t="s">
        <v>23</v>
      </c>
      <c r="F43" s="8" t="s">
        <v>2368</v>
      </c>
      <c r="G43" s="5" t="s">
        <v>959</v>
      </c>
      <c r="H43" s="8">
        <v>1019</v>
      </c>
      <c r="I43" s="5" t="s">
        <v>960</v>
      </c>
      <c r="J43" s="4" t="s">
        <v>2426</v>
      </c>
      <c r="K43" s="4" t="s">
        <v>2428</v>
      </c>
      <c r="L43" s="5">
        <v>100</v>
      </c>
      <c r="M43" s="68">
        <v>1500</v>
      </c>
      <c r="N43" s="8">
        <f>+M43*L43</f>
        <v>150000</v>
      </c>
      <c r="O43" s="5">
        <f>+N43/1.1</f>
        <v>136363.63636363635</v>
      </c>
      <c r="P43" s="5">
        <f>+N43-O43</f>
        <v>13636.363636363647</v>
      </c>
      <c r="Q43" s="5">
        <f>+N43</f>
        <v>150000</v>
      </c>
      <c r="R43" s="18">
        <v>12.01</v>
      </c>
    </row>
    <row r="44" spans="2:20" ht="24" customHeight="1" x14ac:dyDescent="0.4">
      <c r="B44" s="8" t="s">
        <v>639</v>
      </c>
      <c r="C44" s="8">
        <v>11.25</v>
      </c>
      <c r="D44" s="15" t="s">
        <v>23</v>
      </c>
      <c r="F44" s="8" t="s">
        <v>2368</v>
      </c>
      <c r="G44" s="4" t="s">
        <v>926</v>
      </c>
      <c r="H44" s="5">
        <v>786</v>
      </c>
      <c r="I44" s="5" t="s">
        <v>943</v>
      </c>
      <c r="J44" s="4">
        <v>10.25</v>
      </c>
      <c r="K44" s="5" t="s">
        <v>2429</v>
      </c>
      <c r="L44" s="5">
        <v>40</v>
      </c>
      <c r="M44" s="68">
        <v>6000</v>
      </c>
      <c r="N44" s="8">
        <f>+M44*L44</f>
        <v>240000</v>
      </c>
      <c r="O44" s="5">
        <f>+N44/1.1</f>
        <v>218181.81818181818</v>
      </c>
      <c r="P44" s="5">
        <f>+N44-O44</f>
        <v>21818.181818181823</v>
      </c>
      <c r="Q44" s="5">
        <f>+N44</f>
        <v>240000</v>
      </c>
      <c r="R44" s="18">
        <v>11.3</v>
      </c>
      <c r="S44" s="4" t="s">
        <v>544</v>
      </c>
      <c r="T44" s="7" t="s">
        <v>2430</v>
      </c>
    </row>
    <row r="45" spans="2:20" ht="24" customHeight="1" x14ac:dyDescent="0.4">
      <c r="B45" s="8" t="s">
        <v>26</v>
      </c>
      <c r="C45" s="8">
        <v>11.25</v>
      </c>
      <c r="D45" s="15" t="s">
        <v>23</v>
      </c>
      <c r="F45" s="5" t="s">
        <v>2368</v>
      </c>
      <c r="G45" s="5" t="s">
        <v>1011</v>
      </c>
      <c r="H45" s="4">
        <v>550</v>
      </c>
      <c r="I45" s="5" t="s">
        <v>748</v>
      </c>
      <c r="J45" s="4">
        <v>11.25</v>
      </c>
      <c r="K45" s="4" t="s">
        <v>300</v>
      </c>
      <c r="L45" s="5">
        <v>1</v>
      </c>
      <c r="M45" s="68">
        <v>18000</v>
      </c>
      <c r="N45" s="8">
        <f>+M45*L45</f>
        <v>18000</v>
      </c>
      <c r="O45" s="5">
        <f>+N45/1.1</f>
        <v>16363.636363636362</v>
      </c>
      <c r="P45" s="5">
        <f>+N45-O45</f>
        <v>1636.3636363636379</v>
      </c>
      <c r="Q45" s="5">
        <f>+N45</f>
        <v>18000</v>
      </c>
      <c r="R45" s="18">
        <v>11.26</v>
      </c>
    </row>
    <row r="46" spans="2:20" ht="24" customHeight="1" x14ac:dyDescent="0.4">
      <c r="B46" s="8" t="s">
        <v>639</v>
      </c>
      <c r="C46" s="5">
        <v>11.3</v>
      </c>
      <c r="D46" s="15" t="s">
        <v>23</v>
      </c>
      <c r="F46" s="8" t="s">
        <v>2368</v>
      </c>
      <c r="G46" s="5" t="s">
        <v>933</v>
      </c>
      <c r="H46" s="5">
        <v>786</v>
      </c>
      <c r="I46" s="5" t="s">
        <v>938</v>
      </c>
      <c r="J46" s="5">
        <v>11.3</v>
      </c>
      <c r="K46" s="5" t="s">
        <v>2431</v>
      </c>
      <c r="L46" s="5">
        <v>30</v>
      </c>
      <c r="M46" s="68">
        <v>6000</v>
      </c>
      <c r="N46" s="8">
        <f>+M46*L46</f>
        <v>180000</v>
      </c>
      <c r="O46" s="5">
        <f>+N46/1.1</f>
        <v>163636.36363636362</v>
      </c>
      <c r="P46" s="5">
        <f>+N46-O46</f>
        <v>16363.636363636382</v>
      </c>
      <c r="Q46" s="5">
        <f>+N46</f>
        <v>180000</v>
      </c>
      <c r="R46" s="18">
        <v>12.01</v>
      </c>
      <c r="S46" s="5" t="s">
        <v>446</v>
      </c>
    </row>
    <row r="47" spans="2:20" ht="24" customHeight="1" x14ac:dyDescent="0.4">
      <c r="B47" s="8" t="s">
        <v>639</v>
      </c>
      <c r="C47" s="5">
        <v>11.3</v>
      </c>
      <c r="D47" s="15" t="s">
        <v>23</v>
      </c>
      <c r="F47" s="8" t="s">
        <v>2368</v>
      </c>
      <c r="G47" s="20" t="s">
        <v>937</v>
      </c>
      <c r="H47" s="5">
        <v>786</v>
      </c>
      <c r="I47" s="5" t="s">
        <v>929</v>
      </c>
      <c r="J47" s="5">
        <v>11.3</v>
      </c>
      <c r="K47" s="5" t="s">
        <v>2432</v>
      </c>
      <c r="L47" s="5">
        <v>10</v>
      </c>
      <c r="M47" s="68">
        <v>6000</v>
      </c>
      <c r="N47" s="8">
        <f>+M47*L47</f>
        <v>60000</v>
      </c>
      <c r="O47" s="5">
        <f>+N47/1.1</f>
        <v>54545.454545454544</v>
      </c>
      <c r="P47" s="5">
        <f>+N47-O47</f>
        <v>5454.5454545454559</v>
      </c>
      <c r="Q47" s="5">
        <f>+N47</f>
        <v>60000</v>
      </c>
      <c r="R47" s="18">
        <v>12.01</v>
      </c>
      <c r="S47" s="5" t="s">
        <v>446</v>
      </c>
    </row>
    <row r="48" spans="2:20" ht="24" customHeight="1" x14ac:dyDescent="0.4">
      <c r="B48" s="90" t="s">
        <v>2433</v>
      </c>
      <c r="D48" s="111" t="s">
        <v>23</v>
      </c>
      <c r="N48" s="90">
        <f>SUBTOTAL(9,N7:N47)</f>
        <v>12671000.00018</v>
      </c>
      <c r="O48" s="39">
        <f>SUBTOTAL(9,O7:O47)</f>
        <v>11519090.909254542</v>
      </c>
      <c r="P48" s="39">
        <f>SUM(P7:P47)</f>
        <v>1151909.0909254553</v>
      </c>
      <c r="Q48" s="115">
        <f>SUBTOTAL(9,Q7:Q47)</f>
        <v>12671000.00018</v>
      </c>
    </row>
    <row r="49" spans="2:20" ht="24" customHeight="1" x14ac:dyDescent="0.4">
      <c r="B49" s="8" t="s">
        <v>26</v>
      </c>
      <c r="C49" s="8">
        <v>11.01</v>
      </c>
      <c r="D49" s="16" t="s">
        <v>28</v>
      </c>
      <c r="F49" s="5" t="s">
        <v>2368</v>
      </c>
      <c r="G49" s="5" t="s">
        <v>2434</v>
      </c>
      <c r="H49" s="5">
        <v>150</v>
      </c>
      <c r="I49" s="5" t="s">
        <v>2245</v>
      </c>
      <c r="J49" s="5">
        <v>10.29</v>
      </c>
      <c r="K49" s="4" t="s">
        <v>227</v>
      </c>
      <c r="L49" s="5">
        <v>4</v>
      </c>
      <c r="M49" s="68">
        <f>60000+3000</f>
        <v>63000</v>
      </c>
      <c r="N49" s="5">
        <f>+M49*L49</f>
        <v>252000</v>
      </c>
      <c r="Q49" s="5">
        <f>+N49</f>
        <v>252000</v>
      </c>
      <c r="R49" s="18">
        <v>11.15</v>
      </c>
      <c r="T49" s="4" t="s">
        <v>95</v>
      </c>
    </row>
    <row r="50" spans="2:20" ht="24" customHeight="1" x14ac:dyDescent="0.4">
      <c r="B50" s="8" t="s">
        <v>26</v>
      </c>
      <c r="C50" s="8">
        <v>11.03</v>
      </c>
      <c r="D50" s="16" t="s">
        <v>28</v>
      </c>
      <c r="F50" s="8" t="s">
        <v>1845</v>
      </c>
      <c r="G50" s="5" t="s">
        <v>1093</v>
      </c>
      <c r="H50" s="5">
        <v>135</v>
      </c>
      <c r="I50" s="4" t="s">
        <v>1095</v>
      </c>
      <c r="J50" s="5">
        <v>10.3</v>
      </c>
      <c r="K50" s="4" t="s">
        <v>80</v>
      </c>
      <c r="L50" s="5">
        <v>5</v>
      </c>
      <c r="M50" s="68">
        <v>20000</v>
      </c>
      <c r="N50" s="8">
        <f>+M50*L50</f>
        <v>100000</v>
      </c>
      <c r="Q50" s="5">
        <f>+N50</f>
        <v>100000</v>
      </c>
      <c r="R50" s="18">
        <v>11.1</v>
      </c>
      <c r="S50" s="5" t="s">
        <v>2406</v>
      </c>
      <c r="T50" s="5" t="s">
        <v>81</v>
      </c>
    </row>
    <row r="51" spans="2:20" ht="24" customHeight="1" x14ac:dyDescent="0.4">
      <c r="B51" s="8" t="s">
        <v>26</v>
      </c>
      <c r="C51" s="8">
        <v>11.08</v>
      </c>
      <c r="D51" s="16" t="s">
        <v>28</v>
      </c>
      <c r="F51" s="5" t="s">
        <v>2368</v>
      </c>
      <c r="G51" s="5" t="s">
        <v>1011</v>
      </c>
      <c r="H51" s="5">
        <v>550</v>
      </c>
      <c r="I51" s="5" t="s">
        <v>748</v>
      </c>
      <c r="J51" s="5">
        <v>10.28</v>
      </c>
      <c r="K51" s="7" t="s">
        <v>2435</v>
      </c>
      <c r="L51" s="5">
        <v>4</v>
      </c>
      <c r="M51" s="68">
        <f>12000+3000</f>
        <v>15000</v>
      </c>
      <c r="N51" s="5">
        <f>+M51*L51</f>
        <v>60000</v>
      </c>
      <c r="Q51" s="5">
        <f>+N51</f>
        <v>60000</v>
      </c>
      <c r="R51" s="18">
        <v>11.1</v>
      </c>
      <c r="T51" s="7" t="s">
        <v>51</v>
      </c>
    </row>
    <row r="52" spans="2:20" ht="24" customHeight="1" x14ac:dyDescent="0.4">
      <c r="B52" s="8" t="s">
        <v>26</v>
      </c>
      <c r="C52" s="8">
        <v>11.08</v>
      </c>
      <c r="D52" s="16" t="s">
        <v>28</v>
      </c>
      <c r="F52" s="8" t="s">
        <v>2368</v>
      </c>
      <c r="G52" s="5" t="s">
        <v>826</v>
      </c>
      <c r="H52" s="4">
        <v>182</v>
      </c>
      <c r="I52" s="5" t="s">
        <v>828</v>
      </c>
      <c r="J52" s="4">
        <v>10.28</v>
      </c>
      <c r="K52" s="25" t="s">
        <v>250</v>
      </c>
      <c r="L52" s="5">
        <v>1</v>
      </c>
      <c r="M52" s="69">
        <f>33000-3000</f>
        <v>30000</v>
      </c>
      <c r="N52" s="5">
        <f>+M52*L52</f>
        <v>30000</v>
      </c>
      <c r="Q52" s="5">
        <f>+N52</f>
        <v>30000</v>
      </c>
      <c r="R52" s="18">
        <v>11.1</v>
      </c>
      <c r="S52" s="4" t="s">
        <v>249</v>
      </c>
    </row>
    <row r="53" spans="2:20" ht="24" customHeight="1" x14ac:dyDescent="0.4">
      <c r="B53" s="8" t="s">
        <v>26</v>
      </c>
      <c r="C53" s="8">
        <v>11.09</v>
      </c>
      <c r="D53" s="16" t="s">
        <v>28</v>
      </c>
      <c r="F53" s="8" t="s">
        <v>2368</v>
      </c>
      <c r="G53" s="5" t="s">
        <v>2436</v>
      </c>
      <c r="H53" s="5">
        <v>729</v>
      </c>
      <c r="I53" s="5" t="s">
        <v>746</v>
      </c>
      <c r="J53" s="5">
        <v>10.130000000000001</v>
      </c>
      <c r="K53" s="7" t="s">
        <v>207</v>
      </c>
      <c r="L53" s="5">
        <v>58</v>
      </c>
      <c r="M53" s="68">
        <v>5000</v>
      </c>
      <c r="N53" s="8">
        <f>+M53*L53</f>
        <v>290000</v>
      </c>
      <c r="Q53" s="5">
        <f>+N53</f>
        <v>290000</v>
      </c>
      <c r="R53" s="18">
        <v>11.3</v>
      </c>
      <c r="S53" s="5" t="s">
        <v>2437</v>
      </c>
      <c r="T53" s="4" t="s">
        <v>110</v>
      </c>
    </row>
    <row r="54" spans="2:20" ht="24" customHeight="1" x14ac:dyDescent="0.4">
      <c r="B54" s="8" t="s">
        <v>26</v>
      </c>
      <c r="C54" s="8">
        <v>11.09</v>
      </c>
      <c r="D54" s="16" t="s">
        <v>28</v>
      </c>
      <c r="F54" s="8" t="s">
        <v>2368</v>
      </c>
      <c r="G54" s="5" t="s">
        <v>2436</v>
      </c>
      <c r="H54" s="5">
        <v>729</v>
      </c>
      <c r="I54" s="5" t="s">
        <v>746</v>
      </c>
      <c r="J54" s="5">
        <v>10.199999999999999</v>
      </c>
      <c r="K54" s="4" t="s">
        <v>214</v>
      </c>
      <c r="L54" s="5">
        <v>51</v>
      </c>
      <c r="M54" s="68">
        <v>6000</v>
      </c>
      <c r="N54" s="8">
        <f>+M54*L54</f>
        <v>306000</v>
      </c>
      <c r="Q54" s="5">
        <f>+N54</f>
        <v>306000</v>
      </c>
      <c r="R54" s="18">
        <v>11.3</v>
      </c>
      <c r="S54" s="5" t="s">
        <v>2437</v>
      </c>
      <c r="T54" s="4" t="s">
        <v>110</v>
      </c>
    </row>
    <row r="55" spans="2:20" ht="24" customHeight="1" x14ac:dyDescent="0.4">
      <c r="B55" s="8" t="s">
        <v>26</v>
      </c>
      <c r="C55" s="8">
        <v>11.09</v>
      </c>
      <c r="D55" s="16" t="s">
        <v>28</v>
      </c>
      <c r="F55" s="8" t="s">
        <v>2368</v>
      </c>
      <c r="G55" s="95" t="s">
        <v>2438</v>
      </c>
      <c r="H55" s="5">
        <v>880</v>
      </c>
      <c r="I55" s="5" t="s">
        <v>851</v>
      </c>
      <c r="J55" s="5">
        <v>10.050000000000001</v>
      </c>
      <c r="K55" s="7" t="s">
        <v>2439</v>
      </c>
      <c r="L55" s="5">
        <v>4</v>
      </c>
      <c r="M55" s="68">
        <f>12000+3000</f>
        <v>15000</v>
      </c>
      <c r="N55" s="8">
        <f>+M55*L55</f>
        <v>60000</v>
      </c>
      <c r="Q55" s="5">
        <f>+N55</f>
        <v>60000</v>
      </c>
      <c r="R55" s="18">
        <v>11.11</v>
      </c>
      <c r="S55" s="5" t="s">
        <v>2406</v>
      </c>
      <c r="T55" s="4" t="s">
        <v>102</v>
      </c>
    </row>
    <row r="56" spans="2:20" ht="24" customHeight="1" x14ac:dyDescent="0.4">
      <c r="B56" s="8" t="s">
        <v>26</v>
      </c>
      <c r="C56" s="8">
        <v>11.09</v>
      </c>
      <c r="D56" s="16" t="s">
        <v>28</v>
      </c>
      <c r="F56" s="5" t="s">
        <v>1559</v>
      </c>
      <c r="G56" s="8" t="s">
        <v>1656</v>
      </c>
      <c r="H56" s="5">
        <v>1324</v>
      </c>
      <c r="I56" s="5" t="s">
        <v>2440</v>
      </c>
      <c r="J56" s="5">
        <v>9.27</v>
      </c>
      <c r="K56" s="4" t="s">
        <v>167</v>
      </c>
      <c r="L56" s="5">
        <v>25</v>
      </c>
      <c r="M56" s="68">
        <v>6000</v>
      </c>
      <c r="N56" s="8">
        <f>+M56*L56</f>
        <v>150000</v>
      </c>
      <c r="Q56" s="5">
        <f>+N56</f>
        <v>150000</v>
      </c>
      <c r="R56" s="18">
        <v>11.24</v>
      </c>
      <c r="S56" s="5" t="s">
        <v>2406</v>
      </c>
      <c r="T56" s="7" t="s">
        <v>97</v>
      </c>
    </row>
    <row r="57" spans="2:20" ht="24" customHeight="1" x14ac:dyDescent="0.4">
      <c r="B57" s="8" t="s">
        <v>26</v>
      </c>
      <c r="C57" s="8">
        <v>11.09</v>
      </c>
      <c r="D57" s="16" t="s">
        <v>28</v>
      </c>
      <c r="F57" s="5" t="s">
        <v>1559</v>
      </c>
      <c r="G57" s="8" t="s">
        <v>1663</v>
      </c>
      <c r="H57" s="5">
        <v>1325</v>
      </c>
      <c r="I57" s="5" t="s">
        <v>728</v>
      </c>
      <c r="J57" s="5">
        <v>9.27</v>
      </c>
      <c r="K57" s="4" t="s">
        <v>167</v>
      </c>
      <c r="L57" s="5">
        <v>25</v>
      </c>
      <c r="M57" s="68">
        <v>6000</v>
      </c>
      <c r="N57" s="8">
        <f>+M57*L57</f>
        <v>150000</v>
      </c>
      <c r="Q57" s="5">
        <f>+N57</f>
        <v>150000</v>
      </c>
      <c r="R57" s="18">
        <v>11.29</v>
      </c>
      <c r="S57" s="5" t="s">
        <v>2406</v>
      </c>
      <c r="T57" s="4" t="s">
        <v>83</v>
      </c>
    </row>
    <row r="58" spans="2:20" ht="24" customHeight="1" x14ac:dyDescent="0.4">
      <c r="B58" s="8" t="s">
        <v>26</v>
      </c>
      <c r="C58" s="8">
        <v>11.09</v>
      </c>
      <c r="D58" s="16" t="s">
        <v>28</v>
      </c>
      <c r="F58" s="8" t="s">
        <v>2368</v>
      </c>
      <c r="G58" s="5" t="s">
        <v>919</v>
      </c>
      <c r="H58" s="5">
        <v>532</v>
      </c>
      <c r="I58" s="5" t="s">
        <v>744</v>
      </c>
      <c r="J58" s="4">
        <v>11.13</v>
      </c>
      <c r="K58" s="9" t="s">
        <v>2441</v>
      </c>
      <c r="L58" s="5">
        <v>3</v>
      </c>
      <c r="M58" s="68">
        <f>12000+3000</f>
        <v>15000</v>
      </c>
      <c r="N58" s="8">
        <f>+M58*L58</f>
        <v>45000</v>
      </c>
      <c r="Q58" s="5">
        <f>+N58</f>
        <v>45000</v>
      </c>
      <c r="R58" s="18">
        <v>11.1</v>
      </c>
      <c r="S58" s="7" t="s">
        <v>131</v>
      </c>
      <c r="T58" s="7" t="s">
        <v>131</v>
      </c>
    </row>
    <row r="59" spans="2:20" ht="24" customHeight="1" x14ac:dyDescent="0.4">
      <c r="B59" s="8" t="s">
        <v>26</v>
      </c>
      <c r="C59" s="8">
        <v>11.09</v>
      </c>
      <c r="D59" s="16" t="s">
        <v>28</v>
      </c>
      <c r="F59" s="5" t="s">
        <v>1559</v>
      </c>
      <c r="G59" s="8" t="s">
        <v>1656</v>
      </c>
      <c r="H59" s="4">
        <v>1324</v>
      </c>
      <c r="I59" s="5" t="s">
        <v>2440</v>
      </c>
      <c r="J59" s="4">
        <v>11.17</v>
      </c>
      <c r="K59" s="8" t="s">
        <v>2442</v>
      </c>
      <c r="L59" s="5">
        <v>4</v>
      </c>
      <c r="M59" s="68">
        <f>20000+3000</f>
        <v>23000</v>
      </c>
      <c r="N59" s="8">
        <f>+M59*L59</f>
        <v>92000</v>
      </c>
      <c r="Q59" s="5">
        <f>+N59</f>
        <v>92000</v>
      </c>
      <c r="R59" s="18">
        <v>11.24</v>
      </c>
      <c r="S59" s="7" t="s">
        <v>97</v>
      </c>
    </row>
    <row r="60" spans="2:20" ht="24" customHeight="1" x14ac:dyDescent="0.4">
      <c r="B60" s="8" t="s">
        <v>26</v>
      </c>
      <c r="C60" s="8">
        <v>11.11</v>
      </c>
      <c r="D60" s="16" t="s">
        <v>28</v>
      </c>
      <c r="F60" s="8" t="s">
        <v>2368</v>
      </c>
      <c r="G60" s="5" t="s">
        <v>817</v>
      </c>
      <c r="H60" s="4">
        <v>209</v>
      </c>
      <c r="I60" s="5" t="s">
        <v>157</v>
      </c>
      <c r="J60" s="4">
        <v>11.1</v>
      </c>
      <c r="K60" s="8" t="s">
        <v>200</v>
      </c>
      <c r="L60" s="5">
        <v>144</v>
      </c>
      <c r="M60" s="68">
        <v>10000</v>
      </c>
      <c r="N60" s="8">
        <f>+M60*L60</f>
        <v>1440000</v>
      </c>
      <c r="Q60" s="5">
        <f>+N60</f>
        <v>1440000</v>
      </c>
      <c r="R60" s="18">
        <v>11.12</v>
      </c>
      <c r="S60" s="5" t="s">
        <v>254</v>
      </c>
    </row>
    <row r="61" spans="2:20" ht="24" customHeight="1" x14ac:dyDescent="0.4">
      <c r="B61" s="8" t="s">
        <v>26</v>
      </c>
      <c r="C61" s="8">
        <v>11.11</v>
      </c>
      <c r="D61" s="16" t="s">
        <v>28</v>
      </c>
      <c r="F61" s="5" t="s">
        <v>2368</v>
      </c>
      <c r="G61" s="8" t="s">
        <v>973</v>
      </c>
      <c r="H61" s="4">
        <v>607</v>
      </c>
      <c r="I61" s="5" t="s">
        <v>974</v>
      </c>
      <c r="J61" s="4">
        <v>11.15</v>
      </c>
      <c r="K61" s="3" t="s">
        <v>250</v>
      </c>
      <c r="L61" s="32">
        <v>1</v>
      </c>
      <c r="M61" s="68">
        <v>33000</v>
      </c>
      <c r="N61" s="8">
        <f>+M61*L61</f>
        <v>33000</v>
      </c>
      <c r="Q61" s="5">
        <f>+N61</f>
        <v>33000</v>
      </c>
      <c r="R61" s="18">
        <v>11.3</v>
      </c>
      <c r="S61" s="7" t="s">
        <v>257</v>
      </c>
    </row>
    <row r="62" spans="2:20" ht="24" customHeight="1" x14ac:dyDescent="0.4">
      <c r="B62" s="8" t="s">
        <v>26</v>
      </c>
      <c r="C62" s="8">
        <v>11.12</v>
      </c>
      <c r="D62" s="16" t="s">
        <v>28</v>
      </c>
      <c r="F62" s="5" t="s">
        <v>2368</v>
      </c>
      <c r="G62" s="5" t="s">
        <v>1011</v>
      </c>
      <c r="H62" s="4">
        <v>550</v>
      </c>
      <c r="I62" s="5" t="s">
        <v>748</v>
      </c>
      <c r="J62" s="4">
        <v>11.12</v>
      </c>
      <c r="K62" s="5" t="s">
        <v>262</v>
      </c>
      <c r="L62" s="5">
        <v>34</v>
      </c>
      <c r="M62" s="68">
        <f>23000+3000-1000</f>
        <v>25000</v>
      </c>
      <c r="N62" s="8">
        <f>+M62*L62</f>
        <v>850000</v>
      </c>
      <c r="Q62" s="5">
        <f>+N62</f>
        <v>850000</v>
      </c>
      <c r="R62" s="18">
        <v>11.16</v>
      </c>
      <c r="S62" s="7" t="s">
        <v>264</v>
      </c>
    </row>
    <row r="63" spans="2:20" ht="24" customHeight="1" x14ac:dyDescent="0.4">
      <c r="B63" s="8" t="s">
        <v>26</v>
      </c>
      <c r="C63" s="8">
        <v>11.16</v>
      </c>
      <c r="D63" s="16" t="s">
        <v>28</v>
      </c>
      <c r="F63" s="8" t="s">
        <v>2368</v>
      </c>
      <c r="G63" s="5" t="s">
        <v>818</v>
      </c>
      <c r="H63" s="4">
        <v>193</v>
      </c>
      <c r="I63" s="5" t="s">
        <v>820</v>
      </c>
      <c r="J63" s="4">
        <v>11.1</v>
      </c>
      <c r="K63" s="8" t="s">
        <v>2443</v>
      </c>
      <c r="L63" s="5">
        <v>2</v>
      </c>
      <c r="M63" s="71">
        <v>33000</v>
      </c>
      <c r="N63" s="8">
        <f>+M63*L63</f>
        <v>66000</v>
      </c>
      <c r="Q63" s="5">
        <f>+N63</f>
        <v>66000</v>
      </c>
      <c r="R63" s="18">
        <v>11.17</v>
      </c>
      <c r="S63" s="7" t="s">
        <v>70</v>
      </c>
    </row>
    <row r="64" spans="2:20" ht="24" customHeight="1" x14ac:dyDescent="0.4">
      <c r="B64" s="4" t="s">
        <v>272</v>
      </c>
      <c r="C64" s="8">
        <v>11.18</v>
      </c>
      <c r="D64" s="16" t="s">
        <v>28</v>
      </c>
      <c r="F64" s="18" t="s">
        <v>1559</v>
      </c>
      <c r="G64" s="5" t="s">
        <v>1761</v>
      </c>
      <c r="H64" s="4">
        <v>543</v>
      </c>
      <c r="I64" s="4" t="s">
        <v>272</v>
      </c>
      <c r="J64" s="4">
        <v>11.01</v>
      </c>
      <c r="K64" s="5" t="s">
        <v>273</v>
      </c>
      <c r="L64" s="5">
        <v>36</v>
      </c>
      <c r="M64" s="68">
        <v>25000</v>
      </c>
      <c r="N64" s="8">
        <f>+M64*L64</f>
        <v>900000</v>
      </c>
      <c r="Q64" s="5">
        <f>+N64</f>
        <v>900000</v>
      </c>
      <c r="R64" s="18">
        <v>11.23</v>
      </c>
      <c r="S64" s="4" t="s">
        <v>2444</v>
      </c>
    </row>
    <row r="65" spans="2:20" ht="24" customHeight="1" x14ac:dyDescent="0.4">
      <c r="B65" s="8" t="s">
        <v>26</v>
      </c>
      <c r="C65" s="8">
        <v>11.22</v>
      </c>
      <c r="D65" s="16" t="s">
        <v>28</v>
      </c>
      <c r="F65" s="8" t="s">
        <v>2368</v>
      </c>
      <c r="G65" s="95" t="s">
        <v>839</v>
      </c>
      <c r="H65" s="4">
        <v>148</v>
      </c>
      <c r="I65" s="5" t="s">
        <v>123</v>
      </c>
      <c r="J65" s="4">
        <v>11.16</v>
      </c>
      <c r="K65" s="5" t="s">
        <v>2445</v>
      </c>
      <c r="L65" s="5">
        <v>2</v>
      </c>
      <c r="M65" s="68">
        <f>12000+3000</f>
        <v>15000</v>
      </c>
      <c r="N65" s="8">
        <f>+M65*L65</f>
        <v>30000</v>
      </c>
      <c r="Q65" s="5">
        <f>+N65</f>
        <v>30000</v>
      </c>
      <c r="R65" s="18">
        <v>11.29</v>
      </c>
      <c r="S65" s="7" t="s">
        <v>117</v>
      </c>
    </row>
    <row r="66" spans="2:20" ht="24" customHeight="1" x14ac:dyDescent="0.4">
      <c r="B66" s="8" t="s">
        <v>26</v>
      </c>
      <c r="C66" s="8">
        <v>11.23</v>
      </c>
      <c r="D66" s="16" t="s">
        <v>28</v>
      </c>
      <c r="F66" s="8" t="s">
        <v>1845</v>
      </c>
      <c r="G66" s="5" t="s">
        <v>1093</v>
      </c>
      <c r="H66" s="5">
        <v>135</v>
      </c>
      <c r="I66" s="4" t="s">
        <v>1095</v>
      </c>
      <c r="J66" s="5">
        <v>11.23</v>
      </c>
      <c r="K66" s="5" t="s">
        <v>80</v>
      </c>
      <c r="L66" s="5">
        <v>6</v>
      </c>
      <c r="M66" s="68">
        <v>20000</v>
      </c>
      <c r="N66" s="8">
        <f>+M66*L66</f>
        <v>120000</v>
      </c>
      <c r="Q66" s="5">
        <f>+N66</f>
        <v>120000</v>
      </c>
      <c r="R66" s="18">
        <v>11.29</v>
      </c>
      <c r="T66" s="5" t="s">
        <v>81</v>
      </c>
    </row>
    <row r="67" spans="2:20" ht="24" customHeight="1" x14ac:dyDescent="0.4">
      <c r="B67" s="8" t="s">
        <v>26</v>
      </c>
      <c r="C67" s="8">
        <v>11.24</v>
      </c>
      <c r="D67" s="16" t="s">
        <v>28</v>
      </c>
      <c r="F67" s="8" t="s">
        <v>2368</v>
      </c>
      <c r="G67" s="5" t="s">
        <v>958</v>
      </c>
      <c r="H67" s="4">
        <v>624</v>
      </c>
      <c r="I67" s="5" t="s">
        <v>1979</v>
      </c>
      <c r="J67" s="4">
        <v>11.25</v>
      </c>
      <c r="K67" s="4" t="s">
        <v>298</v>
      </c>
      <c r="L67" s="5">
        <v>10</v>
      </c>
      <c r="M67" s="68">
        <v>5000</v>
      </c>
      <c r="N67" s="8">
        <f>+M67*L67</f>
        <v>50000</v>
      </c>
      <c r="Q67" s="5">
        <f>+N67</f>
        <v>50000</v>
      </c>
      <c r="R67" s="18">
        <v>11.26</v>
      </c>
      <c r="S67" s="4" t="s">
        <v>299</v>
      </c>
    </row>
    <row r="68" spans="2:20" ht="24" customHeight="1" x14ac:dyDescent="0.4">
      <c r="B68" s="8" t="s">
        <v>26</v>
      </c>
      <c r="C68" s="8">
        <v>11.25</v>
      </c>
      <c r="D68" s="16" t="s">
        <v>28</v>
      </c>
      <c r="F68" s="5" t="s">
        <v>2368</v>
      </c>
      <c r="G68" s="8" t="s">
        <v>973</v>
      </c>
      <c r="H68" s="4">
        <v>607</v>
      </c>
      <c r="I68" s="5" t="s">
        <v>974</v>
      </c>
      <c r="J68" s="4">
        <v>11.16</v>
      </c>
      <c r="K68" s="3" t="s">
        <v>278</v>
      </c>
      <c r="L68" s="5">
        <v>1</v>
      </c>
      <c r="M68" s="68">
        <v>36000</v>
      </c>
      <c r="N68" s="8">
        <f>+M68*L68</f>
        <v>36000</v>
      </c>
      <c r="Q68" s="5">
        <f>+N68</f>
        <v>36000</v>
      </c>
      <c r="R68" s="18">
        <v>11.3</v>
      </c>
      <c r="S68" s="4" t="s">
        <v>280</v>
      </c>
    </row>
    <row r="69" spans="2:20" ht="24" customHeight="1" x14ac:dyDescent="0.4">
      <c r="B69" s="8" t="s">
        <v>26</v>
      </c>
      <c r="C69" s="8">
        <v>11.25</v>
      </c>
      <c r="D69" s="16" t="s">
        <v>28</v>
      </c>
      <c r="F69" s="5" t="s">
        <v>2368</v>
      </c>
      <c r="G69" s="5" t="s">
        <v>1011</v>
      </c>
      <c r="H69" s="4">
        <v>550</v>
      </c>
      <c r="I69" s="5" t="s">
        <v>748</v>
      </c>
      <c r="J69" s="4">
        <v>11.25</v>
      </c>
      <c r="K69" s="4" t="s">
        <v>214</v>
      </c>
      <c r="L69" s="5">
        <v>165</v>
      </c>
      <c r="M69" s="68">
        <v>6000</v>
      </c>
      <c r="N69" s="8">
        <f>+M69*L69</f>
        <v>990000</v>
      </c>
      <c r="Q69" s="5">
        <f>+N69</f>
        <v>990000</v>
      </c>
      <c r="R69" s="18">
        <v>11.26</v>
      </c>
    </row>
    <row r="70" spans="2:20" ht="24" customHeight="1" x14ac:dyDescent="0.4">
      <c r="B70" s="8" t="s">
        <v>26</v>
      </c>
      <c r="C70" s="8">
        <v>11.25</v>
      </c>
      <c r="D70" s="16" t="s">
        <v>28</v>
      </c>
      <c r="F70" s="5" t="s">
        <v>2368</v>
      </c>
      <c r="G70" s="5" t="s">
        <v>1011</v>
      </c>
      <c r="H70" s="4">
        <v>550</v>
      </c>
      <c r="I70" s="5" t="s">
        <v>748</v>
      </c>
      <c r="J70" s="4">
        <v>11.25</v>
      </c>
      <c r="K70" s="4" t="s">
        <v>301</v>
      </c>
      <c r="L70" s="5">
        <v>1</v>
      </c>
      <c r="M70" s="68">
        <v>33000</v>
      </c>
      <c r="N70" s="8">
        <f>+M70*L70</f>
        <v>33000</v>
      </c>
      <c r="Q70" s="5">
        <f>+N70</f>
        <v>33000</v>
      </c>
      <c r="R70" s="18">
        <v>11.26</v>
      </c>
    </row>
    <row r="71" spans="2:20" ht="24" customHeight="1" x14ac:dyDescent="0.4">
      <c r="B71" s="8" t="s">
        <v>26</v>
      </c>
      <c r="C71" s="5">
        <v>11.3</v>
      </c>
      <c r="D71" s="16" t="s">
        <v>28</v>
      </c>
      <c r="F71" s="5" t="s">
        <v>2368</v>
      </c>
      <c r="G71" s="5" t="s">
        <v>2434</v>
      </c>
      <c r="H71" s="4">
        <v>150</v>
      </c>
      <c r="I71" s="5" t="s">
        <v>2245</v>
      </c>
      <c r="J71" s="4">
        <v>12.06</v>
      </c>
      <c r="K71" s="4" t="s">
        <v>186</v>
      </c>
      <c r="L71" s="5">
        <v>18</v>
      </c>
      <c r="M71" s="68">
        <v>60000</v>
      </c>
      <c r="N71" s="8">
        <f>+M71*L71</f>
        <v>1080000</v>
      </c>
      <c r="Q71" s="5">
        <f>+N71</f>
        <v>1080000</v>
      </c>
      <c r="R71" s="18">
        <v>12.01</v>
      </c>
    </row>
    <row r="72" spans="2:20" ht="24" customHeight="1" x14ac:dyDescent="0.4">
      <c r="B72" s="5" t="s">
        <v>26</v>
      </c>
      <c r="C72" s="5">
        <v>11.09</v>
      </c>
      <c r="D72" s="16" t="s">
        <v>28</v>
      </c>
      <c r="F72" s="5" t="s">
        <v>1559</v>
      </c>
      <c r="G72" s="5" t="s">
        <v>1663</v>
      </c>
      <c r="H72" s="4">
        <v>1325</v>
      </c>
      <c r="I72" s="5" t="s">
        <v>728</v>
      </c>
      <c r="J72" s="5">
        <v>11.09</v>
      </c>
      <c r="K72" s="5" t="s">
        <v>2446</v>
      </c>
      <c r="L72" s="5">
        <v>2</v>
      </c>
      <c r="M72" s="71">
        <f>20000+3000</f>
        <v>23000</v>
      </c>
      <c r="N72" s="5">
        <f>+M72*L72</f>
        <v>46000</v>
      </c>
      <c r="Q72" s="5">
        <f>+N72</f>
        <v>46000</v>
      </c>
      <c r="R72" s="18">
        <v>11.29</v>
      </c>
      <c r="S72" s="4" t="s">
        <v>83</v>
      </c>
    </row>
    <row r="73" spans="2:20" ht="24" customHeight="1" x14ac:dyDescent="0.4">
      <c r="B73" s="90" t="s">
        <v>2447</v>
      </c>
      <c r="D73" s="112" t="s">
        <v>28</v>
      </c>
      <c r="N73" s="90">
        <f>SUM(N49:N72)</f>
        <v>7209000</v>
      </c>
      <c r="Q73" s="115">
        <f>SUM(Q49:Q72)</f>
        <v>7209000</v>
      </c>
    </row>
    <row r="74" spans="2:20" ht="24" customHeight="1" x14ac:dyDescent="0.4">
      <c r="B74" s="90" t="s">
        <v>2448</v>
      </c>
      <c r="N74" s="90">
        <f>N73+N48</f>
        <v>19880000.000179999</v>
      </c>
      <c r="Q74" s="90">
        <f>Q73+Q48</f>
        <v>19880000.000179999</v>
      </c>
    </row>
    <row r="75" spans="2:20" ht="23.25" customHeight="1" x14ac:dyDescent="0.4"/>
    <row r="76" spans="2:20" ht="23.25" customHeight="1" x14ac:dyDescent="0.4"/>
    <row r="77" spans="2:20" ht="23.25" customHeight="1" x14ac:dyDescent="0.4"/>
    <row r="78" spans="2:20" ht="23.25" customHeight="1" x14ac:dyDescent="0.4"/>
    <row r="79" spans="2:20" ht="23.25" customHeight="1" x14ac:dyDescent="0.4"/>
    <row r="80" spans="2:20" ht="23.25" customHeight="1" x14ac:dyDescent="0.4"/>
    <row r="81" ht="23.25" customHeight="1" x14ac:dyDescent="0.4"/>
    <row r="82" ht="23.25" customHeight="1" x14ac:dyDescent="0.4"/>
    <row r="83" ht="23.25" customHeight="1" x14ac:dyDescent="0.4"/>
    <row r="84" ht="23.25" customHeight="1" x14ac:dyDescent="0.4"/>
    <row r="85" ht="23.25" customHeight="1" x14ac:dyDescent="0.4"/>
    <row r="86" ht="23.25" customHeight="1" x14ac:dyDescent="0.4"/>
    <row r="87" ht="23.25" customHeight="1" x14ac:dyDescent="0.4"/>
    <row r="88" ht="23.25" customHeight="1" x14ac:dyDescent="0.4"/>
    <row r="89" ht="23.25" customHeight="1" x14ac:dyDescent="0.4"/>
    <row r="90" ht="23.25" customHeight="1" x14ac:dyDescent="0.4"/>
    <row r="91" ht="23.25" customHeight="1" x14ac:dyDescent="0.4"/>
    <row r="92" ht="23.25" customHeight="1" x14ac:dyDescent="0.4"/>
    <row r="93" ht="23.25" customHeight="1" x14ac:dyDescent="0.4"/>
    <row r="94" ht="23.25" customHeight="1" x14ac:dyDescent="0.4"/>
    <row r="95" ht="23.25" customHeight="1" x14ac:dyDescent="0.4"/>
    <row r="96" ht="23.25" customHeight="1" x14ac:dyDescent="0.4"/>
    <row r="97" ht="23.25" customHeight="1" x14ac:dyDescent="0.4"/>
    <row r="98" ht="23.25" customHeight="1" x14ac:dyDescent="0.4"/>
    <row r="99" ht="23.25" customHeight="1" x14ac:dyDescent="0.4"/>
    <row r="100" ht="23.25" customHeight="1" x14ac:dyDescent="0.4"/>
    <row r="101" ht="23.25" customHeight="1" x14ac:dyDescent="0.4"/>
    <row r="102" ht="23.25" customHeight="1" x14ac:dyDescent="0.4"/>
    <row r="103" ht="23.25" customHeight="1" x14ac:dyDescent="0.4"/>
    <row r="104" ht="23.25" customHeight="1" x14ac:dyDescent="0.4"/>
    <row r="105" ht="23.25" customHeight="1" x14ac:dyDescent="0.4"/>
    <row r="106" ht="23.25" customHeight="1" x14ac:dyDescent="0.4"/>
    <row r="107" ht="23.25" customHeight="1" x14ac:dyDescent="0.4"/>
    <row r="108" ht="23.25" customHeight="1" x14ac:dyDescent="0.4"/>
    <row r="109" ht="23.25" customHeight="1" x14ac:dyDescent="0.4"/>
    <row r="110" ht="23.25" customHeight="1" x14ac:dyDescent="0.4"/>
    <row r="111" ht="23.25" customHeight="1" x14ac:dyDescent="0.4"/>
    <row r="112" ht="23.25" customHeight="1" x14ac:dyDescent="0.4"/>
    <row r="113" ht="23.25" customHeight="1" x14ac:dyDescent="0.4"/>
    <row r="114" ht="23.25" customHeight="1" x14ac:dyDescent="0.4"/>
    <row r="115" ht="23.25" customHeight="1" x14ac:dyDescent="0.4"/>
    <row r="116" ht="23.25" customHeight="1" x14ac:dyDescent="0.4"/>
    <row r="117" ht="23.25" customHeight="1" x14ac:dyDescent="0.4"/>
    <row r="118" ht="23.25" customHeight="1" x14ac:dyDescent="0.4"/>
    <row r="119" ht="23.25" customHeight="1" x14ac:dyDescent="0.4"/>
    <row r="120" ht="23.25" customHeight="1" x14ac:dyDescent="0.4"/>
    <row r="121" ht="23.25" customHeight="1" x14ac:dyDescent="0.4"/>
    <row r="122" ht="23.25" customHeight="1" x14ac:dyDescent="0.4"/>
    <row r="123" ht="23.25" customHeight="1" x14ac:dyDescent="0.4"/>
    <row r="124" ht="23.25" customHeight="1" x14ac:dyDescent="0.4"/>
    <row r="125" ht="23.25" customHeight="1" x14ac:dyDescent="0.4"/>
    <row r="126" ht="23.25" customHeight="1" x14ac:dyDescent="0.4"/>
    <row r="127" ht="23.25" customHeight="1" x14ac:dyDescent="0.4"/>
    <row r="128" ht="23.25" customHeight="1" x14ac:dyDescent="0.4"/>
    <row r="129" ht="23.25" customHeight="1" x14ac:dyDescent="0.4"/>
    <row r="130" ht="23.25" customHeight="1" x14ac:dyDescent="0.4"/>
    <row r="131" ht="23.25" customHeight="1" x14ac:dyDescent="0.4"/>
    <row r="132" ht="23.25" customHeight="1" x14ac:dyDescent="0.4"/>
    <row r="133" ht="23.25" customHeight="1" x14ac:dyDescent="0.4"/>
    <row r="134" ht="23.25" customHeight="1" x14ac:dyDescent="0.4"/>
    <row r="135" ht="23.25" customHeight="1" x14ac:dyDescent="0.4"/>
    <row r="136" ht="23.25" customHeight="1" x14ac:dyDescent="0.4"/>
    <row r="137" ht="23.25" customHeight="1" x14ac:dyDescent="0.4"/>
    <row r="138" ht="23.25" customHeight="1" x14ac:dyDescent="0.4"/>
    <row r="139" ht="23.25" customHeight="1" x14ac:dyDescent="0.4"/>
    <row r="140" ht="23.25" customHeight="1" x14ac:dyDescent="0.4"/>
    <row r="141" ht="23.25" customHeight="1" x14ac:dyDescent="0.4"/>
    <row r="142" ht="23.25" customHeight="1" x14ac:dyDescent="0.4"/>
    <row r="143" ht="23.25" customHeight="1" x14ac:dyDescent="0.4"/>
    <row r="144" ht="23.25" customHeight="1" x14ac:dyDescent="0.4"/>
    <row r="145" ht="23.25" customHeight="1" x14ac:dyDescent="0.4"/>
    <row r="146" ht="23.25" customHeight="1" x14ac:dyDescent="0.4"/>
    <row r="147" ht="23.25" customHeight="1" x14ac:dyDescent="0.4"/>
    <row r="148" ht="23.25" customHeight="1" x14ac:dyDescent="0.4"/>
    <row r="149" ht="23.25" customHeight="1" x14ac:dyDescent="0.4"/>
    <row r="150" ht="23.25" customHeight="1" x14ac:dyDescent="0.4"/>
    <row r="151" ht="23.25" customHeight="1" x14ac:dyDescent="0.4"/>
    <row r="152" ht="23.25" customHeight="1" x14ac:dyDescent="0.4"/>
    <row r="153" ht="23.25" customHeight="1" x14ac:dyDescent="0.4"/>
    <row r="154" ht="23.25" customHeight="1" x14ac:dyDescent="0.4"/>
    <row r="155" ht="23.25" customHeight="1" x14ac:dyDescent="0.4"/>
    <row r="156" ht="23.25" customHeight="1" x14ac:dyDescent="0.4"/>
    <row r="157" ht="23.25" customHeight="1" x14ac:dyDescent="0.4"/>
    <row r="158" ht="23.25" customHeight="1" x14ac:dyDescent="0.4"/>
    <row r="159" ht="23.25" customHeight="1" x14ac:dyDescent="0.4"/>
    <row r="160" ht="23.25" customHeight="1" x14ac:dyDescent="0.4"/>
    <row r="161" ht="23.25" customHeight="1" x14ac:dyDescent="0.4"/>
    <row r="162" ht="23.25" customHeight="1" x14ac:dyDescent="0.4"/>
    <row r="163" ht="23.25" customHeight="1" x14ac:dyDescent="0.4"/>
    <row r="164" ht="23.25" customHeight="1" x14ac:dyDescent="0.4"/>
    <row r="165" ht="23.25" customHeight="1" x14ac:dyDescent="0.4"/>
    <row r="166" ht="23.25" customHeight="1" x14ac:dyDescent="0.4"/>
    <row r="167" ht="23.25" customHeight="1" x14ac:dyDescent="0.4"/>
    <row r="168" ht="23.25" customHeight="1" x14ac:dyDescent="0.4"/>
    <row r="169" ht="23.25" customHeight="1" x14ac:dyDescent="0.4"/>
    <row r="170" ht="23.25" customHeight="1" x14ac:dyDescent="0.4"/>
    <row r="171" ht="23.25" customHeight="1" x14ac:dyDescent="0.4"/>
    <row r="172" ht="23.25" customHeight="1" x14ac:dyDescent="0.4"/>
    <row r="173" ht="23.25" customHeight="1" x14ac:dyDescent="0.4"/>
    <row r="174" ht="23.25" customHeight="1" x14ac:dyDescent="0.4"/>
    <row r="175" ht="23.25" customHeight="1" x14ac:dyDescent="0.4"/>
    <row r="176" ht="23.25" customHeight="1" x14ac:dyDescent="0.4"/>
    <row r="177" ht="23.25" customHeight="1" x14ac:dyDescent="0.4"/>
    <row r="178" ht="23.25" customHeight="1" x14ac:dyDescent="0.4"/>
    <row r="179" ht="23.25" customHeight="1" x14ac:dyDescent="0.4"/>
    <row r="180" ht="23.25" customHeight="1" x14ac:dyDescent="0.4"/>
    <row r="181" ht="23.25" customHeight="1" x14ac:dyDescent="0.4"/>
    <row r="182" ht="23.25" customHeight="1" x14ac:dyDescent="0.4"/>
    <row r="183" ht="23.25" customHeight="1" x14ac:dyDescent="0.4"/>
    <row r="184" ht="23.25" customHeight="1" x14ac:dyDescent="0.4"/>
    <row r="185" ht="23.25" customHeight="1" x14ac:dyDescent="0.4"/>
    <row r="186" ht="23.25" customHeight="1" x14ac:dyDescent="0.4"/>
    <row r="187" ht="23.25" customHeight="1" x14ac:dyDescent="0.4"/>
    <row r="188" ht="23.25" customHeight="1" x14ac:dyDescent="0.4"/>
    <row r="189" ht="23.25" customHeight="1" x14ac:dyDescent="0.4"/>
    <row r="190" ht="23.25" customHeight="1" x14ac:dyDescent="0.4"/>
    <row r="191" ht="23.25" customHeight="1" x14ac:dyDescent="0.4"/>
    <row r="192" ht="23.25" customHeight="1" x14ac:dyDescent="0.4"/>
    <row r="193" ht="23.25" customHeight="1" x14ac:dyDescent="0.4"/>
    <row r="194" ht="23.25" customHeight="1" x14ac:dyDescent="0.4"/>
    <row r="195" ht="23.25" customHeight="1" x14ac:dyDescent="0.4"/>
    <row r="196" ht="23.25" customHeight="1" x14ac:dyDescent="0.4"/>
    <row r="197" ht="23.25" customHeight="1" x14ac:dyDescent="0.4"/>
    <row r="198" ht="23.25" customHeight="1" x14ac:dyDescent="0.4"/>
    <row r="199" ht="23.25" customHeight="1" x14ac:dyDescent="0.4"/>
    <row r="200" ht="23.25" customHeight="1" x14ac:dyDescent="0.4"/>
    <row r="201" ht="23.25" customHeight="1" x14ac:dyDescent="0.4"/>
    <row r="202" ht="23.25" customHeight="1" x14ac:dyDescent="0.4"/>
    <row r="203" ht="23.25" customHeight="1" x14ac:dyDescent="0.4"/>
    <row r="204" ht="23.25" customHeight="1" x14ac:dyDescent="0.4"/>
    <row r="205" ht="23.25" customHeight="1" x14ac:dyDescent="0.4"/>
    <row r="206" ht="23.25" customHeight="1" x14ac:dyDescent="0.4"/>
    <row r="207" ht="23.25" customHeight="1" x14ac:dyDescent="0.4"/>
    <row r="208" ht="23.25" customHeight="1" x14ac:dyDescent="0.4"/>
    <row r="209" ht="23.25" customHeight="1" x14ac:dyDescent="0.4"/>
    <row r="210" ht="23.25" customHeight="1" x14ac:dyDescent="0.4"/>
    <row r="211" ht="23.25" customHeight="1" x14ac:dyDescent="0.4"/>
    <row r="212" ht="23.25" customHeight="1" x14ac:dyDescent="0.4"/>
    <row r="213" ht="23.25" customHeight="1" x14ac:dyDescent="0.4"/>
    <row r="214" ht="23.25" customHeight="1" x14ac:dyDescent="0.4"/>
    <row r="215" ht="23.25" customHeight="1" x14ac:dyDescent="0.4"/>
    <row r="216" ht="23.25" customHeight="1" x14ac:dyDescent="0.4"/>
    <row r="217" ht="23.25" customHeight="1" x14ac:dyDescent="0.4"/>
    <row r="218" ht="23.25" customHeight="1" x14ac:dyDescent="0.4"/>
    <row r="219" ht="23.25" customHeight="1" x14ac:dyDescent="0.4"/>
    <row r="220" ht="23.25" customHeight="1" x14ac:dyDescent="0.4"/>
    <row r="221" ht="23.25" customHeight="1" x14ac:dyDescent="0.4"/>
    <row r="222" ht="23.25" customHeight="1" x14ac:dyDescent="0.4"/>
    <row r="223" ht="23.25" customHeight="1" x14ac:dyDescent="0.4"/>
    <row r="224" ht="23.25" customHeight="1" x14ac:dyDescent="0.4"/>
    <row r="225" ht="23.25" customHeight="1" x14ac:dyDescent="0.4"/>
    <row r="226" ht="23.25" customHeight="1" x14ac:dyDescent="0.4"/>
    <row r="227" ht="23.25" customHeight="1" x14ac:dyDescent="0.4"/>
    <row r="228" ht="23.25" customHeight="1" x14ac:dyDescent="0.4"/>
    <row r="229" ht="23.25" customHeight="1" x14ac:dyDescent="0.4"/>
    <row r="230" ht="23.25" customHeight="1" x14ac:dyDescent="0.4"/>
    <row r="231" ht="23.25" customHeight="1" x14ac:dyDescent="0.4"/>
    <row r="232" ht="23.25" customHeight="1" x14ac:dyDescent="0.4"/>
    <row r="233" ht="23.25" customHeight="1" x14ac:dyDescent="0.4"/>
    <row r="234" ht="23.25" customHeight="1" x14ac:dyDescent="0.4"/>
    <row r="235" ht="23.25" customHeight="1" x14ac:dyDescent="0.4"/>
    <row r="236" ht="23.25" customHeight="1" x14ac:dyDescent="0.4"/>
    <row r="237" ht="23.25" customHeight="1" x14ac:dyDescent="0.4"/>
    <row r="238" ht="23.25" customHeight="1" x14ac:dyDescent="0.4"/>
    <row r="239" ht="23.25" customHeight="1" x14ac:dyDescent="0.4"/>
    <row r="240" ht="23.25" customHeight="1" x14ac:dyDescent="0.4"/>
    <row r="241" ht="23.25" customHeight="1" x14ac:dyDescent="0.4"/>
    <row r="242" ht="23.25" customHeight="1" x14ac:dyDescent="0.4"/>
    <row r="243" ht="23.25" customHeight="1" x14ac:dyDescent="0.4"/>
    <row r="244" ht="23.25" customHeight="1" x14ac:dyDescent="0.4"/>
    <row r="245" ht="23.25" customHeight="1" x14ac:dyDescent="0.4"/>
    <row r="246" ht="23.25" customHeight="1" x14ac:dyDescent="0.4"/>
    <row r="247" ht="23.25" customHeight="1" x14ac:dyDescent="0.4"/>
    <row r="248" ht="23.25" customHeight="1" x14ac:dyDescent="0.4"/>
    <row r="249" ht="23.25" customHeight="1" x14ac:dyDescent="0.4"/>
    <row r="250" ht="23.25" customHeight="1" x14ac:dyDescent="0.4"/>
    <row r="251" ht="23.25" customHeight="1" x14ac:dyDescent="0.4"/>
    <row r="252" ht="23.25" customHeight="1" x14ac:dyDescent="0.4"/>
    <row r="253" ht="23.25" customHeight="1" x14ac:dyDescent="0.4"/>
    <row r="254" ht="23.25" customHeight="1" x14ac:dyDescent="0.4"/>
    <row r="255" ht="23.25" customHeight="1" x14ac:dyDescent="0.4"/>
    <row r="256" ht="23.25" customHeight="1" x14ac:dyDescent="0.4"/>
    <row r="257" ht="23.25" customHeight="1" x14ac:dyDescent="0.4"/>
    <row r="258" ht="23.25" customHeight="1" x14ac:dyDescent="0.4"/>
    <row r="259" ht="23.25" customHeight="1" x14ac:dyDescent="0.4"/>
    <row r="260" ht="23.25" customHeight="1" x14ac:dyDescent="0.4"/>
    <row r="261" ht="23.25" customHeight="1" x14ac:dyDescent="0.4"/>
    <row r="262" ht="23.25" customHeight="1" x14ac:dyDescent="0.4"/>
    <row r="263" ht="23.25" customHeight="1" x14ac:dyDescent="0.4"/>
    <row r="264" ht="23.25" customHeight="1" x14ac:dyDescent="0.4"/>
    <row r="265" ht="23.25" customHeight="1" x14ac:dyDescent="0.4"/>
    <row r="266" ht="23.25" customHeight="1" x14ac:dyDescent="0.4"/>
    <row r="267" ht="23.25" customHeight="1" x14ac:dyDescent="0.4"/>
    <row r="268" ht="23.25" customHeight="1" x14ac:dyDescent="0.4"/>
    <row r="269" ht="23.25" customHeight="1" x14ac:dyDescent="0.4"/>
    <row r="270" ht="23.25" customHeight="1" x14ac:dyDescent="0.4"/>
    <row r="271" ht="23.25" customHeight="1" x14ac:dyDescent="0.4"/>
    <row r="272" ht="23.25" customHeight="1" x14ac:dyDescent="0.4"/>
    <row r="273" ht="23.25" customHeight="1" x14ac:dyDescent="0.4"/>
    <row r="274" ht="23.25" customHeight="1" x14ac:dyDescent="0.4"/>
    <row r="275" ht="23.25" customHeight="1" x14ac:dyDescent="0.4"/>
    <row r="276" ht="23.25" customHeight="1" x14ac:dyDescent="0.4"/>
    <row r="277" ht="23.25" customHeight="1" x14ac:dyDescent="0.4"/>
    <row r="278" ht="23.25" customHeight="1" x14ac:dyDescent="0.4"/>
    <row r="279" ht="23.25" customHeight="1" x14ac:dyDescent="0.4"/>
    <row r="280" ht="23.25" customHeight="1" x14ac:dyDescent="0.4"/>
    <row r="281" ht="23.25" customHeight="1" x14ac:dyDescent="0.4"/>
    <row r="282" ht="23.25" customHeight="1" x14ac:dyDescent="0.4"/>
    <row r="283" ht="23.25" customHeight="1" x14ac:dyDescent="0.4"/>
    <row r="284" ht="23.25" customHeight="1" x14ac:dyDescent="0.4"/>
    <row r="285" ht="23.25" customHeight="1" x14ac:dyDescent="0.4"/>
    <row r="286" ht="23.25" customHeight="1" x14ac:dyDescent="0.4"/>
    <row r="287" ht="23.25" customHeight="1" x14ac:dyDescent="0.4"/>
    <row r="288" ht="23.25" customHeight="1" x14ac:dyDescent="0.4"/>
    <row r="289" ht="23.25" customHeight="1" x14ac:dyDescent="0.4"/>
    <row r="290" ht="23.25" customHeight="1" x14ac:dyDescent="0.4"/>
    <row r="291" ht="23.25" customHeight="1" x14ac:dyDescent="0.4"/>
    <row r="292" ht="23.25" customHeight="1" x14ac:dyDescent="0.4"/>
    <row r="293" ht="23.25" customHeight="1" x14ac:dyDescent="0.4"/>
    <row r="294" ht="23.25" customHeight="1" x14ac:dyDescent="0.4"/>
    <row r="295" ht="23.25" customHeight="1" x14ac:dyDescent="0.4"/>
    <row r="296" ht="23.25" customHeight="1" x14ac:dyDescent="0.4"/>
    <row r="297" ht="23.25" customHeight="1" x14ac:dyDescent="0.4"/>
    <row r="298" ht="23.25" customHeight="1" x14ac:dyDescent="0.4"/>
    <row r="299" ht="23.25" customHeight="1" x14ac:dyDescent="0.4"/>
    <row r="300" ht="23.25" customHeight="1" x14ac:dyDescent="0.4"/>
    <row r="301" ht="23.25" customHeight="1" x14ac:dyDescent="0.4"/>
    <row r="302" ht="23.25" customHeight="1" x14ac:dyDescent="0.4"/>
    <row r="303" ht="23.25" customHeight="1" x14ac:dyDescent="0.4"/>
    <row r="304" ht="23.25" customHeight="1" x14ac:dyDescent="0.4"/>
    <row r="305" ht="23.25" customHeight="1" x14ac:dyDescent="0.4"/>
    <row r="306" ht="23.25" customHeight="1" x14ac:dyDescent="0.4"/>
    <row r="307" ht="23.25" customHeight="1" x14ac:dyDescent="0.4"/>
    <row r="308" ht="23.25" customHeight="1" x14ac:dyDescent="0.4"/>
    <row r="309" ht="23.25" customHeight="1" x14ac:dyDescent="0.4"/>
    <row r="310" ht="23.25" customHeight="1" x14ac:dyDescent="0.4"/>
    <row r="311" ht="23.25" customHeight="1" x14ac:dyDescent="0.4"/>
    <row r="312" ht="23.25" customHeight="1" x14ac:dyDescent="0.4"/>
    <row r="313" ht="23.25" customHeight="1" x14ac:dyDescent="0.4"/>
    <row r="314" ht="23.25" customHeight="1" x14ac:dyDescent="0.4"/>
    <row r="315" ht="23.25" customHeight="1" x14ac:dyDescent="0.4"/>
    <row r="316" ht="23.25" customHeight="1" x14ac:dyDescent="0.4"/>
    <row r="317" ht="23.25" customHeight="1" x14ac:dyDescent="0.4"/>
    <row r="318" ht="23.25" customHeight="1" x14ac:dyDescent="0.4"/>
    <row r="319" ht="23.25" customHeight="1" x14ac:dyDescent="0.4"/>
    <row r="320" ht="23.25" customHeight="1" x14ac:dyDescent="0.4"/>
    <row r="321" ht="23.25" customHeight="1" x14ac:dyDescent="0.4"/>
    <row r="322" ht="23.25" customHeight="1" x14ac:dyDescent="0.4"/>
    <row r="323" ht="23.25" customHeight="1" x14ac:dyDescent="0.4"/>
    <row r="324" ht="23.25" customHeight="1" x14ac:dyDescent="0.4"/>
    <row r="325" ht="23.25" customHeight="1" x14ac:dyDescent="0.4"/>
    <row r="326" ht="23.25" customHeight="1" x14ac:dyDescent="0.4"/>
    <row r="327" ht="23.25" customHeight="1" x14ac:dyDescent="0.4"/>
    <row r="328" ht="23.25" customHeight="1" x14ac:dyDescent="0.4"/>
    <row r="329" ht="23.25" customHeight="1" x14ac:dyDescent="0.4"/>
    <row r="330" ht="23.25" customHeight="1" x14ac:dyDescent="0.4"/>
    <row r="331" ht="23.25" customHeight="1" x14ac:dyDescent="0.4"/>
    <row r="332" ht="23.25" customHeight="1" x14ac:dyDescent="0.4"/>
    <row r="333" ht="23.25" customHeight="1" x14ac:dyDescent="0.4"/>
    <row r="334" ht="23.25" customHeight="1" x14ac:dyDescent="0.4"/>
    <row r="335" ht="23.25" customHeight="1" x14ac:dyDescent="0.4"/>
    <row r="336" ht="23.25" customHeight="1" x14ac:dyDescent="0.4"/>
    <row r="337" ht="23.25" customHeight="1" x14ac:dyDescent="0.4"/>
    <row r="338" ht="23.25" customHeight="1" x14ac:dyDescent="0.4"/>
    <row r="339" ht="23.25" customHeight="1" x14ac:dyDescent="0.4"/>
    <row r="340" ht="23.25" customHeight="1" x14ac:dyDescent="0.4"/>
    <row r="341" ht="23.25" customHeight="1" x14ac:dyDescent="0.4"/>
    <row r="342" ht="23.25" customHeight="1" x14ac:dyDescent="0.4"/>
    <row r="343" ht="23.25" customHeight="1" x14ac:dyDescent="0.4"/>
    <row r="344" ht="23.25" customHeight="1" x14ac:dyDescent="0.4"/>
    <row r="345" ht="23.25" customHeight="1" x14ac:dyDescent="0.4"/>
    <row r="346" ht="23.25" customHeight="1" x14ac:dyDescent="0.4"/>
    <row r="347" ht="23.25" customHeight="1" x14ac:dyDescent="0.4"/>
    <row r="348" ht="23.25" customHeight="1" x14ac:dyDescent="0.4"/>
    <row r="349" ht="23.25" customHeight="1" x14ac:dyDescent="0.4"/>
    <row r="350" ht="23.25" customHeight="1" x14ac:dyDescent="0.4"/>
    <row r="351" ht="23.25" customHeight="1" x14ac:dyDescent="0.4"/>
    <row r="352" ht="23.25" customHeight="1" x14ac:dyDescent="0.4"/>
    <row r="353" ht="23.25" customHeight="1" x14ac:dyDescent="0.4"/>
    <row r="354" ht="23.25" customHeight="1" x14ac:dyDescent="0.4"/>
    <row r="355" ht="23.25" customHeight="1" x14ac:dyDescent="0.4"/>
    <row r="356" ht="23.25" customHeight="1" x14ac:dyDescent="0.4"/>
    <row r="357" ht="23.25" customHeight="1" x14ac:dyDescent="0.4"/>
    <row r="358" ht="23.25" customHeight="1" x14ac:dyDescent="0.4"/>
    <row r="359" ht="23.25" customHeight="1" x14ac:dyDescent="0.4"/>
    <row r="360" ht="23.25" customHeight="1" x14ac:dyDescent="0.4"/>
    <row r="361" ht="23.25" customHeight="1" x14ac:dyDescent="0.4"/>
    <row r="362" ht="23.25" customHeight="1" x14ac:dyDescent="0.4"/>
    <row r="363" ht="23.25" customHeight="1" x14ac:dyDescent="0.4"/>
    <row r="364" ht="23.25" customHeight="1" x14ac:dyDescent="0.4"/>
    <row r="365" ht="23.25" customHeight="1" x14ac:dyDescent="0.4"/>
    <row r="366" ht="23.25" customHeight="1" x14ac:dyDescent="0.4"/>
    <row r="367" ht="23.25" customHeight="1" x14ac:dyDescent="0.4"/>
    <row r="368" ht="23.25" customHeight="1" x14ac:dyDescent="0.4"/>
    <row r="369" ht="23.25" customHeight="1" x14ac:dyDescent="0.4"/>
    <row r="370" ht="23.25" customHeight="1" x14ac:dyDescent="0.4"/>
    <row r="371" ht="23.25" customHeight="1" x14ac:dyDescent="0.4"/>
    <row r="372" ht="23.25" customHeight="1" x14ac:dyDescent="0.4"/>
    <row r="373" ht="23.25" customHeight="1" x14ac:dyDescent="0.4"/>
    <row r="374" ht="23.25" customHeight="1" x14ac:dyDescent="0.4"/>
    <row r="375" ht="23.25" customHeight="1" x14ac:dyDescent="0.4"/>
    <row r="376" ht="23.25" customHeight="1" x14ac:dyDescent="0.4"/>
    <row r="377" ht="23.25" customHeight="1" x14ac:dyDescent="0.4"/>
    <row r="378" ht="23.25" customHeight="1" x14ac:dyDescent="0.4"/>
    <row r="379" ht="23.25" customHeight="1" x14ac:dyDescent="0.4"/>
    <row r="380" ht="23.25" customHeight="1" x14ac:dyDescent="0.4"/>
    <row r="381" ht="23.25" customHeight="1" x14ac:dyDescent="0.4"/>
    <row r="382" ht="23.25" customHeight="1" x14ac:dyDescent="0.4"/>
    <row r="383" ht="23.25" customHeight="1" x14ac:dyDescent="0.4"/>
    <row r="384" ht="23.25" customHeight="1" x14ac:dyDescent="0.4"/>
    <row r="385" ht="23.25" customHeight="1" x14ac:dyDescent="0.4"/>
    <row r="386" ht="23.25" customHeight="1" x14ac:dyDescent="0.4"/>
    <row r="387" ht="23.25" customHeight="1" x14ac:dyDescent="0.4"/>
    <row r="388" ht="23.25" customHeight="1" x14ac:dyDescent="0.4"/>
    <row r="389" ht="23.25" customHeight="1" x14ac:dyDescent="0.4"/>
    <row r="390" ht="23.25" customHeight="1" x14ac:dyDescent="0.4"/>
    <row r="391" ht="23.25" customHeight="1" x14ac:dyDescent="0.4"/>
    <row r="392" ht="23.25" customHeight="1" x14ac:dyDescent="0.4"/>
    <row r="393" ht="23.25" customHeight="1" x14ac:dyDescent="0.4"/>
    <row r="394" ht="23.25" customHeight="1" x14ac:dyDescent="0.4"/>
    <row r="395" ht="23.25" customHeight="1" x14ac:dyDescent="0.4"/>
    <row r="396" ht="23.25" customHeight="1" x14ac:dyDescent="0.4"/>
    <row r="397" ht="23.25" customHeight="1" x14ac:dyDescent="0.4"/>
    <row r="398" ht="23.25" customHeight="1" x14ac:dyDescent="0.4"/>
    <row r="399" ht="23.25" customHeight="1" x14ac:dyDescent="0.4"/>
    <row r="400" ht="23.25" customHeight="1" x14ac:dyDescent="0.4"/>
    <row r="401" ht="23.25" customHeight="1" x14ac:dyDescent="0.4"/>
    <row r="402" ht="23.25" customHeight="1" x14ac:dyDescent="0.4"/>
    <row r="403" ht="23.25" customHeight="1" x14ac:dyDescent="0.4"/>
    <row r="404" ht="23.25" customHeight="1" x14ac:dyDescent="0.4"/>
    <row r="405" ht="23.25" customHeight="1" x14ac:dyDescent="0.4"/>
    <row r="406" ht="23.25" customHeight="1" x14ac:dyDescent="0.4"/>
    <row r="407" ht="23.25" customHeight="1" x14ac:dyDescent="0.4"/>
    <row r="408" ht="23.25" customHeight="1" x14ac:dyDescent="0.4"/>
    <row r="409" ht="23.25" customHeight="1" x14ac:dyDescent="0.4"/>
    <row r="410" ht="23.25" customHeight="1" x14ac:dyDescent="0.4"/>
    <row r="411" ht="23.25" customHeight="1" x14ac:dyDescent="0.4"/>
    <row r="412" ht="23.25" customHeight="1" x14ac:dyDescent="0.4"/>
    <row r="413" ht="23.25" customHeight="1" x14ac:dyDescent="0.4"/>
    <row r="414" ht="23.25" customHeight="1" x14ac:dyDescent="0.4"/>
    <row r="415" ht="23.25" customHeight="1" x14ac:dyDescent="0.4"/>
    <row r="416" ht="23.25" customHeight="1" x14ac:dyDescent="0.4"/>
    <row r="417" ht="23.25" customHeight="1" x14ac:dyDescent="0.4"/>
    <row r="418" ht="23.25" customHeight="1" x14ac:dyDescent="0.4"/>
    <row r="419" ht="23.25" customHeight="1" x14ac:dyDescent="0.4"/>
    <row r="420" ht="23.25" customHeight="1" x14ac:dyDescent="0.4"/>
    <row r="421" ht="23.25" customHeight="1" x14ac:dyDescent="0.4"/>
    <row r="422" ht="23.25" customHeight="1" x14ac:dyDescent="0.4"/>
    <row r="423" ht="23.25" customHeight="1" x14ac:dyDescent="0.4"/>
    <row r="424" ht="23.25" customHeight="1" x14ac:dyDescent="0.4"/>
    <row r="425" ht="23.25" customHeight="1" x14ac:dyDescent="0.4"/>
    <row r="426" ht="23.25" customHeight="1" x14ac:dyDescent="0.4"/>
    <row r="427" ht="23.25" customHeight="1" x14ac:dyDescent="0.4"/>
    <row r="428" ht="23.25" customHeight="1" x14ac:dyDescent="0.4"/>
    <row r="429" ht="23.25" customHeight="1" x14ac:dyDescent="0.4"/>
    <row r="430" ht="23.25" customHeight="1" x14ac:dyDescent="0.4"/>
    <row r="431" ht="23.25" customHeight="1" x14ac:dyDescent="0.4"/>
    <row r="432" ht="23.25" customHeight="1" x14ac:dyDescent="0.4"/>
    <row r="433" ht="23.25" customHeight="1" x14ac:dyDescent="0.4"/>
    <row r="434" ht="23.25" customHeight="1" x14ac:dyDescent="0.4"/>
    <row r="435" ht="23.25" customHeight="1" x14ac:dyDescent="0.4"/>
    <row r="436" ht="23.25" customHeight="1" x14ac:dyDescent="0.4"/>
    <row r="437" ht="23.25" customHeight="1" x14ac:dyDescent="0.4"/>
    <row r="438" ht="23.25" customHeight="1" x14ac:dyDescent="0.4"/>
    <row r="439" ht="23.25" customHeight="1" x14ac:dyDescent="0.4"/>
    <row r="440" ht="23.25" customHeight="1" x14ac:dyDescent="0.4"/>
    <row r="441" ht="23.25" customHeight="1" x14ac:dyDescent="0.4"/>
    <row r="442" ht="23.25" customHeight="1" x14ac:dyDescent="0.4"/>
    <row r="443" ht="23.25" customHeight="1" x14ac:dyDescent="0.4"/>
    <row r="444" ht="23.25" customHeight="1" x14ac:dyDescent="0.4"/>
    <row r="445" ht="23.25" customHeight="1" x14ac:dyDescent="0.4"/>
    <row r="446" ht="23.25" customHeight="1" x14ac:dyDescent="0.4"/>
    <row r="447" ht="23.25" customHeight="1" x14ac:dyDescent="0.4"/>
    <row r="448" ht="23.25" customHeight="1" x14ac:dyDescent="0.4"/>
    <row r="449" ht="23.25" customHeight="1" x14ac:dyDescent="0.4"/>
    <row r="450" ht="23.25" customHeight="1" x14ac:dyDescent="0.4"/>
    <row r="451" ht="23.25" customHeight="1" x14ac:dyDescent="0.4"/>
    <row r="452" ht="23.25" customHeight="1" x14ac:dyDescent="0.4"/>
    <row r="453" ht="23.25" customHeight="1" x14ac:dyDescent="0.4"/>
    <row r="454" ht="23.25" customHeight="1" x14ac:dyDescent="0.4"/>
    <row r="455" ht="23.25" customHeight="1" x14ac:dyDescent="0.4"/>
    <row r="456" ht="23.25" customHeight="1" x14ac:dyDescent="0.4"/>
    <row r="457" ht="23.25" customHeight="1" x14ac:dyDescent="0.4"/>
    <row r="458" ht="23.25" customHeight="1" x14ac:dyDescent="0.4"/>
    <row r="459" ht="23.25" customHeight="1" x14ac:dyDescent="0.4"/>
    <row r="460" ht="23.25" customHeight="1" x14ac:dyDescent="0.4"/>
    <row r="461" ht="23.25" customHeight="1" x14ac:dyDescent="0.4"/>
    <row r="462" ht="23.25" customHeight="1" x14ac:dyDescent="0.4"/>
    <row r="463" ht="23.25" customHeight="1" x14ac:dyDescent="0.4"/>
    <row r="464" ht="23.25" customHeight="1" x14ac:dyDescent="0.4"/>
    <row r="465" ht="23.25" customHeight="1" x14ac:dyDescent="0.4"/>
    <row r="466" ht="23.25" customHeight="1" x14ac:dyDescent="0.4"/>
    <row r="467" ht="23.25" customHeight="1" x14ac:dyDescent="0.4"/>
    <row r="468" ht="23.25" customHeight="1" x14ac:dyDescent="0.4"/>
    <row r="469" ht="23.25" customHeight="1" x14ac:dyDescent="0.4"/>
    <row r="470" ht="23.25" customHeight="1" x14ac:dyDescent="0.4"/>
    <row r="471" ht="23.25" customHeight="1" x14ac:dyDescent="0.4"/>
    <row r="472" ht="23.25" customHeight="1" x14ac:dyDescent="0.4"/>
    <row r="473" ht="23.25" customHeight="1" x14ac:dyDescent="0.4"/>
    <row r="474" ht="23.25" customHeight="1" x14ac:dyDescent="0.4"/>
    <row r="475" ht="23.25" customHeight="1" x14ac:dyDescent="0.4"/>
    <row r="476" ht="23.25" customHeight="1" x14ac:dyDescent="0.4"/>
    <row r="477" ht="23.25" customHeight="1" x14ac:dyDescent="0.4"/>
    <row r="478" ht="23.25" customHeight="1" x14ac:dyDescent="0.4"/>
    <row r="479" ht="23.25" customHeight="1" x14ac:dyDescent="0.4"/>
    <row r="480" ht="23.25" customHeight="1" x14ac:dyDescent="0.4"/>
    <row r="481" ht="23.25" customHeight="1" x14ac:dyDescent="0.4"/>
    <row r="482" ht="23.25" customHeight="1" x14ac:dyDescent="0.4"/>
    <row r="483" ht="23.25" customHeight="1" x14ac:dyDescent="0.4"/>
    <row r="484" ht="23.25" customHeight="1" x14ac:dyDescent="0.4"/>
    <row r="485" ht="23.25" customHeight="1" x14ac:dyDescent="0.4"/>
    <row r="486" ht="23.25" customHeight="1" x14ac:dyDescent="0.4"/>
    <row r="487" ht="23.25" customHeight="1" x14ac:dyDescent="0.4"/>
    <row r="488" ht="23.25" customHeight="1" x14ac:dyDescent="0.4"/>
    <row r="489" ht="23.25" customHeight="1" x14ac:dyDescent="0.4"/>
    <row r="490" ht="23.25" customHeight="1" x14ac:dyDescent="0.4"/>
    <row r="491" ht="23.25" customHeight="1" x14ac:dyDescent="0.4"/>
    <row r="492" ht="23.25" customHeight="1" x14ac:dyDescent="0.4"/>
    <row r="493" ht="23.25" customHeight="1" x14ac:dyDescent="0.4"/>
    <row r="494" ht="23.25" customHeight="1" x14ac:dyDescent="0.4"/>
    <row r="495" ht="23.25" customHeight="1" x14ac:dyDescent="0.4"/>
    <row r="496" ht="23.25" customHeight="1" x14ac:dyDescent="0.4"/>
    <row r="497" ht="23.25" customHeight="1" x14ac:dyDescent="0.4"/>
    <row r="498" ht="23.25" customHeight="1" x14ac:dyDescent="0.4"/>
    <row r="499" ht="23.25" customHeight="1" x14ac:dyDescent="0.4"/>
    <row r="500" ht="23.25" customHeight="1" x14ac:dyDescent="0.4"/>
    <row r="501" ht="23.25" customHeight="1" x14ac:dyDescent="0.4"/>
    <row r="502" ht="23.25" customHeight="1" x14ac:dyDescent="0.4"/>
    <row r="503" ht="23.25" customHeight="1" x14ac:dyDescent="0.4"/>
    <row r="504" ht="23.25" customHeight="1" x14ac:dyDescent="0.4"/>
    <row r="505" ht="23.25" customHeight="1" x14ac:dyDescent="0.4"/>
    <row r="506" ht="23.25" customHeight="1" x14ac:dyDescent="0.4"/>
    <row r="507" ht="23.25" customHeight="1" x14ac:dyDescent="0.4"/>
    <row r="508" ht="23.25" customHeight="1" x14ac:dyDescent="0.4"/>
    <row r="509" ht="23.25" customHeight="1" x14ac:dyDescent="0.4"/>
    <row r="510" ht="23.25" customHeight="1" x14ac:dyDescent="0.4"/>
    <row r="511" ht="23.25" customHeight="1" x14ac:dyDescent="0.4"/>
    <row r="512" ht="23.25" customHeight="1" x14ac:dyDescent="0.4"/>
    <row r="513" ht="23.25" customHeight="1" x14ac:dyDescent="0.4"/>
    <row r="514" ht="23.25" customHeight="1" x14ac:dyDescent="0.4"/>
    <row r="515" ht="23.25" customHeight="1" x14ac:dyDescent="0.4"/>
    <row r="516" ht="23.25" customHeight="1" x14ac:dyDescent="0.4"/>
    <row r="517" ht="23.25" customHeight="1" x14ac:dyDescent="0.4"/>
    <row r="518" ht="23.25" customHeight="1" x14ac:dyDescent="0.4"/>
    <row r="519" ht="23.25" customHeight="1" x14ac:dyDescent="0.4"/>
    <row r="520" ht="23.25" customHeight="1" x14ac:dyDescent="0.4"/>
    <row r="521" ht="23.25" customHeight="1" x14ac:dyDescent="0.4"/>
    <row r="522" ht="23.25" customHeight="1" x14ac:dyDescent="0.4"/>
    <row r="523" ht="23.25" customHeight="1" x14ac:dyDescent="0.4"/>
    <row r="524" ht="23.25" customHeight="1" x14ac:dyDescent="0.4"/>
    <row r="525" ht="23.25" customHeight="1" x14ac:dyDescent="0.4"/>
    <row r="526" ht="23.25" customHeight="1" x14ac:dyDescent="0.4"/>
    <row r="527" ht="23.25" customHeight="1" x14ac:dyDescent="0.4"/>
    <row r="528" ht="23.25" customHeight="1" x14ac:dyDescent="0.4"/>
    <row r="529" ht="23.25" customHeight="1" x14ac:dyDescent="0.4"/>
    <row r="530" ht="23.25" customHeight="1" x14ac:dyDescent="0.4"/>
    <row r="531" ht="23.25" customHeight="1" x14ac:dyDescent="0.4"/>
    <row r="532" ht="23.25" customHeight="1" x14ac:dyDescent="0.4"/>
    <row r="533" ht="23.25" customHeight="1" x14ac:dyDescent="0.4"/>
    <row r="534" ht="23.25" customHeight="1" x14ac:dyDescent="0.4"/>
    <row r="535" ht="23.25" customHeight="1" x14ac:dyDescent="0.4"/>
    <row r="536" ht="23.25" customHeight="1" x14ac:dyDescent="0.4"/>
    <row r="537" ht="23.25" customHeight="1" x14ac:dyDescent="0.4"/>
    <row r="538" ht="23.25" customHeight="1" x14ac:dyDescent="0.4"/>
    <row r="539" ht="23.25" customHeight="1" x14ac:dyDescent="0.4"/>
    <row r="540" ht="23.25" customHeight="1" x14ac:dyDescent="0.4"/>
    <row r="541" ht="23.25" customHeight="1" x14ac:dyDescent="0.4"/>
    <row r="542" ht="23.25" customHeight="1" x14ac:dyDescent="0.4"/>
    <row r="543" ht="23.25" customHeight="1" x14ac:dyDescent="0.4"/>
    <row r="544" ht="23.25" customHeight="1" x14ac:dyDescent="0.4"/>
    <row r="545" ht="23.25" customHeight="1" x14ac:dyDescent="0.4"/>
    <row r="546" ht="23.25" customHeight="1" x14ac:dyDescent="0.4"/>
    <row r="547" ht="23.25" customHeight="1" x14ac:dyDescent="0.4"/>
    <row r="548" ht="23.25" customHeight="1" x14ac:dyDescent="0.4"/>
    <row r="549" ht="23.25" customHeight="1" x14ac:dyDescent="0.4"/>
    <row r="550" ht="23.25" customHeight="1" x14ac:dyDescent="0.4"/>
    <row r="551" ht="23.25" customHeight="1" x14ac:dyDescent="0.4"/>
    <row r="552" ht="23.25" customHeight="1" x14ac:dyDescent="0.4"/>
    <row r="553" ht="23.25" customHeight="1" x14ac:dyDescent="0.4"/>
    <row r="554" ht="23.25" customHeight="1" x14ac:dyDescent="0.4"/>
    <row r="555" ht="23.25" customHeight="1" x14ac:dyDescent="0.4"/>
    <row r="556" ht="23.25" customHeight="1" x14ac:dyDescent="0.4"/>
    <row r="557" ht="23.25" customHeight="1" x14ac:dyDescent="0.4"/>
    <row r="558" ht="23.25" customHeight="1" x14ac:dyDescent="0.4"/>
    <row r="559" ht="23.25" customHeight="1" x14ac:dyDescent="0.4"/>
    <row r="560" ht="23.25" customHeight="1" x14ac:dyDescent="0.4"/>
    <row r="561" ht="23.25" customHeight="1" x14ac:dyDescent="0.4"/>
    <row r="562" ht="23.25" customHeight="1" x14ac:dyDescent="0.4"/>
    <row r="563" ht="23.25" customHeight="1" x14ac:dyDescent="0.4"/>
    <row r="564" ht="23.25" customHeight="1" x14ac:dyDescent="0.4"/>
    <row r="565" ht="23.25" customHeight="1" x14ac:dyDescent="0.4"/>
    <row r="566" ht="23.25" customHeight="1" x14ac:dyDescent="0.4"/>
    <row r="567" ht="23.25" customHeight="1" x14ac:dyDescent="0.4"/>
    <row r="568" ht="23.25" customHeight="1" x14ac:dyDescent="0.4"/>
    <row r="569" ht="23.25" customHeight="1" x14ac:dyDescent="0.4"/>
    <row r="570" ht="23.25" customHeight="1" x14ac:dyDescent="0.4"/>
    <row r="571" ht="23.25" customHeight="1" x14ac:dyDescent="0.4"/>
    <row r="572" ht="23.25" customHeight="1" x14ac:dyDescent="0.4"/>
    <row r="573" ht="23.25" customHeight="1" x14ac:dyDescent="0.4"/>
    <row r="574" ht="23.25" customHeight="1" x14ac:dyDescent="0.4"/>
    <row r="575" ht="23.25" customHeight="1" x14ac:dyDescent="0.4"/>
    <row r="576" ht="23.25" customHeight="1" x14ac:dyDescent="0.4"/>
    <row r="577" ht="23.25" customHeight="1" x14ac:dyDescent="0.4"/>
    <row r="578" ht="23.25" customHeight="1" x14ac:dyDescent="0.4"/>
    <row r="579" ht="23.25" customHeight="1" x14ac:dyDescent="0.4"/>
    <row r="580" ht="23.25" customHeight="1" x14ac:dyDescent="0.4"/>
    <row r="581" ht="23.25" customHeight="1" x14ac:dyDescent="0.4"/>
    <row r="582" ht="23.25" customHeight="1" x14ac:dyDescent="0.4"/>
    <row r="583" ht="23.25" customHeight="1" x14ac:dyDescent="0.4"/>
    <row r="584" ht="23.25" customHeight="1" x14ac:dyDescent="0.4"/>
    <row r="585" ht="23.25" customHeight="1" x14ac:dyDescent="0.4"/>
    <row r="586" ht="23.25" customHeight="1" x14ac:dyDescent="0.4"/>
    <row r="587" ht="23.25" customHeight="1" x14ac:dyDescent="0.4"/>
    <row r="588" ht="23.25" customHeight="1" x14ac:dyDescent="0.4"/>
    <row r="589" ht="23.25" customHeight="1" x14ac:dyDescent="0.4"/>
    <row r="590" ht="23.25" customHeight="1" x14ac:dyDescent="0.4"/>
    <row r="591" ht="23.25" customHeight="1" x14ac:dyDescent="0.4"/>
    <row r="592" ht="23.25" customHeight="1" x14ac:dyDescent="0.4"/>
    <row r="593" ht="23.25" customHeight="1" x14ac:dyDescent="0.4"/>
    <row r="594" ht="23.25" customHeight="1" x14ac:dyDescent="0.4"/>
    <row r="595" ht="23.25" customHeight="1" x14ac:dyDescent="0.4"/>
    <row r="596" ht="23.25" customHeight="1" x14ac:dyDescent="0.4"/>
    <row r="597" ht="23.25" customHeight="1" x14ac:dyDescent="0.4"/>
    <row r="598" ht="23.25" customHeight="1" x14ac:dyDescent="0.4"/>
    <row r="599" ht="23.25" customHeight="1" x14ac:dyDescent="0.4"/>
    <row r="600" ht="23.25" customHeight="1" x14ac:dyDescent="0.4"/>
    <row r="601" ht="23.25" customHeight="1" x14ac:dyDescent="0.4"/>
    <row r="602" ht="23.25" customHeight="1" x14ac:dyDescent="0.4"/>
    <row r="603" ht="23.25" customHeight="1" x14ac:dyDescent="0.4"/>
    <row r="604" ht="23.25" customHeight="1" x14ac:dyDescent="0.4"/>
    <row r="605" ht="23.25" customHeight="1" x14ac:dyDescent="0.4"/>
    <row r="606" ht="23.25" customHeight="1" x14ac:dyDescent="0.4"/>
    <row r="607" ht="23.25" customHeight="1" x14ac:dyDescent="0.4"/>
    <row r="608" ht="23.25" customHeight="1" x14ac:dyDescent="0.4"/>
    <row r="609" ht="23.25" customHeight="1" x14ac:dyDescent="0.4"/>
    <row r="610" ht="23.25" customHeight="1" x14ac:dyDescent="0.4"/>
    <row r="611" ht="23.25" customHeight="1" x14ac:dyDescent="0.4"/>
    <row r="612" ht="23.25" customHeight="1" x14ac:dyDescent="0.4"/>
    <row r="613" ht="23.25" customHeight="1" x14ac:dyDescent="0.4"/>
    <row r="614" ht="23.25" customHeight="1" x14ac:dyDescent="0.4"/>
    <row r="615" ht="23.25" customHeight="1" x14ac:dyDescent="0.4"/>
    <row r="616" ht="23.25" customHeight="1" x14ac:dyDescent="0.4"/>
    <row r="617" ht="23.25" customHeight="1" x14ac:dyDescent="0.4"/>
    <row r="618" ht="23.25" customHeight="1" x14ac:dyDescent="0.4"/>
    <row r="619" ht="23.25" customHeight="1" x14ac:dyDescent="0.4"/>
    <row r="620" ht="23.25" customHeight="1" x14ac:dyDescent="0.4"/>
    <row r="621" ht="23.25" customHeight="1" x14ac:dyDescent="0.4"/>
    <row r="622" ht="23.25" customHeight="1" x14ac:dyDescent="0.4"/>
    <row r="623" ht="23.25" customHeight="1" x14ac:dyDescent="0.4"/>
    <row r="624" ht="23.25" customHeight="1" x14ac:dyDescent="0.4"/>
    <row r="625" ht="23.25" customHeight="1" x14ac:dyDescent="0.4"/>
    <row r="626" ht="23.25" customHeight="1" x14ac:dyDescent="0.4"/>
    <row r="627" ht="23.25" customHeight="1" x14ac:dyDescent="0.4"/>
    <row r="628" ht="23.25" customHeight="1" x14ac:dyDescent="0.4"/>
    <row r="629" ht="23.25" customHeight="1" x14ac:dyDescent="0.4"/>
    <row r="630" ht="23.25" customHeight="1" x14ac:dyDescent="0.4"/>
    <row r="631" ht="23.25" customHeight="1" x14ac:dyDescent="0.4"/>
    <row r="632" ht="23.25" customHeight="1" x14ac:dyDescent="0.4"/>
    <row r="633" ht="23.25" customHeight="1" x14ac:dyDescent="0.4"/>
    <row r="634" ht="23.25" customHeight="1" x14ac:dyDescent="0.4"/>
    <row r="635" ht="23.25" customHeight="1" x14ac:dyDescent="0.4"/>
    <row r="636" ht="23.25" customHeight="1" x14ac:dyDescent="0.4"/>
    <row r="637" ht="23.25" customHeight="1" x14ac:dyDescent="0.4"/>
    <row r="638" ht="23.25" customHeight="1" x14ac:dyDescent="0.4"/>
    <row r="639" ht="23.25" customHeight="1" x14ac:dyDescent="0.4"/>
    <row r="640" ht="23.25" customHeight="1" x14ac:dyDescent="0.4"/>
    <row r="641" ht="23.25" customHeight="1" x14ac:dyDescent="0.4"/>
    <row r="642" ht="23.25" customHeight="1" x14ac:dyDescent="0.4"/>
    <row r="643" ht="23.25" customHeight="1" x14ac:dyDescent="0.4"/>
    <row r="644" ht="23.25" customHeight="1" x14ac:dyDescent="0.4"/>
    <row r="645" ht="23.25" customHeight="1" x14ac:dyDescent="0.4"/>
    <row r="646" ht="23.25" customHeight="1" x14ac:dyDescent="0.4"/>
    <row r="647" ht="23.25" customHeight="1" x14ac:dyDescent="0.4"/>
    <row r="648" ht="23.25" customHeight="1" x14ac:dyDescent="0.4"/>
    <row r="649" ht="23.25" customHeight="1" x14ac:dyDescent="0.4"/>
    <row r="650" ht="23.25" customHeight="1" x14ac:dyDescent="0.4"/>
    <row r="651" ht="23.25" customHeight="1" x14ac:dyDescent="0.4"/>
    <row r="652" ht="23.25" customHeight="1" x14ac:dyDescent="0.4"/>
    <row r="653" ht="23.25" customHeight="1" x14ac:dyDescent="0.4"/>
    <row r="654" ht="23.25" customHeight="1" x14ac:dyDescent="0.4"/>
    <row r="655" ht="23.25" customHeight="1" x14ac:dyDescent="0.4"/>
    <row r="656" ht="23.25" customHeight="1" x14ac:dyDescent="0.4"/>
    <row r="657" ht="23.25" customHeight="1" x14ac:dyDescent="0.4"/>
    <row r="658" ht="23.25" customHeight="1" x14ac:dyDescent="0.4"/>
    <row r="659" ht="23.25" customHeight="1" x14ac:dyDescent="0.4"/>
    <row r="660" ht="23.25" customHeight="1" x14ac:dyDescent="0.4"/>
    <row r="661" ht="23.25" customHeight="1" x14ac:dyDescent="0.4"/>
    <row r="662" ht="23.25" customHeight="1" x14ac:dyDescent="0.4"/>
    <row r="663" ht="23.25" customHeight="1" x14ac:dyDescent="0.4"/>
    <row r="664" ht="23.25" customHeight="1" x14ac:dyDescent="0.4"/>
    <row r="665" ht="23.25" customHeight="1" x14ac:dyDescent="0.4"/>
    <row r="666" ht="23.25" customHeight="1" x14ac:dyDescent="0.4"/>
    <row r="667" ht="23.25" customHeight="1" x14ac:dyDescent="0.4"/>
    <row r="668" ht="23.25" customHeight="1" x14ac:dyDescent="0.4"/>
    <row r="669" ht="23.25" customHeight="1" x14ac:dyDescent="0.4"/>
    <row r="670" ht="23.25" customHeight="1" x14ac:dyDescent="0.4"/>
    <row r="671" ht="23.25" customHeight="1" x14ac:dyDescent="0.4"/>
    <row r="672" ht="23.25" customHeight="1" x14ac:dyDescent="0.4"/>
    <row r="673" ht="23.25" customHeight="1" x14ac:dyDescent="0.4"/>
    <row r="674" ht="23.25" customHeight="1" x14ac:dyDescent="0.4"/>
    <row r="675" ht="23.25" customHeight="1" x14ac:dyDescent="0.4"/>
    <row r="676" ht="23.25" customHeight="1" x14ac:dyDescent="0.4"/>
    <row r="677" ht="23.25" customHeight="1" x14ac:dyDescent="0.4"/>
    <row r="678" ht="23.25" customHeight="1" x14ac:dyDescent="0.4"/>
    <row r="679" ht="23.25" customHeight="1" x14ac:dyDescent="0.4"/>
    <row r="680" ht="23.25" customHeight="1" x14ac:dyDescent="0.4"/>
    <row r="681" ht="23.25" customHeight="1" x14ac:dyDescent="0.4"/>
    <row r="682" ht="23.25" customHeight="1" x14ac:dyDescent="0.4"/>
    <row r="683" ht="23.25" customHeight="1" x14ac:dyDescent="0.4"/>
    <row r="684" ht="23.25" customHeight="1" x14ac:dyDescent="0.4"/>
    <row r="685" ht="23.25" customHeight="1" x14ac:dyDescent="0.4"/>
    <row r="686" ht="23.25" customHeight="1" x14ac:dyDescent="0.4"/>
    <row r="687" ht="23.25" customHeight="1" x14ac:dyDescent="0.4"/>
    <row r="688" ht="23.25" customHeight="1" x14ac:dyDescent="0.4"/>
    <row r="689" ht="23.25" customHeight="1" x14ac:dyDescent="0.4"/>
    <row r="690" ht="23.25" customHeight="1" x14ac:dyDescent="0.4"/>
    <row r="691" ht="23.25" customHeight="1" x14ac:dyDescent="0.4"/>
    <row r="692" ht="23.25" customHeight="1" x14ac:dyDescent="0.4"/>
    <row r="693" ht="23.25" customHeight="1" x14ac:dyDescent="0.4"/>
    <row r="694" ht="23.25" customHeight="1" x14ac:dyDescent="0.4"/>
    <row r="695" ht="23.25" customHeight="1" x14ac:dyDescent="0.4"/>
    <row r="696" ht="23.25" customHeight="1" x14ac:dyDescent="0.4"/>
    <row r="697" ht="23.25" customHeight="1" x14ac:dyDescent="0.4"/>
    <row r="698" ht="23.25" customHeight="1" x14ac:dyDescent="0.4"/>
    <row r="699" ht="23.25" customHeight="1" x14ac:dyDescent="0.4"/>
    <row r="700" ht="23.25" customHeight="1" x14ac:dyDescent="0.4"/>
    <row r="701" ht="23.25" customHeight="1" x14ac:dyDescent="0.4"/>
    <row r="702" ht="23.25" customHeight="1" x14ac:dyDescent="0.4"/>
    <row r="703" ht="23.25" customHeight="1" x14ac:dyDescent="0.4"/>
    <row r="704" ht="23.25" customHeight="1" x14ac:dyDescent="0.4"/>
    <row r="705" ht="23.25" customHeight="1" x14ac:dyDescent="0.4"/>
    <row r="706" ht="23.25" customHeight="1" x14ac:dyDescent="0.4"/>
    <row r="707" ht="23.25" customHeight="1" x14ac:dyDescent="0.4"/>
    <row r="708" ht="23.25" customHeight="1" x14ac:dyDescent="0.4"/>
    <row r="709" ht="23.25" customHeight="1" x14ac:dyDescent="0.4"/>
    <row r="710" ht="23.25" customHeight="1" x14ac:dyDescent="0.4"/>
    <row r="711" ht="23.25" customHeight="1" x14ac:dyDescent="0.4"/>
    <row r="712" ht="23.25" customHeight="1" x14ac:dyDescent="0.4"/>
    <row r="713" ht="23.25" customHeight="1" x14ac:dyDescent="0.4"/>
    <row r="714" ht="23.25" customHeight="1" x14ac:dyDescent="0.4"/>
    <row r="715" ht="23.25" customHeight="1" x14ac:dyDescent="0.4"/>
    <row r="716" ht="23.25" customHeight="1" x14ac:dyDescent="0.4"/>
    <row r="717" ht="23.25" customHeight="1" x14ac:dyDescent="0.4"/>
    <row r="718" ht="23.25" customHeight="1" x14ac:dyDescent="0.4"/>
    <row r="719" ht="23.25" customHeight="1" x14ac:dyDescent="0.4"/>
    <row r="720" ht="23.25" customHeight="1" x14ac:dyDescent="0.4"/>
    <row r="721" ht="23.25" customHeight="1" x14ac:dyDescent="0.4"/>
    <row r="722" ht="23.25" customHeight="1" x14ac:dyDescent="0.4"/>
    <row r="723" ht="23.25" customHeight="1" x14ac:dyDescent="0.4"/>
    <row r="724" ht="23.25" customHeight="1" x14ac:dyDescent="0.4"/>
    <row r="725" ht="23.25" customHeight="1" x14ac:dyDescent="0.4"/>
    <row r="726" ht="23.25" customHeight="1" x14ac:dyDescent="0.4"/>
    <row r="727" ht="23.25" customHeight="1" x14ac:dyDescent="0.4"/>
    <row r="728" ht="23.25" customHeight="1" x14ac:dyDescent="0.4"/>
    <row r="729" ht="23.25" customHeight="1" x14ac:dyDescent="0.4"/>
    <row r="730" ht="23.25" customHeight="1" x14ac:dyDescent="0.4"/>
    <row r="731" ht="23.25" customHeight="1" x14ac:dyDescent="0.4"/>
    <row r="732" ht="23.25" customHeight="1" x14ac:dyDescent="0.4"/>
    <row r="733" ht="23.25" customHeight="1" x14ac:dyDescent="0.4"/>
    <row r="734" ht="23.25" customHeight="1" x14ac:dyDescent="0.4"/>
    <row r="735" ht="23.25" customHeight="1" x14ac:dyDescent="0.4"/>
    <row r="736" ht="23.25" customHeight="1" x14ac:dyDescent="0.4"/>
    <row r="737" ht="23.25" customHeight="1" x14ac:dyDescent="0.4"/>
    <row r="738" ht="23.25" customHeight="1" x14ac:dyDescent="0.4"/>
    <row r="739" ht="23.25" customHeight="1" x14ac:dyDescent="0.4"/>
    <row r="740" ht="23.25" customHeight="1" x14ac:dyDescent="0.4"/>
    <row r="741" ht="23.25" customHeight="1" x14ac:dyDescent="0.4"/>
    <row r="742" ht="23.25" customHeight="1" x14ac:dyDescent="0.4"/>
    <row r="743" ht="23.25" customHeight="1" x14ac:dyDescent="0.4"/>
    <row r="744" ht="23.25" customHeight="1" x14ac:dyDescent="0.4"/>
    <row r="745" ht="23.25" customHeight="1" x14ac:dyDescent="0.4"/>
    <row r="746" ht="23.25" customHeight="1" x14ac:dyDescent="0.4"/>
    <row r="747" ht="23.25" customHeight="1" x14ac:dyDescent="0.4"/>
    <row r="748" ht="23.25" customHeight="1" x14ac:dyDescent="0.4"/>
    <row r="749" ht="23.25" customHeight="1" x14ac:dyDescent="0.4"/>
    <row r="750" ht="23.25" customHeight="1" x14ac:dyDescent="0.4"/>
    <row r="751" ht="23.25" customHeight="1" x14ac:dyDescent="0.4"/>
    <row r="752" ht="23.25" customHeight="1" x14ac:dyDescent="0.4"/>
    <row r="753" ht="23.25" customHeight="1" x14ac:dyDescent="0.4"/>
    <row r="754" ht="23.25" customHeight="1" x14ac:dyDescent="0.4"/>
    <row r="755" ht="23.25" customHeight="1" x14ac:dyDescent="0.4"/>
    <row r="756" ht="23.25" customHeight="1" x14ac:dyDescent="0.4"/>
    <row r="757" ht="23.25" customHeight="1" x14ac:dyDescent="0.4"/>
    <row r="758" ht="23.25" customHeight="1" x14ac:dyDescent="0.4"/>
    <row r="759" ht="23.25" customHeight="1" x14ac:dyDescent="0.4"/>
    <row r="760" ht="23.25" customHeight="1" x14ac:dyDescent="0.4"/>
    <row r="761" ht="23.25" customHeight="1" x14ac:dyDescent="0.4"/>
    <row r="762" ht="23.25" customHeight="1" x14ac:dyDescent="0.4"/>
    <row r="763" ht="23.25" customHeight="1" x14ac:dyDescent="0.4"/>
    <row r="764" ht="23.25" customHeight="1" x14ac:dyDescent="0.4"/>
    <row r="765" ht="23.25" customHeight="1" x14ac:dyDescent="0.4"/>
    <row r="766" ht="23.25" customHeight="1" x14ac:dyDescent="0.4"/>
    <row r="767" ht="23.25" customHeight="1" x14ac:dyDescent="0.4"/>
    <row r="768" ht="23.25" customHeight="1" x14ac:dyDescent="0.4"/>
    <row r="769" ht="23.25" customHeight="1" x14ac:dyDescent="0.4"/>
    <row r="770" ht="23.25" customHeight="1" x14ac:dyDescent="0.4"/>
    <row r="771" ht="23.25" customHeight="1" x14ac:dyDescent="0.4"/>
    <row r="772" ht="23.25" customHeight="1" x14ac:dyDescent="0.4"/>
    <row r="773" ht="23.25" customHeight="1" x14ac:dyDescent="0.4"/>
    <row r="774" ht="23.25" customHeight="1" x14ac:dyDescent="0.4"/>
    <row r="775" ht="23.25" customHeight="1" x14ac:dyDescent="0.4"/>
    <row r="776" ht="23.25" customHeight="1" x14ac:dyDescent="0.4"/>
    <row r="777" ht="23.25" customHeight="1" x14ac:dyDescent="0.4"/>
    <row r="778" ht="23.25" customHeight="1" x14ac:dyDescent="0.4"/>
    <row r="779" ht="23.25" customHeight="1" x14ac:dyDescent="0.4"/>
    <row r="780" ht="23.25" customHeight="1" x14ac:dyDescent="0.4"/>
    <row r="781" ht="23.25" customHeight="1" x14ac:dyDescent="0.4"/>
    <row r="782" ht="23.25" customHeight="1" x14ac:dyDescent="0.4"/>
    <row r="783" ht="23.25" customHeight="1" x14ac:dyDescent="0.4"/>
    <row r="784" ht="23.25" customHeight="1" x14ac:dyDescent="0.4"/>
    <row r="785" ht="23.25" customHeight="1" x14ac:dyDescent="0.4"/>
    <row r="786" ht="23.25" customHeight="1" x14ac:dyDescent="0.4"/>
    <row r="787" ht="23.25" customHeight="1" x14ac:dyDescent="0.4"/>
    <row r="788" ht="23.25" customHeight="1" x14ac:dyDescent="0.4"/>
    <row r="789" ht="23.25" customHeight="1" x14ac:dyDescent="0.4"/>
    <row r="790" ht="23.25" customHeight="1" x14ac:dyDescent="0.4"/>
    <row r="791" ht="23.25" customHeight="1" x14ac:dyDescent="0.4"/>
    <row r="792" ht="23.25" customHeight="1" x14ac:dyDescent="0.4"/>
    <row r="793" ht="23.25" customHeight="1" x14ac:dyDescent="0.4"/>
    <row r="794" ht="23.25" customHeight="1" x14ac:dyDescent="0.4"/>
    <row r="795" ht="23.25" customHeight="1" x14ac:dyDescent="0.4"/>
    <row r="796" ht="23.25" customHeight="1" x14ac:dyDescent="0.4"/>
    <row r="797" ht="23.25" customHeight="1" x14ac:dyDescent="0.4"/>
    <row r="798" ht="23.25" customHeight="1" x14ac:dyDescent="0.4"/>
    <row r="799" ht="23.25" customHeight="1" x14ac:dyDescent="0.4"/>
    <row r="800" ht="23.25" customHeight="1" x14ac:dyDescent="0.4"/>
    <row r="801" ht="23.25" customHeight="1" x14ac:dyDescent="0.4"/>
    <row r="802" ht="23.25" customHeight="1" x14ac:dyDescent="0.4"/>
    <row r="803" ht="23.25" customHeight="1" x14ac:dyDescent="0.4"/>
    <row r="804" ht="23.25" customHeight="1" x14ac:dyDescent="0.4"/>
    <row r="805" ht="23.25" customHeight="1" x14ac:dyDescent="0.4"/>
    <row r="806" ht="23.25" customHeight="1" x14ac:dyDescent="0.4"/>
    <row r="807" ht="23.25" customHeight="1" x14ac:dyDescent="0.4"/>
    <row r="808" ht="23.25" customHeight="1" x14ac:dyDescent="0.4"/>
    <row r="809" ht="23.25" customHeight="1" x14ac:dyDescent="0.4"/>
    <row r="810" ht="23.25" customHeight="1" x14ac:dyDescent="0.4"/>
    <row r="811" ht="23.25" customHeight="1" x14ac:dyDescent="0.4"/>
    <row r="812" ht="23.25" customHeight="1" x14ac:dyDescent="0.4"/>
    <row r="813" ht="23.25" customHeight="1" x14ac:dyDescent="0.4"/>
    <row r="814" ht="23.25" customHeight="1" x14ac:dyDescent="0.4"/>
    <row r="815" ht="23.25" customHeight="1" x14ac:dyDescent="0.4"/>
    <row r="816" ht="23.25" customHeight="1" x14ac:dyDescent="0.4"/>
    <row r="817" ht="23.25" customHeight="1" x14ac:dyDescent="0.4"/>
    <row r="818" ht="23.25" customHeight="1" x14ac:dyDescent="0.4"/>
    <row r="819" ht="23.25" customHeight="1" x14ac:dyDescent="0.4"/>
    <row r="820" ht="23.25" customHeight="1" x14ac:dyDescent="0.4"/>
    <row r="821" ht="23.25" customHeight="1" x14ac:dyDescent="0.4"/>
    <row r="822" ht="23.25" customHeight="1" x14ac:dyDescent="0.4"/>
    <row r="823" ht="23.25" customHeight="1" x14ac:dyDescent="0.4"/>
    <row r="824" ht="23.25" customHeight="1" x14ac:dyDescent="0.4"/>
    <row r="825" ht="23.25" customHeight="1" x14ac:dyDescent="0.4"/>
    <row r="826" ht="23.25" customHeight="1" x14ac:dyDescent="0.4"/>
    <row r="827" ht="23.25" customHeight="1" x14ac:dyDescent="0.4"/>
    <row r="828" ht="23.25" customHeight="1" x14ac:dyDescent="0.4"/>
    <row r="829" ht="23.25" customHeight="1" x14ac:dyDescent="0.4"/>
    <row r="830" ht="23.25" customHeight="1" x14ac:dyDescent="0.4"/>
    <row r="831" ht="23.25" customHeight="1" x14ac:dyDescent="0.4"/>
    <row r="832" ht="23.25" customHeight="1" x14ac:dyDescent="0.4"/>
    <row r="833" ht="23.25" customHeight="1" x14ac:dyDescent="0.4"/>
    <row r="834" ht="23.25" customHeight="1" x14ac:dyDescent="0.4"/>
    <row r="835" ht="23.25" customHeight="1" x14ac:dyDescent="0.4"/>
    <row r="836" ht="23.25" customHeight="1" x14ac:dyDescent="0.4"/>
    <row r="837" ht="23.25" customHeight="1" x14ac:dyDescent="0.4"/>
    <row r="838" ht="23.25" customHeight="1" x14ac:dyDescent="0.4"/>
    <row r="839" ht="23.25" customHeight="1" x14ac:dyDescent="0.4"/>
    <row r="840" ht="23.25" customHeight="1" x14ac:dyDescent="0.4"/>
    <row r="841" ht="23.25" customHeight="1" x14ac:dyDescent="0.4"/>
    <row r="842" ht="23.25" customHeight="1" x14ac:dyDescent="0.4"/>
    <row r="843" ht="23.25" customHeight="1" x14ac:dyDescent="0.4"/>
    <row r="844" ht="23.25" customHeight="1" x14ac:dyDescent="0.4"/>
    <row r="845" ht="23.25" customHeight="1" x14ac:dyDescent="0.4"/>
    <row r="846" ht="23.25" customHeight="1" x14ac:dyDescent="0.4"/>
    <row r="847" ht="23.25" customHeight="1" x14ac:dyDescent="0.4"/>
    <row r="848" ht="23.25" customHeight="1" x14ac:dyDescent="0.4"/>
    <row r="849" ht="23.25" customHeight="1" x14ac:dyDescent="0.4"/>
    <row r="850" ht="23.25" customHeight="1" x14ac:dyDescent="0.4"/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CBC64-B65C-4D56-98DE-925E4CDC3005}">
  <dimension ref="A1:M850"/>
  <sheetViews>
    <sheetView workbookViewId="0"/>
  </sheetViews>
  <sheetFormatPr defaultRowHeight="17.399999999999999" x14ac:dyDescent="0.4"/>
  <cols>
    <col min="1" max="1" width="12.796875" customWidth="1"/>
    <col min="2" max="3" width="13.09765625" customWidth="1"/>
    <col min="4" max="4" width="34.19921875" customWidth="1"/>
    <col min="5" max="5" width="13.09765625" customWidth="1"/>
    <col min="6" max="6" width="18.19921875" customWidth="1"/>
    <col min="7" max="7" width="21.296875" customWidth="1"/>
    <col min="8" max="8" width="19.3984375" customWidth="1"/>
    <col min="9" max="9" width="30.09765625" customWidth="1"/>
    <col min="10" max="10" width="28.296875" customWidth="1"/>
    <col min="11" max="11" width="28.3984375" customWidth="1"/>
    <col min="12" max="12" width="31.3984375" customWidth="1"/>
    <col min="13" max="30" width="14" customWidth="1"/>
  </cols>
  <sheetData>
    <row r="1" spans="1:11" ht="20.25" customHeight="1" x14ac:dyDescent="0.4">
      <c r="B1" s="92" t="s">
        <v>762</v>
      </c>
      <c r="I1" s="7" t="s">
        <v>763</v>
      </c>
    </row>
    <row r="2" spans="1:11" ht="20.25" customHeight="1" x14ac:dyDescent="0.4">
      <c r="B2" s="7" t="s">
        <v>764</v>
      </c>
      <c r="E2" s="103" t="s">
        <v>765</v>
      </c>
    </row>
    <row r="3" spans="1:11" ht="20.25" customHeight="1" x14ac:dyDescent="0.4">
      <c r="B3" s="7" t="s">
        <v>766</v>
      </c>
      <c r="G3" s="4" t="s">
        <v>767</v>
      </c>
      <c r="I3" s="32" t="s">
        <v>768</v>
      </c>
      <c r="K3" s="29" t="s">
        <v>769</v>
      </c>
    </row>
    <row r="4" spans="1:11" ht="20.25" customHeight="1" x14ac:dyDescent="0.4">
      <c r="B4" s="36" t="s">
        <v>770</v>
      </c>
      <c r="C4" s="29" t="s">
        <v>771</v>
      </c>
      <c r="D4" s="29" t="s">
        <v>35</v>
      </c>
      <c r="E4" s="29" t="s">
        <v>772</v>
      </c>
      <c r="F4" s="29" t="s">
        <v>773</v>
      </c>
      <c r="G4" s="29" t="s">
        <v>774</v>
      </c>
      <c r="H4" s="29" t="s">
        <v>775</v>
      </c>
      <c r="I4" s="29" t="s">
        <v>776</v>
      </c>
      <c r="J4" s="29" t="s">
        <v>777</v>
      </c>
      <c r="K4" s="4" t="s">
        <v>778</v>
      </c>
    </row>
    <row r="5" spans="1:11" ht="20.25" customHeight="1" x14ac:dyDescent="0.4">
      <c r="B5" s="7" t="s">
        <v>779</v>
      </c>
      <c r="C5" s="4" t="s">
        <v>780</v>
      </c>
      <c r="D5" s="94" t="s">
        <v>781</v>
      </c>
      <c r="E5" s="4" t="s">
        <v>733</v>
      </c>
      <c r="F5" s="4" t="s">
        <v>782</v>
      </c>
    </row>
    <row r="6" spans="1:11" ht="20.25" customHeight="1" x14ac:dyDescent="0.4">
      <c r="B6" s="7" t="s">
        <v>779</v>
      </c>
      <c r="C6" s="4" t="s">
        <v>780</v>
      </c>
      <c r="D6" s="94" t="s">
        <v>783</v>
      </c>
      <c r="E6" s="4" t="s">
        <v>733</v>
      </c>
      <c r="F6" s="4" t="s">
        <v>784</v>
      </c>
    </row>
    <row r="7" spans="1:11" ht="20.25" customHeight="1" x14ac:dyDescent="0.4">
      <c r="B7" s="7" t="s">
        <v>779</v>
      </c>
      <c r="C7" s="4" t="s">
        <v>780</v>
      </c>
      <c r="D7" s="94" t="s">
        <v>785</v>
      </c>
      <c r="E7" s="12" t="s">
        <v>733</v>
      </c>
      <c r="F7" s="12" t="s">
        <v>784</v>
      </c>
      <c r="G7" s="12" t="s">
        <v>786</v>
      </c>
    </row>
    <row r="8" spans="1:11" ht="20.25" customHeight="1" x14ac:dyDescent="0.4">
      <c r="B8" s="7" t="s">
        <v>779</v>
      </c>
      <c r="C8" s="4" t="s">
        <v>780</v>
      </c>
      <c r="D8" s="94" t="s">
        <v>787</v>
      </c>
      <c r="E8" s="4" t="s">
        <v>733</v>
      </c>
      <c r="F8" s="4" t="s">
        <v>788</v>
      </c>
    </row>
    <row r="9" spans="1:11" ht="20.25" customHeight="1" x14ac:dyDescent="0.4">
      <c r="B9" s="7" t="s">
        <v>779</v>
      </c>
      <c r="C9" s="4" t="s">
        <v>780</v>
      </c>
      <c r="D9" s="94" t="s">
        <v>789</v>
      </c>
      <c r="E9" s="4" t="s">
        <v>733</v>
      </c>
      <c r="F9" s="4" t="s">
        <v>790</v>
      </c>
    </row>
    <row r="10" spans="1:11" ht="20.25" customHeight="1" x14ac:dyDescent="0.4">
      <c r="B10" s="7" t="s">
        <v>779</v>
      </c>
      <c r="C10" s="4" t="s">
        <v>780</v>
      </c>
      <c r="D10" s="94" t="s">
        <v>791</v>
      </c>
      <c r="E10" s="4" t="s">
        <v>733</v>
      </c>
      <c r="F10" s="4" t="s">
        <v>792</v>
      </c>
    </row>
    <row r="11" spans="1:11" ht="20.25" customHeight="1" x14ac:dyDescent="0.4">
      <c r="B11" s="7" t="s">
        <v>779</v>
      </c>
      <c r="C11" s="4" t="s">
        <v>780</v>
      </c>
      <c r="D11" s="94" t="s">
        <v>793</v>
      </c>
      <c r="E11" s="4" t="s">
        <v>733</v>
      </c>
      <c r="F11" s="4" t="s">
        <v>794</v>
      </c>
      <c r="G11" s="4" t="s">
        <v>795</v>
      </c>
    </row>
    <row r="12" spans="1:11" ht="20.25" customHeight="1" x14ac:dyDescent="0.4">
      <c r="B12" s="7" t="s">
        <v>779</v>
      </c>
      <c r="C12" s="4" t="s">
        <v>780</v>
      </c>
      <c r="D12" s="94" t="s">
        <v>796</v>
      </c>
      <c r="E12" s="4" t="s">
        <v>733</v>
      </c>
      <c r="F12" s="4" t="s">
        <v>797</v>
      </c>
      <c r="G12" s="4" t="s">
        <v>798</v>
      </c>
      <c r="I12" s="7" t="s">
        <v>799</v>
      </c>
    </row>
    <row r="13" spans="1:11" ht="20.25" customHeight="1" x14ac:dyDescent="0.4">
      <c r="B13" s="7" t="s">
        <v>779</v>
      </c>
      <c r="C13" s="4" t="s">
        <v>780</v>
      </c>
      <c r="D13" s="94" t="s">
        <v>800</v>
      </c>
      <c r="E13" s="4" t="s">
        <v>733</v>
      </c>
      <c r="F13" s="4" t="s">
        <v>733</v>
      </c>
      <c r="I13" s="95" t="s">
        <v>799</v>
      </c>
      <c r="J13" s="95" t="s">
        <v>801</v>
      </c>
    </row>
    <row r="14" spans="1:11" ht="20.25" customHeight="1" x14ac:dyDescent="0.4">
      <c r="A14" s="4" t="s">
        <v>802</v>
      </c>
      <c r="B14" s="7" t="s">
        <v>803</v>
      </c>
      <c r="C14" s="4" t="s">
        <v>804</v>
      </c>
      <c r="D14" s="95" t="s">
        <v>805</v>
      </c>
      <c r="E14" s="4" t="s">
        <v>806</v>
      </c>
      <c r="F14" s="4" t="s">
        <v>807</v>
      </c>
      <c r="G14" s="4" t="s">
        <v>808</v>
      </c>
      <c r="H14" s="4" t="s">
        <v>809</v>
      </c>
      <c r="I14" s="4" t="s">
        <v>810</v>
      </c>
      <c r="J14" s="4" t="s">
        <v>811</v>
      </c>
    </row>
    <row r="15" spans="1:11" ht="20.25" customHeight="1" x14ac:dyDescent="0.4">
      <c r="A15" s="4" t="s">
        <v>802</v>
      </c>
      <c r="B15" s="7" t="s">
        <v>803</v>
      </c>
      <c r="C15" s="4" t="s">
        <v>804</v>
      </c>
      <c r="D15" s="95" t="s">
        <v>812</v>
      </c>
      <c r="E15" s="4" t="s">
        <v>813</v>
      </c>
      <c r="F15" s="4" t="s">
        <v>814</v>
      </c>
      <c r="G15" s="4" t="s">
        <v>815</v>
      </c>
      <c r="I15" s="4" t="s">
        <v>816</v>
      </c>
      <c r="J15" s="4" t="s">
        <v>377</v>
      </c>
      <c r="K15" s="95" t="s">
        <v>817</v>
      </c>
    </row>
    <row r="16" spans="1:11" ht="20.25" customHeight="1" x14ac:dyDescent="0.4">
      <c r="B16" s="7" t="s">
        <v>803</v>
      </c>
      <c r="C16" s="4" t="s">
        <v>804</v>
      </c>
      <c r="D16" s="95" t="s">
        <v>818</v>
      </c>
      <c r="E16" s="4" t="s">
        <v>819</v>
      </c>
      <c r="F16" s="4" t="s">
        <v>820</v>
      </c>
      <c r="G16" s="4" t="s">
        <v>821</v>
      </c>
      <c r="H16" s="4" t="s">
        <v>822</v>
      </c>
      <c r="I16" s="4" t="s">
        <v>823</v>
      </c>
      <c r="J16" s="4" t="s">
        <v>824</v>
      </c>
      <c r="K16" s="95" t="s">
        <v>825</v>
      </c>
    </row>
    <row r="17" spans="1:12" ht="20.25" customHeight="1" x14ac:dyDescent="0.4">
      <c r="A17" s="4" t="s">
        <v>802</v>
      </c>
      <c r="B17" s="7" t="s">
        <v>803</v>
      </c>
      <c r="C17" s="4" t="s">
        <v>804</v>
      </c>
      <c r="D17" s="95" t="s">
        <v>826</v>
      </c>
      <c r="E17" s="4" t="s">
        <v>827</v>
      </c>
      <c r="F17" s="4" t="s">
        <v>828</v>
      </c>
      <c r="G17" s="4" t="s">
        <v>829</v>
      </c>
      <c r="H17" s="4" t="s">
        <v>830</v>
      </c>
      <c r="I17" s="28" t="s">
        <v>831</v>
      </c>
      <c r="J17" s="7" t="s">
        <v>832</v>
      </c>
      <c r="K17" s="4" t="s">
        <v>833</v>
      </c>
    </row>
    <row r="18" spans="1:12" ht="20.25" customHeight="1" x14ac:dyDescent="0.4">
      <c r="B18" s="7" t="s">
        <v>803</v>
      </c>
      <c r="C18" s="4" t="s">
        <v>804</v>
      </c>
      <c r="D18" s="95" t="s">
        <v>834</v>
      </c>
      <c r="E18" s="4" t="s">
        <v>835</v>
      </c>
      <c r="F18" s="4" t="s">
        <v>836</v>
      </c>
      <c r="G18" s="4" t="s">
        <v>837</v>
      </c>
      <c r="H18" s="4" t="s">
        <v>838</v>
      </c>
    </row>
    <row r="19" spans="1:12" ht="20.25" customHeight="1" x14ac:dyDescent="0.4">
      <c r="A19" s="4" t="s">
        <v>802</v>
      </c>
      <c r="B19" s="7" t="s">
        <v>803</v>
      </c>
      <c r="C19" s="4" t="s">
        <v>804</v>
      </c>
      <c r="D19" s="95" t="s">
        <v>839</v>
      </c>
      <c r="E19" s="4" t="s">
        <v>840</v>
      </c>
      <c r="F19" s="4" t="s">
        <v>123</v>
      </c>
      <c r="G19" s="4" t="s">
        <v>841</v>
      </c>
      <c r="H19" s="4" t="s">
        <v>701</v>
      </c>
      <c r="J19" s="7" t="s">
        <v>842</v>
      </c>
    </row>
    <row r="20" spans="1:12" ht="20.25" customHeight="1" x14ac:dyDescent="0.4">
      <c r="A20" s="4" t="s">
        <v>802</v>
      </c>
      <c r="B20" s="7" t="s">
        <v>803</v>
      </c>
      <c r="C20" s="4" t="s">
        <v>804</v>
      </c>
      <c r="D20" s="95" t="s">
        <v>843</v>
      </c>
      <c r="E20" s="4" t="s">
        <v>844</v>
      </c>
      <c r="F20" s="4" t="s">
        <v>845</v>
      </c>
      <c r="G20" s="4" t="s">
        <v>846</v>
      </c>
      <c r="H20" s="4" t="s">
        <v>847</v>
      </c>
      <c r="L20" s="4" t="s">
        <v>848</v>
      </c>
    </row>
    <row r="21" spans="1:12" ht="20.25" customHeight="1" x14ac:dyDescent="0.4">
      <c r="A21" s="4" t="s">
        <v>849</v>
      </c>
      <c r="B21" s="7" t="s">
        <v>803</v>
      </c>
      <c r="C21" s="4" t="s">
        <v>804</v>
      </c>
      <c r="D21" s="95" t="s">
        <v>799</v>
      </c>
      <c r="E21" s="4" t="s">
        <v>850</v>
      </c>
      <c r="F21" s="4" t="s">
        <v>851</v>
      </c>
      <c r="G21" s="4" t="s">
        <v>852</v>
      </c>
      <c r="I21" s="7" t="s">
        <v>853</v>
      </c>
      <c r="J21" s="4" t="s">
        <v>854</v>
      </c>
      <c r="K21" s="7" t="s">
        <v>855</v>
      </c>
    </row>
    <row r="22" spans="1:12" ht="20.25" customHeight="1" x14ac:dyDescent="0.4">
      <c r="A22" s="4" t="s">
        <v>856</v>
      </c>
      <c r="B22" s="7" t="s">
        <v>803</v>
      </c>
      <c r="C22" s="4" t="s">
        <v>804</v>
      </c>
      <c r="D22" s="5" t="s">
        <v>857</v>
      </c>
      <c r="E22" s="4" t="s">
        <v>858</v>
      </c>
      <c r="F22" s="4" t="s">
        <v>85</v>
      </c>
      <c r="G22" s="4" t="s">
        <v>859</v>
      </c>
      <c r="H22" s="4" t="s">
        <v>860</v>
      </c>
      <c r="I22" s="4" t="s">
        <v>861</v>
      </c>
      <c r="J22" s="4" t="s">
        <v>859</v>
      </c>
      <c r="L22" s="4" t="s">
        <v>862</v>
      </c>
    </row>
    <row r="23" spans="1:12" ht="20.25" customHeight="1" x14ac:dyDescent="0.4">
      <c r="B23" s="7" t="s">
        <v>803</v>
      </c>
      <c r="C23" s="4" t="s">
        <v>804</v>
      </c>
      <c r="D23" s="95" t="s">
        <v>863</v>
      </c>
      <c r="E23" s="4" t="s">
        <v>858</v>
      </c>
      <c r="F23" s="4" t="s">
        <v>85</v>
      </c>
      <c r="G23" s="4" t="s">
        <v>859</v>
      </c>
      <c r="H23" s="4" t="s">
        <v>860</v>
      </c>
    </row>
    <row r="24" spans="1:12" ht="20.25" customHeight="1" x14ac:dyDescent="0.4">
      <c r="B24" s="7" t="s">
        <v>803</v>
      </c>
      <c r="C24" s="4" t="s">
        <v>804</v>
      </c>
      <c r="D24" s="15" t="s">
        <v>864</v>
      </c>
      <c r="E24" s="7" t="s">
        <v>381</v>
      </c>
      <c r="F24" s="7" t="s">
        <v>865</v>
      </c>
      <c r="G24" s="7" t="s">
        <v>866</v>
      </c>
      <c r="I24" s="28" t="s">
        <v>867</v>
      </c>
      <c r="J24" s="4" t="s">
        <v>868</v>
      </c>
      <c r="K24" s="7" t="s">
        <v>869</v>
      </c>
    </row>
    <row r="25" spans="1:12" ht="20.25" customHeight="1" x14ac:dyDescent="0.4">
      <c r="B25" s="7" t="s">
        <v>803</v>
      </c>
      <c r="C25" s="4" t="s">
        <v>804</v>
      </c>
      <c r="D25" s="15" t="s">
        <v>870</v>
      </c>
      <c r="E25" s="7" t="s">
        <v>381</v>
      </c>
      <c r="F25" s="7" t="s">
        <v>871</v>
      </c>
      <c r="G25" s="7" t="s">
        <v>872</v>
      </c>
      <c r="H25" s="12" t="s">
        <v>873</v>
      </c>
      <c r="I25" s="28" t="s">
        <v>874</v>
      </c>
      <c r="J25" s="7" t="s">
        <v>875</v>
      </c>
      <c r="K25" s="7" t="s">
        <v>876</v>
      </c>
    </row>
    <row r="26" spans="1:12" ht="20.25" customHeight="1" x14ac:dyDescent="0.4">
      <c r="B26" s="7" t="s">
        <v>803</v>
      </c>
      <c r="C26" s="4" t="s">
        <v>804</v>
      </c>
      <c r="D26" s="15" t="s">
        <v>877</v>
      </c>
      <c r="E26" s="7" t="s">
        <v>381</v>
      </c>
      <c r="F26" s="7" t="s">
        <v>878</v>
      </c>
      <c r="G26" s="7" t="s">
        <v>879</v>
      </c>
      <c r="H26" s="4" t="s">
        <v>880</v>
      </c>
      <c r="I26" s="28" t="s">
        <v>881</v>
      </c>
      <c r="J26" s="7" t="s">
        <v>882</v>
      </c>
      <c r="K26" s="7" t="s">
        <v>883</v>
      </c>
      <c r="L26" s="7" t="s">
        <v>884</v>
      </c>
    </row>
    <row r="27" spans="1:12" ht="20.25" customHeight="1" x14ac:dyDescent="0.4">
      <c r="B27" s="7" t="s">
        <v>803</v>
      </c>
      <c r="C27" s="4" t="s">
        <v>804</v>
      </c>
      <c r="D27" s="15" t="s">
        <v>885</v>
      </c>
      <c r="E27" s="7" t="s">
        <v>381</v>
      </c>
      <c r="F27" s="7" t="s">
        <v>886</v>
      </c>
      <c r="G27" s="7" t="s">
        <v>887</v>
      </c>
      <c r="I27" s="28" t="s">
        <v>888</v>
      </c>
      <c r="J27" s="8" t="s">
        <v>889</v>
      </c>
      <c r="K27" s="7" t="s">
        <v>890</v>
      </c>
    </row>
    <row r="28" spans="1:12" ht="20.25" customHeight="1" x14ac:dyDescent="0.4">
      <c r="B28" s="7" t="s">
        <v>803</v>
      </c>
      <c r="C28" s="4" t="s">
        <v>804</v>
      </c>
      <c r="D28" s="15" t="s">
        <v>891</v>
      </c>
      <c r="E28" s="7" t="s">
        <v>381</v>
      </c>
      <c r="F28" s="7" t="s">
        <v>740</v>
      </c>
      <c r="G28" s="7" t="s">
        <v>892</v>
      </c>
      <c r="H28" s="7" t="s">
        <v>893</v>
      </c>
      <c r="I28" s="28" t="s">
        <v>894</v>
      </c>
      <c r="K28" s="7" t="s">
        <v>895</v>
      </c>
    </row>
    <row r="29" spans="1:12" ht="20.25" customHeight="1" x14ac:dyDescent="0.4">
      <c r="B29" s="7" t="s">
        <v>803</v>
      </c>
      <c r="C29" s="4" t="s">
        <v>804</v>
      </c>
      <c r="D29" s="15" t="s">
        <v>853</v>
      </c>
      <c r="E29" s="7" t="s">
        <v>381</v>
      </c>
      <c r="F29" s="7" t="s">
        <v>381</v>
      </c>
      <c r="G29" s="7" t="s">
        <v>896</v>
      </c>
      <c r="H29" s="7" t="s">
        <v>897</v>
      </c>
    </row>
    <row r="30" spans="1:12" ht="20.25" customHeight="1" x14ac:dyDescent="0.4">
      <c r="B30" s="7" t="s">
        <v>803</v>
      </c>
      <c r="C30" s="4" t="s">
        <v>804</v>
      </c>
      <c r="D30" s="15" t="s">
        <v>898</v>
      </c>
      <c r="E30" s="7" t="s">
        <v>381</v>
      </c>
      <c r="F30" s="7" t="s">
        <v>381</v>
      </c>
      <c r="G30" s="7" t="s">
        <v>899</v>
      </c>
      <c r="I30" s="8" t="s">
        <v>900</v>
      </c>
    </row>
    <row r="31" spans="1:12" ht="20.25" customHeight="1" x14ac:dyDescent="0.4">
      <c r="B31" s="7" t="s">
        <v>803</v>
      </c>
      <c r="C31" s="4" t="s">
        <v>804</v>
      </c>
      <c r="D31" s="15" t="s">
        <v>891</v>
      </c>
      <c r="E31" s="7" t="s">
        <v>381</v>
      </c>
      <c r="F31" s="7" t="s">
        <v>381</v>
      </c>
      <c r="G31" s="7" t="s">
        <v>899</v>
      </c>
      <c r="J31" s="7" t="s">
        <v>870</v>
      </c>
    </row>
    <row r="32" spans="1:12" ht="20.25" customHeight="1" x14ac:dyDescent="0.4">
      <c r="B32" s="7" t="s">
        <v>803</v>
      </c>
      <c r="C32" s="4" t="s">
        <v>804</v>
      </c>
      <c r="D32" s="15" t="s">
        <v>901</v>
      </c>
      <c r="E32" s="7" t="s">
        <v>381</v>
      </c>
      <c r="F32" s="7" t="s">
        <v>902</v>
      </c>
      <c r="G32" s="7" t="s">
        <v>903</v>
      </c>
      <c r="H32" s="15" t="s">
        <v>904</v>
      </c>
      <c r="I32" s="7" t="s">
        <v>905</v>
      </c>
      <c r="J32" s="7" t="s">
        <v>906</v>
      </c>
      <c r="K32" s="7" t="s">
        <v>907</v>
      </c>
    </row>
    <row r="33" spans="1:11" ht="20.25" customHeight="1" x14ac:dyDescent="0.4">
      <c r="B33" s="7" t="s">
        <v>803</v>
      </c>
      <c r="C33" s="4" t="s">
        <v>804</v>
      </c>
      <c r="D33" s="15" t="s">
        <v>908</v>
      </c>
      <c r="E33" s="7" t="s">
        <v>381</v>
      </c>
      <c r="F33" s="7" t="s">
        <v>735</v>
      </c>
      <c r="G33" s="7" t="s">
        <v>909</v>
      </c>
      <c r="I33" s="28" t="s">
        <v>910</v>
      </c>
      <c r="J33" s="7" t="s">
        <v>911</v>
      </c>
      <c r="K33" s="7" t="s">
        <v>912</v>
      </c>
    </row>
    <row r="34" spans="1:11" ht="20.25" customHeight="1" x14ac:dyDescent="0.4">
      <c r="B34" s="7" t="s">
        <v>803</v>
      </c>
      <c r="C34" s="4" t="s">
        <v>804</v>
      </c>
      <c r="D34" s="15" t="s">
        <v>880</v>
      </c>
      <c r="E34" s="7" t="s">
        <v>381</v>
      </c>
      <c r="F34" s="7" t="s">
        <v>913</v>
      </c>
      <c r="G34" s="7" t="s">
        <v>914</v>
      </c>
      <c r="H34" s="7" t="s">
        <v>915</v>
      </c>
      <c r="I34" s="28" t="s">
        <v>916</v>
      </c>
      <c r="J34" s="8" t="s">
        <v>917</v>
      </c>
    </row>
    <row r="35" spans="1:11" ht="20.25" customHeight="1" x14ac:dyDescent="0.4">
      <c r="A35" s="77" t="s">
        <v>918</v>
      </c>
      <c r="B35" s="7" t="s">
        <v>803</v>
      </c>
      <c r="C35" s="4" t="s">
        <v>804</v>
      </c>
      <c r="D35" s="96" t="s">
        <v>919</v>
      </c>
      <c r="E35" s="77" t="s">
        <v>639</v>
      </c>
      <c r="F35" s="77" t="s">
        <v>744</v>
      </c>
      <c r="G35" s="4" t="s">
        <v>920</v>
      </c>
      <c r="I35" s="4" t="s">
        <v>921</v>
      </c>
      <c r="J35" s="4" t="s">
        <v>922</v>
      </c>
    </row>
    <row r="36" spans="1:11" ht="20.25" customHeight="1" x14ac:dyDescent="0.4">
      <c r="A36" s="77" t="s">
        <v>918</v>
      </c>
      <c r="B36" s="7" t="s">
        <v>803</v>
      </c>
      <c r="C36" s="4" t="s">
        <v>804</v>
      </c>
      <c r="D36" s="96" t="s">
        <v>893</v>
      </c>
      <c r="E36" s="77" t="s">
        <v>639</v>
      </c>
      <c r="F36" s="77" t="s">
        <v>923</v>
      </c>
      <c r="G36" s="4" t="s">
        <v>924</v>
      </c>
      <c r="H36" s="4" t="s">
        <v>925</v>
      </c>
      <c r="I36" s="4" t="s">
        <v>926</v>
      </c>
      <c r="J36" s="4" t="s">
        <v>927</v>
      </c>
    </row>
    <row r="37" spans="1:11" ht="20.25" customHeight="1" x14ac:dyDescent="0.4">
      <c r="A37" s="77" t="s">
        <v>918</v>
      </c>
      <c r="B37" s="7" t="s">
        <v>803</v>
      </c>
      <c r="C37" s="4" t="s">
        <v>804</v>
      </c>
      <c r="D37" s="96" t="s">
        <v>928</v>
      </c>
      <c r="E37" s="77" t="s">
        <v>639</v>
      </c>
      <c r="F37" s="77" t="s">
        <v>929</v>
      </c>
      <c r="G37" s="4" t="s">
        <v>930</v>
      </c>
      <c r="H37" s="4" t="s">
        <v>931</v>
      </c>
      <c r="J37" s="4" t="s">
        <v>932</v>
      </c>
    </row>
    <row r="38" spans="1:11" ht="20.25" customHeight="1" x14ac:dyDescent="0.4">
      <c r="B38" s="7" t="s">
        <v>803</v>
      </c>
      <c r="C38" s="4" t="s">
        <v>804</v>
      </c>
      <c r="D38" s="20" t="s">
        <v>933</v>
      </c>
      <c r="E38" s="4" t="s">
        <v>639</v>
      </c>
      <c r="G38" s="4" t="s">
        <v>934</v>
      </c>
      <c r="H38" s="4" t="s">
        <v>935</v>
      </c>
      <c r="J38" s="4" t="s">
        <v>936</v>
      </c>
    </row>
    <row r="39" spans="1:11" ht="20.25" customHeight="1" x14ac:dyDescent="0.4">
      <c r="A39" s="77" t="s">
        <v>918</v>
      </c>
      <c r="B39" s="7" t="s">
        <v>803</v>
      </c>
      <c r="C39" s="4" t="s">
        <v>804</v>
      </c>
      <c r="D39" s="96" t="s">
        <v>937</v>
      </c>
      <c r="E39" s="77" t="s">
        <v>639</v>
      </c>
      <c r="F39" s="77" t="s">
        <v>938</v>
      </c>
      <c r="G39" s="4" t="s">
        <v>939</v>
      </c>
      <c r="H39" s="4" t="s">
        <v>940</v>
      </c>
      <c r="I39" s="20" t="s">
        <v>941</v>
      </c>
      <c r="J39" s="4" t="s">
        <v>942</v>
      </c>
    </row>
    <row r="40" spans="1:11" ht="20.25" customHeight="1" x14ac:dyDescent="0.4">
      <c r="A40" s="77" t="s">
        <v>918</v>
      </c>
      <c r="B40" s="7" t="s">
        <v>803</v>
      </c>
      <c r="C40" s="4" t="s">
        <v>804</v>
      </c>
      <c r="D40" s="77" t="s">
        <v>926</v>
      </c>
      <c r="E40" s="77" t="s">
        <v>639</v>
      </c>
      <c r="F40" s="77" t="s">
        <v>943</v>
      </c>
      <c r="G40" s="4" t="s">
        <v>944</v>
      </c>
      <c r="H40" s="4" t="s">
        <v>945</v>
      </c>
      <c r="I40" s="4" t="s">
        <v>946</v>
      </c>
      <c r="J40" s="4" t="s">
        <v>947</v>
      </c>
    </row>
    <row r="41" spans="1:11" ht="20.25" customHeight="1" x14ac:dyDescent="0.4">
      <c r="A41" s="77" t="s">
        <v>918</v>
      </c>
      <c r="B41" s="7" t="s">
        <v>803</v>
      </c>
      <c r="C41" s="4" t="s">
        <v>804</v>
      </c>
      <c r="D41" s="96" t="s">
        <v>948</v>
      </c>
      <c r="E41" s="77" t="s">
        <v>639</v>
      </c>
      <c r="F41" s="77" t="s">
        <v>949</v>
      </c>
      <c r="G41" s="4" t="s">
        <v>950</v>
      </c>
      <c r="H41" s="4" t="s">
        <v>951</v>
      </c>
      <c r="I41" s="20" t="s">
        <v>952</v>
      </c>
      <c r="J41" s="5" t="s">
        <v>953</v>
      </c>
    </row>
    <row r="42" spans="1:11" ht="20.25" customHeight="1" x14ac:dyDescent="0.4">
      <c r="B42" s="7" t="s">
        <v>803</v>
      </c>
      <c r="C42" s="5" t="s">
        <v>804</v>
      </c>
      <c r="D42" s="97" t="s">
        <v>954</v>
      </c>
      <c r="E42" s="5" t="s">
        <v>157</v>
      </c>
      <c r="F42" s="5" t="s">
        <v>955</v>
      </c>
      <c r="G42" s="5" t="s">
        <v>956</v>
      </c>
      <c r="I42" s="5" t="s">
        <v>957</v>
      </c>
      <c r="J42" s="5" t="s">
        <v>958</v>
      </c>
    </row>
    <row r="43" spans="1:11" ht="20.25" customHeight="1" x14ac:dyDescent="0.4">
      <c r="B43" s="7" t="s">
        <v>803</v>
      </c>
      <c r="C43" s="5" t="s">
        <v>804</v>
      </c>
      <c r="D43" s="97" t="s">
        <v>959</v>
      </c>
      <c r="E43" s="5" t="s">
        <v>157</v>
      </c>
      <c r="F43" s="5" t="s">
        <v>960</v>
      </c>
      <c r="G43" s="5" t="s">
        <v>961</v>
      </c>
      <c r="I43" s="5" t="s">
        <v>962</v>
      </c>
    </row>
    <row r="44" spans="1:11" ht="20.25" customHeight="1" x14ac:dyDescent="0.4">
      <c r="A44" s="5" t="s">
        <v>963</v>
      </c>
      <c r="B44" s="7" t="s">
        <v>803</v>
      </c>
      <c r="C44" s="5" t="s">
        <v>804</v>
      </c>
      <c r="D44" s="97" t="s">
        <v>964</v>
      </c>
      <c r="E44" s="5" t="s">
        <v>157</v>
      </c>
      <c r="F44" s="5" t="s">
        <v>157</v>
      </c>
      <c r="G44" s="5" t="s">
        <v>965</v>
      </c>
      <c r="I44" s="5" t="s">
        <v>966</v>
      </c>
      <c r="J44" s="5" t="s">
        <v>967</v>
      </c>
      <c r="K44" s="97" t="s">
        <v>817</v>
      </c>
    </row>
    <row r="45" spans="1:11" ht="20.25" customHeight="1" x14ac:dyDescent="0.4">
      <c r="B45" s="7" t="s">
        <v>803</v>
      </c>
      <c r="C45" s="5" t="s">
        <v>804</v>
      </c>
      <c r="D45" s="97" t="s">
        <v>968</v>
      </c>
      <c r="E45" s="5" t="s">
        <v>157</v>
      </c>
      <c r="F45" s="5" t="s">
        <v>969</v>
      </c>
      <c r="G45" s="5" t="s">
        <v>970</v>
      </c>
      <c r="I45" s="5" t="s">
        <v>971</v>
      </c>
      <c r="J45" s="97" t="s">
        <v>972</v>
      </c>
    </row>
    <row r="46" spans="1:11" ht="20.25" customHeight="1" x14ac:dyDescent="0.4">
      <c r="B46" s="7" t="s">
        <v>803</v>
      </c>
      <c r="C46" s="5" t="s">
        <v>804</v>
      </c>
      <c r="D46" s="97" t="s">
        <v>973</v>
      </c>
      <c r="E46" s="5" t="s">
        <v>157</v>
      </c>
      <c r="F46" s="5" t="s">
        <v>974</v>
      </c>
      <c r="G46" s="5" t="s">
        <v>975</v>
      </c>
      <c r="I46" s="5" t="s">
        <v>976</v>
      </c>
      <c r="J46" s="97" t="s">
        <v>977</v>
      </c>
    </row>
    <row r="47" spans="1:11" ht="20.25" customHeight="1" x14ac:dyDescent="0.4">
      <c r="B47" s="7" t="s">
        <v>803</v>
      </c>
      <c r="C47" s="5" t="s">
        <v>804</v>
      </c>
      <c r="D47" s="97" t="s">
        <v>978</v>
      </c>
      <c r="E47" s="5" t="s">
        <v>157</v>
      </c>
      <c r="F47" s="5" t="s">
        <v>979</v>
      </c>
      <c r="G47" s="5" t="s">
        <v>980</v>
      </c>
      <c r="H47" s="5" t="s">
        <v>981</v>
      </c>
      <c r="I47" s="97" t="s">
        <v>982</v>
      </c>
      <c r="J47" s="97" t="s">
        <v>983</v>
      </c>
      <c r="K47" s="5" t="s">
        <v>984</v>
      </c>
    </row>
    <row r="48" spans="1:11" ht="20.25" customHeight="1" x14ac:dyDescent="0.4">
      <c r="B48" s="7" t="s">
        <v>803</v>
      </c>
      <c r="C48" s="5" t="s">
        <v>804</v>
      </c>
      <c r="D48" s="97" t="s">
        <v>977</v>
      </c>
      <c r="E48" s="5" t="s">
        <v>157</v>
      </c>
      <c r="F48" s="5" t="s">
        <v>985</v>
      </c>
      <c r="G48" s="5" t="s">
        <v>986</v>
      </c>
      <c r="I48" s="5" t="s">
        <v>987</v>
      </c>
      <c r="K48" s="5" t="s">
        <v>962</v>
      </c>
    </row>
    <row r="49" spans="1:12" ht="20.25" customHeight="1" x14ac:dyDescent="0.4">
      <c r="B49" s="5" t="s">
        <v>803</v>
      </c>
      <c r="C49" s="5" t="s">
        <v>804</v>
      </c>
      <c r="D49" s="98" t="s">
        <v>988</v>
      </c>
      <c r="E49" s="5" t="s">
        <v>989</v>
      </c>
      <c r="F49" s="5" t="s">
        <v>739</v>
      </c>
      <c r="G49" s="5" t="s">
        <v>990</v>
      </c>
      <c r="H49" s="5" t="s">
        <v>991</v>
      </c>
      <c r="I49" s="5" t="s">
        <v>992</v>
      </c>
      <c r="J49" s="5" t="s">
        <v>993</v>
      </c>
      <c r="K49" s="5" t="s">
        <v>994</v>
      </c>
    </row>
    <row r="50" spans="1:12" ht="20.25" customHeight="1" x14ac:dyDescent="0.4">
      <c r="B50" s="5" t="s">
        <v>803</v>
      </c>
      <c r="C50" s="5" t="s">
        <v>804</v>
      </c>
      <c r="D50" s="98" t="s">
        <v>995</v>
      </c>
      <c r="E50" s="5" t="s">
        <v>989</v>
      </c>
      <c r="F50" s="5" t="s">
        <v>996</v>
      </c>
      <c r="G50" s="5" t="s">
        <v>997</v>
      </c>
      <c r="H50" s="5" t="s">
        <v>998</v>
      </c>
      <c r="I50" s="5" t="s">
        <v>999</v>
      </c>
      <c r="J50" s="5" t="s">
        <v>1000</v>
      </c>
    </row>
    <row r="51" spans="1:12" ht="20.25" customHeight="1" x14ac:dyDescent="0.4">
      <c r="B51" s="5" t="s">
        <v>803</v>
      </c>
      <c r="C51" s="5" t="s">
        <v>804</v>
      </c>
      <c r="D51" s="98" t="s">
        <v>1001</v>
      </c>
      <c r="E51" s="5" t="s">
        <v>989</v>
      </c>
      <c r="F51" s="5" t="s">
        <v>989</v>
      </c>
      <c r="G51" s="5" t="s">
        <v>1002</v>
      </c>
      <c r="H51" s="5" t="s">
        <v>1003</v>
      </c>
      <c r="I51" s="5" t="s">
        <v>1004</v>
      </c>
      <c r="J51" s="5" t="s">
        <v>1005</v>
      </c>
    </row>
    <row r="52" spans="1:12" ht="20.25" customHeight="1" x14ac:dyDescent="0.4">
      <c r="B52" s="5" t="s">
        <v>803</v>
      </c>
      <c r="C52" s="5" t="s">
        <v>804</v>
      </c>
      <c r="D52" s="98" t="s">
        <v>862</v>
      </c>
      <c r="E52" s="5" t="s">
        <v>989</v>
      </c>
      <c r="F52" s="5" t="s">
        <v>1006</v>
      </c>
      <c r="G52" s="5" t="s">
        <v>1007</v>
      </c>
      <c r="H52" s="5" t="s">
        <v>1008</v>
      </c>
      <c r="I52" s="5" t="s">
        <v>1009</v>
      </c>
      <c r="J52" s="5" t="s">
        <v>701</v>
      </c>
      <c r="L52" s="5" t="s">
        <v>1010</v>
      </c>
    </row>
    <row r="53" spans="1:12" ht="20.25" customHeight="1" x14ac:dyDescent="0.4">
      <c r="B53" s="5" t="s">
        <v>803</v>
      </c>
      <c r="C53" s="5" t="s">
        <v>804</v>
      </c>
      <c r="D53" s="98" t="s">
        <v>1011</v>
      </c>
      <c r="E53" s="5" t="s">
        <v>989</v>
      </c>
      <c r="F53" s="5" t="s">
        <v>748</v>
      </c>
      <c r="G53" s="5" t="s">
        <v>1012</v>
      </c>
      <c r="H53" s="5" t="s">
        <v>1013</v>
      </c>
      <c r="I53" s="98" t="s">
        <v>1014</v>
      </c>
      <c r="J53" s="5" t="s">
        <v>1015</v>
      </c>
      <c r="K53" s="5" t="s">
        <v>1016</v>
      </c>
    </row>
    <row r="54" spans="1:12" ht="20.25" customHeight="1" x14ac:dyDescent="0.4">
      <c r="B54" s="5" t="s">
        <v>803</v>
      </c>
      <c r="C54" s="5" t="s">
        <v>804</v>
      </c>
      <c r="E54" s="5" t="s">
        <v>989</v>
      </c>
      <c r="F54" s="5" t="s">
        <v>726</v>
      </c>
      <c r="G54" s="5" t="s">
        <v>1017</v>
      </c>
      <c r="H54" s="5" t="s">
        <v>1018</v>
      </c>
      <c r="I54" s="5" t="s">
        <v>1019</v>
      </c>
      <c r="J54" s="5" t="s">
        <v>1020</v>
      </c>
    </row>
    <row r="55" spans="1:12" ht="20.25" customHeight="1" x14ac:dyDescent="0.4">
      <c r="B55" s="5" t="s">
        <v>803</v>
      </c>
      <c r="C55" s="5" t="s">
        <v>804</v>
      </c>
      <c r="D55" s="98" t="s">
        <v>1021</v>
      </c>
      <c r="E55" s="5" t="s">
        <v>989</v>
      </c>
      <c r="F55" s="5" t="s">
        <v>1022</v>
      </c>
      <c r="G55" s="5" t="s">
        <v>1023</v>
      </c>
      <c r="H55" s="5" t="s">
        <v>1024</v>
      </c>
      <c r="I55" s="5" t="s">
        <v>826</v>
      </c>
      <c r="J55" s="5" t="s">
        <v>1025</v>
      </c>
      <c r="L55" s="5" t="s">
        <v>1026</v>
      </c>
    </row>
    <row r="56" spans="1:12" ht="20.25" customHeight="1" x14ac:dyDescent="0.4">
      <c r="A56" s="5" t="s">
        <v>1027</v>
      </c>
      <c r="B56" s="5" t="s">
        <v>803</v>
      </c>
      <c r="C56" s="5" t="s">
        <v>804</v>
      </c>
      <c r="D56" s="98" t="s">
        <v>1028</v>
      </c>
      <c r="E56" s="5" t="s">
        <v>989</v>
      </c>
      <c r="F56" s="5" t="s">
        <v>1029</v>
      </c>
      <c r="G56" s="5" t="s">
        <v>1030</v>
      </c>
      <c r="I56" s="5" t="s">
        <v>857</v>
      </c>
      <c r="J56" s="5" t="s">
        <v>1031</v>
      </c>
    </row>
    <row r="57" spans="1:12" ht="20.25" customHeight="1" x14ac:dyDescent="0.4">
      <c r="B57" s="8" t="s">
        <v>1032</v>
      </c>
      <c r="C57" s="5" t="s">
        <v>1033</v>
      </c>
      <c r="D57" s="99" t="s">
        <v>1034</v>
      </c>
      <c r="E57" s="5" t="s">
        <v>258</v>
      </c>
      <c r="F57" s="5" t="s">
        <v>1035</v>
      </c>
      <c r="G57" s="5" t="s">
        <v>1036</v>
      </c>
      <c r="I57" s="98" t="s">
        <v>1037</v>
      </c>
      <c r="J57" s="5" t="s">
        <v>1014</v>
      </c>
    </row>
    <row r="58" spans="1:12" ht="20.25" customHeight="1" x14ac:dyDescent="0.4">
      <c r="B58" s="8" t="s">
        <v>1032</v>
      </c>
      <c r="C58" s="5" t="s">
        <v>1033</v>
      </c>
      <c r="D58" s="99" t="s">
        <v>1038</v>
      </c>
      <c r="E58" s="5" t="s">
        <v>258</v>
      </c>
      <c r="F58" s="5" t="s">
        <v>1039</v>
      </c>
      <c r="G58" s="5" t="s">
        <v>1040</v>
      </c>
    </row>
    <row r="59" spans="1:12" ht="20.25" customHeight="1" x14ac:dyDescent="0.4">
      <c r="B59" s="8" t="s">
        <v>1032</v>
      </c>
      <c r="C59" s="5" t="s">
        <v>1033</v>
      </c>
      <c r="D59" s="99" t="s">
        <v>1041</v>
      </c>
      <c r="E59" s="5" t="s">
        <v>258</v>
      </c>
      <c r="F59" s="5" t="s">
        <v>1042</v>
      </c>
      <c r="G59" s="5" t="s">
        <v>1043</v>
      </c>
    </row>
    <row r="60" spans="1:12" ht="20.25" customHeight="1" x14ac:dyDescent="0.4">
      <c r="B60" s="8" t="s">
        <v>1032</v>
      </c>
      <c r="C60" s="5" t="s">
        <v>1033</v>
      </c>
      <c r="D60" s="99" t="s">
        <v>1044</v>
      </c>
      <c r="E60" s="5" t="s">
        <v>258</v>
      </c>
      <c r="F60" s="5" t="s">
        <v>1045</v>
      </c>
      <c r="G60" s="5" t="s">
        <v>1046</v>
      </c>
    </row>
    <row r="61" spans="1:12" ht="20.25" customHeight="1" x14ac:dyDescent="0.4">
      <c r="B61" s="8" t="s">
        <v>1032</v>
      </c>
      <c r="C61" s="5" t="s">
        <v>1033</v>
      </c>
      <c r="D61" s="99" t="s">
        <v>1047</v>
      </c>
      <c r="E61" s="5" t="s">
        <v>258</v>
      </c>
      <c r="F61" s="5" t="s">
        <v>1048</v>
      </c>
      <c r="G61" s="5" t="s">
        <v>1049</v>
      </c>
    </row>
    <row r="62" spans="1:12" ht="20.25" customHeight="1" x14ac:dyDescent="0.4">
      <c r="B62" s="8" t="s">
        <v>1032</v>
      </c>
      <c r="C62" s="5" t="s">
        <v>1033</v>
      </c>
      <c r="D62" s="99" t="s">
        <v>1050</v>
      </c>
      <c r="E62" s="5" t="s">
        <v>258</v>
      </c>
      <c r="F62" s="5" t="s">
        <v>1051</v>
      </c>
      <c r="G62" s="5" t="s">
        <v>1052</v>
      </c>
    </row>
    <row r="63" spans="1:12" ht="20.25" customHeight="1" x14ac:dyDescent="0.4">
      <c r="B63" s="8" t="s">
        <v>1032</v>
      </c>
      <c r="C63" s="5" t="s">
        <v>1033</v>
      </c>
      <c r="D63" s="99" t="s">
        <v>1053</v>
      </c>
      <c r="E63" s="5" t="s">
        <v>258</v>
      </c>
      <c r="F63" s="5" t="s">
        <v>1054</v>
      </c>
      <c r="G63" s="5" t="s">
        <v>1055</v>
      </c>
    </row>
    <row r="64" spans="1:12" ht="20.25" customHeight="1" x14ac:dyDescent="0.4">
      <c r="B64" s="8" t="s">
        <v>1032</v>
      </c>
      <c r="C64" s="5" t="s">
        <v>1033</v>
      </c>
      <c r="D64" s="99" t="s">
        <v>1056</v>
      </c>
      <c r="E64" s="5" t="s">
        <v>258</v>
      </c>
      <c r="F64" s="5" t="s">
        <v>1057</v>
      </c>
      <c r="G64" s="5" t="s">
        <v>1058</v>
      </c>
    </row>
    <row r="65" spans="1:13" ht="20.25" customHeight="1" x14ac:dyDescent="0.4">
      <c r="B65" s="8" t="s">
        <v>1032</v>
      </c>
      <c r="C65" s="5" t="s">
        <v>1033</v>
      </c>
      <c r="D65" s="100" t="s">
        <v>1059</v>
      </c>
      <c r="E65" s="5" t="s">
        <v>208</v>
      </c>
      <c r="F65" s="5" t="s">
        <v>1060</v>
      </c>
      <c r="G65" s="5" t="s">
        <v>1061</v>
      </c>
    </row>
    <row r="66" spans="1:13" ht="20.25" customHeight="1" x14ac:dyDescent="0.4">
      <c r="B66" s="8" t="s">
        <v>1032</v>
      </c>
      <c r="C66" s="5" t="s">
        <v>1033</v>
      </c>
      <c r="D66" s="100" t="s">
        <v>1062</v>
      </c>
      <c r="E66" s="5" t="s">
        <v>208</v>
      </c>
      <c r="F66" s="5" t="s">
        <v>1063</v>
      </c>
      <c r="G66" s="5" t="s">
        <v>1064</v>
      </c>
    </row>
    <row r="67" spans="1:13" ht="20.25" customHeight="1" x14ac:dyDescent="0.4">
      <c r="B67" s="8" t="s">
        <v>1032</v>
      </c>
      <c r="C67" s="5" t="s">
        <v>1033</v>
      </c>
      <c r="D67" s="100" t="s">
        <v>1065</v>
      </c>
      <c r="E67" s="5" t="s">
        <v>208</v>
      </c>
      <c r="F67" s="5" t="s">
        <v>1066</v>
      </c>
      <c r="G67" s="5" t="s">
        <v>1067</v>
      </c>
    </row>
    <row r="68" spans="1:13" ht="20.25" customHeight="1" x14ac:dyDescent="0.4">
      <c r="B68" s="8" t="s">
        <v>1032</v>
      </c>
      <c r="C68" s="5" t="s">
        <v>1033</v>
      </c>
      <c r="D68" s="100" t="s">
        <v>1068</v>
      </c>
      <c r="E68" s="5" t="s">
        <v>208</v>
      </c>
      <c r="F68" s="5" t="s">
        <v>1069</v>
      </c>
      <c r="G68" s="5" t="s">
        <v>1070</v>
      </c>
    </row>
    <row r="69" spans="1:13" ht="20.25" customHeight="1" x14ac:dyDescent="0.4">
      <c r="B69" s="8" t="s">
        <v>1032</v>
      </c>
      <c r="C69" s="5" t="s">
        <v>1033</v>
      </c>
      <c r="D69" s="100" t="s">
        <v>1071</v>
      </c>
      <c r="E69" s="5" t="s">
        <v>208</v>
      </c>
      <c r="F69" s="5" t="s">
        <v>1072</v>
      </c>
      <c r="G69" s="5" t="s">
        <v>1073</v>
      </c>
    </row>
    <row r="70" spans="1:13" ht="20.25" customHeight="1" x14ac:dyDescent="0.4">
      <c r="B70" s="8" t="s">
        <v>1032</v>
      </c>
      <c r="C70" s="5" t="s">
        <v>1033</v>
      </c>
      <c r="D70" s="100" t="s">
        <v>1074</v>
      </c>
      <c r="E70" s="5" t="s">
        <v>208</v>
      </c>
      <c r="F70" s="5" t="s">
        <v>1075</v>
      </c>
      <c r="G70" s="5" t="s">
        <v>1076</v>
      </c>
    </row>
    <row r="71" spans="1:13" ht="20.25" customHeight="1" x14ac:dyDescent="0.4">
      <c r="B71" s="8" t="s">
        <v>1032</v>
      </c>
      <c r="C71" s="5" t="s">
        <v>1033</v>
      </c>
      <c r="D71" s="100" t="s">
        <v>1077</v>
      </c>
      <c r="E71" s="5" t="s">
        <v>208</v>
      </c>
      <c r="F71" s="5" t="s">
        <v>1078</v>
      </c>
      <c r="G71" s="5" t="s">
        <v>1079</v>
      </c>
    </row>
    <row r="72" spans="1:13" ht="20.25" customHeight="1" x14ac:dyDescent="0.4">
      <c r="B72" s="8" t="s">
        <v>1032</v>
      </c>
      <c r="C72" s="5" t="s">
        <v>1033</v>
      </c>
      <c r="D72" s="100" t="s">
        <v>1080</v>
      </c>
      <c r="E72" s="5" t="s">
        <v>208</v>
      </c>
      <c r="F72" s="5" t="s">
        <v>1081</v>
      </c>
      <c r="G72" s="5" t="s">
        <v>1082</v>
      </c>
    </row>
    <row r="73" spans="1:13" ht="20.25" customHeight="1" x14ac:dyDescent="0.4">
      <c r="B73" s="8" t="s">
        <v>1032</v>
      </c>
      <c r="C73" s="5" t="s">
        <v>1033</v>
      </c>
      <c r="D73" s="100" t="s">
        <v>1083</v>
      </c>
      <c r="E73" s="5" t="s">
        <v>208</v>
      </c>
      <c r="F73" s="5" t="s">
        <v>1084</v>
      </c>
      <c r="G73" s="5" t="s">
        <v>1085</v>
      </c>
    </row>
    <row r="74" spans="1:13" ht="20.25" customHeight="1" x14ac:dyDescent="0.4">
      <c r="B74" s="8" t="s">
        <v>1032</v>
      </c>
      <c r="C74" s="5" t="s">
        <v>1033</v>
      </c>
      <c r="D74" s="100" t="s">
        <v>1086</v>
      </c>
      <c r="E74" s="5" t="s">
        <v>208</v>
      </c>
      <c r="F74" s="5" t="s">
        <v>1087</v>
      </c>
      <c r="G74" s="5" t="s">
        <v>1088</v>
      </c>
    </row>
    <row r="75" spans="1:13" ht="20.25" customHeight="1" x14ac:dyDescent="0.4">
      <c r="B75" s="8" t="s">
        <v>1032</v>
      </c>
      <c r="C75" s="5" t="s">
        <v>1033</v>
      </c>
      <c r="D75" s="100" t="s">
        <v>1089</v>
      </c>
      <c r="E75" s="5" t="s">
        <v>208</v>
      </c>
      <c r="F75" s="5" t="s">
        <v>1090</v>
      </c>
      <c r="G75" s="5" t="s">
        <v>1091</v>
      </c>
    </row>
    <row r="76" spans="1:13" ht="20.25" customHeight="1" x14ac:dyDescent="0.4">
      <c r="C76" s="5" t="s">
        <v>1092</v>
      </c>
      <c r="D76" s="5" t="s">
        <v>1093</v>
      </c>
      <c r="E76" s="5" t="s">
        <v>1094</v>
      </c>
      <c r="F76" s="5" t="s">
        <v>1095</v>
      </c>
      <c r="G76" s="5" t="s">
        <v>1096</v>
      </c>
      <c r="J76" s="5" t="s">
        <v>1097</v>
      </c>
    </row>
    <row r="77" spans="1:13" ht="20.25" customHeight="1" x14ac:dyDescent="0.4">
      <c r="C77" s="12" t="s">
        <v>1098</v>
      </c>
      <c r="D77" s="12" t="s">
        <v>1098</v>
      </c>
      <c r="E77" s="12" t="s">
        <v>1098</v>
      </c>
      <c r="F77" s="12" t="s">
        <v>1099</v>
      </c>
      <c r="G77" s="12" t="s">
        <v>1098</v>
      </c>
      <c r="M77" s="4" t="s">
        <v>1100</v>
      </c>
    </row>
    <row r="78" spans="1:13" ht="20.25" customHeight="1" x14ac:dyDescent="0.4">
      <c r="C78" s="4" t="s">
        <v>1101</v>
      </c>
      <c r="D78" s="4" t="s">
        <v>1101</v>
      </c>
      <c r="E78" s="4" t="s">
        <v>1101</v>
      </c>
      <c r="F78" s="4" t="s">
        <v>1102</v>
      </c>
      <c r="G78" s="4" t="s">
        <v>1103</v>
      </c>
      <c r="J78" s="4" t="s">
        <v>1104</v>
      </c>
      <c r="M78" s="4" t="s">
        <v>1100</v>
      </c>
    </row>
    <row r="79" spans="1:13" ht="20.25" customHeight="1" x14ac:dyDescent="0.4">
      <c r="A79" s="4" t="s">
        <v>1105</v>
      </c>
      <c r="B79" s="7" t="s">
        <v>1106</v>
      </c>
      <c r="C79" s="4" t="s">
        <v>780</v>
      </c>
      <c r="D79" s="5" t="s">
        <v>1107</v>
      </c>
      <c r="E79" s="4" t="s">
        <v>125</v>
      </c>
      <c r="F79" s="4" t="s">
        <v>125</v>
      </c>
      <c r="G79" s="4" t="s">
        <v>1108</v>
      </c>
      <c r="M79" s="4" t="s">
        <v>1100</v>
      </c>
    </row>
    <row r="80" spans="1:13" ht="20.25" customHeight="1" x14ac:dyDescent="0.4">
      <c r="A80" s="4" t="s">
        <v>1109</v>
      </c>
      <c r="B80" s="7" t="s">
        <v>1110</v>
      </c>
      <c r="C80" s="4" t="s">
        <v>780</v>
      </c>
      <c r="D80" s="5" t="s">
        <v>1111</v>
      </c>
      <c r="E80" s="4" t="s">
        <v>1112</v>
      </c>
      <c r="F80" s="4" t="s">
        <v>1113</v>
      </c>
      <c r="G80" s="4" t="s">
        <v>1114</v>
      </c>
      <c r="M80" s="4" t="s">
        <v>1100</v>
      </c>
    </row>
    <row r="81" spans="1:13" ht="20.25" customHeight="1" x14ac:dyDescent="0.4">
      <c r="B81" s="7" t="s">
        <v>1110</v>
      </c>
      <c r="C81" s="4" t="s">
        <v>780</v>
      </c>
      <c r="D81" s="4" t="s">
        <v>1115</v>
      </c>
      <c r="E81" s="4" t="s">
        <v>1112</v>
      </c>
      <c r="F81" s="4" t="s">
        <v>1112</v>
      </c>
      <c r="G81" s="4" t="s">
        <v>1116</v>
      </c>
      <c r="M81" s="4" t="s">
        <v>1100</v>
      </c>
    </row>
    <row r="82" spans="1:13" ht="20.25" customHeight="1" x14ac:dyDescent="0.4">
      <c r="B82" s="7" t="s">
        <v>1110</v>
      </c>
      <c r="C82" s="4" t="s">
        <v>780</v>
      </c>
      <c r="D82" s="4" t="s">
        <v>1117</v>
      </c>
      <c r="E82" s="4" t="s">
        <v>1112</v>
      </c>
      <c r="F82" s="4" t="s">
        <v>1118</v>
      </c>
      <c r="G82" s="4" t="s">
        <v>1119</v>
      </c>
      <c r="M82" s="4" t="s">
        <v>1120</v>
      </c>
    </row>
    <row r="83" spans="1:13" ht="20.25" customHeight="1" x14ac:dyDescent="0.4">
      <c r="A83" s="4" t="s">
        <v>1109</v>
      </c>
      <c r="B83" s="7" t="s">
        <v>1110</v>
      </c>
      <c r="C83" s="4" t="s">
        <v>780</v>
      </c>
      <c r="D83" s="8" t="s">
        <v>1121</v>
      </c>
      <c r="E83" s="4" t="s">
        <v>1112</v>
      </c>
      <c r="F83" s="4" t="s">
        <v>1122</v>
      </c>
      <c r="G83" s="4" t="s">
        <v>1123</v>
      </c>
      <c r="M83" s="4" t="s">
        <v>1120</v>
      </c>
    </row>
    <row r="84" spans="1:13" ht="20.25" customHeight="1" x14ac:dyDescent="0.4">
      <c r="A84" s="4" t="s">
        <v>1109</v>
      </c>
      <c r="B84" s="7" t="s">
        <v>1110</v>
      </c>
      <c r="C84" s="4" t="s">
        <v>780</v>
      </c>
      <c r="D84" s="5" t="s">
        <v>1124</v>
      </c>
      <c r="E84" s="4" t="s">
        <v>1112</v>
      </c>
      <c r="F84" s="4" t="s">
        <v>1125</v>
      </c>
      <c r="G84" s="4" t="s">
        <v>1126</v>
      </c>
      <c r="M84" s="4" t="s">
        <v>1120</v>
      </c>
    </row>
    <row r="85" spans="1:13" ht="20.25" customHeight="1" x14ac:dyDescent="0.4">
      <c r="A85" s="4" t="s">
        <v>1109</v>
      </c>
      <c r="B85" s="7" t="s">
        <v>1110</v>
      </c>
      <c r="C85" s="4" t="s">
        <v>780</v>
      </c>
      <c r="D85" s="5" t="s">
        <v>1127</v>
      </c>
      <c r="E85" s="4" t="s">
        <v>1112</v>
      </c>
      <c r="F85" s="4" t="s">
        <v>1128</v>
      </c>
      <c r="G85" s="4" t="s">
        <v>1129</v>
      </c>
    </row>
    <row r="86" spans="1:13" ht="20.25" customHeight="1" x14ac:dyDescent="0.4">
      <c r="A86" s="4" t="s">
        <v>1109</v>
      </c>
      <c r="B86" s="7" t="s">
        <v>1110</v>
      </c>
      <c r="C86" s="4" t="s">
        <v>780</v>
      </c>
      <c r="D86" s="5" t="s">
        <v>1130</v>
      </c>
      <c r="E86" s="4" t="s">
        <v>1112</v>
      </c>
      <c r="F86" s="4" t="s">
        <v>1131</v>
      </c>
      <c r="G86" s="4" t="s">
        <v>1132</v>
      </c>
      <c r="J86" s="4" t="s">
        <v>1133</v>
      </c>
    </row>
    <row r="87" spans="1:13" ht="20.25" customHeight="1" x14ac:dyDescent="0.4">
      <c r="A87" s="4" t="s">
        <v>1109</v>
      </c>
      <c r="B87" s="7" t="s">
        <v>1110</v>
      </c>
      <c r="C87" s="4" t="s">
        <v>780</v>
      </c>
      <c r="D87" s="5" t="s">
        <v>1134</v>
      </c>
      <c r="E87" s="4" t="s">
        <v>1112</v>
      </c>
      <c r="F87" s="4" t="s">
        <v>1135</v>
      </c>
      <c r="G87" s="4" t="s">
        <v>1136</v>
      </c>
    </row>
    <row r="88" spans="1:13" ht="20.25" customHeight="1" x14ac:dyDescent="0.4">
      <c r="B88" s="7" t="s">
        <v>1110</v>
      </c>
      <c r="C88" s="4" t="s">
        <v>780</v>
      </c>
      <c r="D88" s="4" t="s">
        <v>1137</v>
      </c>
      <c r="E88" s="4" t="s">
        <v>1112</v>
      </c>
      <c r="F88" s="4" t="s">
        <v>1138</v>
      </c>
      <c r="G88" s="4" t="s">
        <v>1139</v>
      </c>
    </row>
    <row r="89" spans="1:13" ht="20.25" customHeight="1" x14ac:dyDescent="0.4">
      <c r="C89" s="4" t="s">
        <v>1140</v>
      </c>
      <c r="D89" s="4" t="s">
        <v>1141</v>
      </c>
      <c r="E89" s="4" t="s">
        <v>1142</v>
      </c>
      <c r="F89" s="4" t="s">
        <v>1143</v>
      </c>
      <c r="G89" s="4" t="s">
        <v>1144</v>
      </c>
    </row>
    <row r="90" spans="1:13" ht="20.25" customHeight="1" x14ac:dyDescent="0.4">
      <c r="C90" s="4" t="s">
        <v>780</v>
      </c>
      <c r="D90" s="7" t="s">
        <v>1145</v>
      </c>
      <c r="E90" s="4" t="s">
        <v>1146</v>
      </c>
      <c r="F90" s="4" t="s">
        <v>1143</v>
      </c>
      <c r="G90" s="4" t="s">
        <v>1147</v>
      </c>
    </row>
    <row r="91" spans="1:13" ht="20.25" customHeight="1" x14ac:dyDescent="0.4">
      <c r="B91" s="7" t="s">
        <v>1148</v>
      </c>
      <c r="C91" s="4" t="s">
        <v>1149</v>
      </c>
      <c r="D91" s="4" t="s">
        <v>1150</v>
      </c>
      <c r="E91" s="4" t="s">
        <v>1151</v>
      </c>
      <c r="F91" s="4" t="s">
        <v>1152</v>
      </c>
      <c r="G91" s="4" t="s">
        <v>1153</v>
      </c>
    </row>
    <row r="92" spans="1:13" ht="20.25" customHeight="1" x14ac:dyDescent="0.4">
      <c r="B92" s="7" t="s">
        <v>1148</v>
      </c>
      <c r="C92" s="4" t="s">
        <v>1149</v>
      </c>
      <c r="D92" s="4" t="s">
        <v>1101</v>
      </c>
      <c r="E92" s="4" t="s">
        <v>1151</v>
      </c>
      <c r="F92" s="4" t="s">
        <v>1154</v>
      </c>
      <c r="G92" s="4" t="s">
        <v>1155</v>
      </c>
      <c r="J92" s="5" t="s">
        <v>1156</v>
      </c>
    </row>
    <row r="93" spans="1:13" ht="20.25" customHeight="1" x14ac:dyDescent="0.4">
      <c r="B93" s="7" t="s">
        <v>1148</v>
      </c>
      <c r="C93" s="4" t="s">
        <v>1149</v>
      </c>
      <c r="D93" s="4" t="s">
        <v>1150</v>
      </c>
      <c r="E93" s="4" t="s">
        <v>1151</v>
      </c>
      <c r="F93" s="4" t="s">
        <v>1151</v>
      </c>
      <c r="G93" s="5" t="s">
        <v>1101</v>
      </c>
      <c r="H93" s="5" t="s">
        <v>1157</v>
      </c>
      <c r="J93" s="5" t="s">
        <v>1158</v>
      </c>
    </row>
    <row r="94" spans="1:13" ht="20.25" customHeight="1" x14ac:dyDescent="0.4">
      <c r="B94" s="7" t="s">
        <v>1148</v>
      </c>
      <c r="C94" s="4" t="s">
        <v>1149</v>
      </c>
      <c r="D94" s="4" t="s">
        <v>1159</v>
      </c>
      <c r="E94" s="4" t="s">
        <v>1151</v>
      </c>
      <c r="F94" s="4" t="s">
        <v>1151</v>
      </c>
      <c r="G94" s="4" t="s">
        <v>1160</v>
      </c>
      <c r="K94" s="5" t="s">
        <v>1161</v>
      </c>
    </row>
    <row r="95" spans="1:13" ht="20.25" customHeight="1" x14ac:dyDescent="0.4">
      <c r="B95" s="7" t="s">
        <v>1162</v>
      </c>
      <c r="C95" s="4" t="s">
        <v>1149</v>
      </c>
      <c r="D95" s="7" t="s">
        <v>1163</v>
      </c>
      <c r="E95" s="4" t="s">
        <v>1151</v>
      </c>
      <c r="F95" s="4" t="s">
        <v>1164</v>
      </c>
      <c r="G95" s="4" t="s">
        <v>1165</v>
      </c>
      <c r="H95" s="5" t="s">
        <v>1166</v>
      </c>
      <c r="J95" s="5" t="s">
        <v>1167</v>
      </c>
    </row>
    <row r="96" spans="1:13" ht="20.25" customHeight="1" x14ac:dyDescent="0.4">
      <c r="B96" s="7" t="s">
        <v>1148</v>
      </c>
      <c r="C96" s="4" t="s">
        <v>1149</v>
      </c>
      <c r="D96" s="12" t="s">
        <v>1168</v>
      </c>
      <c r="E96" s="4" t="s">
        <v>1151</v>
      </c>
      <c r="F96" s="4" t="s">
        <v>1169</v>
      </c>
      <c r="G96" s="4" t="s">
        <v>1170</v>
      </c>
      <c r="H96" s="4" t="s">
        <v>1171</v>
      </c>
      <c r="I96" s="4" t="s">
        <v>1172</v>
      </c>
      <c r="J96" s="5" t="s">
        <v>1173</v>
      </c>
    </row>
    <row r="97" spans="2:10" ht="20.25" customHeight="1" x14ac:dyDescent="0.4">
      <c r="B97" s="7" t="s">
        <v>1162</v>
      </c>
      <c r="C97" s="4" t="s">
        <v>1149</v>
      </c>
      <c r="D97" s="4" t="s">
        <v>1174</v>
      </c>
      <c r="E97" s="4" t="s">
        <v>1151</v>
      </c>
      <c r="F97" s="4" t="s">
        <v>1175</v>
      </c>
      <c r="G97" s="4" t="s">
        <v>1176</v>
      </c>
      <c r="J97" s="5" t="s">
        <v>1177</v>
      </c>
    </row>
    <row r="98" spans="2:10" ht="20.25" customHeight="1" x14ac:dyDescent="0.4">
      <c r="B98" s="7" t="s">
        <v>1148</v>
      </c>
      <c r="C98" s="4" t="s">
        <v>1149</v>
      </c>
      <c r="D98" s="4" t="s">
        <v>1178</v>
      </c>
      <c r="E98" s="4" t="s">
        <v>1151</v>
      </c>
      <c r="F98" s="4" t="s">
        <v>1179</v>
      </c>
      <c r="G98" s="4" t="s">
        <v>1180</v>
      </c>
      <c r="J98" s="5" t="s">
        <v>1181</v>
      </c>
    </row>
    <row r="99" spans="2:10" ht="20.25" customHeight="1" x14ac:dyDescent="0.4">
      <c r="B99" s="7" t="s">
        <v>1148</v>
      </c>
      <c r="C99" s="4" t="s">
        <v>1149</v>
      </c>
      <c r="D99" s="7" t="s">
        <v>1182</v>
      </c>
      <c r="E99" s="4" t="s">
        <v>1151</v>
      </c>
      <c r="F99" s="4" t="s">
        <v>1183</v>
      </c>
      <c r="G99" s="4" t="s">
        <v>1184</v>
      </c>
      <c r="J99" s="105" t="s">
        <v>1185</v>
      </c>
    </row>
    <row r="100" spans="2:10" ht="20.25" customHeight="1" x14ac:dyDescent="0.4">
      <c r="B100" s="7" t="s">
        <v>1148</v>
      </c>
      <c r="C100" s="4" t="s">
        <v>1149</v>
      </c>
      <c r="D100" s="12" t="s">
        <v>1186</v>
      </c>
      <c r="E100" s="4" t="s">
        <v>1151</v>
      </c>
      <c r="F100" s="4" t="s">
        <v>1187</v>
      </c>
      <c r="G100" s="4" t="s">
        <v>1188</v>
      </c>
      <c r="H100" s="4" t="s">
        <v>1189</v>
      </c>
      <c r="J100" s="5" t="s">
        <v>1190</v>
      </c>
    </row>
    <row r="101" spans="2:10" ht="20.25" customHeight="1" x14ac:dyDescent="0.4">
      <c r="B101" s="7" t="s">
        <v>1148</v>
      </c>
      <c r="C101" s="4" t="s">
        <v>1149</v>
      </c>
      <c r="D101" s="4" t="s">
        <v>1191</v>
      </c>
      <c r="E101" s="4" t="s">
        <v>1151</v>
      </c>
      <c r="F101" s="4" t="s">
        <v>1192</v>
      </c>
      <c r="G101" s="4" t="s">
        <v>1193</v>
      </c>
      <c r="J101" s="4" t="s">
        <v>1194</v>
      </c>
    </row>
    <row r="102" spans="2:10" ht="20.25" customHeight="1" x14ac:dyDescent="0.4">
      <c r="B102" s="7" t="s">
        <v>1148</v>
      </c>
      <c r="C102" s="4" t="s">
        <v>1149</v>
      </c>
      <c r="D102" s="7" t="s">
        <v>1195</v>
      </c>
      <c r="E102" s="4" t="s">
        <v>1151</v>
      </c>
      <c r="F102" s="4" t="s">
        <v>1196</v>
      </c>
      <c r="G102" s="4" t="s">
        <v>1197</v>
      </c>
      <c r="J102" s="5" t="s">
        <v>1198</v>
      </c>
    </row>
    <row r="103" spans="2:10" ht="20.25" customHeight="1" x14ac:dyDescent="0.4">
      <c r="B103" s="7" t="s">
        <v>1148</v>
      </c>
      <c r="C103" s="4" t="s">
        <v>1149</v>
      </c>
      <c r="D103" s="7" t="s">
        <v>1199</v>
      </c>
      <c r="E103" s="4" t="s">
        <v>1151</v>
      </c>
      <c r="F103" s="4" t="s">
        <v>1200</v>
      </c>
    </row>
    <row r="104" spans="2:10" ht="20.25" customHeight="1" x14ac:dyDescent="0.4">
      <c r="B104" s="7" t="s">
        <v>1148</v>
      </c>
      <c r="C104" s="4" t="s">
        <v>1149</v>
      </c>
      <c r="D104" s="4" t="s">
        <v>1201</v>
      </c>
      <c r="E104" s="4" t="s">
        <v>1151</v>
      </c>
      <c r="F104" s="4" t="s">
        <v>1202</v>
      </c>
      <c r="G104" s="4" t="s">
        <v>1203</v>
      </c>
      <c r="J104" s="5" t="s">
        <v>1204</v>
      </c>
    </row>
    <row r="105" spans="2:10" ht="20.25" customHeight="1" x14ac:dyDescent="0.4">
      <c r="B105" s="7" t="s">
        <v>1148</v>
      </c>
      <c r="C105" s="4" t="s">
        <v>1149</v>
      </c>
      <c r="D105" s="4" t="s">
        <v>1205</v>
      </c>
      <c r="E105" s="4" t="s">
        <v>1151</v>
      </c>
      <c r="F105" s="4" t="s">
        <v>1206</v>
      </c>
      <c r="G105" s="4" t="s">
        <v>1207</v>
      </c>
      <c r="J105" s="5" t="s">
        <v>1208</v>
      </c>
    </row>
    <row r="106" spans="2:10" ht="20.25" customHeight="1" x14ac:dyDescent="0.4">
      <c r="C106" s="4" t="s">
        <v>1209</v>
      </c>
      <c r="D106" s="4" t="s">
        <v>1210</v>
      </c>
      <c r="E106" s="4" t="s">
        <v>1142</v>
      </c>
      <c r="F106" s="4" t="s">
        <v>1211</v>
      </c>
      <c r="G106" s="4" t="s">
        <v>1212</v>
      </c>
    </row>
    <row r="107" spans="2:10" ht="20.25" customHeight="1" x14ac:dyDescent="0.4">
      <c r="C107" s="4" t="s">
        <v>1209</v>
      </c>
      <c r="D107" s="4" t="s">
        <v>1213</v>
      </c>
      <c r="E107" s="4" t="s">
        <v>1142</v>
      </c>
      <c r="F107" s="4" t="s">
        <v>1214</v>
      </c>
      <c r="G107" s="4" t="s">
        <v>1215</v>
      </c>
    </row>
    <row r="108" spans="2:10" ht="20.25" customHeight="1" x14ac:dyDescent="0.4">
      <c r="C108" s="4" t="s">
        <v>1209</v>
      </c>
      <c r="D108" s="4" t="s">
        <v>1216</v>
      </c>
      <c r="E108" s="4" t="s">
        <v>1142</v>
      </c>
      <c r="F108" s="4" t="s">
        <v>1217</v>
      </c>
      <c r="G108" s="4" t="s">
        <v>1218</v>
      </c>
    </row>
    <row r="109" spans="2:10" ht="20.25" customHeight="1" x14ac:dyDescent="0.4">
      <c r="B109" s="7" t="s">
        <v>1219</v>
      </c>
      <c r="C109" s="4" t="s">
        <v>1220</v>
      </c>
      <c r="D109" s="4" t="s">
        <v>1221</v>
      </c>
      <c r="E109" s="4" t="s">
        <v>1217</v>
      </c>
      <c r="F109" s="4" t="s">
        <v>1217</v>
      </c>
      <c r="G109" s="4" t="s">
        <v>1218</v>
      </c>
    </row>
    <row r="110" spans="2:10" ht="20.25" customHeight="1" x14ac:dyDescent="0.4">
      <c r="B110" s="7" t="s">
        <v>1219</v>
      </c>
      <c r="C110" s="4" t="s">
        <v>1220</v>
      </c>
      <c r="D110" s="7" t="s">
        <v>1222</v>
      </c>
      <c r="E110" s="4" t="s">
        <v>1217</v>
      </c>
      <c r="F110" s="7" t="s">
        <v>1223</v>
      </c>
      <c r="G110" s="4" t="s">
        <v>1224</v>
      </c>
    </row>
    <row r="111" spans="2:10" ht="20.25" customHeight="1" x14ac:dyDescent="0.4">
      <c r="B111" s="7" t="s">
        <v>1219</v>
      </c>
      <c r="C111" s="4" t="s">
        <v>1220</v>
      </c>
      <c r="D111" s="7" t="s">
        <v>1225</v>
      </c>
      <c r="E111" s="4" t="s">
        <v>1217</v>
      </c>
      <c r="F111" s="7" t="s">
        <v>1226</v>
      </c>
      <c r="G111" s="4" t="s">
        <v>1227</v>
      </c>
    </row>
    <row r="112" spans="2:10" ht="20.25" customHeight="1" x14ac:dyDescent="0.4">
      <c r="B112" s="7" t="s">
        <v>1219</v>
      </c>
      <c r="C112" s="4" t="s">
        <v>1220</v>
      </c>
      <c r="D112" s="7" t="s">
        <v>1228</v>
      </c>
      <c r="E112" s="4" t="s">
        <v>1217</v>
      </c>
      <c r="F112" s="7" t="s">
        <v>1229</v>
      </c>
      <c r="G112" s="4" t="s">
        <v>1230</v>
      </c>
    </row>
    <row r="113" spans="2:10" ht="20.25" customHeight="1" x14ac:dyDescent="0.4">
      <c r="B113" s="7" t="s">
        <v>1219</v>
      </c>
      <c r="C113" s="4" t="s">
        <v>1220</v>
      </c>
      <c r="D113" s="7" t="s">
        <v>1231</v>
      </c>
      <c r="E113" s="4" t="s">
        <v>1217</v>
      </c>
      <c r="F113" s="7" t="s">
        <v>1232</v>
      </c>
      <c r="G113" s="4" t="s">
        <v>1233</v>
      </c>
    </row>
    <row r="114" spans="2:10" ht="20.25" customHeight="1" x14ac:dyDescent="0.4">
      <c r="B114" s="7" t="s">
        <v>1219</v>
      </c>
      <c r="C114" s="4" t="s">
        <v>1220</v>
      </c>
      <c r="D114" s="7" t="s">
        <v>1234</v>
      </c>
      <c r="E114" s="4" t="s">
        <v>1217</v>
      </c>
      <c r="F114" s="7" t="s">
        <v>1235</v>
      </c>
      <c r="G114" s="4" t="s">
        <v>1236</v>
      </c>
    </row>
    <row r="115" spans="2:10" ht="20.25" customHeight="1" x14ac:dyDescent="0.4">
      <c r="B115" s="7" t="s">
        <v>1219</v>
      </c>
      <c r="C115" s="4" t="s">
        <v>1220</v>
      </c>
      <c r="D115" s="7" t="s">
        <v>1237</v>
      </c>
      <c r="E115" s="4" t="s">
        <v>1217</v>
      </c>
      <c r="F115" s="7" t="s">
        <v>1238</v>
      </c>
      <c r="G115" s="4" t="s">
        <v>1239</v>
      </c>
    </row>
    <row r="116" spans="2:10" ht="20.25" customHeight="1" x14ac:dyDescent="0.4">
      <c r="B116" s="7" t="s">
        <v>1219</v>
      </c>
      <c r="C116" s="4" t="s">
        <v>1220</v>
      </c>
      <c r="D116" s="8" t="s">
        <v>1240</v>
      </c>
      <c r="E116" s="4" t="s">
        <v>1241</v>
      </c>
      <c r="F116" s="4" t="s">
        <v>1242</v>
      </c>
      <c r="G116" s="4" t="s">
        <v>1243</v>
      </c>
      <c r="H116" s="4" t="s">
        <v>1244</v>
      </c>
      <c r="J116" s="4" t="s">
        <v>1245</v>
      </c>
    </row>
    <row r="117" spans="2:10" ht="20.25" customHeight="1" x14ac:dyDescent="0.4">
      <c r="B117" s="7" t="s">
        <v>1219</v>
      </c>
      <c r="C117" s="4" t="s">
        <v>1220</v>
      </c>
      <c r="D117" s="4" t="s">
        <v>1246</v>
      </c>
      <c r="E117" s="4" t="s">
        <v>1211</v>
      </c>
      <c r="F117" s="4" t="s">
        <v>1247</v>
      </c>
      <c r="J117" s="4" t="s">
        <v>1248</v>
      </c>
    </row>
    <row r="118" spans="2:10" ht="20.25" customHeight="1" x14ac:dyDescent="0.4">
      <c r="B118" s="7" t="s">
        <v>1219</v>
      </c>
      <c r="C118" s="4" t="s">
        <v>1220</v>
      </c>
      <c r="D118" s="4" t="s">
        <v>1249</v>
      </c>
      <c r="E118" s="4" t="s">
        <v>1211</v>
      </c>
      <c r="F118" s="4" t="s">
        <v>1250</v>
      </c>
      <c r="G118" s="4" t="s">
        <v>1251</v>
      </c>
      <c r="J118" s="4" t="s">
        <v>1252</v>
      </c>
    </row>
    <row r="119" spans="2:10" ht="20.25" customHeight="1" x14ac:dyDescent="0.4">
      <c r="B119" s="7" t="s">
        <v>1219</v>
      </c>
      <c r="C119" s="4" t="s">
        <v>1220</v>
      </c>
      <c r="D119" s="4" t="s">
        <v>1210</v>
      </c>
      <c r="E119" s="4" t="s">
        <v>1211</v>
      </c>
      <c r="F119" s="4" t="s">
        <v>1211</v>
      </c>
      <c r="G119" s="4" t="s">
        <v>1253</v>
      </c>
      <c r="H119" s="4" t="s">
        <v>1254</v>
      </c>
      <c r="J119" s="4" t="s">
        <v>1255</v>
      </c>
    </row>
    <row r="120" spans="2:10" ht="20.25" customHeight="1" x14ac:dyDescent="0.4">
      <c r="B120" s="7" t="s">
        <v>1219</v>
      </c>
      <c r="C120" s="4" t="s">
        <v>1220</v>
      </c>
      <c r="D120" s="4" t="s">
        <v>1256</v>
      </c>
      <c r="E120" s="4" t="s">
        <v>1211</v>
      </c>
      <c r="F120" s="4" t="s">
        <v>1257</v>
      </c>
      <c r="G120" s="4" t="s">
        <v>1258</v>
      </c>
      <c r="J120" s="4" t="s">
        <v>1259</v>
      </c>
    </row>
    <row r="121" spans="2:10" ht="20.25" customHeight="1" x14ac:dyDescent="0.4">
      <c r="B121" s="7" t="s">
        <v>1219</v>
      </c>
      <c r="C121" s="4" t="s">
        <v>1220</v>
      </c>
      <c r="D121" s="4" t="s">
        <v>1260</v>
      </c>
      <c r="E121" s="4" t="s">
        <v>1211</v>
      </c>
      <c r="F121" s="4" t="s">
        <v>1261</v>
      </c>
      <c r="G121" s="4" t="s">
        <v>1262</v>
      </c>
      <c r="J121" s="4" t="s">
        <v>1263</v>
      </c>
    </row>
    <row r="122" spans="2:10" ht="20.25" customHeight="1" x14ac:dyDescent="0.4">
      <c r="B122" s="7" t="s">
        <v>1219</v>
      </c>
      <c r="C122" s="4" t="s">
        <v>1220</v>
      </c>
      <c r="D122" s="4" t="s">
        <v>1264</v>
      </c>
      <c r="E122" s="4" t="s">
        <v>1211</v>
      </c>
      <c r="F122" s="4" t="s">
        <v>1265</v>
      </c>
      <c r="G122" s="4" t="s">
        <v>1266</v>
      </c>
    </row>
    <row r="123" spans="2:10" ht="20.25" customHeight="1" x14ac:dyDescent="0.4">
      <c r="B123" s="7" t="s">
        <v>1219</v>
      </c>
      <c r="C123" s="4" t="s">
        <v>1220</v>
      </c>
      <c r="D123" s="4" t="s">
        <v>1267</v>
      </c>
      <c r="E123" s="4" t="s">
        <v>1211</v>
      </c>
      <c r="F123" s="4" t="s">
        <v>1268</v>
      </c>
      <c r="G123" s="4" t="s">
        <v>1269</v>
      </c>
      <c r="J123" s="4" t="s">
        <v>1270</v>
      </c>
    </row>
    <row r="124" spans="2:10" ht="20.25" customHeight="1" x14ac:dyDescent="0.4">
      <c r="B124" s="7" t="s">
        <v>1271</v>
      </c>
      <c r="C124" s="4" t="s">
        <v>1272</v>
      </c>
      <c r="D124" s="4" t="s">
        <v>1273</v>
      </c>
      <c r="E124" s="4" t="s">
        <v>1274</v>
      </c>
      <c r="F124" s="4" t="s">
        <v>1274</v>
      </c>
      <c r="G124" s="4" t="s">
        <v>1275</v>
      </c>
      <c r="J124" s="4" t="s">
        <v>1276</v>
      </c>
    </row>
    <row r="125" spans="2:10" ht="20.25" customHeight="1" x14ac:dyDescent="0.4">
      <c r="B125" s="7" t="s">
        <v>1271</v>
      </c>
      <c r="C125" s="4" t="s">
        <v>1272</v>
      </c>
      <c r="D125" s="4" t="s">
        <v>1277</v>
      </c>
      <c r="E125" s="4" t="s">
        <v>1274</v>
      </c>
      <c r="F125" s="4" t="s">
        <v>1278</v>
      </c>
      <c r="G125" s="4" t="s">
        <v>1279</v>
      </c>
    </row>
    <row r="126" spans="2:10" ht="20.25" customHeight="1" x14ac:dyDescent="0.4">
      <c r="B126" s="7" t="s">
        <v>1271</v>
      </c>
      <c r="C126" s="4" t="s">
        <v>1272</v>
      </c>
      <c r="D126" s="4" t="s">
        <v>1280</v>
      </c>
      <c r="E126" s="4" t="s">
        <v>1274</v>
      </c>
      <c r="F126" s="4" t="s">
        <v>1281</v>
      </c>
    </row>
    <row r="127" spans="2:10" ht="20.25" customHeight="1" x14ac:dyDescent="0.4">
      <c r="B127" s="7" t="s">
        <v>1271</v>
      </c>
      <c r="C127" s="4" t="s">
        <v>1272</v>
      </c>
      <c r="D127" s="4" t="s">
        <v>1282</v>
      </c>
      <c r="E127" s="4" t="s">
        <v>1274</v>
      </c>
      <c r="F127" s="4" t="s">
        <v>1283</v>
      </c>
      <c r="G127" s="4" t="s">
        <v>1284</v>
      </c>
    </row>
    <row r="128" spans="2:10" ht="20.25" customHeight="1" x14ac:dyDescent="0.4">
      <c r="B128" s="7" t="s">
        <v>1285</v>
      </c>
      <c r="C128" s="4" t="s">
        <v>1286</v>
      </c>
      <c r="D128" s="4" t="s">
        <v>1287</v>
      </c>
      <c r="E128" s="4" t="s">
        <v>1288</v>
      </c>
      <c r="F128" s="4" t="s">
        <v>1289</v>
      </c>
      <c r="G128" s="4" t="s">
        <v>1290</v>
      </c>
      <c r="J128" s="4" t="s">
        <v>1291</v>
      </c>
    </row>
    <row r="129" spans="2:12" ht="20.25" customHeight="1" x14ac:dyDescent="0.4">
      <c r="C129" s="4" t="s">
        <v>1286</v>
      </c>
      <c r="D129" s="4" t="s">
        <v>1292</v>
      </c>
      <c r="E129" s="4" t="s">
        <v>1288</v>
      </c>
      <c r="F129" s="4" t="s">
        <v>1293</v>
      </c>
      <c r="I129" s="8" t="s">
        <v>1294</v>
      </c>
    </row>
    <row r="130" spans="2:12" ht="20.25" customHeight="1" x14ac:dyDescent="0.4">
      <c r="C130" s="4" t="s">
        <v>1295</v>
      </c>
      <c r="D130" s="4" t="s">
        <v>1296</v>
      </c>
      <c r="E130" s="4" t="s">
        <v>1142</v>
      </c>
      <c r="F130" s="4" t="s">
        <v>1297</v>
      </c>
      <c r="G130" s="4" t="s">
        <v>1298</v>
      </c>
    </row>
    <row r="131" spans="2:12" ht="20.25" customHeight="1" x14ac:dyDescent="0.4">
      <c r="B131" s="7" t="s">
        <v>779</v>
      </c>
      <c r="C131" s="4" t="s">
        <v>780</v>
      </c>
      <c r="D131" s="4" t="s">
        <v>1299</v>
      </c>
      <c r="E131" s="4" t="s">
        <v>1297</v>
      </c>
      <c r="F131" s="4" t="s">
        <v>1300</v>
      </c>
      <c r="G131" s="4" t="s">
        <v>1301</v>
      </c>
      <c r="I131" s="4" t="s">
        <v>1302</v>
      </c>
      <c r="K131" s="4" t="s">
        <v>1303</v>
      </c>
    </row>
    <row r="132" spans="2:12" ht="20.25" customHeight="1" x14ac:dyDescent="0.4">
      <c r="B132" s="7" t="s">
        <v>779</v>
      </c>
      <c r="C132" s="4" t="s">
        <v>780</v>
      </c>
      <c r="D132" s="4" t="s">
        <v>1304</v>
      </c>
      <c r="E132" s="4" t="s">
        <v>1297</v>
      </c>
      <c r="F132" s="4" t="s">
        <v>1305</v>
      </c>
      <c r="G132" s="4" t="s">
        <v>1306</v>
      </c>
      <c r="H132" s="4" t="s">
        <v>1307</v>
      </c>
      <c r="I132" s="32" t="s">
        <v>1308</v>
      </c>
      <c r="J132" s="32" t="s">
        <v>1309</v>
      </c>
      <c r="K132" s="4" t="s">
        <v>1303</v>
      </c>
    </row>
    <row r="133" spans="2:12" ht="20.25" customHeight="1" x14ac:dyDescent="0.4">
      <c r="B133" s="7" t="s">
        <v>779</v>
      </c>
      <c r="C133" s="4" t="s">
        <v>780</v>
      </c>
      <c r="D133" s="4" t="s">
        <v>1310</v>
      </c>
      <c r="E133" s="4" t="s">
        <v>1297</v>
      </c>
      <c r="F133" s="4" t="s">
        <v>1311</v>
      </c>
      <c r="G133" s="4" t="s">
        <v>1312</v>
      </c>
      <c r="H133" s="4" t="s">
        <v>1313</v>
      </c>
      <c r="I133" s="4" t="s">
        <v>1314</v>
      </c>
      <c r="J133" s="4" t="s">
        <v>1315</v>
      </c>
      <c r="K133" s="4" t="s">
        <v>1303</v>
      </c>
    </row>
    <row r="134" spans="2:12" ht="20.25" customHeight="1" x14ac:dyDescent="0.4">
      <c r="B134" s="7" t="s">
        <v>779</v>
      </c>
      <c r="C134" s="4" t="s">
        <v>780</v>
      </c>
      <c r="D134" s="4" t="s">
        <v>864</v>
      </c>
      <c r="E134" s="4" t="s">
        <v>1297</v>
      </c>
      <c r="F134" s="4" t="s">
        <v>1316</v>
      </c>
      <c r="G134" s="4" t="s">
        <v>1317</v>
      </c>
      <c r="H134" s="4" t="s">
        <v>1318</v>
      </c>
      <c r="J134" s="4" t="s">
        <v>1319</v>
      </c>
      <c r="K134" s="4" t="s">
        <v>1303</v>
      </c>
    </row>
    <row r="135" spans="2:12" ht="20.25" customHeight="1" x14ac:dyDescent="0.4">
      <c r="B135" s="7" t="s">
        <v>779</v>
      </c>
      <c r="C135" s="4" t="s">
        <v>780</v>
      </c>
      <c r="D135" s="4" t="s">
        <v>1320</v>
      </c>
      <c r="E135" s="4" t="s">
        <v>1297</v>
      </c>
      <c r="F135" s="4" t="s">
        <v>1321</v>
      </c>
      <c r="G135" s="4" t="s">
        <v>1322</v>
      </c>
      <c r="H135" s="4" t="s">
        <v>1323</v>
      </c>
      <c r="I135" s="4" t="s">
        <v>1324</v>
      </c>
      <c r="J135" s="4" t="s">
        <v>1325</v>
      </c>
      <c r="K135" s="4" t="s">
        <v>1303</v>
      </c>
      <c r="L135" s="7" t="s">
        <v>1326</v>
      </c>
    </row>
    <row r="136" spans="2:12" ht="20.25" customHeight="1" x14ac:dyDescent="0.4">
      <c r="B136" s="7" t="s">
        <v>779</v>
      </c>
      <c r="C136" s="4" t="s">
        <v>780</v>
      </c>
      <c r="D136" s="4" t="s">
        <v>1327</v>
      </c>
      <c r="E136" s="4" t="s">
        <v>1297</v>
      </c>
      <c r="F136" s="4" t="s">
        <v>1328</v>
      </c>
      <c r="G136" s="8" t="s">
        <v>1329</v>
      </c>
      <c r="I136" s="4" t="s">
        <v>1330</v>
      </c>
      <c r="K136" s="4" t="s">
        <v>1303</v>
      </c>
    </row>
    <row r="137" spans="2:12" ht="20.25" customHeight="1" x14ac:dyDescent="0.4">
      <c r="B137" s="7" t="s">
        <v>779</v>
      </c>
      <c r="C137" s="4" t="s">
        <v>780</v>
      </c>
      <c r="D137" s="4" t="s">
        <v>1331</v>
      </c>
      <c r="E137" s="4" t="s">
        <v>1297</v>
      </c>
      <c r="F137" s="4" t="s">
        <v>1332</v>
      </c>
      <c r="G137" s="4" t="s">
        <v>1333</v>
      </c>
      <c r="I137" s="4" t="s">
        <v>1334</v>
      </c>
      <c r="J137" s="4" t="s">
        <v>1335</v>
      </c>
      <c r="K137" s="4" t="s">
        <v>1303</v>
      </c>
    </row>
    <row r="138" spans="2:12" ht="20.25" customHeight="1" x14ac:dyDescent="0.4">
      <c r="B138" s="7" t="s">
        <v>779</v>
      </c>
      <c r="C138" s="4" t="s">
        <v>780</v>
      </c>
      <c r="D138" s="7" t="s">
        <v>1336</v>
      </c>
      <c r="E138" s="4" t="s">
        <v>1297</v>
      </c>
      <c r="F138" s="4" t="s">
        <v>1337</v>
      </c>
      <c r="G138" s="8" t="s">
        <v>1338</v>
      </c>
      <c r="J138" s="7" t="s">
        <v>1339</v>
      </c>
      <c r="K138" s="4" t="s">
        <v>1303</v>
      </c>
      <c r="L138" s="4" t="s">
        <v>1334</v>
      </c>
    </row>
    <row r="139" spans="2:12" ht="20.25" customHeight="1" x14ac:dyDescent="0.4">
      <c r="B139" s="7" t="s">
        <v>779</v>
      </c>
      <c r="C139" s="4" t="s">
        <v>780</v>
      </c>
      <c r="D139" s="7" t="s">
        <v>1340</v>
      </c>
      <c r="E139" s="4" t="s">
        <v>1297</v>
      </c>
      <c r="F139" s="4" t="s">
        <v>1341</v>
      </c>
      <c r="G139" s="4" t="s">
        <v>1342</v>
      </c>
      <c r="I139" s="7" t="s">
        <v>1335</v>
      </c>
    </row>
    <row r="140" spans="2:12" ht="20.25" customHeight="1" x14ac:dyDescent="0.4">
      <c r="B140" s="7" t="s">
        <v>779</v>
      </c>
      <c r="C140" s="4" t="s">
        <v>780</v>
      </c>
      <c r="D140" s="32" t="s">
        <v>1343</v>
      </c>
      <c r="E140" s="32" t="s">
        <v>1344</v>
      </c>
      <c r="F140" s="32" t="s">
        <v>1345</v>
      </c>
      <c r="G140" s="32" t="s">
        <v>1098</v>
      </c>
    </row>
    <row r="141" spans="2:12" ht="20.25" customHeight="1" x14ac:dyDescent="0.4">
      <c r="B141" s="7" t="s">
        <v>779</v>
      </c>
      <c r="C141" s="4" t="s">
        <v>780</v>
      </c>
      <c r="D141" s="32" t="s">
        <v>1346</v>
      </c>
      <c r="E141" s="32" t="s">
        <v>1344</v>
      </c>
      <c r="F141" s="32" t="s">
        <v>1344</v>
      </c>
      <c r="G141" s="32" t="s">
        <v>1347</v>
      </c>
      <c r="H141" s="32" t="s">
        <v>1348</v>
      </c>
      <c r="I141" s="32" t="s">
        <v>1349</v>
      </c>
      <c r="J141" s="32" t="s">
        <v>1350</v>
      </c>
      <c r="K141" s="32" t="s">
        <v>1303</v>
      </c>
    </row>
    <row r="142" spans="2:12" ht="20.25" customHeight="1" x14ac:dyDescent="0.4">
      <c r="B142" s="7" t="s">
        <v>779</v>
      </c>
      <c r="C142" s="4" t="s">
        <v>780</v>
      </c>
      <c r="D142" s="7" t="s">
        <v>1351</v>
      </c>
      <c r="E142" s="7" t="s">
        <v>1297</v>
      </c>
      <c r="F142" s="7" t="s">
        <v>1352</v>
      </c>
      <c r="G142" s="7" t="s">
        <v>1342</v>
      </c>
      <c r="I142" s="4" t="s">
        <v>1353</v>
      </c>
    </row>
    <row r="143" spans="2:12" ht="20.25" customHeight="1" x14ac:dyDescent="0.4">
      <c r="B143" s="7" t="s">
        <v>779</v>
      </c>
      <c r="C143" s="4" t="s">
        <v>780</v>
      </c>
      <c r="D143" s="7" t="s">
        <v>1354</v>
      </c>
      <c r="E143" s="7" t="s">
        <v>1355</v>
      </c>
      <c r="F143" s="7" t="s">
        <v>1356</v>
      </c>
      <c r="G143" s="7" t="s">
        <v>1357</v>
      </c>
      <c r="I143" s="4" t="s">
        <v>1358</v>
      </c>
    </row>
    <row r="144" spans="2:12" ht="20.25" customHeight="1" x14ac:dyDescent="0.4">
      <c r="B144" s="7" t="s">
        <v>779</v>
      </c>
      <c r="C144" s="4" t="s">
        <v>780</v>
      </c>
      <c r="D144" s="4" t="s">
        <v>1359</v>
      </c>
      <c r="E144" s="7" t="s">
        <v>1355</v>
      </c>
      <c r="F144" s="7" t="s">
        <v>1360</v>
      </c>
      <c r="G144" s="7" t="s">
        <v>1361</v>
      </c>
    </row>
    <row r="145" spans="2:10" ht="20.25" customHeight="1" x14ac:dyDescent="0.4">
      <c r="B145" s="7" t="s">
        <v>779</v>
      </c>
      <c r="C145" s="4" t="s">
        <v>780</v>
      </c>
      <c r="D145" s="4" t="s">
        <v>1362</v>
      </c>
      <c r="E145" s="7" t="s">
        <v>1355</v>
      </c>
      <c r="F145" s="7" t="s">
        <v>1363</v>
      </c>
      <c r="G145" s="7" t="s">
        <v>1364</v>
      </c>
    </row>
    <row r="146" spans="2:10" ht="20.25" customHeight="1" x14ac:dyDescent="0.4">
      <c r="C146" s="4" t="s">
        <v>1365</v>
      </c>
      <c r="D146" s="4" t="s">
        <v>1366</v>
      </c>
      <c r="E146" s="4" t="s">
        <v>1142</v>
      </c>
      <c r="F146" s="4" t="s">
        <v>1367</v>
      </c>
      <c r="G146" s="4" t="s">
        <v>1368</v>
      </c>
    </row>
    <row r="147" spans="2:10" ht="20.25" customHeight="1" x14ac:dyDescent="0.4">
      <c r="C147" s="4" t="s">
        <v>1369</v>
      </c>
      <c r="D147" s="4" t="s">
        <v>1370</v>
      </c>
      <c r="E147" s="4" t="s">
        <v>1142</v>
      </c>
      <c r="G147" s="4" t="s">
        <v>1371</v>
      </c>
    </row>
    <row r="148" spans="2:10" ht="20.25" customHeight="1" x14ac:dyDescent="0.4">
      <c r="C148" s="7" t="s">
        <v>1372</v>
      </c>
      <c r="D148" s="7" t="s">
        <v>1373</v>
      </c>
      <c r="F148" s="7" t="s">
        <v>1374</v>
      </c>
      <c r="G148" s="7" t="s">
        <v>1375</v>
      </c>
    </row>
    <row r="149" spans="2:10" ht="20.25" customHeight="1" x14ac:dyDescent="0.4">
      <c r="B149" s="7" t="s">
        <v>1162</v>
      </c>
      <c r="C149" s="4" t="s">
        <v>1376</v>
      </c>
      <c r="E149" s="4" t="s">
        <v>1377</v>
      </c>
      <c r="F149" s="4" t="s">
        <v>1378</v>
      </c>
      <c r="G149" s="4" t="s">
        <v>1379</v>
      </c>
      <c r="J149" s="4" t="s">
        <v>1380</v>
      </c>
    </row>
    <row r="150" spans="2:10" ht="20.25" customHeight="1" x14ac:dyDescent="0.4">
      <c r="B150" s="7" t="s">
        <v>1162</v>
      </c>
      <c r="C150" s="4" t="s">
        <v>1376</v>
      </c>
      <c r="D150" s="4" t="s">
        <v>1381</v>
      </c>
      <c r="E150" s="4" t="s">
        <v>1377</v>
      </c>
      <c r="F150" s="4" t="s">
        <v>1382</v>
      </c>
      <c r="G150" s="4" t="s">
        <v>1383</v>
      </c>
      <c r="J150" s="4" t="s">
        <v>1384</v>
      </c>
    </row>
    <row r="151" spans="2:10" ht="20.25" customHeight="1" x14ac:dyDescent="0.4">
      <c r="B151" s="7" t="s">
        <v>1162</v>
      </c>
      <c r="C151" s="4" t="s">
        <v>1376</v>
      </c>
      <c r="E151" s="4" t="s">
        <v>1377</v>
      </c>
      <c r="F151" s="4" t="s">
        <v>1377</v>
      </c>
      <c r="G151" s="4" t="s">
        <v>1385</v>
      </c>
    </row>
    <row r="152" spans="2:10" ht="20.25" customHeight="1" x14ac:dyDescent="0.4">
      <c r="B152" s="7" t="s">
        <v>1162</v>
      </c>
      <c r="C152" s="4" t="s">
        <v>1376</v>
      </c>
      <c r="D152" s="4" t="s">
        <v>1386</v>
      </c>
      <c r="E152" s="4" t="s">
        <v>1377</v>
      </c>
      <c r="F152" s="4" t="s">
        <v>1387</v>
      </c>
      <c r="G152" s="4" t="s">
        <v>1388</v>
      </c>
      <c r="J152" s="4" t="s">
        <v>1389</v>
      </c>
    </row>
    <row r="153" spans="2:10" ht="20.25" customHeight="1" x14ac:dyDescent="0.4">
      <c r="B153" s="7" t="s">
        <v>1162</v>
      </c>
      <c r="C153" s="4" t="s">
        <v>1376</v>
      </c>
      <c r="D153" s="4" t="s">
        <v>1390</v>
      </c>
      <c r="E153" s="4" t="s">
        <v>1377</v>
      </c>
      <c r="F153" s="4" t="s">
        <v>1391</v>
      </c>
      <c r="G153" s="4" t="s">
        <v>1392</v>
      </c>
      <c r="J153" s="4" t="s">
        <v>1393</v>
      </c>
    </row>
    <row r="154" spans="2:10" ht="20.25" customHeight="1" x14ac:dyDescent="0.4">
      <c r="B154" s="7" t="s">
        <v>1162</v>
      </c>
      <c r="C154" s="4" t="s">
        <v>1376</v>
      </c>
      <c r="D154" s="4" t="s">
        <v>1394</v>
      </c>
      <c r="E154" s="4" t="s">
        <v>1377</v>
      </c>
      <c r="F154" s="4" t="s">
        <v>1395</v>
      </c>
      <c r="G154" s="4" t="s">
        <v>1396</v>
      </c>
    </row>
    <row r="155" spans="2:10" ht="20.25" customHeight="1" x14ac:dyDescent="0.4">
      <c r="B155" s="7" t="s">
        <v>1162</v>
      </c>
      <c r="C155" s="4" t="s">
        <v>1376</v>
      </c>
      <c r="D155" s="4" t="s">
        <v>1397</v>
      </c>
      <c r="E155" s="4" t="s">
        <v>1377</v>
      </c>
      <c r="F155" s="4" t="s">
        <v>1398</v>
      </c>
      <c r="G155" s="4" t="s">
        <v>1399</v>
      </c>
      <c r="J155" s="4" t="s">
        <v>1400</v>
      </c>
    </row>
    <row r="156" spans="2:10" ht="20.25" customHeight="1" x14ac:dyDescent="0.4">
      <c r="B156" s="7" t="s">
        <v>1162</v>
      </c>
      <c r="C156" s="4" t="s">
        <v>1376</v>
      </c>
      <c r="D156" s="4" t="s">
        <v>1401</v>
      </c>
      <c r="E156" s="4" t="s">
        <v>1377</v>
      </c>
      <c r="F156" s="4" t="s">
        <v>1402</v>
      </c>
      <c r="G156" s="4" t="s">
        <v>1403</v>
      </c>
    </row>
    <row r="157" spans="2:10" ht="20.25" customHeight="1" x14ac:dyDescent="0.4">
      <c r="B157" s="7" t="s">
        <v>1162</v>
      </c>
      <c r="C157" s="4" t="s">
        <v>1376</v>
      </c>
      <c r="D157" s="4" t="s">
        <v>1404</v>
      </c>
      <c r="E157" s="4" t="s">
        <v>1377</v>
      </c>
      <c r="F157" s="4" t="s">
        <v>1405</v>
      </c>
      <c r="G157" s="4" t="s">
        <v>1406</v>
      </c>
      <c r="J157" s="4" t="s">
        <v>1407</v>
      </c>
    </row>
    <row r="158" spans="2:10" ht="20.25" customHeight="1" x14ac:dyDescent="0.4">
      <c r="C158" s="4" t="s">
        <v>1376</v>
      </c>
      <c r="D158" s="4" t="s">
        <v>1408</v>
      </c>
      <c r="E158" s="4" t="s">
        <v>1409</v>
      </c>
      <c r="F158" s="4" t="s">
        <v>1410</v>
      </c>
      <c r="G158" s="4" t="s">
        <v>1411</v>
      </c>
      <c r="H158" s="4" t="s">
        <v>1412</v>
      </c>
    </row>
    <row r="159" spans="2:10" ht="20.25" customHeight="1" x14ac:dyDescent="0.4">
      <c r="C159" s="4" t="s">
        <v>1376</v>
      </c>
      <c r="D159" s="4" t="s">
        <v>1413</v>
      </c>
      <c r="E159" s="4" t="s">
        <v>1409</v>
      </c>
      <c r="F159" s="4" t="s">
        <v>1414</v>
      </c>
      <c r="G159" s="4" t="s">
        <v>1415</v>
      </c>
      <c r="H159" s="4" t="s">
        <v>701</v>
      </c>
      <c r="J159" s="4" t="s">
        <v>1415</v>
      </c>
    </row>
    <row r="160" spans="2:10" ht="20.25" customHeight="1" x14ac:dyDescent="0.4">
      <c r="C160" s="4" t="s">
        <v>1376</v>
      </c>
      <c r="D160" s="4" t="s">
        <v>1416</v>
      </c>
      <c r="E160" s="4" t="s">
        <v>1409</v>
      </c>
      <c r="F160" s="4" t="s">
        <v>1417</v>
      </c>
      <c r="G160" s="4" t="s">
        <v>1418</v>
      </c>
      <c r="H160" s="4" t="s">
        <v>1419</v>
      </c>
      <c r="J160" s="4" t="s">
        <v>1420</v>
      </c>
    </row>
    <row r="161" spans="2:11" ht="20.25" customHeight="1" x14ac:dyDescent="0.4">
      <c r="B161" s="7" t="s">
        <v>1162</v>
      </c>
      <c r="C161" s="4" t="s">
        <v>1376</v>
      </c>
      <c r="D161" s="4" t="s">
        <v>1421</v>
      </c>
      <c r="E161" s="4" t="s">
        <v>1409</v>
      </c>
      <c r="F161" s="4" t="s">
        <v>1422</v>
      </c>
      <c r="G161" s="4" t="s">
        <v>1423</v>
      </c>
      <c r="H161" s="4" t="s">
        <v>1424</v>
      </c>
      <c r="J161" s="4" t="s">
        <v>1423</v>
      </c>
    </row>
    <row r="162" spans="2:11" ht="20.25" customHeight="1" x14ac:dyDescent="0.4">
      <c r="C162" s="4" t="s">
        <v>1376</v>
      </c>
      <c r="D162" s="4" t="s">
        <v>1425</v>
      </c>
      <c r="E162" s="4" t="s">
        <v>1409</v>
      </c>
      <c r="F162" s="4" t="s">
        <v>1426</v>
      </c>
      <c r="G162" s="4" t="s">
        <v>1427</v>
      </c>
      <c r="H162" s="4" t="s">
        <v>1428</v>
      </c>
      <c r="J162" s="4" t="s">
        <v>1429</v>
      </c>
    </row>
    <row r="163" spans="2:11" ht="20.25" customHeight="1" x14ac:dyDescent="0.4">
      <c r="C163" s="4" t="s">
        <v>1376</v>
      </c>
      <c r="D163" s="4" t="s">
        <v>1430</v>
      </c>
      <c r="E163" s="4" t="s">
        <v>1409</v>
      </c>
      <c r="F163" s="4" t="s">
        <v>1431</v>
      </c>
      <c r="G163" s="4" t="s">
        <v>1432</v>
      </c>
      <c r="H163" s="4" t="s">
        <v>1433</v>
      </c>
      <c r="J163" s="4" t="s">
        <v>1432</v>
      </c>
    </row>
    <row r="164" spans="2:11" ht="20.25" customHeight="1" x14ac:dyDescent="0.4">
      <c r="C164" s="4" t="s">
        <v>1376</v>
      </c>
      <c r="D164" s="4" t="s">
        <v>1434</v>
      </c>
      <c r="E164" s="4" t="s">
        <v>1409</v>
      </c>
      <c r="F164" s="4" t="s">
        <v>1435</v>
      </c>
      <c r="G164" s="4" t="s">
        <v>1436</v>
      </c>
      <c r="H164" s="4" t="s">
        <v>1437</v>
      </c>
      <c r="J164" s="4" t="s">
        <v>1438</v>
      </c>
    </row>
    <row r="165" spans="2:11" ht="20.25" customHeight="1" x14ac:dyDescent="0.4">
      <c r="C165" s="4" t="s">
        <v>1376</v>
      </c>
      <c r="D165" s="4" t="s">
        <v>1439</v>
      </c>
      <c r="E165" s="4" t="s">
        <v>1409</v>
      </c>
      <c r="F165" s="4" t="s">
        <v>1440</v>
      </c>
      <c r="G165" s="4" t="s">
        <v>1441</v>
      </c>
      <c r="H165" s="4" t="s">
        <v>1442</v>
      </c>
      <c r="J165" s="4" t="s">
        <v>1443</v>
      </c>
    </row>
    <row r="166" spans="2:11" ht="20.25" customHeight="1" x14ac:dyDescent="0.4">
      <c r="C166" s="4" t="s">
        <v>1376</v>
      </c>
      <c r="D166" s="4" t="s">
        <v>1444</v>
      </c>
      <c r="E166" s="4" t="s">
        <v>1409</v>
      </c>
      <c r="F166" s="4" t="s">
        <v>1445</v>
      </c>
      <c r="G166" s="4" t="s">
        <v>1446</v>
      </c>
      <c r="J166" s="4" t="s">
        <v>1446</v>
      </c>
    </row>
    <row r="167" spans="2:11" ht="20.25" customHeight="1" x14ac:dyDescent="0.4">
      <c r="C167" s="4" t="s">
        <v>1376</v>
      </c>
      <c r="D167" s="4" t="s">
        <v>1413</v>
      </c>
      <c r="E167" s="4" t="s">
        <v>1409</v>
      </c>
      <c r="F167" s="4" t="s">
        <v>1447</v>
      </c>
      <c r="G167" s="4" t="s">
        <v>1448</v>
      </c>
      <c r="H167" s="4" t="s">
        <v>1449</v>
      </c>
      <c r="J167" s="4" t="s">
        <v>1448</v>
      </c>
    </row>
    <row r="168" spans="2:11" ht="20.25" customHeight="1" x14ac:dyDescent="0.4">
      <c r="C168" s="4" t="s">
        <v>1450</v>
      </c>
      <c r="D168" s="4" t="s">
        <v>1451</v>
      </c>
      <c r="E168" s="4" t="s">
        <v>1452</v>
      </c>
      <c r="F168" s="4" t="s">
        <v>1453</v>
      </c>
      <c r="G168" s="4" t="s">
        <v>1454</v>
      </c>
    </row>
    <row r="169" spans="2:11" ht="20.25" customHeight="1" x14ac:dyDescent="0.4">
      <c r="C169" s="4" t="s">
        <v>804</v>
      </c>
      <c r="D169" s="4" t="s">
        <v>1455</v>
      </c>
      <c r="E169" s="4" t="s">
        <v>1142</v>
      </c>
      <c r="F169" s="4" t="s">
        <v>157</v>
      </c>
      <c r="G169" s="4" t="s">
        <v>1456</v>
      </c>
    </row>
    <row r="170" spans="2:11" ht="20.25" customHeight="1" x14ac:dyDescent="0.4">
      <c r="B170" s="7" t="s">
        <v>1106</v>
      </c>
      <c r="C170" s="4" t="s">
        <v>1457</v>
      </c>
      <c r="D170" s="4" t="s">
        <v>1458</v>
      </c>
      <c r="E170" s="4" t="s">
        <v>1459</v>
      </c>
      <c r="F170" s="4" t="s">
        <v>1460</v>
      </c>
      <c r="G170" s="4" t="s">
        <v>1461</v>
      </c>
      <c r="H170" s="4" t="s">
        <v>1462</v>
      </c>
      <c r="J170" s="4" t="s">
        <v>1463</v>
      </c>
      <c r="K170" s="4" t="s">
        <v>1464</v>
      </c>
    </row>
    <row r="171" spans="2:11" ht="20.25" customHeight="1" x14ac:dyDescent="0.4">
      <c r="C171" s="7" t="s">
        <v>1457</v>
      </c>
      <c r="D171" s="7" t="s">
        <v>1465</v>
      </c>
      <c r="E171" s="7" t="s">
        <v>1466</v>
      </c>
      <c r="F171" s="7" t="s">
        <v>1466</v>
      </c>
      <c r="G171" s="7" t="s">
        <v>1461</v>
      </c>
    </row>
    <row r="172" spans="2:11" ht="20.25" customHeight="1" x14ac:dyDescent="0.4">
      <c r="C172" s="7" t="s">
        <v>1457</v>
      </c>
      <c r="D172" s="7" t="s">
        <v>1467</v>
      </c>
      <c r="E172" s="7" t="s">
        <v>1466</v>
      </c>
      <c r="F172" s="7" t="s">
        <v>1468</v>
      </c>
      <c r="G172" s="7" t="s">
        <v>1469</v>
      </c>
    </row>
    <row r="173" spans="2:11" ht="20.25" customHeight="1" x14ac:dyDescent="0.4">
      <c r="C173" s="7" t="s">
        <v>1457</v>
      </c>
      <c r="D173" s="7" t="s">
        <v>1470</v>
      </c>
      <c r="E173" s="7" t="s">
        <v>1466</v>
      </c>
      <c r="F173" s="7" t="s">
        <v>1471</v>
      </c>
      <c r="G173" s="7" t="s">
        <v>1472</v>
      </c>
      <c r="H173" s="8" t="s">
        <v>1473</v>
      </c>
    </row>
    <row r="174" spans="2:11" ht="20.25" customHeight="1" x14ac:dyDescent="0.4">
      <c r="C174" s="7" t="s">
        <v>1457</v>
      </c>
      <c r="D174" s="7" t="s">
        <v>1474</v>
      </c>
      <c r="E174" s="7" t="s">
        <v>1466</v>
      </c>
      <c r="F174" s="7" t="s">
        <v>820</v>
      </c>
      <c r="G174" s="7" t="s">
        <v>1475</v>
      </c>
    </row>
    <row r="175" spans="2:11" ht="20.25" customHeight="1" x14ac:dyDescent="0.4">
      <c r="C175" s="7" t="s">
        <v>1457</v>
      </c>
      <c r="D175" s="7" t="s">
        <v>1476</v>
      </c>
      <c r="E175" s="7" t="s">
        <v>1466</v>
      </c>
      <c r="F175" s="7" t="s">
        <v>1477</v>
      </c>
      <c r="G175" s="7" t="s">
        <v>1478</v>
      </c>
    </row>
    <row r="176" spans="2:11" ht="20.25" customHeight="1" x14ac:dyDescent="0.4">
      <c r="C176" s="7" t="s">
        <v>1457</v>
      </c>
      <c r="D176" s="7" t="s">
        <v>1479</v>
      </c>
      <c r="F176" s="7" t="s">
        <v>1480</v>
      </c>
      <c r="G176" s="7" t="s">
        <v>1481</v>
      </c>
    </row>
    <row r="177" spans="2:10" ht="20.25" customHeight="1" x14ac:dyDescent="0.4">
      <c r="C177" s="4" t="s">
        <v>1482</v>
      </c>
      <c r="D177" s="4" t="s">
        <v>1483</v>
      </c>
      <c r="E177" s="4" t="s">
        <v>1142</v>
      </c>
      <c r="F177" s="4" t="s">
        <v>568</v>
      </c>
      <c r="G177" s="4" t="s">
        <v>1484</v>
      </c>
    </row>
    <row r="178" spans="2:10" ht="20.25" customHeight="1" x14ac:dyDescent="0.4">
      <c r="C178" s="4" t="s">
        <v>1482</v>
      </c>
      <c r="D178" s="4" t="s">
        <v>1485</v>
      </c>
      <c r="E178" s="4" t="s">
        <v>1142</v>
      </c>
      <c r="F178" s="4" t="s">
        <v>1486</v>
      </c>
      <c r="G178" s="4" t="s">
        <v>1487</v>
      </c>
    </row>
    <row r="179" spans="2:10" ht="20.25" customHeight="1" x14ac:dyDescent="0.4">
      <c r="C179" s="4" t="s">
        <v>1488</v>
      </c>
      <c r="D179" s="4" t="s">
        <v>1489</v>
      </c>
      <c r="E179" s="4" t="s">
        <v>1142</v>
      </c>
      <c r="F179" s="4" t="s">
        <v>1490</v>
      </c>
      <c r="G179" s="4" t="s">
        <v>1491</v>
      </c>
    </row>
    <row r="180" spans="2:10" ht="20.25" customHeight="1" x14ac:dyDescent="0.4">
      <c r="C180" s="4" t="s">
        <v>1488</v>
      </c>
      <c r="D180" s="4" t="s">
        <v>1492</v>
      </c>
      <c r="E180" s="4" t="s">
        <v>1142</v>
      </c>
      <c r="F180" s="4" t="s">
        <v>1493</v>
      </c>
      <c r="G180" s="4" t="s">
        <v>1494</v>
      </c>
    </row>
    <row r="181" spans="2:10" ht="20.25" customHeight="1" x14ac:dyDescent="0.4">
      <c r="B181" s="7" t="s">
        <v>1495</v>
      </c>
      <c r="C181" s="4" t="s">
        <v>1496</v>
      </c>
      <c r="D181" s="4" t="s">
        <v>1497</v>
      </c>
      <c r="E181" s="4" t="s">
        <v>1490</v>
      </c>
      <c r="F181" s="4" t="s">
        <v>1498</v>
      </c>
      <c r="G181" s="4" t="s">
        <v>1101</v>
      </c>
    </row>
    <row r="182" spans="2:10" ht="20.25" customHeight="1" x14ac:dyDescent="0.4">
      <c r="B182" s="7" t="s">
        <v>1495</v>
      </c>
      <c r="C182" s="4" t="s">
        <v>1496</v>
      </c>
      <c r="D182" s="4" t="s">
        <v>1499</v>
      </c>
      <c r="E182" s="4" t="s">
        <v>1490</v>
      </c>
      <c r="F182" s="4" t="s">
        <v>1500</v>
      </c>
      <c r="G182" s="4" t="s">
        <v>1501</v>
      </c>
      <c r="J182" s="4" t="s">
        <v>1502</v>
      </c>
    </row>
    <row r="183" spans="2:10" ht="20.25" customHeight="1" x14ac:dyDescent="0.4">
      <c r="B183" s="7" t="s">
        <v>1495</v>
      </c>
      <c r="C183" s="4" t="s">
        <v>1496</v>
      </c>
      <c r="D183" s="4" t="s">
        <v>1310</v>
      </c>
      <c r="E183" s="4" t="s">
        <v>1490</v>
      </c>
      <c r="F183" s="4" t="s">
        <v>1503</v>
      </c>
      <c r="G183" s="4" t="s">
        <v>1504</v>
      </c>
    </row>
    <row r="184" spans="2:10" ht="20.25" customHeight="1" x14ac:dyDescent="0.4">
      <c r="B184" s="7" t="s">
        <v>1495</v>
      </c>
      <c r="C184" s="4" t="s">
        <v>1496</v>
      </c>
      <c r="D184" s="4" t="s">
        <v>1505</v>
      </c>
      <c r="E184" s="4" t="s">
        <v>1490</v>
      </c>
      <c r="F184" s="4" t="s">
        <v>1490</v>
      </c>
      <c r="G184" s="4" t="s">
        <v>1506</v>
      </c>
    </row>
    <row r="185" spans="2:10" ht="20.25" customHeight="1" x14ac:dyDescent="0.4">
      <c r="B185" s="7" t="s">
        <v>1495</v>
      </c>
      <c r="C185" s="4" t="s">
        <v>1496</v>
      </c>
      <c r="D185" s="4" t="s">
        <v>1507</v>
      </c>
      <c r="E185" s="4" t="s">
        <v>1490</v>
      </c>
      <c r="F185" s="4" t="s">
        <v>1508</v>
      </c>
      <c r="G185" s="4" t="s">
        <v>1509</v>
      </c>
    </row>
    <row r="186" spans="2:10" ht="20.25" customHeight="1" x14ac:dyDescent="0.4">
      <c r="B186" s="7" t="s">
        <v>1495</v>
      </c>
      <c r="C186" s="4" t="s">
        <v>1496</v>
      </c>
      <c r="D186" s="4" t="s">
        <v>1510</v>
      </c>
      <c r="E186" s="4" t="s">
        <v>1490</v>
      </c>
      <c r="F186" s="4" t="s">
        <v>1511</v>
      </c>
      <c r="G186" s="4" t="s">
        <v>1512</v>
      </c>
    </row>
    <row r="187" spans="2:10" ht="20.25" customHeight="1" x14ac:dyDescent="0.4">
      <c r="B187" s="7" t="s">
        <v>1495</v>
      </c>
      <c r="C187" s="4" t="s">
        <v>1496</v>
      </c>
      <c r="D187" s="4" t="s">
        <v>1310</v>
      </c>
      <c r="E187" s="4" t="s">
        <v>1490</v>
      </c>
      <c r="F187" s="4" t="s">
        <v>1513</v>
      </c>
      <c r="G187" s="4" t="s">
        <v>1101</v>
      </c>
    </row>
    <row r="188" spans="2:10" ht="20.25" customHeight="1" x14ac:dyDescent="0.4">
      <c r="B188" s="7" t="s">
        <v>1495</v>
      </c>
      <c r="C188" s="4" t="s">
        <v>1496</v>
      </c>
      <c r="D188" s="4" t="s">
        <v>1514</v>
      </c>
      <c r="E188" s="4" t="s">
        <v>1490</v>
      </c>
      <c r="F188" s="4" t="s">
        <v>1515</v>
      </c>
      <c r="G188" s="4" t="s">
        <v>1101</v>
      </c>
    </row>
    <row r="189" spans="2:10" ht="20.25" customHeight="1" x14ac:dyDescent="0.4">
      <c r="B189" s="7" t="s">
        <v>1495</v>
      </c>
      <c r="C189" s="4" t="s">
        <v>1496</v>
      </c>
      <c r="D189" s="4" t="s">
        <v>1516</v>
      </c>
      <c r="E189" s="4" t="s">
        <v>1490</v>
      </c>
      <c r="F189" s="4" t="s">
        <v>1517</v>
      </c>
      <c r="G189" s="4" t="s">
        <v>1518</v>
      </c>
    </row>
    <row r="190" spans="2:10" ht="20.25" customHeight="1" x14ac:dyDescent="0.4">
      <c r="C190" s="4" t="s">
        <v>1496</v>
      </c>
      <c r="D190" s="4" t="s">
        <v>1519</v>
      </c>
      <c r="E190" s="4" t="s">
        <v>1493</v>
      </c>
      <c r="F190" s="4" t="s">
        <v>757</v>
      </c>
      <c r="G190" s="4" t="s">
        <v>1520</v>
      </c>
      <c r="J190" s="4" t="s">
        <v>1521</v>
      </c>
    </row>
    <row r="191" spans="2:10" ht="20.25" customHeight="1" x14ac:dyDescent="0.4">
      <c r="B191" s="7" t="s">
        <v>1495</v>
      </c>
      <c r="C191" s="4" t="s">
        <v>1496</v>
      </c>
      <c r="D191" s="4" t="s">
        <v>1522</v>
      </c>
      <c r="F191" s="4" t="s">
        <v>1523</v>
      </c>
      <c r="G191" s="4" t="s">
        <v>1524</v>
      </c>
      <c r="J191" s="4" t="s">
        <v>1525</v>
      </c>
    </row>
    <row r="192" spans="2:10" ht="20.25" customHeight="1" x14ac:dyDescent="0.4">
      <c r="C192" s="12" t="s">
        <v>1496</v>
      </c>
      <c r="D192" s="12" t="s">
        <v>1526</v>
      </c>
      <c r="E192" s="12" t="s">
        <v>1493</v>
      </c>
      <c r="F192" s="12" t="s">
        <v>758</v>
      </c>
      <c r="G192" s="12" t="s">
        <v>1310</v>
      </c>
      <c r="I192" s="4" t="s">
        <v>1527</v>
      </c>
    </row>
    <row r="193" spans="1:13" ht="20.25" customHeight="1" x14ac:dyDescent="0.4">
      <c r="C193" s="7" t="s">
        <v>1496</v>
      </c>
      <c r="D193" s="7" t="s">
        <v>1528</v>
      </c>
      <c r="E193" s="7" t="s">
        <v>1493</v>
      </c>
      <c r="F193" s="7" t="s">
        <v>1529</v>
      </c>
      <c r="G193" s="7" t="s">
        <v>1530</v>
      </c>
      <c r="H193" s="4" t="s">
        <v>1531</v>
      </c>
      <c r="J193" s="4" t="s">
        <v>1532</v>
      </c>
      <c r="K193" s="4" t="s">
        <v>1533</v>
      </c>
    </row>
    <row r="194" spans="1:13" ht="20.25" customHeight="1" x14ac:dyDescent="0.4">
      <c r="C194" s="7" t="s">
        <v>1496</v>
      </c>
      <c r="D194" s="7" t="s">
        <v>1534</v>
      </c>
      <c r="E194" s="7" t="s">
        <v>1493</v>
      </c>
      <c r="F194" s="7" t="s">
        <v>760</v>
      </c>
      <c r="G194" s="7" t="s">
        <v>1535</v>
      </c>
    </row>
    <row r="195" spans="1:13" ht="20.25" customHeight="1" x14ac:dyDescent="0.4">
      <c r="C195" s="7" t="s">
        <v>1496</v>
      </c>
      <c r="D195" s="4" t="s">
        <v>1536</v>
      </c>
      <c r="E195" s="7" t="s">
        <v>1493</v>
      </c>
      <c r="F195" s="7" t="s">
        <v>1537</v>
      </c>
      <c r="G195" s="7" t="s">
        <v>1538</v>
      </c>
    </row>
    <row r="196" spans="1:13" ht="20.25" customHeight="1" x14ac:dyDescent="0.4">
      <c r="C196" s="7" t="s">
        <v>1496</v>
      </c>
      <c r="D196" s="7" t="s">
        <v>1539</v>
      </c>
      <c r="E196" s="7" t="s">
        <v>1493</v>
      </c>
      <c r="F196" s="7" t="s">
        <v>1540</v>
      </c>
      <c r="G196" s="7" t="s">
        <v>1541</v>
      </c>
    </row>
    <row r="197" spans="1:13" ht="20.25" customHeight="1" x14ac:dyDescent="0.4">
      <c r="C197" s="7" t="s">
        <v>1496</v>
      </c>
      <c r="D197" s="7" t="s">
        <v>1542</v>
      </c>
      <c r="E197" s="7" t="s">
        <v>1493</v>
      </c>
      <c r="F197" s="7" t="s">
        <v>1543</v>
      </c>
      <c r="G197" s="7" t="s">
        <v>1544</v>
      </c>
    </row>
    <row r="198" spans="1:13" ht="20.25" customHeight="1" x14ac:dyDescent="0.4">
      <c r="B198" s="7" t="s">
        <v>1545</v>
      </c>
      <c r="C198" s="7" t="s">
        <v>1546</v>
      </c>
      <c r="D198" s="7" t="s">
        <v>1547</v>
      </c>
      <c r="E198" s="7" t="s">
        <v>1548</v>
      </c>
      <c r="F198" s="7" t="s">
        <v>1549</v>
      </c>
      <c r="J198" s="4" t="s">
        <v>1550</v>
      </c>
    </row>
    <row r="199" spans="1:13" ht="20.25" customHeight="1" x14ac:dyDescent="0.4">
      <c r="B199" s="7" t="s">
        <v>1545</v>
      </c>
      <c r="C199" s="8" t="s">
        <v>1546</v>
      </c>
      <c r="D199" s="8" t="s">
        <v>1551</v>
      </c>
      <c r="E199" s="7" t="s">
        <v>1548</v>
      </c>
      <c r="F199" s="7" t="s">
        <v>1552</v>
      </c>
      <c r="G199" s="7" t="s">
        <v>1553</v>
      </c>
      <c r="J199" s="4" t="s">
        <v>1554</v>
      </c>
    </row>
    <row r="200" spans="1:13" ht="20.25" customHeight="1" x14ac:dyDescent="0.4">
      <c r="B200" s="7" t="s">
        <v>1545</v>
      </c>
      <c r="C200" s="7" t="s">
        <v>1546</v>
      </c>
      <c r="D200" s="7" t="s">
        <v>1555</v>
      </c>
      <c r="E200" s="7" t="s">
        <v>1548</v>
      </c>
      <c r="F200" s="7" t="s">
        <v>1556</v>
      </c>
      <c r="J200" s="4" t="s">
        <v>1557</v>
      </c>
    </row>
    <row r="201" spans="1:13" ht="20.25" customHeight="1" x14ac:dyDescent="0.4">
      <c r="A201" s="91" t="s">
        <v>1558</v>
      </c>
      <c r="B201" s="7" t="s">
        <v>779</v>
      </c>
      <c r="C201" s="7" t="s">
        <v>1559</v>
      </c>
      <c r="D201" s="101" t="s">
        <v>1560</v>
      </c>
      <c r="E201" s="7" t="s">
        <v>1548</v>
      </c>
      <c r="F201" s="7" t="s">
        <v>730</v>
      </c>
      <c r="G201" s="7" t="s">
        <v>1561</v>
      </c>
      <c r="H201" s="4" t="s">
        <v>1562</v>
      </c>
      <c r="I201" s="4" t="s">
        <v>1563</v>
      </c>
      <c r="J201" s="4" t="s">
        <v>1564</v>
      </c>
      <c r="K201" s="4" t="s">
        <v>1565</v>
      </c>
      <c r="L201" s="7" t="s">
        <v>1566</v>
      </c>
      <c r="M201" s="7" t="s">
        <v>1567</v>
      </c>
    </row>
    <row r="202" spans="1:13" ht="20.25" customHeight="1" x14ac:dyDescent="0.4">
      <c r="B202" s="7" t="s">
        <v>1545</v>
      </c>
      <c r="C202" s="7" t="s">
        <v>1546</v>
      </c>
      <c r="D202" s="7" t="s">
        <v>1568</v>
      </c>
      <c r="E202" s="7" t="s">
        <v>1548</v>
      </c>
      <c r="F202" s="7" t="s">
        <v>1569</v>
      </c>
      <c r="G202" s="7" t="s">
        <v>1570</v>
      </c>
      <c r="J202" s="4" t="s">
        <v>1571</v>
      </c>
    </row>
    <row r="203" spans="1:13" ht="20.25" customHeight="1" x14ac:dyDescent="0.4">
      <c r="B203" s="7" t="s">
        <v>1545</v>
      </c>
      <c r="C203" s="7" t="s">
        <v>1546</v>
      </c>
      <c r="D203" s="7" t="s">
        <v>1572</v>
      </c>
      <c r="E203" s="7" t="s">
        <v>1548</v>
      </c>
      <c r="F203" s="7" t="s">
        <v>1573</v>
      </c>
      <c r="G203" s="7" t="s">
        <v>1574</v>
      </c>
      <c r="J203" s="4" t="s">
        <v>1575</v>
      </c>
    </row>
    <row r="204" spans="1:13" ht="20.25" customHeight="1" x14ac:dyDescent="0.4">
      <c r="B204" s="7" t="s">
        <v>1545</v>
      </c>
      <c r="C204" s="7" t="s">
        <v>1546</v>
      </c>
      <c r="D204" s="7" t="s">
        <v>1576</v>
      </c>
      <c r="E204" s="7" t="s">
        <v>1548</v>
      </c>
      <c r="F204" s="7" t="s">
        <v>1577</v>
      </c>
      <c r="G204" s="4" t="s">
        <v>1578</v>
      </c>
      <c r="J204" s="4" t="s">
        <v>1579</v>
      </c>
    </row>
    <row r="205" spans="1:13" ht="20.25" customHeight="1" x14ac:dyDescent="0.4">
      <c r="B205" s="7" t="s">
        <v>1545</v>
      </c>
      <c r="C205" s="7" t="s">
        <v>1546</v>
      </c>
      <c r="D205" s="7" t="s">
        <v>1580</v>
      </c>
      <c r="E205" s="7" t="s">
        <v>1548</v>
      </c>
      <c r="F205" s="7" t="s">
        <v>1581</v>
      </c>
      <c r="G205" s="7" t="s">
        <v>1582</v>
      </c>
      <c r="J205" s="4" t="s">
        <v>1583</v>
      </c>
    </row>
    <row r="206" spans="1:13" ht="20.25" customHeight="1" x14ac:dyDescent="0.4">
      <c r="B206" s="7" t="s">
        <v>1545</v>
      </c>
      <c r="C206" s="7" t="s">
        <v>1546</v>
      </c>
      <c r="D206" s="7" t="s">
        <v>1584</v>
      </c>
      <c r="E206" s="7" t="s">
        <v>1548</v>
      </c>
      <c r="F206" s="7" t="s">
        <v>1585</v>
      </c>
      <c r="J206" s="4" t="s">
        <v>1586</v>
      </c>
    </row>
    <row r="207" spans="1:13" ht="20.25" customHeight="1" x14ac:dyDescent="0.4">
      <c r="B207" s="7" t="s">
        <v>1545</v>
      </c>
      <c r="C207" s="7" t="s">
        <v>1587</v>
      </c>
      <c r="D207" s="4" t="s">
        <v>1588</v>
      </c>
      <c r="E207" s="7" t="s">
        <v>1548</v>
      </c>
      <c r="F207" s="4" t="s">
        <v>1548</v>
      </c>
      <c r="G207" s="4" t="s">
        <v>1589</v>
      </c>
      <c r="J207" s="4" t="s">
        <v>1590</v>
      </c>
      <c r="K207" s="4" t="s">
        <v>1591</v>
      </c>
    </row>
    <row r="208" spans="1:13" ht="20.25" customHeight="1" x14ac:dyDescent="0.4">
      <c r="B208" s="7" t="s">
        <v>1545</v>
      </c>
      <c r="C208" s="4" t="s">
        <v>1592</v>
      </c>
      <c r="D208" s="4" t="s">
        <v>1593</v>
      </c>
      <c r="E208" s="4" t="s">
        <v>1594</v>
      </c>
      <c r="F208" s="4" t="s">
        <v>1594</v>
      </c>
      <c r="G208" s="4" t="s">
        <v>1595</v>
      </c>
      <c r="H208" s="4" t="s">
        <v>1596</v>
      </c>
      <c r="J208" s="4" t="s">
        <v>1597</v>
      </c>
    </row>
    <row r="209" spans="2:11" ht="20.25" customHeight="1" x14ac:dyDescent="0.4">
      <c r="B209" s="7" t="s">
        <v>1545</v>
      </c>
      <c r="C209" s="4" t="s">
        <v>1592</v>
      </c>
      <c r="D209" s="4" t="s">
        <v>1598</v>
      </c>
      <c r="E209" s="4" t="s">
        <v>1594</v>
      </c>
      <c r="F209" s="4" t="s">
        <v>1594</v>
      </c>
      <c r="G209" s="4" t="s">
        <v>1599</v>
      </c>
      <c r="H209" s="4" t="s">
        <v>1600</v>
      </c>
      <c r="J209" s="4" t="s">
        <v>1601</v>
      </c>
    </row>
    <row r="210" spans="2:11" ht="20.25" customHeight="1" x14ac:dyDescent="0.4">
      <c r="B210" s="7" t="s">
        <v>1545</v>
      </c>
      <c r="C210" s="4" t="s">
        <v>1592</v>
      </c>
      <c r="D210" s="4" t="s">
        <v>1602</v>
      </c>
      <c r="E210" s="4" t="s">
        <v>1594</v>
      </c>
      <c r="F210" s="4" t="s">
        <v>1594</v>
      </c>
      <c r="G210" s="4" t="s">
        <v>1603</v>
      </c>
      <c r="J210" s="4" t="s">
        <v>1604</v>
      </c>
      <c r="K210" s="5" t="s">
        <v>1605</v>
      </c>
    </row>
    <row r="211" spans="2:11" ht="20.25" customHeight="1" x14ac:dyDescent="0.4">
      <c r="B211" s="7" t="s">
        <v>1545</v>
      </c>
      <c r="C211" s="4" t="s">
        <v>1592</v>
      </c>
      <c r="D211" s="4" t="s">
        <v>1606</v>
      </c>
      <c r="E211" s="4" t="s">
        <v>1594</v>
      </c>
      <c r="F211" s="4" t="s">
        <v>1594</v>
      </c>
      <c r="G211" s="4" t="s">
        <v>701</v>
      </c>
      <c r="H211" s="4" t="s">
        <v>1607</v>
      </c>
    </row>
    <row r="212" spans="2:11" ht="20.25" customHeight="1" x14ac:dyDescent="0.4">
      <c r="B212" s="7" t="s">
        <v>1545</v>
      </c>
      <c r="C212" s="4" t="s">
        <v>1592</v>
      </c>
      <c r="D212" s="4" t="s">
        <v>1608</v>
      </c>
      <c r="E212" s="4" t="s">
        <v>1594</v>
      </c>
      <c r="F212" s="4" t="s">
        <v>1609</v>
      </c>
      <c r="G212" s="4" t="s">
        <v>1610</v>
      </c>
      <c r="H212" s="4" t="s">
        <v>1611</v>
      </c>
      <c r="J212" s="4" t="s">
        <v>1612</v>
      </c>
      <c r="K212" s="4" t="s">
        <v>1613</v>
      </c>
    </row>
    <row r="213" spans="2:11" ht="20.25" customHeight="1" x14ac:dyDescent="0.4">
      <c r="B213" s="7" t="s">
        <v>1545</v>
      </c>
      <c r="C213" s="4" t="s">
        <v>1592</v>
      </c>
      <c r="D213" s="4" t="s">
        <v>1614</v>
      </c>
      <c r="E213" s="4" t="s">
        <v>1594</v>
      </c>
      <c r="F213" s="4" t="s">
        <v>1615</v>
      </c>
      <c r="G213" s="4" t="s">
        <v>1616</v>
      </c>
    </row>
    <row r="214" spans="2:11" ht="20.25" customHeight="1" x14ac:dyDescent="0.4">
      <c r="C214" s="4" t="s">
        <v>1617</v>
      </c>
      <c r="D214" s="4" t="s">
        <v>1618</v>
      </c>
      <c r="E214" s="4" t="s">
        <v>1142</v>
      </c>
      <c r="F214" s="4" t="s">
        <v>323</v>
      </c>
      <c r="G214" s="4" t="s">
        <v>1619</v>
      </c>
    </row>
    <row r="215" spans="2:11" ht="20.25" customHeight="1" x14ac:dyDescent="0.4">
      <c r="C215" s="4" t="s">
        <v>1559</v>
      </c>
      <c r="D215" s="4" t="s">
        <v>1620</v>
      </c>
      <c r="E215" s="4" t="s">
        <v>1142</v>
      </c>
      <c r="F215" s="4" t="s">
        <v>1621</v>
      </c>
      <c r="G215" s="4" t="s">
        <v>1622</v>
      </c>
    </row>
    <row r="216" spans="2:11" ht="20.25" customHeight="1" x14ac:dyDescent="0.4">
      <c r="C216" s="4" t="s">
        <v>1559</v>
      </c>
      <c r="D216" s="4" t="s">
        <v>1623</v>
      </c>
      <c r="E216" s="4" t="s">
        <v>1142</v>
      </c>
      <c r="F216" s="4" t="s">
        <v>1624</v>
      </c>
      <c r="G216" s="4" t="s">
        <v>1625</v>
      </c>
    </row>
    <row r="217" spans="2:11" ht="20.25" customHeight="1" x14ac:dyDescent="0.4">
      <c r="C217" s="4" t="s">
        <v>780</v>
      </c>
      <c r="D217" s="4" t="s">
        <v>1626</v>
      </c>
      <c r="E217" s="4" t="s">
        <v>1627</v>
      </c>
      <c r="F217" s="4" t="s">
        <v>1627</v>
      </c>
      <c r="G217" s="4" t="s">
        <v>1628</v>
      </c>
      <c r="J217" s="12" t="s">
        <v>1629</v>
      </c>
      <c r="K217" s="4" t="s">
        <v>1630</v>
      </c>
    </row>
    <row r="218" spans="2:11" ht="20.25" customHeight="1" x14ac:dyDescent="0.4">
      <c r="B218" s="7" t="s">
        <v>779</v>
      </c>
      <c r="C218" s="4" t="s">
        <v>780</v>
      </c>
      <c r="D218" s="4" t="s">
        <v>1631</v>
      </c>
      <c r="E218" s="4" t="s">
        <v>1624</v>
      </c>
      <c r="F218" s="4" t="s">
        <v>1632</v>
      </c>
      <c r="G218" s="4" t="s">
        <v>1633</v>
      </c>
      <c r="J218" s="4" t="s">
        <v>1634</v>
      </c>
    </row>
    <row r="219" spans="2:11" ht="20.25" customHeight="1" x14ac:dyDescent="0.4">
      <c r="B219" s="7" t="s">
        <v>779</v>
      </c>
      <c r="C219" s="4" t="s">
        <v>780</v>
      </c>
      <c r="D219" s="4" t="s">
        <v>1635</v>
      </c>
      <c r="E219" s="4" t="s">
        <v>1636</v>
      </c>
      <c r="F219" s="4" t="s">
        <v>1637</v>
      </c>
      <c r="G219" s="4" t="s">
        <v>1638</v>
      </c>
      <c r="I219" s="12" t="s">
        <v>1639</v>
      </c>
    </row>
    <row r="220" spans="2:11" ht="20.25" customHeight="1" x14ac:dyDescent="0.4">
      <c r="B220" s="7" t="s">
        <v>779</v>
      </c>
      <c r="C220" s="4" t="s">
        <v>780</v>
      </c>
      <c r="D220" s="7" t="s">
        <v>1640</v>
      </c>
      <c r="E220" s="4" t="s">
        <v>1636</v>
      </c>
      <c r="F220" s="4" t="s">
        <v>1641</v>
      </c>
      <c r="G220" s="4" t="s">
        <v>1642</v>
      </c>
      <c r="I220" s="28" t="s">
        <v>1643</v>
      </c>
    </row>
    <row r="221" spans="2:11" ht="20.25" customHeight="1" x14ac:dyDescent="0.4">
      <c r="B221" s="7" t="s">
        <v>779</v>
      </c>
      <c r="C221" s="4" t="s">
        <v>780</v>
      </c>
      <c r="D221" s="7" t="s">
        <v>1644</v>
      </c>
      <c r="E221" s="4" t="s">
        <v>1636</v>
      </c>
      <c r="F221" s="4" t="s">
        <v>1468</v>
      </c>
      <c r="G221" s="4" t="s">
        <v>1645</v>
      </c>
      <c r="I221" s="12" t="s">
        <v>1646</v>
      </c>
    </row>
    <row r="222" spans="2:11" ht="20.25" customHeight="1" x14ac:dyDescent="0.4">
      <c r="B222" s="7" t="s">
        <v>779</v>
      </c>
      <c r="C222" s="4" t="s">
        <v>780</v>
      </c>
      <c r="D222" s="12" t="s">
        <v>1647</v>
      </c>
      <c r="E222" s="4" t="s">
        <v>1636</v>
      </c>
      <c r="F222" s="4" t="s">
        <v>1648</v>
      </c>
      <c r="G222" s="4" t="s">
        <v>1649</v>
      </c>
      <c r="I222" s="4" t="s">
        <v>1650</v>
      </c>
      <c r="J222" s="4" t="s">
        <v>968</v>
      </c>
    </row>
    <row r="223" spans="2:11" ht="21.75" customHeight="1" x14ac:dyDescent="0.4">
      <c r="B223" s="7" t="s">
        <v>779</v>
      </c>
      <c r="C223" s="4" t="s">
        <v>780</v>
      </c>
      <c r="D223" s="7" t="s">
        <v>1651</v>
      </c>
      <c r="E223" s="4" t="s">
        <v>1636</v>
      </c>
      <c r="F223" s="4" t="s">
        <v>1477</v>
      </c>
      <c r="G223" s="4" t="s">
        <v>1652</v>
      </c>
      <c r="H223" s="12" t="s">
        <v>1653</v>
      </c>
      <c r="I223" s="4" t="s">
        <v>1654</v>
      </c>
      <c r="J223" s="105" t="s">
        <v>1655</v>
      </c>
    </row>
    <row r="224" spans="2:11" ht="20.25" customHeight="1" x14ac:dyDescent="0.4">
      <c r="B224" s="7" t="s">
        <v>779</v>
      </c>
      <c r="C224" s="4" t="s">
        <v>780</v>
      </c>
      <c r="D224" s="7" t="s">
        <v>1656</v>
      </c>
      <c r="E224" s="4" t="s">
        <v>1636</v>
      </c>
      <c r="F224" s="4" t="s">
        <v>1657</v>
      </c>
      <c r="G224" s="4" t="s">
        <v>1658</v>
      </c>
      <c r="I224" s="7" t="s">
        <v>785</v>
      </c>
    </row>
    <row r="225" spans="1:9" ht="20.25" customHeight="1" x14ac:dyDescent="0.4">
      <c r="B225" s="7" t="s">
        <v>779</v>
      </c>
      <c r="C225" s="4" t="s">
        <v>780</v>
      </c>
      <c r="D225" s="7" t="s">
        <v>1659</v>
      </c>
      <c r="E225" s="4" t="s">
        <v>1636</v>
      </c>
      <c r="F225" s="4" t="s">
        <v>1660</v>
      </c>
      <c r="G225" s="4" t="s">
        <v>1661</v>
      </c>
      <c r="I225" s="28" t="s">
        <v>1662</v>
      </c>
    </row>
    <row r="226" spans="1:9" ht="20.25" customHeight="1" x14ac:dyDescent="0.4">
      <c r="B226" s="7" t="s">
        <v>779</v>
      </c>
      <c r="C226" s="4" t="s">
        <v>780</v>
      </c>
      <c r="D226" s="7" t="s">
        <v>1663</v>
      </c>
      <c r="E226" s="4" t="s">
        <v>1636</v>
      </c>
      <c r="F226" s="4" t="s">
        <v>1664</v>
      </c>
      <c r="G226" s="4" t="s">
        <v>1665</v>
      </c>
      <c r="I226" s="28" t="s">
        <v>1662</v>
      </c>
    </row>
    <row r="227" spans="1:9" ht="20.25" customHeight="1" x14ac:dyDescent="0.4">
      <c r="B227" s="7" t="s">
        <v>779</v>
      </c>
      <c r="C227" s="4" t="s">
        <v>780</v>
      </c>
      <c r="D227" s="7" t="s">
        <v>1666</v>
      </c>
      <c r="E227" s="4" t="s">
        <v>1636</v>
      </c>
      <c r="F227" s="4" t="s">
        <v>1667</v>
      </c>
      <c r="G227" s="4" t="s">
        <v>1668</v>
      </c>
      <c r="I227" s="12" t="s">
        <v>1340</v>
      </c>
    </row>
    <row r="228" spans="1:9" ht="20.25" customHeight="1" x14ac:dyDescent="0.4">
      <c r="B228" s="7" t="s">
        <v>779</v>
      </c>
      <c r="C228" s="4" t="s">
        <v>780</v>
      </c>
      <c r="D228" s="7" t="s">
        <v>1647</v>
      </c>
      <c r="E228" s="4" t="s">
        <v>1636</v>
      </c>
      <c r="F228" s="4" t="s">
        <v>1669</v>
      </c>
      <c r="G228" s="4" t="s">
        <v>1670</v>
      </c>
      <c r="I228" s="28" t="s">
        <v>1671</v>
      </c>
    </row>
    <row r="229" spans="1:9" ht="20.25" customHeight="1" x14ac:dyDescent="0.4">
      <c r="C229" s="7" t="s">
        <v>1672</v>
      </c>
      <c r="D229" s="7" t="s">
        <v>1673</v>
      </c>
      <c r="E229" s="7" t="s">
        <v>1674</v>
      </c>
      <c r="F229" s="7" t="s">
        <v>1675</v>
      </c>
      <c r="G229" s="7" t="s">
        <v>1676</v>
      </c>
    </row>
    <row r="230" spans="1:9" ht="20.25" customHeight="1" x14ac:dyDescent="0.4">
      <c r="B230" s="7" t="s">
        <v>779</v>
      </c>
      <c r="C230" s="7" t="s">
        <v>780</v>
      </c>
      <c r="D230" s="7" t="s">
        <v>1141</v>
      </c>
      <c r="E230" s="7" t="s">
        <v>1677</v>
      </c>
      <c r="F230" s="7" t="s">
        <v>1678</v>
      </c>
      <c r="G230" s="7" t="s">
        <v>1679</v>
      </c>
    </row>
    <row r="231" spans="1:9" ht="20.25" customHeight="1" x14ac:dyDescent="0.4">
      <c r="A231" s="91" t="s">
        <v>1680</v>
      </c>
      <c r="B231" s="7" t="s">
        <v>779</v>
      </c>
      <c r="C231" s="4" t="s">
        <v>780</v>
      </c>
      <c r="D231" s="91" t="s">
        <v>1681</v>
      </c>
      <c r="E231" s="7" t="s">
        <v>1682</v>
      </c>
      <c r="G231" s="4" t="s">
        <v>1683</v>
      </c>
      <c r="I231" s="4" t="s">
        <v>1684</v>
      </c>
    </row>
    <row r="232" spans="1:9" ht="20.25" customHeight="1" x14ac:dyDescent="0.4">
      <c r="A232" s="91" t="s">
        <v>1685</v>
      </c>
      <c r="B232" s="7" t="s">
        <v>779</v>
      </c>
      <c r="C232" s="4" t="s">
        <v>780</v>
      </c>
      <c r="D232" s="91" t="s">
        <v>1686</v>
      </c>
      <c r="E232" s="7" t="s">
        <v>1687</v>
      </c>
      <c r="F232" s="7" t="s">
        <v>1688</v>
      </c>
      <c r="G232" s="4" t="s">
        <v>1689</v>
      </c>
    </row>
    <row r="233" spans="1:9" ht="20.25" customHeight="1" x14ac:dyDescent="0.4">
      <c r="B233" s="7" t="s">
        <v>779</v>
      </c>
      <c r="C233" s="4" t="s">
        <v>780</v>
      </c>
      <c r="D233" s="7" t="s">
        <v>1690</v>
      </c>
      <c r="E233" s="7" t="s">
        <v>1682</v>
      </c>
      <c r="G233" s="7" t="s">
        <v>1683</v>
      </c>
      <c r="I233" s="7" t="s">
        <v>1691</v>
      </c>
    </row>
    <row r="234" spans="1:9" ht="20.25" customHeight="1" x14ac:dyDescent="0.4">
      <c r="B234" s="7" t="s">
        <v>779</v>
      </c>
      <c r="C234" s="4" t="s">
        <v>780</v>
      </c>
      <c r="D234" s="7" t="s">
        <v>1692</v>
      </c>
      <c r="E234" s="7" t="s">
        <v>1682</v>
      </c>
      <c r="F234" s="7" t="s">
        <v>1693</v>
      </c>
      <c r="G234" s="7" t="s">
        <v>1694</v>
      </c>
    </row>
    <row r="235" spans="1:9" ht="20.25" customHeight="1" x14ac:dyDescent="0.4">
      <c r="B235" s="7" t="s">
        <v>779</v>
      </c>
      <c r="C235" s="4" t="s">
        <v>780</v>
      </c>
      <c r="D235" s="7" t="s">
        <v>1695</v>
      </c>
      <c r="E235" s="7" t="s">
        <v>1682</v>
      </c>
      <c r="F235" s="7" t="s">
        <v>1099</v>
      </c>
      <c r="G235" s="7" t="s">
        <v>1696</v>
      </c>
    </row>
    <row r="236" spans="1:9" ht="20.25" customHeight="1" x14ac:dyDescent="0.4">
      <c r="B236" s="7" t="s">
        <v>779</v>
      </c>
      <c r="C236" s="4" t="s">
        <v>780</v>
      </c>
      <c r="D236" s="7" t="s">
        <v>1697</v>
      </c>
      <c r="E236" s="7" t="s">
        <v>1682</v>
      </c>
      <c r="F236" s="7" t="s">
        <v>1698</v>
      </c>
      <c r="G236" s="7" t="s">
        <v>1699</v>
      </c>
    </row>
    <row r="237" spans="1:9" ht="20.25" customHeight="1" x14ac:dyDescent="0.4">
      <c r="B237" s="7" t="s">
        <v>779</v>
      </c>
      <c r="C237" s="4" t="s">
        <v>780</v>
      </c>
      <c r="D237" s="4" t="s">
        <v>1635</v>
      </c>
      <c r="E237" s="7" t="s">
        <v>1682</v>
      </c>
      <c r="F237" s="7" t="s">
        <v>1700</v>
      </c>
      <c r="G237" s="7" t="s">
        <v>1701</v>
      </c>
    </row>
    <row r="238" spans="1:9" ht="20.25" customHeight="1" x14ac:dyDescent="0.4">
      <c r="B238" s="7" t="s">
        <v>779</v>
      </c>
      <c r="C238" s="4" t="s">
        <v>780</v>
      </c>
      <c r="D238" s="4" t="s">
        <v>1702</v>
      </c>
      <c r="E238" s="7" t="s">
        <v>1682</v>
      </c>
      <c r="F238" s="7" t="s">
        <v>1703</v>
      </c>
      <c r="G238" s="7" t="s">
        <v>1371</v>
      </c>
    </row>
    <row r="239" spans="1:9" ht="20.25" customHeight="1" x14ac:dyDescent="0.4">
      <c r="B239" s="7" t="s">
        <v>779</v>
      </c>
      <c r="C239" s="4" t="s">
        <v>780</v>
      </c>
      <c r="D239" s="4" t="s">
        <v>1704</v>
      </c>
      <c r="E239" s="7" t="s">
        <v>1677</v>
      </c>
      <c r="F239" s="7" t="s">
        <v>1705</v>
      </c>
      <c r="G239" s="7" t="s">
        <v>1706</v>
      </c>
    </row>
    <row r="240" spans="1:9" ht="20.25" customHeight="1" x14ac:dyDescent="0.4">
      <c r="B240" s="7" t="s">
        <v>779</v>
      </c>
      <c r="C240" s="4" t="s">
        <v>780</v>
      </c>
      <c r="D240" s="4" t="s">
        <v>1145</v>
      </c>
      <c r="E240" s="7" t="s">
        <v>1677</v>
      </c>
      <c r="F240" s="7" t="s">
        <v>1146</v>
      </c>
      <c r="G240" s="7" t="s">
        <v>1147</v>
      </c>
    </row>
    <row r="241" spans="2:10" ht="20.25" customHeight="1" x14ac:dyDescent="0.4">
      <c r="B241" s="7" t="s">
        <v>779</v>
      </c>
      <c r="C241" s="4" t="s">
        <v>780</v>
      </c>
      <c r="D241" s="7" t="s">
        <v>1707</v>
      </c>
      <c r="E241" s="7" t="s">
        <v>1677</v>
      </c>
      <c r="F241" s="7" t="s">
        <v>1708</v>
      </c>
      <c r="G241" s="4" t="s">
        <v>1709</v>
      </c>
    </row>
    <row r="242" spans="2:10" ht="20.25" customHeight="1" x14ac:dyDescent="0.4">
      <c r="B242" s="7" t="s">
        <v>779</v>
      </c>
      <c r="C242" s="4" t="s">
        <v>780</v>
      </c>
      <c r="D242" s="8" t="s">
        <v>1710</v>
      </c>
      <c r="F242" s="7" t="s">
        <v>1711</v>
      </c>
      <c r="G242" s="4" t="s">
        <v>1712</v>
      </c>
    </row>
    <row r="243" spans="2:10" ht="20.25" customHeight="1" x14ac:dyDescent="0.4">
      <c r="B243" s="7" t="s">
        <v>779</v>
      </c>
      <c r="C243" s="4" t="s">
        <v>780</v>
      </c>
      <c r="E243" s="7" t="s">
        <v>1677</v>
      </c>
    </row>
    <row r="244" spans="2:10" ht="20.25" customHeight="1" x14ac:dyDescent="0.4">
      <c r="B244" s="7" t="s">
        <v>779</v>
      </c>
      <c r="C244" s="4" t="s">
        <v>780</v>
      </c>
      <c r="E244" s="7" t="s">
        <v>1677</v>
      </c>
    </row>
    <row r="245" spans="2:10" ht="20.25" customHeight="1" x14ac:dyDescent="0.4">
      <c r="C245" s="4" t="s">
        <v>1713</v>
      </c>
      <c r="D245" s="4" t="s">
        <v>1714</v>
      </c>
      <c r="E245" s="4" t="s">
        <v>1452</v>
      </c>
      <c r="F245" s="4" t="s">
        <v>1715</v>
      </c>
      <c r="G245" s="4" t="s">
        <v>1716</v>
      </c>
    </row>
    <row r="246" spans="2:10" ht="20.25" customHeight="1" x14ac:dyDescent="0.4">
      <c r="C246" s="4" t="s">
        <v>1717</v>
      </c>
      <c r="D246" s="4" t="s">
        <v>1718</v>
      </c>
      <c r="E246" s="4" t="s">
        <v>1142</v>
      </c>
      <c r="F246" s="4" t="s">
        <v>1719</v>
      </c>
      <c r="G246" s="4" t="s">
        <v>1720</v>
      </c>
    </row>
    <row r="247" spans="2:10" ht="20.25" customHeight="1" x14ac:dyDescent="0.4">
      <c r="C247" s="4" t="s">
        <v>1721</v>
      </c>
      <c r="D247" s="4" t="s">
        <v>1722</v>
      </c>
      <c r="E247" s="4" t="s">
        <v>1723</v>
      </c>
      <c r="F247" s="4" t="s">
        <v>1724</v>
      </c>
      <c r="G247" s="4" t="s">
        <v>1725</v>
      </c>
    </row>
    <row r="248" spans="2:10" ht="20.25" customHeight="1" x14ac:dyDescent="0.4">
      <c r="C248" s="4" t="s">
        <v>1721</v>
      </c>
      <c r="D248" s="4" t="s">
        <v>1726</v>
      </c>
      <c r="E248" s="4" t="s">
        <v>1723</v>
      </c>
      <c r="F248" s="4" t="s">
        <v>1727</v>
      </c>
      <c r="G248" s="4" t="s">
        <v>1728</v>
      </c>
      <c r="J248" s="4" t="s">
        <v>1729</v>
      </c>
    </row>
    <row r="249" spans="2:10" ht="20.25" customHeight="1" x14ac:dyDescent="0.4">
      <c r="C249" s="4" t="s">
        <v>1721</v>
      </c>
      <c r="D249" s="4" t="s">
        <v>1730</v>
      </c>
      <c r="E249" s="4" t="s">
        <v>1723</v>
      </c>
      <c r="F249" s="4" t="s">
        <v>1731</v>
      </c>
      <c r="G249" s="4" t="s">
        <v>1732</v>
      </c>
    </row>
    <row r="250" spans="2:10" ht="20.25" customHeight="1" x14ac:dyDescent="0.4">
      <c r="C250" s="4" t="s">
        <v>1721</v>
      </c>
      <c r="D250" s="4" t="s">
        <v>1733</v>
      </c>
      <c r="E250" s="4" t="s">
        <v>1723</v>
      </c>
      <c r="F250" s="4" t="s">
        <v>1734</v>
      </c>
      <c r="G250" s="4" t="s">
        <v>1735</v>
      </c>
    </row>
    <row r="251" spans="2:10" ht="20.25" customHeight="1" x14ac:dyDescent="0.4">
      <c r="C251" s="4" t="s">
        <v>1721</v>
      </c>
      <c r="D251" s="4" t="s">
        <v>1736</v>
      </c>
      <c r="E251" s="4" t="s">
        <v>1723</v>
      </c>
      <c r="F251" s="4" t="s">
        <v>1737</v>
      </c>
      <c r="G251" s="4" t="s">
        <v>1738</v>
      </c>
      <c r="J251" s="4" t="s">
        <v>1739</v>
      </c>
    </row>
    <row r="252" spans="2:10" ht="20.25" customHeight="1" x14ac:dyDescent="0.4">
      <c r="C252" s="4" t="s">
        <v>1721</v>
      </c>
      <c r="D252" s="4" t="s">
        <v>1740</v>
      </c>
      <c r="E252" s="4" t="s">
        <v>1723</v>
      </c>
      <c r="F252" s="4" t="s">
        <v>1741</v>
      </c>
      <c r="G252" s="4" t="s">
        <v>1742</v>
      </c>
    </row>
    <row r="253" spans="2:10" ht="20.25" customHeight="1" x14ac:dyDescent="0.4">
      <c r="C253" s="4" t="s">
        <v>1721</v>
      </c>
      <c r="D253" s="4" t="s">
        <v>1507</v>
      </c>
      <c r="E253" s="4" t="s">
        <v>1723</v>
      </c>
      <c r="F253" s="4" t="s">
        <v>1743</v>
      </c>
      <c r="G253" s="4" t="s">
        <v>1744</v>
      </c>
      <c r="J253" s="4" t="s">
        <v>1745</v>
      </c>
    </row>
    <row r="254" spans="2:10" ht="20.25" customHeight="1" x14ac:dyDescent="0.4">
      <c r="C254" s="4" t="s">
        <v>1721</v>
      </c>
      <c r="D254" s="4" t="s">
        <v>1746</v>
      </c>
      <c r="E254" s="4" t="s">
        <v>1723</v>
      </c>
      <c r="F254" s="4" t="s">
        <v>1747</v>
      </c>
      <c r="G254" s="4" t="s">
        <v>1748</v>
      </c>
    </row>
    <row r="255" spans="2:10" ht="20.25" customHeight="1" x14ac:dyDescent="0.4">
      <c r="C255" s="4" t="s">
        <v>1721</v>
      </c>
      <c r="D255" s="4" t="s">
        <v>1749</v>
      </c>
      <c r="E255" s="4" t="s">
        <v>1723</v>
      </c>
      <c r="F255" s="4" t="s">
        <v>1750</v>
      </c>
      <c r="G255" s="4" t="s">
        <v>1207</v>
      </c>
    </row>
    <row r="256" spans="2:10" ht="20.25" customHeight="1" x14ac:dyDescent="0.4">
      <c r="C256" s="4" t="s">
        <v>1751</v>
      </c>
      <c r="D256" s="4" t="s">
        <v>1752</v>
      </c>
      <c r="E256" s="4" t="s">
        <v>1452</v>
      </c>
      <c r="F256" s="4" t="s">
        <v>1753</v>
      </c>
      <c r="G256" s="5" t="s">
        <v>1754</v>
      </c>
    </row>
    <row r="257" spans="2:10" ht="20.25" customHeight="1" x14ac:dyDescent="0.4">
      <c r="B257" s="7" t="s">
        <v>1032</v>
      </c>
      <c r="C257" s="4" t="s">
        <v>1033</v>
      </c>
      <c r="D257" s="4" t="s">
        <v>1755</v>
      </c>
      <c r="E257" s="4" t="s">
        <v>1756</v>
      </c>
      <c r="F257" s="4" t="s">
        <v>1757</v>
      </c>
      <c r="G257" s="5" t="s">
        <v>1758</v>
      </c>
      <c r="H257" s="4" t="s">
        <v>1759</v>
      </c>
    </row>
    <row r="258" spans="2:10" ht="20.25" customHeight="1" x14ac:dyDescent="0.4">
      <c r="C258" s="4" t="s">
        <v>1760</v>
      </c>
      <c r="D258" s="5" t="s">
        <v>1761</v>
      </c>
      <c r="E258" s="4" t="s">
        <v>1142</v>
      </c>
      <c r="F258" s="4" t="s">
        <v>1762</v>
      </c>
      <c r="G258" s="4" t="s">
        <v>1763</v>
      </c>
    </row>
    <row r="259" spans="2:10" ht="20.25" customHeight="1" x14ac:dyDescent="0.4">
      <c r="B259" s="7" t="s">
        <v>1764</v>
      </c>
      <c r="C259" s="4" t="s">
        <v>1760</v>
      </c>
      <c r="D259" s="4" t="s">
        <v>1310</v>
      </c>
      <c r="E259" s="4" t="s">
        <v>272</v>
      </c>
      <c r="F259" s="4" t="s">
        <v>1765</v>
      </c>
      <c r="G259" s="4" t="s">
        <v>1766</v>
      </c>
      <c r="H259" s="4" t="s">
        <v>1767</v>
      </c>
      <c r="J259" s="4" t="s">
        <v>1768</v>
      </c>
    </row>
    <row r="260" spans="2:10" ht="20.25" customHeight="1" x14ac:dyDescent="0.4">
      <c r="B260" s="7" t="s">
        <v>1764</v>
      </c>
      <c r="C260" s="4" t="s">
        <v>1760</v>
      </c>
      <c r="D260" s="4" t="s">
        <v>1310</v>
      </c>
      <c r="E260" s="4" t="s">
        <v>272</v>
      </c>
      <c r="F260" s="4" t="s">
        <v>1769</v>
      </c>
      <c r="G260" s="4" t="s">
        <v>1770</v>
      </c>
      <c r="J260" s="4" t="s">
        <v>1771</v>
      </c>
    </row>
    <row r="261" spans="2:10" ht="20.25" customHeight="1" x14ac:dyDescent="0.4">
      <c r="B261" s="7" t="s">
        <v>1764</v>
      </c>
      <c r="C261" s="4" t="s">
        <v>1760</v>
      </c>
      <c r="D261" s="4" t="s">
        <v>1772</v>
      </c>
      <c r="E261" s="4" t="s">
        <v>272</v>
      </c>
      <c r="F261" s="4" t="s">
        <v>1773</v>
      </c>
      <c r="J261" s="4" t="s">
        <v>1774</v>
      </c>
    </row>
    <row r="262" spans="2:10" ht="20.25" customHeight="1" x14ac:dyDescent="0.4">
      <c r="B262" s="7" t="s">
        <v>1764</v>
      </c>
      <c r="C262" s="4" t="s">
        <v>1760</v>
      </c>
      <c r="D262" s="4" t="s">
        <v>1775</v>
      </c>
      <c r="E262" s="4" t="s">
        <v>272</v>
      </c>
      <c r="F262" s="4" t="s">
        <v>272</v>
      </c>
      <c r="G262" s="4" t="s">
        <v>1776</v>
      </c>
    </row>
    <row r="263" spans="2:10" ht="20.25" customHeight="1" x14ac:dyDescent="0.4">
      <c r="B263" s="7" t="s">
        <v>1764</v>
      </c>
      <c r="C263" s="4" t="s">
        <v>1760</v>
      </c>
      <c r="D263" s="4" t="s">
        <v>1310</v>
      </c>
      <c r="E263" s="4" t="s">
        <v>272</v>
      </c>
      <c r="F263" s="4" t="s">
        <v>1777</v>
      </c>
      <c r="G263" s="4" t="s">
        <v>1778</v>
      </c>
    </row>
    <row r="264" spans="2:10" ht="20.25" customHeight="1" x14ac:dyDescent="0.4">
      <c r="B264" s="7" t="s">
        <v>1764</v>
      </c>
      <c r="C264" s="4" t="s">
        <v>1760</v>
      </c>
      <c r="D264" s="4" t="s">
        <v>1779</v>
      </c>
      <c r="E264" s="4" t="s">
        <v>272</v>
      </c>
      <c r="F264" s="4" t="s">
        <v>1780</v>
      </c>
      <c r="G264" s="4" t="s">
        <v>1781</v>
      </c>
      <c r="J264" s="4" t="s">
        <v>1782</v>
      </c>
    </row>
    <row r="265" spans="2:10" ht="20.25" customHeight="1" x14ac:dyDescent="0.4">
      <c r="C265" s="4" t="s">
        <v>1760</v>
      </c>
      <c r="D265" s="4" t="s">
        <v>1783</v>
      </c>
      <c r="E265" s="4" t="s">
        <v>1784</v>
      </c>
      <c r="F265" s="4" t="s">
        <v>1785</v>
      </c>
      <c r="G265" s="4" t="s">
        <v>1786</v>
      </c>
    </row>
    <row r="266" spans="2:10" ht="20.25" customHeight="1" x14ac:dyDescent="0.4">
      <c r="C266" s="4" t="s">
        <v>1760</v>
      </c>
      <c r="D266" s="4" t="s">
        <v>1787</v>
      </c>
      <c r="E266" s="4" t="s">
        <v>1784</v>
      </c>
      <c r="F266" s="4" t="s">
        <v>1788</v>
      </c>
      <c r="G266" s="4" t="s">
        <v>1789</v>
      </c>
    </row>
    <row r="267" spans="2:10" ht="20.25" customHeight="1" x14ac:dyDescent="0.4">
      <c r="C267" s="4" t="s">
        <v>1760</v>
      </c>
      <c r="D267" s="4" t="s">
        <v>1790</v>
      </c>
      <c r="E267" s="4" t="s">
        <v>1784</v>
      </c>
      <c r="F267" s="4" t="s">
        <v>1791</v>
      </c>
      <c r="G267" s="4" t="s">
        <v>1792</v>
      </c>
    </row>
    <row r="268" spans="2:10" ht="20.25" customHeight="1" x14ac:dyDescent="0.4">
      <c r="C268" s="4" t="s">
        <v>1760</v>
      </c>
      <c r="D268" s="4" t="s">
        <v>1793</v>
      </c>
      <c r="E268" s="4" t="s">
        <v>1784</v>
      </c>
      <c r="F268" s="4" t="s">
        <v>1794</v>
      </c>
      <c r="G268" s="4" t="s">
        <v>1795</v>
      </c>
    </row>
    <row r="269" spans="2:10" ht="20.25" customHeight="1" x14ac:dyDescent="0.4">
      <c r="C269" s="4" t="s">
        <v>1760</v>
      </c>
      <c r="D269" s="4" t="s">
        <v>1796</v>
      </c>
      <c r="E269" s="4" t="s">
        <v>1784</v>
      </c>
      <c r="F269" s="4" t="s">
        <v>1797</v>
      </c>
      <c r="G269" s="4" t="s">
        <v>1798</v>
      </c>
      <c r="H269" s="4" t="s">
        <v>1799</v>
      </c>
      <c r="J269" s="4" t="s">
        <v>1800</v>
      </c>
    </row>
    <row r="270" spans="2:10" ht="20.25" customHeight="1" x14ac:dyDescent="0.4">
      <c r="C270" s="4" t="s">
        <v>1760</v>
      </c>
      <c r="D270" s="4" t="s">
        <v>1801</v>
      </c>
      <c r="E270" s="4" t="s">
        <v>1784</v>
      </c>
      <c r="F270" s="4" t="s">
        <v>1784</v>
      </c>
      <c r="G270" s="4" t="s">
        <v>1802</v>
      </c>
      <c r="J270" s="4" t="s">
        <v>1803</v>
      </c>
    </row>
    <row r="271" spans="2:10" ht="20.25" customHeight="1" x14ac:dyDescent="0.4">
      <c r="C271" s="4" t="s">
        <v>1760</v>
      </c>
      <c r="D271" s="4" t="s">
        <v>1804</v>
      </c>
      <c r="E271" s="4" t="s">
        <v>1784</v>
      </c>
      <c r="F271" s="4" t="s">
        <v>1805</v>
      </c>
      <c r="G271" s="4" t="s">
        <v>1806</v>
      </c>
      <c r="J271" s="4" t="s">
        <v>1807</v>
      </c>
    </row>
    <row r="272" spans="2:10" ht="20.25" customHeight="1" x14ac:dyDescent="0.4">
      <c r="C272" s="4" t="s">
        <v>1760</v>
      </c>
      <c r="D272" s="4" t="s">
        <v>1808</v>
      </c>
      <c r="E272" s="4" t="s">
        <v>1784</v>
      </c>
      <c r="F272" s="4" t="s">
        <v>1809</v>
      </c>
      <c r="G272" s="4" t="s">
        <v>1810</v>
      </c>
    </row>
    <row r="273" spans="2:11" ht="20.25" customHeight="1" x14ac:dyDescent="0.4">
      <c r="C273" s="4" t="s">
        <v>1811</v>
      </c>
      <c r="D273" s="4" t="s">
        <v>1812</v>
      </c>
      <c r="E273" s="4" t="s">
        <v>1142</v>
      </c>
      <c r="F273" s="4" t="s">
        <v>639</v>
      </c>
      <c r="G273" s="4" t="s">
        <v>1813</v>
      </c>
    </row>
    <row r="274" spans="2:11" ht="20.25" customHeight="1" x14ac:dyDescent="0.4">
      <c r="C274" s="4" t="s">
        <v>1811</v>
      </c>
      <c r="D274" s="4" t="s">
        <v>1814</v>
      </c>
      <c r="E274" s="4" t="s">
        <v>1142</v>
      </c>
      <c r="F274" s="4" t="s">
        <v>1815</v>
      </c>
      <c r="G274" s="4" t="s">
        <v>1816</v>
      </c>
    </row>
    <row r="275" spans="2:11" ht="20.25" customHeight="1" x14ac:dyDescent="0.4">
      <c r="C275" s="4" t="s">
        <v>1817</v>
      </c>
      <c r="D275" s="4" t="s">
        <v>1818</v>
      </c>
      <c r="E275" s="4" t="s">
        <v>1452</v>
      </c>
      <c r="F275" s="4" t="s">
        <v>1819</v>
      </c>
      <c r="G275" s="4" t="s">
        <v>1820</v>
      </c>
    </row>
    <row r="276" spans="2:11" ht="20.25" customHeight="1" x14ac:dyDescent="0.4">
      <c r="C276" s="4" t="s">
        <v>1821</v>
      </c>
      <c r="D276" s="4" t="s">
        <v>1822</v>
      </c>
      <c r="E276" s="4" t="s">
        <v>1142</v>
      </c>
      <c r="F276" s="4" t="s">
        <v>1823</v>
      </c>
      <c r="G276" s="4" t="s">
        <v>1824</v>
      </c>
    </row>
    <row r="277" spans="2:11" ht="20.25" customHeight="1" x14ac:dyDescent="0.4">
      <c r="C277" s="4" t="s">
        <v>1821</v>
      </c>
      <c r="D277" s="4" t="s">
        <v>1825</v>
      </c>
      <c r="E277" s="4" t="s">
        <v>1142</v>
      </c>
      <c r="F277" s="4" t="s">
        <v>1826</v>
      </c>
      <c r="G277" s="4" t="s">
        <v>1827</v>
      </c>
    </row>
    <row r="278" spans="2:11" ht="20.25" customHeight="1" x14ac:dyDescent="0.4">
      <c r="C278" s="4" t="s">
        <v>1821</v>
      </c>
      <c r="D278" s="4" t="s">
        <v>1828</v>
      </c>
      <c r="E278" s="4" t="s">
        <v>1142</v>
      </c>
      <c r="F278" s="4" t="s">
        <v>1829</v>
      </c>
      <c r="G278" s="4" t="s">
        <v>1830</v>
      </c>
      <c r="H278" s="4" t="s">
        <v>1831</v>
      </c>
    </row>
    <row r="279" spans="2:11" ht="20.25" customHeight="1" x14ac:dyDescent="0.4">
      <c r="C279" s="4" t="s">
        <v>1832</v>
      </c>
      <c r="D279" s="4" t="s">
        <v>1833</v>
      </c>
      <c r="E279" s="4" t="s">
        <v>1834</v>
      </c>
      <c r="F279" s="4" t="s">
        <v>1835</v>
      </c>
      <c r="G279" s="4" t="s">
        <v>1836</v>
      </c>
      <c r="J279" s="4" t="s">
        <v>1837</v>
      </c>
    </row>
    <row r="280" spans="2:11" ht="20.25" customHeight="1" x14ac:dyDescent="0.4">
      <c r="C280" s="4" t="s">
        <v>1832</v>
      </c>
      <c r="D280" s="4" t="s">
        <v>1838</v>
      </c>
      <c r="E280" s="4" t="s">
        <v>1834</v>
      </c>
      <c r="F280" s="4" t="s">
        <v>1839</v>
      </c>
      <c r="G280" s="4" t="s">
        <v>1840</v>
      </c>
    </row>
    <row r="281" spans="2:11" ht="20.25" customHeight="1" x14ac:dyDescent="0.4">
      <c r="C281" s="4" t="s">
        <v>1832</v>
      </c>
      <c r="D281" s="4" t="s">
        <v>1841</v>
      </c>
      <c r="E281" s="4" t="s">
        <v>1834</v>
      </c>
      <c r="F281" s="4" t="s">
        <v>1842</v>
      </c>
      <c r="G281" s="4" t="s">
        <v>1843</v>
      </c>
      <c r="J281" s="4" t="s">
        <v>1844</v>
      </c>
    </row>
    <row r="282" spans="2:11" ht="20.25" customHeight="1" x14ac:dyDescent="0.4">
      <c r="C282" s="7" t="s">
        <v>1845</v>
      </c>
      <c r="D282" s="4" t="s">
        <v>1098</v>
      </c>
      <c r="E282" s="4" t="s">
        <v>1142</v>
      </c>
      <c r="F282" s="4" t="s">
        <v>1846</v>
      </c>
      <c r="G282" s="4" t="s">
        <v>1847</v>
      </c>
    </row>
    <row r="283" spans="2:11" ht="20.25" customHeight="1" x14ac:dyDescent="0.4">
      <c r="C283" s="7" t="s">
        <v>1845</v>
      </c>
      <c r="D283" s="4" t="s">
        <v>1848</v>
      </c>
      <c r="E283" s="4" t="s">
        <v>1142</v>
      </c>
      <c r="F283" s="4" t="s">
        <v>1849</v>
      </c>
      <c r="G283" s="4" t="s">
        <v>1850</v>
      </c>
      <c r="I283" s="4" t="s">
        <v>1851</v>
      </c>
    </row>
    <row r="284" spans="2:11" ht="20.25" customHeight="1" x14ac:dyDescent="0.4">
      <c r="B284" s="7" t="s">
        <v>1852</v>
      </c>
      <c r="C284" s="7" t="s">
        <v>1853</v>
      </c>
      <c r="D284" s="7" t="s">
        <v>1854</v>
      </c>
      <c r="E284" s="7" t="s">
        <v>676</v>
      </c>
      <c r="F284" s="7" t="s">
        <v>676</v>
      </c>
      <c r="G284" s="7" t="s">
        <v>1855</v>
      </c>
      <c r="H284" s="7" t="s">
        <v>1856</v>
      </c>
      <c r="J284" s="4" t="s">
        <v>1857</v>
      </c>
      <c r="K284" s="4" t="s">
        <v>1857</v>
      </c>
    </row>
    <row r="285" spans="2:11" ht="20.25" customHeight="1" x14ac:dyDescent="0.4">
      <c r="B285" s="7" t="s">
        <v>1852</v>
      </c>
      <c r="C285" s="28" t="s">
        <v>1853</v>
      </c>
      <c r="D285" s="7" t="s">
        <v>1858</v>
      </c>
      <c r="E285" s="7" t="s">
        <v>676</v>
      </c>
      <c r="F285" s="28" t="s">
        <v>1859</v>
      </c>
      <c r="G285" s="28" t="s">
        <v>1860</v>
      </c>
      <c r="H285" s="28" t="s">
        <v>1861</v>
      </c>
      <c r="I285" s="28" t="s">
        <v>1862</v>
      </c>
      <c r="J285" s="28" t="s">
        <v>1863</v>
      </c>
      <c r="K285" s="28" t="s">
        <v>1864</v>
      </c>
    </row>
    <row r="286" spans="2:11" ht="20.25" customHeight="1" x14ac:dyDescent="0.4">
      <c r="B286" s="7" t="s">
        <v>1852</v>
      </c>
      <c r="C286" s="28" t="s">
        <v>1853</v>
      </c>
      <c r="D286" s="8" t="s">
        <v>1865</v>
      </c>
      <c r="E286" s="7" t="s">
        <v>676</v>
      </c>
      <c r="F286" s="28" t="s">
        <v>1866</v>
      </c>
      <c r="G286" s="28" t="s">
        <v>1867</v>
      </c>
      <c r="H286" s="28" t="s">
        <v>1868</v>
      </c>
      <c r="I286" s="28" t="s">
        <v>1869</v>
      </c>
      <c r="J286" s="28" t="s">
        <v>1557</v>
      </c>
      <c r="K286" s="28" t="s">
        <v>1870</v>
      </c>
    </row>
    <row r="287" spans="2:11" ht="20.25" customHeight="1" x14ac:dyDescent="0.4">
      <c r="B287" s="7" t="s">
        <v>1852</v>
      </c>
      <c r="C287" s="28" t="s">
        <v>1853</v>
      </c>
      <c r="D287" s="28" t="s">
        <v>1871</v>
      </c>
      <c r="E287" s="7" t="s">
        <v>676</v>
      </c>
      <c r="F287" s="28" t="s">
        <v>1872</v>
      </c>
      <c r="G287" s="28" t="s">
        <v>1873</v>
      </c>
      <c r="H287" s="28" t="s">
        <v>1874</v>
      </c>
      <c r="I287" s="28" t="s">
        <v>1875</v>
      </c>
      <c r="J287" s="28" t="s">
        <v>1876</v>
      </c>
    </row>
    <row r="288" spans="2:11" ht="20.25" customHeight="1" x14ac:dyDescent="0.4">
      <c r="B288" s="7" t="s">
        <v>1852</v>
      </c>
      <c r="C288" s="28" t="s">
        <v>1853</v>
      </c>
      <c r="D288" s="28" t="s">
        <v>1877</v>
      </c>
      <c r="E288" s="7" t="s">
        <v>676</v>
      </c>
      <c r="F288" s="28" t="s">
        <v>1878</v>
      </c>
      <c r="G288" s="28" t="s">
        <v>1879</v>
      </c>
      <c r="H288" s="28" t="s">
        <v>1880</v>
      </c>
      <c r="I288" s="28" t="s">
        <v>1881</v>
      </c>
      <c r="J288" s="28" t="s">
        <v>1882</v>
      </c>
    </row>
    <row r="289" spans="2:11" ht="20.25" customHeight="1" x14ac:dyDescent="0.4">
      <c r="B289" s="7" t="s">
        <v>1852</v>
      </c>
      <c r="C289" s="28" t="s">
        <v>1853</v>
      </c>
      <c r="D289" s="28" t="s">
        <v>1883</v>
      </c>
      <c r="E289" s="7" t="s">
        <v>676</v>
      </c>
      <c r="F289" s="28" t="s">
        <v>1884</v>
      </c>
      <c r="G289" s="28" t="s">
        <v>1885</v>
      </c>
      <c r="H289" s="28" t="s">
        <v>1886</v>
      </c>
      <c r="I289" s="28" t="s">
        <v>1887</v>
      </c>
      <c r="J289" s="28" t="s">
        <v>1888</v>
      </c>
    </row>
    <row r="290" spans="2:11" ht="20.25" customHeight="1" x14ac:dyDescent="0.4">
      <c r="B290" s="7" t="s">
        <v>1852</v>
      </c>
      <c r="C290" s="28" t="s">
        <v>1853</v>
      </c>
      <c r="D290" s="28" t="s">
        <v>1889</v>
      </c>
      <c r="E290" s="7" t="s">
        <v>676</v>
      </c>
      <c r="F290" s="28" t="s">
        <v>1890</v>
      </c>
      <c r="G290" s="28" t="s">
        <v>1891</v>
      </c>
      <c r="H290" s="28" t="s">
        <v>1892</v>
      </c>
      <c r="I290" s="28" t="s">
        <v>1893</v>
      </c>
      <c r="J290" s="28" t="s">
        <v>1894</v>
      </c>
      <c r="K290" s="28" t="s">
        <v>1895</v>
      </c>
    </row>
    <row r="291" spans="2:11" ht="20.25" customHeight="1" x14ac:dyDescent="0.4">
      <c r="B291" s="7" t="s">
        <v>1852</v>
      </c>
      <c r="C291" s="28" t="s">
        <v>1853</v>
      </c>
      <c r="D291" s="102" t="s">
        <v>1896</v>
      </c>
      <c r="E291" s="7" t="s">
        <v>676</v>
      </c>
      <c r="F291" s="28" t="s">
        <v>1897</v>
      </c>
      <c r="G291" s="28" t="s">
        <v>1898</v>
      </c>
      <c r="H291" s="28" t="s">
        <v>1899</v>
      </c>
      <c r="I291" s="28" t="s">
        <v>1900</v>
      </c>
      <c r="J291" s="28" t="s">
        <v>1901</v>
      </c>
    </row>
    <row r="292" spans="2:11" ht="20.25" customHeight="1" x14ac:dyDescent="0.4">
      <c r="B292" s="7" t="s">
        <v>1852</v>
      </c>
      <c r="C292" s="28" t="s">
        <v>1853</v>
      </c>
      <c r="D292" s="28" t="s">
        <v>1902</v>
      </c>
      <c r="E292" s="7" t="s">
        <v>676</v>
      </c>
      <c r="F292" s="28" t="s">
        <v>1903</v>
      </c>
      <c r="G292" s="28" t="s">
        <v>1904</v>
      </c>
      <c r="I292" s="28" t="s">
        <v>1905</v>
      </c>
      <c r="J292" s="28" t="s">
        <v>1906</v>
      </c>
    </row>
    <row r="293" spans="2:11" ht="20.25" customHeight="1" x14ac:dyDescent="0.4">
      <c r="B293" s="7" t="s">
        <v>1852</v>
      </c>
      <c r="C293" s="28" t="s">
        <v>1853</v>
      </c>
      <c r="D293" s="28" t="s">
        <v>1907</v>
      </c>
      <c r="E293" s="7" t="s">
        <v>676</v>
      </c>
      <c r="F293" s="28" t="s">
        <v>1908</v>
      </c>
      <c r="G293" s="28" t="s">
        <v>1909</v>
      </c>
      <c r="I293" s="28" t="s">
        <v>1910</v>
      </c>
      <c r="J293" s="28" t="s">
        <v>1907</v>
      </c>
    </row>
    <row r="294" spans="2:11" ht="20.25" customHeight="1" x14ac:dyDescent="0.4">
      <c r="B294" s="7" t="s">
        <v>803</v>
      </c>
      <c r="C294" s="4" t="s">
        <v>804</v>
      </c>
      <c r="D294" s="4" t="s">
        <v>1911</v>
      </c>
      <c r="E294" s="4" t="s">
        <v>1912</v>
      </c>
      <c r="F294" s="4" t="s">
        <v>1913</v>
      </c>
      <c r="G294" s="4" t="s">
        <v>1914</v>
      </c>
      <c r="H294" s="72" t="s">
        <v>701</v>
      </c>
      <c r="I294" s="28" t="s">
        <v>1915</v>
      </c>
      <c r="J294" s="4" t="s">
        <v>1916</v>
      </c>
    </row>
    <row r="295" spans="2:11" ht="20.25" customHeight="1" x14ac:dyDescent="0.4">
      <c r="B295" s="7" t="s">
        <v>803</v>
      </c>
      <c r="C295" s="4" t="s">
        <v>804</v>
      </c>
      <c r="D295" s="4" t="s">
        <v>1917</v>
      </c>
      <c r="E295" s="4" t="s">
        <v>1912</v>
      </c>
      <c r="F295" s="4" t="s">
        <v>1918</v>
      </c>
      <c r="G295" s="4" t="s">
        <v>1919</v>
      </c>
      <c r="H295" s="4" t="s">
        <v>1920</v>
      </c>
      <c r="J295" s="4" t="s">
        <v>1921</v>
      </c>
      <c r="K295" s="40" t="s">
        <v>763</v>
      </c>
    </row>
    <row r="296" spans="2:11" ht="20.25" customHeight="1" x14ac:dyDescent="0.4">
      <c r="B296" s="7" t="s">
        <v>803</v>
      </c>
      <c r="C296" s="4" t="s">
        <v>804</v>
      </c>
      <c r="D296" s="4" t="s">
        <v>1922</v>
      </c>
      <c r="E296" s="4" t="s">
        <v>1912</v>
      </c>
      <c r="F296" s="12" t="s">
        <v>1923</v>
      </c>
      <c r="G296" s="12" t="s">
        <v>1924</v>
      </c>
      <c r="I296" s="4" t="s">
        <v>1026</v>
      </c>
      <c r="J296" s="4" t="s">
        <v>1925</v>
      </c>
    </row>
    <row r="297" spans="2:11" ht="20.25" customHeight="1" x14ac:dyDescent="0.4">
      <c r="B297" s="7" t="s">
        <v>803</v>
      </c>
      <c r="C297" s="4" t="s">
        <v>804</v>
      </c>
      <c r="D297" s="4" t="s">
        <v>1098</v>
      </c>
      <c r="E297" s="4" t="s">
        <v>1912</v>
      </c>
      <c r="F297" s="4" t="s">
        <v>1926</v>
      </c>
      <c r="G297" s="4" t="s">
        <v>1927</v>
      </c>
    </row>
    <row r="298" spans="2:11" ht="20.25" customHeight="1" x14ac:dyDescent="0.4">
      <c r="B298" s="7" t="s">
        <v>803</v>
      </c>
      <c r="C298" s="4" t="s">
        <v>804</v>
      </c>
      <c r="D298" s="4" t="s">
        <v>1928</v>
      </c>
      <c r="E298" s="4" t="s">
        <v>1912</v>
      </c>
      <c r="F298" s="4" t="s">
        <v>1929</v>
      </c>
      <c r="G298" s="4" t="s">
        <v>1930</v>
      </c>
      <c r="J298" s="4" t="s">
        <v>1931</v>
      </c>
    </row>
    <row r="299" spans="2:11" ht="20.25" customHeight="1" x14ac:dyDescent="0.4">
      <c r="B299" s="7" t="s">
        <v>803</v>
      </c>
      <c r="C299" s="4" t="s">
        <v>804</v>
      </c>
      <c r="D299" s="4" t="s">
        <v>1932</v>
      </c>
      <c r="E299" s="4" t="s">
        <v>1912</v>
      </c>
      <c r="F299" s="12" t="s">
        <v>1933</v>
      </c>
      <c r="G299" s="4" t="s">
        <v>1919</v>
      </c>
      <c r="H299" s="4" t="s">
        <v>1920</v>
      </c>
    </row>
    <row r="300" spans="2:11" ht="20.25" customHeight="1" x14ac:dyDescent="0.4">
      <c r="B300" s="7" t="s">
        <v>803</v>
      </c>
      <c r="C300" s="4" t="s">
        <v>804</v>
      </c>
      <c r="D300" s="4" t="s">
        <v>1934</v>
      </c>
      <c r="E300" s="4" t="s">
        <v>1912</v>
      </c>
      <c r="F300" s="4" t="s">
        <v>1935</v>
      </c>
      <c r="G300" s="4" t="s">
        <v>1936</v>
      </c>
      <c r="H300" s="4" t="s">
        <v>1937</v>
      </c>
      <c r="I300" s="4" t="s">
        <v>1938</v>
      </c>
      <c r="K300" s="4" t="s">
        <v>1939</v>
      </c>
    </row>
    <row r="301" spans="2:11" ht="20.25" customHeight="1" x14ac:dyDescent="0.4">
      <c r="B301" s="7" t="s">
        <v>803</v>
      </c>
      <c r="C301" s="4" t="s">
        <v>804</v>
      </c>
      <c r="D301" s="4" t="s">
        <v>1101</v>
      </c>
      <c r="E301" s="4" t="s">
        <v>1912</v>
      </c>
      <c r="F301" s="4" t="s">
        <v>1940</v>
      </c>
      <c r="G301" s="4" t="s">
        <v>1924</v>
      </c>
      <c r="H301" s="4" t="s">
        <v>1941</v>
      </c>
    </row>
    <row r="302" spans="2:11" ht="20.25" customHeight="1" x14ac:dyDescent="0.4">
      <c r="B302" s="7" t="s">
        <v>803</v>
      </c>
      <c r="C302" s="4" t="s">
        <v>804</v>
      </c>
      <c r="D302" s="4" t="s">
        <v>1942</v>
      </c>
      <c r="E302" s="4" t="s">
        <v>1912</v>
      </c>
      <c r="F302" s="4" t="s">
        <v>1943</v>
      </c>
      <c r="G302" s="4" t="s">
        <v>1941</v>
      </c>
      <c r="H302" s="4" t="s">
        <v>1944</v>
      </c>
      <c r="I302" s="4" t="s">
        <v>1945</v>
      </c>
    </row>
    <row r="303" spans="2:11" ht="20.25" customHeight="1" x14ac:dyDescent="0.4">
      <c r="B303" s="7" t="s">
        <v>803</v>
      </c>
      <c r="C303" s="4" t="s">
        <v>804</v>
      </c>
      <c r="D303" s="4" t="s">
        <v>1946</v>
      </c>
      <c r="E303" s="4" t="s">
        <v>1912</v>
      </c>
      <c r="F303" s="4" t="s">
        <v>1947</v>
      </c>
      <c r="J303" s="4" t="s">
        <v>1948</v>
      </c>
    </row>
    <row r="304" spans="2:11" ht="20.25" customHeight="1" x14ac:dyDescent="0.4">
      <c r="B304" s="7" t="s">
        <v>803</v>
      </c>
      <c r="C304" s="4" t="s">
        <v>1949</v>
      </c>
      <c r="D304" s="4" t="s">
        <v>1950</v>
      </c>
      <c r="E304" s="4" t="s">
        <v>1452</v>
      </c>
      <c r="F304" s="4" t="s">
        <v>1951</v>
      </c>
      <c r="G304" s="4" t="s">
        <v>1952</v>
      </c>
    </row>
    <row r="305" spans="2:12" ht="20.25" customHeight="1" x14ac:dyDescent="0.4">
      <c r="B305" s="7" t="s">
        <v>803</v>
      </c>
      <c r="C305" s="4" t="s">
        <v>1949</v>
      </c>
      <c r="D305" s="4" t="s">
        <v>1953</v>
      </c>
      <c r="E305" s="4" t="s">
        <v>1452</v>
      </c>
      <c r="F305" s="4" t="s">
        <v>1954</v>
      </c>
      <c r="G305" s="4" t="s">
        <v>1955</v>
      </c>
    </row>
    <row r="306" spans="2:12" ht="20.25" customHeight="1" x14ac:dyDescent="0.4">
      <c r="B306" s="7" t="s">
        <v>803</v>
      </c>
      <c r="C306" s="4" t="s">
        <v>804</v>
      </c>
      <c r="D306" s="4" t="s">
        <v>1956</v>
      </c>
      <c r="E306" s="4" t="s">
        <v>1142</v>
      </c>
      <c r="F306" s="4" t="s">
        <v>1957</v>
      </c>
      <c r="G306" s="4" t="s">
        <v>1958</v>
      </c>
      <c r="I306" s="4" t="s">
        <v>1959</v>
      </c>
    </row>
    <row r="307" spans="2:12" ht="20.25" customHeight="1" x14ac:dyDescent="0.4">
      <c r="B307" s="7" t="s">
        <v>803</v>
      </c>
      <c r="C307" s="4" t="s">
        <v>804</v>
      </c>
      <c r="D307" s="4" t="s">
        <v>1960</v>
      </c>
      <c r="E307" s="4" t="s">
        <v>1142</v>
      </c>
      <c r="F307" s="4" t="s">
        <v>1961</v>
      </c>
      <c r="G307" s="4" t="s">
        <v>1962</v>
      </c>
    </row>
    <row r="308" spans="2:12" ht="20.25" customHeight="1" x14ac:dyDescent="0.4">
      <c r="B308" s="7" t="s">
        <v>803</v>
      </c>
      <c r="C308" s="4" t="s">
        <v>804</v>
      </c>
      <c r="D308" s="4" t="s">
        <v>1963</v>
      </c>
      <c r="E308" s="4" t="s">
        <v>1142</v>
      </c>
      <c r="F308" s="4" t="s">
        <v>989</v>
      </c>
      <c r="G308" s="4" t="s">
        <v>1964</v>
      </c>
    </row>
    <row r="309" spans="2:12" ht="20.25" customHeight="1" x14ac:dyDescent="0.4">
      <c r="B309" s="7" t="s">
        <v>803</v>
      </c>
      <c r="C309" s="4" t="s">
        <v>804</v>
      </c>
      <c r="D309" s="4" t="s">
        <v>1965</v>
      </c>
      <c r="E309" s="4" t="s">
        <v>1966</v>
      </c>
      <c r="F309" s="4" t="s">
        <v>1967</v>
      </c>
      <c r="G309" s="4" t="s">
        <v>1968</v>
      </c>
      <c r="J309" s="4" t="s">
        <v>973</v>
      </c>
    </row>
    <row r="310" spans="2:12" ht="20.25" customHeight="1" x14ac:dyDescent="0.4">
      <c r="B310" s="7" t="s">
        <v>803</v>
      </c>
      <c r="C310" s="4" t="s">
        <v>804</v>
      </c>
      <c r="D310" s="4" t="s">
        <v>1969</v>
      </c>
      <c r="E310" s="4" t="s">
        <v>323</v>
      </c>
      <c r="F310" s="4" t="s">
        <v>1970</v>
      </c>
      <c r="G310" s="4" t="s">
        <v>1971</v>
      </c>
      <c r="J310" s="4" t="s">
        <v>1972</v>
      </c>
      <c r="K310" s="4" t="s">
        <v>1973</v>
      </c>
    </row>
    <row r="311" spans="2:12" ht="20.25" customHeight="1" x14ac:dyDescent="0.4">
      <c r="B311" s="7" t="s">
        <v>803</v>
      </c>
      <c r="C311" s="4" t="s">
        <v>804</v>
      </c>
      <c r="D311" s="4" t="s">
        <v>1974</v>
      </c>
      <c r="E311" s="4" t="s">
        <v>323</v>
      </c>
      <c r="F311" s="4" t="s">
        <v>1975</v>
      </c>
      <c r="G311" s="4" t="s">
        <v>1976</v>
      </c>
      <c r="I311" s="7" t="s">
        <v>1977</v>
      </c>
      <c r="J311" s="4" t="s">
        <v>1978</v>
      </c>
    </row>
    <row r="312" spans="2:12" ht="20.25" customHeight="1" x14ac:dyDescent="0.4">
      <c r="B312" s="7" t="s">
        <v>803</v>
      </c>
      <c r="C312" s="4" t="s">
        <v>804</v>
      </c>
      <c r="D312" s="8" t="s">
        <v>958</v>
      </c>
      <c r="E312" s="4" t="s">
        <v>323</v>
      </c>
      <c r="F312" s="4" t="s">
        <v>1979</v>
      </c>
      <c r="G312" s="4" t="s">
        <v>1980</v>
      </c>
      <c r="H312" s="4" t="s">
        <v>1981</v>
      </c>
      <c r="J312" s="7" t="s">
        <v>1982</v>
      </c>
    </row>
    <row r="313" spans="2:12" ht="20.25" customHeight="1" x14ac:dyDescent="0.4">
      <c r="B313" s="7" t="s">
        <v>803</v>
      </c>
      <c r="C313" s="4" t="s">
        <v>804</v>
      </c>
      <c r="E313" s="4" t="s">
        <v>323</v>
      </c>
      <c r="F313" s="4" t="s">
        <v>1983</v>
      </c>
      <c r="G313" s="4" t="s">
        <v>1310</v>
      </c>
      <c r="H313" s="4" t="s">
        <v>1310</v>
      </c>
    </row>
    <row r="314" spans="2:12" ht="20.25" customHeight="1" x14ac:dyDescent="0.4">
      <c r="B314" s="7" t="s">
        <v>803</v>
      </c>
      <c r="C314" s="4" t="s">
        <v>804</v>
      </c>
      <c r="D314" s="4" t="s">
        <v>1960</v>
      </c>
      <c r="E314" s="4" t="s">
        <v>323</v>
      </c>
      <c r="F314" s="4" t="s">
        <v>323</v>
      </c>
      <c r="G314" s="4" t="s">
        <v>1984</v>
      </c>
      <c r="H314" s="4" t="s">
        <v>1985</v>
      </c>
      <c r="K314" s="4" t="s">
        <v>1986</v>
      </c>
    </row>
    <row r="315" spans="2:12" ht="20.25" customHeight="1" x14ac:dyDescent="0.4">
      <c r="B315" s="7" t="s">
        <v>803</v>
      </c>
      <c r="C315" s="4" t="s">
        <v>804</v>
      </c>
      <c r="D315" s="8" t="s">
        <v>1987</v>
      </c>
      <c r="E315" s="4" t="s">
        <v>323</v>
      </c>
      <c r="F315" s="4" t="s">
        <v>1988</v>
      </c>
      <c r="G315" s="4" t="s">
        <v>1989</v>
      </c>
      <c r="H315" s="4" t="s">
        <v>1990</v>
      </c>
      <c r="J315" s="4" t="s">
        <v>1991</v>
      </c>
      <c r="K315" s="4" t="s">
        <v>1992</v>
      </c>
    </row>
    <row r="316" spans="2:12" ht="20.25" customHeight="1" x14ac:dyDescent="0.4">
      <c r="B316" s="7" t="s">
        <v>803</v>
      </c>
      <c r="C316" s="4" t="s">
        <v>804</v>
      </c>
      <c r="E316" s="4" t="s">
        <v>323</v>
      </c>
      <c r="F316" s="4" t="s">
        <v>1993</v>
      </c>
      <c r="G316" s="4" t="s">
        <v>1994</v>
      </c>
      <c r="J316" s="4" t="s">
        <v>701</v>
      </c>
    </row>
    <row r="317" spans="2:12" ht="20.25" customHeight="1" x14ac:dyDescent="0.4">
      <c r="B317" s="7" t="s">
        <v>803</v>
      </c>
      <c r="C317" s="4" t="s">
        <v>804</v>
      </c>
      <c r="D317" s="12" t="s">
        <v>1995</v>
      </c>
      <c r="E317" s="4" t="s">
        <v>323</v>
      </c>
      <c r="F317" s="4" t="s">
        <v>1996</v>
      </c>
      <c r="G317" s="4" t="s">
        <v>1980</v>
      </c>
      <c r="H317" s="4" t="s">
        <v>1980</v>
      </c>
      <c r="I317" s="12" t="s">
        <v>1974</v>
      </c>
      <c r="J317" s="4" t="s">
        <v>1997</v>
      </c>
      <c r="L317" s="4" t="s">
        <v>1998</v>
      </c>
    </row>
    <row r="318" spans="2:12" ht="20.25" customHeight="1" x14ac:dyDescent="0.4">
      <c r="B318" s="7" t="s">
        <v>803</v>
      </c>
      <c r="C318" s="4" t="s">
        <v>804</v>
      </c>
      <c r="D318" s="12" t="s">
        <v>966</v>
      </c>
      <c r="E318" s="4" t="s">
        <v>323</v>
      </c>
      <c r="F318" s="4" t="s">
        <v>1999</v>
      </c>
      <c r="G318" s="4" t="s">
        <v>2000</v>
      </c>
      <c r="H318" s="4" t="s">
        <v>2001</v>
      </c>
      <c r="J318" s="4" t="s">
        <v>2002</v>
      </c>
    </row>
    <row r="319" spans="2:12" ht="20.25" customHeight="1" x14ac:dyDescent="0.4">
      <c r="B319" s="7" t="s">
        <v>803</v>
      </c>
      <c r="C319" s="4" t="s">
        <v>804</v>
      </c>
      <c r="D319" s="12" t="s">
        <v>2003</v>
      </c>
      <c r="E319" s="4" t="s">
        <v>1815</v>
      </c>
      <c r="F319" s="4" t="s">
        <v>2004</v>
      </c>
      <c r="G319" s="4" t="s">
        <v>2005</v>
      </c>
      <c r="H319" s="4" t="s">
        <v>701</v>
      </c>
      <c r="I319" s="4" t="s">
        <v>2006</v>
      </c>
      <c r="J319" s="4" t="s">
        <v>701</v>
      </c>
      <c r="K319" s="4" t="s">
        <v>2007</v>
      </c>
    </row>
    <row r="320" spans="2:12" ht="20.25" customHeight="1" x14ac:dyDescent="0.4">
      <c r="B320" s="7" t="s">
        <v>803</v>
      </c>
      <c r="C320" s="4" t="s">
        <v>804</v>
      </c>
      <c r="D320" s="12" t="s">
        <v>2008</v>
      </c>
      <c r="E320" s="4" t="s">
        <v>1815</v>
      </c>
      <c r="F320" s="4" t="s">
        <v>2009</v>
      </c>
      <c r="G320" s="4" t="s">
        <v>2010</v>
      </c>
      <c r="K320" s="4" t="s">
        <v>2011</v>
      </c>
      <c r="L320" s="4" t="s">
        <v>2012</v>
      </c>
    </row>
    <row r="321" spans="1:12" ht="20.25" customHeight="1" x14ac:dyDescent="0.4">
      <c r="B321" s="7" t="s">
        <v>803</v>
      </c>
      <c r="C321" s="4" t="s">
        <v>804</v>
      </c>
      <c r="D321" s="12" t="s">
        <v>2013</v>
      </c>
      <c r="E321" s="4" t="s">
        <v>1815</v>
      </c>
      <c r="F321" s="4" t="s">
        <v>2014</v>
      </c>
      <c r="G321" s="4" t="s">
        <v>2015</v>
      </c>
      <c r="H321" s="4" t="s">
        <v>2016</v>
      </c>
      <c r="I321" s="4" t="s">
        <v>2017</v>
      </c>
      <c r="J321" s="4" t="s">
        <v>2018</v>
      </c>
      <c r="K321" s="4" t="s">
        <v>2019</v>
      </c>
      <c r="L321" s="4" t="s">
        <v>2020</v>
      </c>
    </row>
    <row r="322" spans="1:12" ht="20.25" customHeight="1" x14ac:dyDescent="0.4">
      <c r="A322" s="4" t="s">
        <v>701</v>
      </c>
      <c r="B322" s="7" t="s">
        <v>803</v>
      </c>
      <c r="C322" s="4" t="s">
        <v>804</v>
      </c>
      <c r="D322" s="4" t="s">
        <v>2021</v>
      </c>
      <c r="E322" s="4" t="s">
        <v>1815</v>
      </c>
      <c r="F322" s="4" t="s">
        <v>2022</v>
      </c>
      <c r="G322" s="4" t="s">
        <v>2023</v>
      </c>
    </row>
    <row r="323" spans="1:12" ht="20.25" customHeight="1" x14ac:dyDescent="0.4">
      <c r="B323" s="7" t="s">
        <v>803</v>
      </c>
      <c r="C323" s="4" t="s">
        <v>804</v>
      </c>
      <c r="D323" s="4" t="s">
        <v>2024</v>
      </c>
      <c r="E323" s="4" t="s">
        <v>1815</v>
      </c>
      <c r="F323" s="4" t="s">
        <v>2025</v>
      </c>
      <c r="G323" s="4" t="s">
        <v>2026</v>
      </c>
      <c r="H323" s="4" t="s">
        <v>2027</v>
      </c>
      <c r="J323" s="4" t="s">
        <v>2028</v>
      </c>
    </row>
    <row r="324" spans="1:12" ht="20.25" customHeight="1" x14ac:dyDescent="0.4">
      <c r="B324" s="7" t="s">
        <v>803</v>
      </c>
      <c r="C324" s="4" t="s">
        <v>804</v>
      </c>
      <c r="D324" s="4" t="s">
        <v>2029</v>
      </c>
      <c r="E324" s="4" t="s">
        <v>1815</v>
      </c>
      <c r="F324" s="4" t="s">
        <v>2030</v>
      </c>
      <c r="G324" s="4" t="s">
        <v>2031</v>
      </c>
      <c r="I324" s="4" t="s">
        <v>2032</v>
      </c>
      <c r="J324" s="7" t="s">
        <v>2033</v>
      </c>
    </row>
    <row r="325" spans="1:12" ht="20.25" customHeight="1" x14ac:dyDescent="0.4">
      <c r="B325" s="7" t="s">
        <v>803</v>
      </c>
      <c r="C325" s="4" t="s">
        <v>804</v>
      </c>
      <c r="D325" s="4" t="s">
        <v>2034</v>
      </c>
      <c r="E325" s="4" t="s">
        <v>1815</v>
      </c>
      <c r="F325" s="4" t="s">
        <v>2035</v>
      </c>
      <c r="G325" s="4" t="s">
        <v>2031</v>
      </c>
      <c r="I325" s="8" t="s">
        <v>2036</v>
      </c>
      <c r="J325" s="7" t="s">
        <v>2033</v>
      </c>
    </row>
    <row r="326" spans="1:12" ht="20.25" customHeight="1" x14ac:dyDescent="0.4">
      <c r="B326" s="7" t="s">
        <v>803</v>
      </c>
      <c r="C326" s="4" t="s">
        <v>804</v>
      </c>
      <c r="D326" s="4" t="s">
        <v>2037</v>
      </c>
      <c r="E326" s="4" t="s">
        <v>1815</v>
      </c>
      <c r="F326" s="4" t="s">
        <v>1815</v>
      </c>
      <c r="G326" s="4" t="s">
        <v>2038</v>
      </c>
      <c r="H326" s="4" t="s">
        <v>2039</v>
      </c>
      <c r="J326" s="4" t="s">
        <v>2040</v>
      </c>
    </row>
    <row r="327" spans="1:12" ht="20.25" customHeight="1" x14ac:dyDescent="0.4">
      <c r="B327" s="7" t="s">
        <v>803</v>
      </c>
      <c r="C327" s="4" t="s">
        <v>804</v>
      </c>
      <c r="D327" s="12" t="s">
        <v>2041</v>
      </c>
      <c r="E327" s="4" t="s">
        <v>1815</v>
      </c>
      <c r="F327" s="4" t="s">
        <v>2042</v>
      </c>
      <c r="G327" s="4" t="s">
        <v>2043</v>
      </c>
      <c r="H327" s="4" t="s">
        <v>2037</v>
      </c>
      <c r="J327" s="4" t="s">
        <v>701</v>
      </c>
      <c r="L327" s="4" t="s">
        <v>2044</v>
      </c>
    </row>
    <row r="328" spans="1:12" ht="20.25" customHeight="1" x14ac:dyDescent="0.4">
      <c r="B328" s="7" t="s">
        <v>803</v>
      </c>
      <c r="C328" s="4" t="s">
        <v>804</v>
      </c>
      <c r="D328" s="12" t="s">
        <v>2045</v>
      </c>
      <c r="E328" s="4" t="s">
        <v>1815</v>
      </c>
      <c r="F328" s="4" t="s">
        <v>2046</v>
      </c>
      <c r="G328" s="4" t="s">
        <v>2047</v>
      </c>
      <c r="I328" s="12" t="s">
        <v>2048</v>
      </c>
      <c r="J328" s="4" t="s">
        <v>2049</v>
      </c>
    </row>
    <row r="329" spans="1:12" ht="20.25" customHeight="1" x14ac:dyDescent="0.4">
      <c r="B329" s="7" t="s">
        <v>803</v>
      </c>
      <c r="C329" s="4" t="s">
        <v>804</v>
      </c>
      <c r="D329" s="7" t="s">
        <v>2029</v>
      </c>
      <c r="E329" s="7" t="s">
        <v>1815</v>
      </c>
      <c r="F329" s="7" t="s">
        <v>2035</v>
      </c>
      <c r="G329" s="7" t="s">
        <v>2050</v>
      </c>
    </row>
    <row r="330" spans="1:12" ht="20.25" customHeight="1" x14ac:dyDescent="0.4">
      <c r="B330" s="7" t="s">
        <v>803</v>
      </c>
      <c r="C330" s="4" t="s">
        <v>804</v>
      </c>
      <c r="D330" s="7" t="s">
        <v>2029</v>
      </c>
      <c r="E330" s="7" t="s">
        <v>1815</v>
      </c>
      <c r="F330" s="7" t="s">
        <v>2030</v>
      </c>
    </row>
    <row r="331" spans="1:12" ht="20.25" customHeight="1" x14ac:dyDescent="0.4">
      <c r="B331" s="7" t="s">
        <v>803</v>
      </c>
      <c r="C331" s="4" t="s">
        <v>804</v>
      </c>
      <c r="D331" s="4" t="s">
        <v>2051</v>
      </c>
      <c r="E331" s="4" t="s">
        <v>2052</v>
      </c>
      <c r="F331" s="4" t="s">
        <v>2052</v>
      </c>
      <c r="G331" s="4" t="s">
        <v>2053</v>
      </c>
      <c r="H331" s="4" t="s">
        <v>2054</v>
      </c>
      <c r="J331" s="4" t="s">
        <v>2055</v>
      </c>
    </row>
    <row r="332" spans="1:12" ht="20.25" customHeight="1" x14ac:dyDescent="0.4">
      <c r="B332" s="7" t="s">
        <v>803</v>
      </c>
      <c r="C332" s="4" t="s">
        <v>804</v>
      </c>
      <c r="D332" s="4" t="s">
        <v>1310</v>
      </c>
      <c r="E332" s="4" t="s">
        <v>2056</v>
      </c>
      <c r="F332" s="4" t="s">
        <v>2057</v>
      </c>
      <c r="G332" s="4" t="s">
        <v>2058</v>
      </c>
    </row>
    <row r="333" spans="1:12" ht="20.25" customHeight="1" x14ac:dyDescent="0.4">
      <c r="B333" s="7" t="s">
        <v>803</v>
      </c>
      <c r="C333" s="4" t="s">
        <v>804</v>
      </c>
      <c r="D333" s="4" t="s">
        <v>2059</v>
      </c>
      <c r="E333" s="4" t="s">
        <v>2056</v>
      </c>
      <c r="F333" s="4" t="s">
        <v>2056</v>
      </c>
      <c r="G333" s="4" t="s">
        <v>2060</v>
      </c>
      <c r="H333" s="4" t="s">
        <v>2061</v>
      </c>
      <c r="I333" s="7" t="s">
        <v>2062</v>
      </c>
      <c r="J333" s="4" t="s">
        <v>2063</v>
      </c>
    </row>
    <row r="334" spans="1:12" ht="20.25" customHeight="1" x14ac:dyDescent="0.4">
      <c r="B334" s="7" t="s">
        <v>803</v>
      </c>
      <c r="C334" s="4" t="s">
        <v>804</v>
      </c>
      <c r="D334" s="4" t="s">
        <v>2064</v>
      </c>
      <c r="E334" s="4" t="s">
        <v>2065</v>
      </c>
      <c r="F334" s="4" t="s">
        <v>2057</v>
      </c>
      <c r="G334" s="4" t="s">
        <v>2066</v>
      </c>
      <c r="J334" s="4" t="s">
        <v>2067</v>
      </c>
    </row>
    <row r="335" spans="1:12" ht="20.25" customHeight="1" x14ac:dyDescent="0.4">
      <c r="B335" s="7" t="s">
        <v>803</v>
      </c>
      <c r="C335" s="4" t="s">
        <v>804</v>
      </c>
      <c r="D335" s="4" t="s">
        <v>2068</v>
      </c>
      <c r="E335" s="4" t="s">
        <v>2069</v>
      </c>
      <c r="F335" s="4" t="s">
        <v>2070</v>
      </c>
      <c r="G335" s="4" t="s">
        <v>2071</v>
      </c>
      <c r="I335" s="12" t="s">
        <v>2072</v>
      </c>
      <c r="J335" s="4" t="s">
        <v>2073</v>
      </c>
    </row>
    <row r="336" spans="1:12" ht="20.25" customHeight="1" x14ac:dyDescent="0.4">
      <c r="B336" s="7" t="s">
        <v>803</v>
      </c>
      <c r="C336" s="4" t="s">
        <v>804</v>
      </c>
      <c r="D336" s="12" t="s">
        <v>2074</v>
      </c>
      <c r="E336" s="4" t="s">
        <v>2069</v>
      </c>
      <c r="F336" s="4" t="s">
        <v>2075</v>
      </c>
      <c r="G336" s="4" t="s">
        <v>2076</v>
      </c>
      <c r="I336" s="12" t="s">
        <v>2077</v>
      </c>
      <c r="J336" s="4" t="s">
        <v>2078</v>
      </c>
      <c r="K336" s="4" t="s">
        <v>2079</v>
      </c>
    </row>
    <row r="337" spans="1:12" ht="20.25" customHeight="1" x14ac:dyDescent="0.4">
      <c r="B337" s="7" t="s">
        <v>803</v>
      </c>
      <c r="C337" s="4" t="s">
        <v>804</v>
      </c>
      <c r="D337" s="4" t="s">
        <v>2080</v>
      </c>
      <c r="E337" s="4" t="s">
        <v>2069</v>
      </c>
      <c r="F337" s="4" t="s">
        <v>2081</v>
      </c>
      <c r="G337" s="4" t="s">
        <v>2082</v>
      </c>
      <c r="J337" s="4" t="s">
        <v>2083</v>
      </c>
    </row>
    <row r="338" spans="1:12" ht="20.25" customHeight="1" x14ac:dyDescent="0.4">
      <c r="B338" s="7" t="s">
        <v>803</v>
      </c>
      <c r="C338" s="4" t="s">
        <v>804</v>
      </c>
      <c r="D338" s="4" t="s">
        <v>1959</v>
      </c>
      <c r="E338" s="4" t="s">
        <v>2069</v>
      </c>
      <c r="F338" s="4" t="s">
        <v>2069</v>
      </c>
      <c r="G338" s="5" t="s">
        <v>2084</v>
      </c>
      <c r="H338" s="4" t="s">
        <v>2085</v>
      </c>
      <c r="I338" s="4" t="s">
        <v>2086</v>
      </c>
      <c r="K338" s="76" t="s">
        <v>2087</v>
      </c>
    </row>
    <row r="339" spans="1:12" ht="20.25" customHeight="1" x14ac:dyDescent="0.4">
      <c r="B339" s="7" t="s">
        <v>803</v>
      </c>
      <c r="C339" s="4" t="s">
        <v>804</v>
      </c>
      <c r="D339" s="7" t="s">
        <v>995</v>
      </c>
      <c r="E339" s="4" t="s">
        <v>2069</v>
      </c>
      <c r="F339" s="4" t="s">
        <v>2088</v>
      </c>
      <c r="G339" s="4" t="s">
        <v>2089</v>
      </c>
      <c r="H339" s="4" t="s">
        <v>2090</v>
      </c>
      <c r="I339" s="12" t="s">
        <v>2077</v>
      </c>
      <c r="J339" s="4" t="s">
        <v>2091</v>
      </c>
    </row>
    <row r="340" spans="1:12" ht="20.25" customHeight="1" x14ac:dyDescent="0.4">
      <c r="B340" s="7" t="s">
        <v>803</v>
      </c>
      <c r="C340" s="4" t="s">
        <v>804</v>
      </c>
      <c r="D340" s="12" t="s">
        <v>2092</v>
      </c>
      <c r="E340" s="4" t="s">
        <v>2069</v>
      </c>
      <c r="F340" s="4" t="s">
        <v>2093</v>
      </c>
      <c r="G340" s="4" t="s">
        <v>2094</v>
      </c>
      <c r="H340" s="4" t="s">
        <v>2095</v>
      </c>
      <c r="I340" s="4" t="s">
        <v>803</v>
      </c>
      <c r="J340" s="4" t="s">
        <v>2096</v>
      </c>
    </row>
    <row r="341" spans="1:12" ht="20.25" customHeight="1" x14ac:dyDescent="0.4">
      <c r="B341" s="7" t="s">
        <v>803</v>
      </c>
      <c r="C341" s="4" t="s">
        <v>804</v>
      </c>
      <c r="D341" s="4" t="s">
        <v>2097</v>
      </c>
      <c r="E341" s="4" t="s">
        <v>2069</v>
      </c>
      <c r="F341" s="4" t="s">
        <v>2098</v>
      </c>
      <c r="G341" s="4" t="s">
        <v>2099</v>
      </c>
      <c r="H341" s="4" t="s">
        <v>2100</v>
      </c>
      <c r="I341" s="12" t="s">
        <v>839</v>
      </c>
      <c r="J341" s="7" t="s">
        <v>2101</v>
      </c>
    </row>
    <row r="342" spans="1:12" ht="20.25" customHeight="1" x14ac:dyDescent="0.4">
      <c r="B342" s="7" t="s">
        <v>803</v>
      </c>
      <c r="C342" s="4" t="s">
        <v>804</v>
      </c>
      <c r="D342" s="7" t="s">
        <v>2102</v>
      </c>
      <c r="E342" s="4" t="s">
        <v>2069</v>
      </c>
      <c r="F342" s="4" t="s">
        <v>2103</v>
      </c>
      <c r="G342" s="4" t="s">
        <v>2104</v>
      </c>
      <c r="H342" s="4" t="s">
        <v>2105</v>
      </c>
      <c r="J342" s="4" t="s">
        <v>2106</v>
      </c>
      <c r="K342" s="12" t="s">
        <v>2107</v>
      </c>
    </row>
    <row r="343" spans="1:12" ht="20.25" customHeight="1" x14ac:dyDescent="0.4">
      <c r="B343" s="7" t="s">
        <v>803</v>
      </c>
      <c r="C343" s="4" t="s">
        <v>804</v>
      </c>
      <c r="D343" s="12" t="s">
        <v>2108</v>
      </c>
      <c r="E343" s="4" t="s">
        <v>2069</v>
      </c>
      <c r="F343" s="4" t="s">
        <v>2109</v>
      </c>
      <c r="G343" s="4" t="s">
        <v>2110</v>
      </c>
      <c r="H343" s="4" t="s">
        <v>2111</v>
      </c>
      <c r="I343" s="12" t="s">
        <v>2112</v>
      </c>
      <c r="J343" s="4" t="s">
        <v>2113</v>
      </c>
    </row>
    <row r="344" spans="1:12" ht="20.25" customHeight="1" x14ac:dyDescent="0.4">
      <c r="B344" s="7" t="s">
        <v>803</v>
      </c>
      <c r="C344" s="4" t="s">
        <v>804</v>
      </c>
      <c r="D344" s="4" t="s">
        <v>2114</v>
      </c>
      <c r="E344" s="4" t="s">
        <v>2115</v>
      </c>
      <c r="F344" s="4" t="s">
        <v>2115</v>
      </c>
      <c r="G344" s="4" t="s">
        <v>2116</v>
      </c>
      <c r="H344" s="4" t="s">
        <v>2117</v>
      </c>
      <c r="J344" s="4" t="s">
        <v>2118</v>
      </c>
    </row>
    <row r="345" spans="1:12" ht="20.25" customHeight="1" x14ac:dyDescent="0.4">
      <c r="A345" s="4" t="s">
        <v>2119</v>
      </c>
      <c r="B345" s="4" t="s">
        <v>803</v>
      </c>
      <c r="C345" s="4" t="s">
        <v>804</v>
      </c>
      <c r="D345" s="19" t="s">
        <v>2120</v>
      </c>
      <c r="E345" s="19" t="s">
        <v>1961</v>
      </c>
      <c r="F345" s="19" t="s">
        <v>2121</v>
      </c>
      <c r="G345" s="4" t="s">
        <v>2122</v>
      </c>
      <c r="I345" s="4" t="s">
        <v>2123</v>
      </c>
      <c r="J345" s="5" t="s">
        <v>2124</v>
      </c>
      <c r="L345" s="4" t="s">
        <v>2120</v>
      </c>
    </row>
    <row r="346" spans="1:12" ht="20.25" customHeight="1" x14ac:dyDescent="0.4">
      <c r="A346" s="4" t="s">
        <v>2119</v>
      </c>
      <c r="B346" s="4" t="s">
        <v>803</v>
      </c>
      <c r="C346" s="4" t="s">
        <v>804</v>
      </c>
      <c r="D346" s="19" t="s">
        <v>2125</v>
      </c>
      <c r="E346" s="19" t="s">
        <v>1961</v>
      </c>
      <c r="F346" s="19" t="s">
        <v>2126</v>
      </c>
      <c r="G346" s="4" t="s">
        <v>2127</v>
      </c>
    </row>
    <row r="347" spans="1:12" ht="20.25" customHeight="1" x14ac:dyDescent="0.4">
      <c r="A347" s="4" t="s">
        <v>2119</v>
      </c>
      <c r="B347" s="4" t="s">
        <v>803</v>
      </c>
      <c r="C347" s="4" t="s">
        <v>804</v>
      </c>
      <c r="D347" s="19" t="s">
        <v>885</v>
      </c>
      <c r="E347" s="19" t="s">
        <v>1961</v>
      </c>
      <c r="F347" s="19" t="s">
        <v>2128</v>
      </c>
      <c r="G347" s="4" t="s">
        <v>2129</v>
      </c>
      <c r="H347" s="4" t="s">
        <v>2130</v>
      </c>
      <c r="I347" s="4" t="s">
        <v>2131</v>
      </c>
      <c r="J347" s="104" t="s">
        <v>2132</v>
      </c>
      <c r="L347" s="4" t="s">
        <v>799</v>
      </c>
    </row>
    <row r="348" spans="1:12" ht="20.25" customHeight="1" x14ac:dyDescent="0.4">
      <c r="A348" s="4" t="s">
        <v>2119</v>
      </c>
      <c r="B348" s="4" t="s">
        <v>803</v>
      </c>
      <c r="C348" s="4" t="s">
        <v>804</v>
      </c>
      <c r="D348" s="19" t="s">
        <v>2133</v>
      </c>
      <c r="E348" s="19" t="s">
        <v>1961</v>
      </c>
      <c r="F348" s="19" t="s">
        <v>2134</v>
      </c>
      <c r="G348" s="4" t="s">
        <v>2135</v>
      </c>
      <c r="I348" s="4" t="s">
        <v>2112</v>
      </c>
      <c r="L348" s="4" t="s">
        <v>2136</v>
      </c>
    </row>
    <row r="349" spans="1:12" ht="20.25" customHeight="1" x14ac:dyDescent="0.4">
      <c r="A349" s="4" t="s">
        <v>2119</v>
      </c>
      <c r="B349" s="4" t="s">
        <v>803</v>
      </c>
      <c r="C349" s="4" t="s">
        <v>804</v>
      </c>
      <c r="D349" s="19" t="s">
        <v>2137</v>
      </c>
      <c r="E349" s="19" t="s">
        <v>1961</v>
      </c>
      <c r="F349" s="19" t="s">
        <v>2138</v>
      </c>
      <c r="G349" s="4" t="s">
        <v>2139</v>
      </c>
      <c r="L349" s="4" t="s">
        <v>2140</v>
      </c>
    </row>
    <row r="350" spans="1:12" ht="20.25" customHeight="1" x14ac:dyDescent="0.4">
      <c r="A350" s="4" t="s">
        <v>2119</v>
      </c>
      <c r="B350" s="4" t="s">
        <v>803</v>
      </c>
      <c r="C350" s="4" t="s">
        <v>804</v>
      </c>
      <c r="D350" s="19" t="s">
        <v>2141</v>
      </c>
      <c r="E350" s="19" t="s">
        <v>1961</v>
      </c>
      <c r="F350" s="19" t="s">
        <v>2142</v>
      </c>
      <c r="G350" s="4" t="s">
        <v>2143</v>
      </c>
      <c r="I350" s="4" t="s">
        <v>2144</v>
      </c>
      <c r="L350" s="4" t="s">
        <v>2145</v>
      </c>
    </row>
    <row r="351" spans="1:12" ht="20.25" customHeight="1" x14ac:dyDescent="0.4">
      <c r="A351" s="4" t="s">
        <v>2119</v>
      </c>
      <c r="B351" s="4" t="s">
        <v>803</v>
      </c>
      <c r="C351" s="4" t="s">
        <v>804</v>
      </c>
      <c r="D351" s="19" t="s">
        <v>2146</v>
      </c>
      <c r="E351" s="19" t="s">
        <v>1961</v>
      </c>
      <c r="F351" s="19" t="s">
        <v>2147</v>
      </c>
      <c r="G351" s="4" t="s">
        <v>2148</v>
      </c>
      <c r="I351" s="5" t="s">
        <v>2149</v>
      </c>
      <c r="J351" s="4" t="s">
        <v>2145</v>
      </c>
      <c r="K351" s="4" t="s">
        <v>2150</v>
      </c>
      <c r="L351" s="4" t="s">
        <v>2151</v>
      </c>
    </row>
    <row r="352" spans="1:12" ht="20.25" customHeight="1" x14ac:dyDescent="0.4">
      <c r="A352" s="4" t="s">
        <v>2119</v>
      </c>
      <c r="B352" s="4" t="s">
        <v>803</v>
      </c>
      <c r="C352" s="4" t="s">
        <v>804</v>
      </c>
      <c r="D352" s="19" t="s">
        <v>1646</v>
      </c>
      <c r="E352" s="19" t="s">
        <v>1961</v>
      </c>
      <c r="F352" s="19" t="s">
        <v>2152</v>
      </c>
      <c r="G352" s="4" t="s">
        <v>2153</v>
      </c>
      <c r="J352" s="5" t="s">
        <v>2154</v>
      </c>
      <c r="L352" s="4" t="s">
        <v>2155</v>
      </c>
    </row>
    <row r="353" spans="1:12" ht="20.25" customHeight="1" x14ac:dyDescent="0.4">
      <c r="A353" s="4" t="s">
        <v>2119</v>
      </c>
      <c r="B353" s="4" t="s">
        <v>803</v>
      </c>
      <c r="C353" s="4" t="s">
        <v>804</v>
      </c>
      <c r="D353" s="19" t="s">
        <v>2156</v>
      </c>
      <c r="E353" s="19" t="s">
        <v>1961</v>
      </c>
      <c r="F353" s="19" t="s">
        <v>2157</v>
      </c>
      <c r="G353" s="4" t="s">
        <v>2158</v>
      </c>
      <c r="H353" s="4" t="s">
        <v>870</v>
      </c>
      <c r="L353" s="4" t="s">
        <v>2155</v>
      </c>
    </row>
    <row r="354" spans="1:12" ht="20.25" customHeight="1" x14ac:dyDescent="0.4">
      <c r="A354" s="4" t="s">
        <v>2119</v>
      </c>
      <c r="B354" s="4" t="s">
        <v>803</v>
      </c>
      <c r="C354" s="4" t="s">
        <v>804</v>
      </c>
      <c r="D354" s="20" t="s">
        <v>2159</v>
      </c>
      <c r="E354" s="19" t="s">
        <v>1961</v>
      </c>
      <c r="F354" s="19" t="s">
        <v>1961</v>
      </c>
      <c r="G354" s="4" t="s">
        <v>1962</v>
      </c>
      <c r="H354" s="4" t="s">
        <v>1962</v>
      </c>
      <c r="I354" s="4" t="s">
        <v>2160</v>
      </c>
    </row>
    <row r="355" spans="1:12" ht="20.25" customHeight="1" x14ac:dyDescent="0.4">
      <c r="B355" s="7" t="s">
        <v>803</v>
      </c>
      <c r="C355" s="4" t="s">
        <v>804</v>
      </c>
      <c r="D355" s="5" t="s">
        <v>2161</v>
      </c>
      <c r="E355" s="4" t="s">
        <v>2162</v>
      </c>
      <c r="F355" s="4" t="s">
        <v>2163</v>
      </c>
      <c r="G355" s="4" t="s">
        <v>2164</v>
      </c>
      <c r="H355" s="4" t="s">
        <v>2165</v>
      </c>
      <c r="I355" s="4" t="s">
        <v>2166</v>
      </c>
    </row>
    <row r="356" spans="1:12" ht="20.25" customHeight="1" x14ac:dyDescent="0.4">
      <c r="B356" s="7" t="s">
        <v>803</v>
      </c>
      <c r="C356" s="4" t="s">
        <v>804</v>
      </c>
      <c r="D356" s="4" t="s">
        <v>1000</v>
      </c>
      <c r="E356" s="4" t="s">
        <v>2162</v>
      </c>
      <c r="F356" s="4" t="s">
        <v>2167</v>
      </c>
      <c r="G356" s="4" t="s">
        <v>2168</v>
      </c>
      <c r="H356" s="4" t="s">
        <v>2169</v>
      </c>
      <c r="I356" s="4" t="s">
        <v>2170</v>
      </c>
      <c r="J356" s="4" t="s">
        <v>2171</v>
      </c>
      <c r="K356" s="4" t="s">
        <v>2172</v>
      </c>
    </row>
    <row r="357" spans="1:12" ht="20.25" customHeight="1" x14ac:dyDescent="0.4">
      <c r="B357" s="7" t="s">
        <v>803</v>
      </c>
      <c r="C357" s="4" t="s">
        <v>804</v>
      </c>
      <c r="D357" s="7" t="s">
        <v>2173</v>
      </c>
      <c r="E357" s="4" t="s">
        <v>2162</v>
      </c>
      <c r="F357" s="4" t="s">
        <v>2174</v>
      </c>
      <c r="G357" s="4" t="s">
        <v>2175</v>
      </c>
      <c r="I357" s="7" t="s">
        <v>2176</v>
      </c>
      <c r="J357" s="4" t="s">
        <v>2170</v>
      </c>
      <c r="L357" s="7" t="s">
        <v>2177</v>
      </c>
    </row>
    <row r="358" spans="1:12" ht="20.25" customHeight="1" x14ac:dyDescent="0.4">
      <c r="B358" s="7" t="s">
        <v>803</v>
      </c>
      <c r="C358" s="4" t="s">
        <v>804</v>
      </c>
      <c r="D358" s="4" t="s">
        <v>2178</v>
      </c>
      <c r="E358" s="4" t="s">
        <v>2162</v>
      </c>
      <c r="F358" s="4" t="s">
        <v>2179</v>
      </c>
      <c r="G358" s="4" t="s">
        <v>2180</v>
      </c>
      <c r="H358" s="4" t="s">
        <v>2181</v>
      </c>
      <c r="J358" s="7" t="s">
        <v>2182</v>
      </c>
      <c r="K358" s="7" t="s">
        <v>2183</v>
      </c>
    </row>
    <row r="359" spans="1:12" ht="20.25" customHeight="1" x14ac:dyDescent="0.4">
      <c r="B359" s="7" t="s">
        <v>803</v>
      </c>
      <c r="C359" s="4" t="s">
        <v>804</v>
      </c>
      <c r="D359" s="4" t="s">
        <v>2184</v>
      </c>
      <c r="E359" s="4" t="s">
        <v>2162</v>
      </c>
      <c r="F359" s="4" t="s">
        <v>2185</v>
      </c>
      <c r="G359" s="4" t="s">
        <v>2186</v>
      </c>
      <c r="I359" s="4" t="s">
        <v>848</v>
      </c>
    </row>
    <row r="360" spans="1:12" ht="20.25" customHeight="1" x14ac:dyDescent="0.4">
      <c r="B360" s="7" t="s">
        <v>803</v>
      </c>
      <c r="C360" s="4" t="s">
        <v>804</v>
      </c>
      <c r="D360" s="4" t="s">
        <v>2187</v>
      </c>
      <c r="E360" s="4" t="s">
        <v>2162</v>
      </c>
      <c r="F360" s="4" t="s">
        <v>2188</v>
      </c>
      <c r="G360" s="4" t="s">
        <v>2189</v>
      </c>
      <c r="J360" s="4" t="s">
        <v>2190</v>
      </c>
    </row>
    <row r="361" spans="1:12" ht="20.25" customHeight="1" x14ac:dyDescent="0.4">
      <c r="B361" s="7" t="s">
        <v>803</v>
      </c>
      <c r="C361" s="4" t="s">
        <v>804</v>
      </c>
      <c r="D361" s="4" t="s">
        <v>2120</v>
      </c>
      <c r="E361" s="4" t="s">
        <v>2162</v>
      </c>
      <c r="F361" s="4" t="s">
        <v>2191</v>
      </c>
      <c r="G361" s="4" t="s">
        <v>2189</v>
      </c>
      <c r="J361" s="4" t="s">
        <v>2192</v>
      </c>
    </row>
    <row r="362" spans="1:12" ht="20.25" customHeight="1" x14ac:dyDescent="0.4">
      <c r="B362" s="7" t="s">
        <v>803</v>
      </c>
      <c r="C362" s="4" t="s">
        <v>804</v>
      </c>
      <c r="E362" s="4" t="s">
        <v>2162</v>
      </c>
      <c r="F362" s="4" t="s">
        <v>2162</v>
      </c>
      <c r="G362" s="4" t="s">
        <v>2193</v>
      </c>
      <c r="H362" s="4" t="s">
        <v>2194</v>
      </c>
      <c r="I362" s="4" t="s">
        <v>848</v>
      </c>
      <c r="J362" s="4" t="s">
        <v>2195</v>
      </c>
      <c r="K362" s="5" t="s">
        <v>2196</v>
      </c>
    </row>
    <row r="363" spans="1:12" ht="20.25" customHeight="1" x14ac:dyDescent="0.4">
      <c r="B363" s="7" t="s">
        <v>803</v>
      </c>
      <c r="C363" s="4" t="s">
        <v>804</v>
      </c>
      <c r="D363" s="8" t="s">
        <v>2197</v>
      </c>
      <c r="E363" s="4" t="s">
        <v>2162</v>
      </c>
      <c r="F363" s="4" t="s">
        <v>2162</v>
      </c>
      <c r="G363" s="4" t="s">
        <v>2193</v>
      </c>
    </row>
    <row r="364" spans="1:12" ht="20.25" customHeight="1" x14ac:dyDescent="0.4">
      <c r="B364" s="7" t="s">
        <v>803</v>
      </c>
      <c r="C364" s="4" t="s">
        <v>804</v>
      </c>
      <c r="D364" s="7" t="s">
        <v>2198</v>
      </c>
      <c r="E364" s="4" t="s">
        <v>2162</v>
      </c>
      <c r="F364" s="4" t="s">
        <v>2199</v>
      </c>
      <c r="G364" s="4" t="s">
        <v>2200</v>
      </c>
      <c r="H364" s="4" t="s">
        <v>2200</v>
      </c>
      <c r="I364" s="4" t="s">
        <v>2201</v>
      </c>
      <c r="J364" s="4" t="s">
        <v>2202</v>
      </c>
      <c r="K364" s="4" t="s">
        <v>2203</v>
      </c>
      <c r="L364" s="7" t="s">
        <v>2204</v>
      </c>
    </row>
    <row r="365" spans="1:12" ht="20.25" customHeight="1" x14ac:dyDescent="0.4">
      <c r="B365" s="7" t="s">
        <v>803</v>
      </c>
      <c r="C365" s="4" t="s">
        <v>804</v>
      </c>
      <c r="D365" s="4" t="s">
        <v>921</v>
      </c>
      <c r="E365" s="4" t="s">
        <v>2162</v>
      </c>
      <c r="F365" s="4" t="s">
        <v>2205</v>
      </c>
      <c r="G365" s="4" t="s">
        <v>2206</v>
      </c>
      <c r="H365" s="4" t="s">
        <v>2207</v>
      </c>
      <c r="J365" s="5" t="s">
        <v>2208</v>
      </c>
      <c r="K365" s="5" t="s">
        <v>2209</v>
      </c>
      <c r="L365" s="4" t="s">
        <v>2210</v>
      </c>
    </row>
    <row r="366" spans="1:12" ht="20.25" customHeight="1" x14ac:dyDescent="0.4">
      <c r="B366" s="7" t="s">
        <v>803</v>
      </c>
      <c r="C366" s="4" t="s">
        <v>804</v>
      </c>
      <c r="D366" s="7" t="s">
        <v>2211</v>
      </c>
      <c r="E366" s="4" t="s">
        <v>1961</v>
      </c>
      <c r="F366" s="4" t="s">
        <v>2134</v>
      </c>
      <c r="G366" s="4" t="s">
        <v>2135</v>
      </c>
      <c r="I366" s="7" t="s">
        <v>2212</v>
      </c>
      <c r="J366" s="4" t="s">
        <v>701</v>
      </c>
    </row>
    <row r="367" spans="1:12" ht="20.25" customHeight="1" x14ac:dyDescent="0.4">
      <c r="B367" s="7" t="s">
        <v>803</v>
      </c>
      <c r="C367" s="4" t="s">
        <v>804</v>
      </c>
      <c r="D367" s="4" t="s">
        <v>2150</v>
      </c>
      <c r="E367" s="4" t="s">
        <v>1961</v>
      </c>
      <c r="F367" s="4" t="s">
        <v>2147</v>
      </c>
      <c r="G367" s="4" t="s">
        <v>2148</v>
      </c>
    </row>
    <row r="368" spans="1:12" ht="20.25" customHeight="1" x14ac:dyDescent="0.4">
      <c r="B368" s="7" t="s">
        <v>803</v>
      </c>
      <c r="C368" s="4" t="s">
        <v>804</v>
      </c>
      <c r="D368" s="7" t="s">
        <v>2213</v>
      </c>
      <c r="E368" s="4" t="s">
        <v>1961</v>
      </c>
      <c r="F368" s="12" t="s">
        <v>2214</v>
      </c>
      <c r="G368" s="4" t="s">
        <v>2215</v>
      </c>
      <c r="J368" s="4" t="s">
        <v>2216</v>
      </c>
      <c r="K368" s="4" t="s">
        <v>2217</v>
      </c>
    </row>
    <row r="369" spans="2:11" ht="20.25" customHeight="1" x14ac:dyDescent="0.4">
      <c r="B369" s="7" t="s">
        <v>803</v>
      </c>
      <c r="C369" s="4" t="s">
        <v>804</v>
      </c>
      <c r="D369" s="4" t="s">
        <v>1310</v>
      </c>
      <c r="E369" s="4" t="s">
        <v>1961</v>
      </c>
      <c r="F369" s="4" t="s">
        <v>2218</v>
      </c>
      <c r="G369" s="4" t="s">
        <v>2219</v>
      </c>
    </row>
    <row r="370" spans="2:11" ht="20.25" customHeight="1" x14ac:dyDescent="0.4">
      <c r="B370" s="7" t="s">
        <v>803</v>
      </c>
      <c r="C370" s="4" t="s">
        <v>804</v>
      </c>
      <c r="D370" s="12" t="s">
        <v>2140</v>
      </c>
      <c r="E370" s="4" t="s">
        <v>1961</v>
      </c>
      <c r="F370" s="4" t="s">
        <v>2138</v>
      </c>
      <c r="G370" s="4" t="s">
        <v>2139</v>
      </c>
      <c r="H370" s="4" t="s">
        <v>2220</v>
      </c>
      <c r="J370" s="4" t="s">
        <v>2221</v>
      </c>
    </row>
    <row r="371" spans="2:11" ht="20.25" customHeight="1" x14ac:dyDescent="0.4">
      <c r="B371" s="7" t="s">
        <v>803</v>
      </c>
      <c r="C371" s="4" t="s">
        <v>804</v>
      </c>
      <c r="D371" s="4" t="s">
        <v>1310</v>
      </c>
      <c r="E371" s="4" t="s">
        <v>1961</v>
      </c>
      <c r="F371" s="4" t="s">
        <v>2222</v>
      </c>
      <c r="G371" s="4" t="s">
        <v>2148</v>
      </c>
    </row>
    <row r="372" spans="2:11" ht="20.25" customHeight="1" x14ac:dyDescent="0.4">
      <c r="B372" s="7" t="s">
        <v>803</v>
      </c>
      <c r="C372" s="4" t="s">
        <v>804</v>
      </c>
      <c r="D372" s="4" t="s">
        <v>2172</v>
      </c>
      <c r="E372" s="4" t="s">
        <v>1961</v>
      </c>
      <c r="F372" s="4" t="s">
        <v>2152</v>
      </c>
      <c r="G372" s="4" t="s">
        <v>2153</v>
      </c>
      <c r="H372" s="4" t="s">
        <v>2223</v>
      </c>
    </row>
    <row r="373" spans="2:11" ht="20.25" customHeight="1" x14ac:dyDescent="0.4">
      <c r="B373" s="7" t="s">
        <v>803</v>
      </c>
      <c r="C373" s="4" t="s">
        <v>804</v>
      </c>
      <c r="D373" s="4" t="s">
        <v>2224</v>
      </c>
      <c r="E373" s="4" t="s">
        <v>1961</v>
      </c>
      <c r="F373" s="4" t="s">
        <v>2225</v>
      </c>
      <c r="G373" s="4" t="s">
        <v>2226</v>
      </c>
    </row>
    <row r="374" spans="2:11" ht="20.25" customHeight="1" x14ac:dyDescent="0.4">
      <c r="B374" s="7" t="s">
        <v>803</v>
      </c>
      <c r="C374" s="4" t="s">
        <v>804</v>
      </c>
      <c r="D374" s="36" t="s">
        <v>1473</v>
      </c>
      <c r="E374" s="4" t="s">
        <v>1961</v>
      </c>
      <c r="F374" s="4" t="s">
        <v>1961</v>
      </c>
      <c r="G374" s="4" t="s">
        <v>2227</v>
      </c>
      <c r="H374" s="4" t="s">
        <v>2228</v>
      </c>
      <c r="I374" s="4" t="s">
        <v>2229</v>
      </c>
      <c r="K374" s="4" t="s">
        <v>2230</v>
      </c>
    </row>
    <row r="375" spans="2:11" ht="20.25" customHeight="1" x14ac:dyDescent="0.4">
      <c r="B375" s="7" t="s">
        <v>803</v>
      </c>
      <c r="C375" s="4" t="s">
        <v>804</v>
      </c>
      <c r="D375" s="4" t="s">
        <v>2231</v>
      </c>
      <c r="E375" s="4" t="s">
        <v>1961</v>
      </c>
      <c r="F375" s="4" t="s">
        <v>2157</v>
      </c>
      <c r="G375" s="4" t="s">
        <v>2158</v>
      </c>
      <c r="I375" s="4" t="s">
        <v>2232</v>
      </c>
      <c r="J375" s="4" t="s">
        <v>701</v>
      </c>
      <c r="K375" s="4" t="s">
        <v>2233</v>
      </c>
    </row>
    <row r="376" spans="2:11" ht="20.25" customHeight="1" x14ac:dyDescent="0.4">
      <c r="B376" s="7" t="s">
        <v>803</v>
      </c>
      <c r="C376" s="4" t="s">
        <v>804</v>
      </c>
      <c r="D376" s="7" t="s">
        <v>843</v>
      </c>
      <c r="E376" s="4" t="s">
        <v>1961</v>
      </c>
      <c r="F376" s="4" t="s">
        <v>2234</v>
      </c>
      <c r="G376" s="4" t="s">
        <v>2235</v>
      </c>
      <c r="J376" s="4" t="s">
        <v>2236</v>
      </c>
      <c r="K376" s="4" t="s">
        <v>2237</v>
      </c>
    </row>
    <row r="377" spans="2:11" ht="20.25" customHeight="1" x14ac:dyDescent="0.4">
      <c r="B377" s="7" t="s">
        <v>803</v>
      </c>
      <c r="C377" s="4" t="s">
        <v>804</v>
      </c>
      <c r="D377" s="4" t="s">
        <v>1310</v>
      </c>
      <c r="E377" s="4" t="s">
        <v>1142</v>
      </c>
      <c r="F377" s="4" t="s">
        <v>2162</v>
      </c>
      <c r="G377" s="4" t="s">
        <v>2238</v>
      </c>
    </row>
    <row r="378" spans="2:11" ht="20.25" customHeight="1" x14ac:dyDescent="0.4">
      <c r="B378" s="7" t="s">
        <v>803</v>
      </c>
      <c r="C378" s="4" t="s">
        <v>804</v>
      </c>
      <c r="D378" s="7" t="s">
        <v>1098</v>
      </c>
      <c r="E378" s="7" t="s">
        <v>1957</v>
      </c>
      <c r="F378" s="7" t="s">
        <v>2239</v>
      </c>
      <c r="G378" s="12" t="s">
        <v>1310</v>
      </c>
    </row>
    <row r="379" spans="2:11" ht="20.25" customHeight="1" x14ac:dyDescent="0.4">
      <c r="B379" s="7" t="s">
        <v>803</v>
      </c>
      <c r="C379" s="4" t="s">
        <v>804</v>
      </c>
      <c r="D379" s="7" t="s">
        <v>2240</v>
      </c>
      <c r="F379" s="7" t="s">
        <v>2241</v>
      </c>
      <c r="G379" s="7" t="s">
        <v>2242</v>
      </c>
      <c r="J379" s="4" t="s">
        <v>2243</v>
      </c>
    </row>
    <row r="380" spans="2:11" ht="20.25" customHeight="1" x14ac:dyDescent="0.4">
      <c r="B380" s="7" t="s">
        <v>803</v>
      </c>
      <c r="C380" s="12" t="s">
        <v>804</v>
      </c>
      <c r="D380" s="12" t="s">
        <v>2224</v>
      </c>
      <c r="E380" s="12" t="s">
        <v>1961</v>
      </c>
      <c r="F380" s="12" t="s">
        <v>2244</v>
      </c>
    </row>
    <row r="381" spans="2:11" ht="20.25" customHeight="1" x14ac:dyDescent="0.4">
      <c r="B381" s="7" t="s">
        <v>803</v>
      </c>
      <c r="C381" s="4" t="s">
        <v>804</v>
      </c>
      <c r="D381" s="5" t="s">
        <v>2020</v>
      </c>
      <c r="E381" s="7" t="s">
        <v>2056</v>
      </c>
      <c r="F381" s="7" t="s">
        <v>2245</v>
      </c>
      <c r="G381" s="7" t="s">
        <v>2246</v>
      </c>
      <c r="I381" s="4" t="s">
        <v>1814</v>
      </c>
      <c r="K381" s="4" t="s">
        <v>2247</v>
      </c>
    </row>
    <row r="382" spans="2:11" ht="20.25" customHeight="1" x14ac:dyDescent="0.4">
      <c r="C382" s="4" t="s">
        <v>2248</v>
      </c>
      <c r="D382" s="4" t="s">
        <v>2249</v>
      </c>
      <c r="E382" s="4" t="s">
        <v>1142</v>
      </c>
      <c r="F382" s="4" t="s">
        <v>2250</v>
      </c>
      <c r="G382" s="4" t="s">
        <v>2251</v>
      </c>
    </row>
    <row r="383" spans="2:11" ht="20.25" customHeight="1" x14ac:dyDescent="0.4">
      <c r="C383" s="4" t="s">
        <v>2252</v>
      </c>
      <c r="D383" s="4" t="s">
        <v>1593</v>
      </c>
      <c r="E383" s="4" t="s">
        <v>2253</v>
      </c>
      <c r="F383" s="4" t="s">
        <v>2254</v>
      </c>
      <c r="G383" s="4" t="s">
        <v>2255</v>
      </c>
      <c r="H383" s="4" t="s">
        <v>2256</v>
      </c>
      <c r="J383" s="4" t="s">
        <v>2257</v>
      </c>
    </row>
    <row r="384" spans="2:11" ht="20.25" customHeight="1" x14ac:dyDescent="0.4">
      <c r="C384" s="4" t="s">
        <v>2258</v>
      </c>
      <c r="D384" s="4" t="s">
        <v>2259</v>
      </c>
      <c r="E384" s="4" t="s">
        <v>2260</v>
      </c>
      <c r="F384" s="4" t="s">
        <v>2261</v>
      </c>
      <c r="G384" s="4" t="s">
        <v>2262</v>
      </c>
    </row>
    <row r="385" spans="2:12" ht="20.25" customHeight="1" x14ac:dyDescent="0.4">
      <c r="C385" s="4" t="s">
        <v>2263</v>
      </c>
      <c r="D385" s="4" t="s">
        <v>2264</v>
      </c>
      <c r="E385" s="4" t="s">
        <v>1142</v>
      </c>
      <c r="F385" s="4" t="s">
        <v>2265</v>
      </c>
      <c r="G385" s="4" t="s">
        <v>2266</v>
      </c>
    </row>
    <row r="386" spans="2:12" ht="20.25" customHeight="1" x14ac:dyDescent="0.4">
      <c r="C386" s="4" t="s">
        <v>2267</v>
      </c>
      <c r="D386" s="4" t="s">
        <v>2268</v>
      </c>
      <c r="E386" s="4" t="s">
        <v>1142</v>
      </c>
      <c r="F386" s="4" t="s">
        <v>2269</v>
      </c>
      <c r="G386" s="4" t="s">
        <v>2270</v>
      </c>
    </row>
    <row r="387" spans="2:12" ht="20.25" customHeight="1" x14ac:dyDescent="0.4">
      <c r="B387" s="7" t="s">
        <v>2271</v>
      </c>
      <c r="C387" s="4" t="s">
        <v>2258</v>
      </c>
      <c r="D387" s="4" t="s">
        <v>2272</v>
      </c>
      <c r="E387" s="4" t="s">
        <v>2260</v>
      </c>
      <c r="F387" s="4" t="s">
        <v>2273</v>
      </c>
      <c r="G387" s="4" t="s">
        <v>2274</v>
      </c>
      <c r="H387" s="4" t="s">
        <v>2275</v>
      </c>
      <c r="J387" s="4" t="s">
        <v>2276</v>
      </c>
    </row>
    <row r="388" spans="2:12" ht="20.25" customHeight="1" x14ac:dyDescent="0.4">
      <c r="C388" s="4" t="s">
        <v>2277</v>
      </c>
      <c r="D388" s="4" t="s">
        <v>2278</v>
      </c>
      <c r="E388" s="4" t="s">
        <v>2279</v>
      </c>
      <c r="F388" s="4" t="s">
        <v>2280</v>
      </c>
    </row>
    <row r="389" spans="2:12" ht="20.25" customHeight="1" x14ac:dyDescent="0.4">
      <c r="C389" s="4" t="s">
        <v>2277</v>
      </c>
      <c r="D389" s="4" t="s">
        <v>2281</v>
      </c>
      <c r="E389" s="4" t="s">
        <v>2282</v>
      </c>
      <c r="F389" s="4" t="s">
        <v>2280</v>
      </c>
      <c r="G389" s="4" t="s">
        <v>2283</v>
      </c>
      <c r="H389" s="4" t="s">
        <v>2284</v>
      </c>
    </row>
    <row r="390" spans="2:12" ht="20.25" customHeight="1" x14ac:dyDescent="0.4">
      <c r="B390" s="7" t="s">
        <v>2285</v>
      </c>
      <c r="C390" s="4" t="s">
        <v>2286</v>
      </c>
      <c r="D390" s="4" t="s">
        <v>1101</v>
      </c>
      <c r="E390" s="4" t="s">
        <v>2287</v>
      </c>
      <c r="F390" s="4" t="s">
        <v>2287</v>
      </c>
      <c r="G390" s="4" t="s">
        <v>2288</v>
      </c>
    </row>
    <row r="391" spans="2:12" ht="20.25" customHeight="1" x14ac:dyDescent="0.4">
      <c r="D391" s="4" t="s">
        <v>2289</v>
      </c>
      <c r="E391" s="4" t="s">
        <v>1142</v>
      </c>
      <c r="F391" s="4" t="s">
        <v>2290</v>
      </c>
      <c r="G391" s="4" t="s">
        <v>2291</v>
      </c>
    </row>
    <row r="392" spans="2:12" ht="20.25" customHeight="1" x14ac:dyDescent="0.4">
      <c r="D392" s="4" t="s">
        <v>2292</v>
      </c>
      <c r="E392" s="4" t="s">
        <v>1142</v>
      </c>
      <c r="F392" s="4" t="s">
        <v>2293</v>
      </c>
    </row>
    <row r="393" spans="2:12" ht="20.25" customHeight="1" x14ac:dyDescent="0.4">
      <c r="B393" s="7" t="s">
        <v>1032</v>
      </c>
      <c r="C393" s="4" t="s">
        <v>1365</v>
      </c>
      <c r="D393" s="4" t="s">
        <v>2294</v>
      </c>
      <c r="E393" s="4" t="s">
        <v>2295</v>
      </c>
      <c r="F393" s="4" t="s">
        <v>1035</v>
      </c>
      <c r="G393" s="4" t="s">
        <v>1036</v>
      </c>
    </row>
    <row r="394" spans="2:12" ht="20.25" customHeight="1" x14ac:dyDescent="0.4">
      <c r="B394" s="7" t="s">
        <v>2296</v>
      </c>
      <c r="C394" s="4" t="s">
        <v>2297</v>
      </c>
      <c r="D394" s="4" t="s">
        <v>2298</v>
      </c>
      <c r="F394" s="4" t="s">
        <v>2299</v>
      </c>
      <c r="G394" s="4" t="s">
        <v>2300</v>
      </c>
    </row>
    <row r="395" spans="2:12" ht="20.25" customHeight="1" x14ac:dyDescent="0.4"/>
    <row r="396" spans="2:12" ht="20.25" customHeight="1" x14ac:dyDescent="0.4">
      <c r="B396" s="7" t="s">
        <v>2301</v>
      </c>
      <c r="C396" s="93" t="s">
        <v>2302</v>
      </c>
      <c r="D396" s="93" t="s">
        <v>2303</v>
      </c>
    </row>
    <row r="397" spans="2:12" ht="20.25" customHeight="1" x14ac:dyDescent="0.4">
      <c r="B397" s="7" t="s">
        <v>779</v>
      </c>
      <c r="C397" s="4" t="s">
        <v>780</v>
      </c>
      <c r="D397" s="7" t="s">
        <v>2304</v>
      </c>
      <c r="E397" s="7" t="s">
        <v>2305</v>
      </c>
      <c r="F397" s="7" t="s">
        <v>2305</v>
      </c>
      <c r="G397" s="7" t="s">
        <v>1491</v>
      </c>
      <c r="H397" s="7" t="s">
        <v>2306</v>
      </c>
      <c r="J397" s="7" t="s">
        <v>2307</v>
      </c>
      <c r="L397" s="4" t="s">
        <v>2308</v>
      </c>
    </row>
    <row r="398" spans="2:12" ht="20.25" customHeight="1" x14ac:dyDescent="0.4">
      <c r="B398" s="7" t="s">
        <v>779</v>
      </c>
      <c r="C398" s="4" t="s">
        <v>780</v>
      </c>
      <c r="D398" s="4" t="s">
        <v>2309</v>
      </c>
      <c r="E398" s="4" t="s">
        <v>2305</v>
      </c>
      <c r="F398" s="4" t="s">
        <v>1511</v>
      </c>
      <c r="G398" s="4" t="s">
        <v>2310</v>
      </c>
      <c r="H398" s="4" t="s">
        <v>2311</v>
      </c>
      <c r="I398" s="4" t="s">
        <v>2312</v>
      </c>
      <c r="J398" s="4" t="s">
        <v>2313</v>
      </c>
      <c r="K398" s="4" t="s">
        <v>2314</v>
      </c>
      <c r="L398" s="4" t="s">
        <v>2315</v>
      </c>
    </row>
    <row r="399" spans="2:12" ht="20.25" customHeight="1" x14ac:dyDescent="0.4">
      <c r="B399" s="7" t="s">
        <v>779</v>
      </c>
      <c r="C399" s="4" t="s">
        <v>780</v>
      </c>
      <c r="D399" s="4" t="s">
        <v>2316</v>
      </c>
      <c r="E399" s="4" t="s">
        <v>2305</v>
      </c>
      <c r="F399" s="4" t="s">
        <v>1515</v>
      </c>
      <c r="G399" s="4" t="s">
        <v>1518</v>
      </c>
      <c r="H399" s="4" t="s">
        <v>2317</v>
      </c>
      <c r="I399" s="4" t="s">
        <v>2318</v>
      </c>
      <c r="J399" s="4" t="s">
        <v>2319</v>
      </c>
    </row>
    <row r="400" spans="2:12" ht="20.25" customHeight="1" x14ac:dyDescent="0.4">
      <c r="B400" s="7" t="s">
        <v>779</v>
      </c>
      <c r="C400" s="4" t="s">
        <v>780</v>
      </c>
      <c r="D400" s="4" t="s">
        <v>2320</v>
      </c>
      <c r="E400" s="4" t="s">
        <v>2305</v>
      </c>
      <c r="F400" s="4" t="s">
        <v>1508</v>
      </c>
      <c r="G400" s="4" t="s">
        <v>2321</v>
      </c>
      <c r="H400" s="4" t="s">
        <v>2322</v>
      </c>
      <c r="I400" s="4" t="s">
        <v>2323</v>
      </c>
      <c r="J400" s="4" t="s">
        <v>2324</v>
      </c>
      <c r="K400" s="4" t="s">
        <v>2325</v>
      </c>
    </row>
    <row r="401" spans="2:11" ht="20.25" customHeight="1" x14ac:dyDescent="0.4">
      <c r="B401" s="7" t="s">
        <v>779</v>
      </c>
      <c r="C401" s="4" t="s">
        <v>780</v>
      </c>
      <c r="D401" s="4" t="s">
        <v>2326</v>
      </c>
      <c r="E401" s="4" t="s">
        <v>2305</v>
      </c>
      <c r="F401" s="4" t="s">
        <v>2327</v>
      </c>
      <c r="G401" s="4" t="s">
        <v>2328</v>
      </c>
      <c r="H401" s="4" t="s">
        <v>2329</v>
      </c>
      <c r="I401" s="4" t="s">
        <v>2330</v>
      </c>
      <c r="J401" s="4" t="s">
        <v>2331</v>
      </c>
      <c r="K401" s="4" t="s">
        <v>2332</v>
      </c>
    </row>
    <row r="402" spans="2:11" ht="20.25" customHeight="1" x14ac:dyDescent="0.4">
      <c r="B402" s="7" t="s">
        <v>779</v>
      </c>
      <c r="C402" s="4" t="s">
        <v>780</v>
      </c>
      <c r="D402" s="4" t="s">
        <v>2309</v>
      </c>
      <c r="E402" s="4" t="s">
        <v>2305</v>
      </c>
      <c r="F402" s="4" t="s">
        <v>2333</v>
      </c>
      <c r="G402" s="4" t="s">
        <v>1504</v>
      </c>
      <c r="H402" s="4" t="s">
        <v>2334</v>
      </c>
      <c r="I402" s="4" t="s">
        <v>2335</v>
      </c>
      <c r="J402" s="4" t="s">
        <v>2336</v>
      </c>
    </row>
    <row r="403" spans="2:11" ht="20.25" customHeight="1" x14ac:dyDescent="0.4">
      <c r="B403" s="7" t="s">
        <v>779</v>
      </c>
      <c r="C403" s="4" t="s">
        <v>780</v>
      </c>
      <c r="D403" s="29" t="s">
        <v>2337</v>
      </c>
      <c r="E403" s="4" t="s">
        <v>2305</v>
      </c>
      <c r="F403" s="4" t="s">
        <v>1500</v>
      </c>
      <c r="G403" s="4" t="s">
        <v>2338</v>
      </c>
      <c r="H403" s="4" t="s">
        <v>2339</v>
      </c>
      <c r="I403" s="4" t="s">
        <v>2340</v>
      </c>
      <c r="J403" s="4" t="s">
        <v>2341</v>
      </c>
      <c r="K403" s="4" t="s">
        <v>2342</v>
      </c>
    </row>
    <row r="404" spans="2:11" ht="20.25" customHeight="1" x14ac:dyDescent="0.4">
      <c r="B404" s="7" t="s">
        <v>779</v>
      </c>
      <c r="C404" s="4" t="s">
        <v>780</v>
      </c>
      <c r="D404" s="4" t="s">
        <v>2343</v>
      </c>
      <c r="E404" s="4" t="s">
        <v>2305</v>
      </c>
      <c r="F404" s="4" t="s">
        <v>2344</v>
      </c>
      <c r="G404" s="4" t="s">
        <v>2345</v>
      </c>
      <c r="H404" s="4" t="s">
        <v>2346</v>
      </c>
      <c r="I404" s="4" t="s">
        <v>2347</v>
      </c>
      <c r="J404" s="4" t="s">
        <v>2348</v>
      </c>
    </row>
    <row r="405" spans="2:11" ht="20.25" customHeight="1" x14ac:dyDescent="0.4">
      <c r="B405" s="7" t="s">
        <v>779</v>
      </c>
      <c r="C405" s="4" t="s">
        <v>780</v>
      </c>
      <c r="D405" s="4" t="s">
        <v>2349</v>
      </c>
      <c r="E405" s="4" t="s">
        <v>2305</v>
      </c>
      <c r="F405" s="4" t="s">
        <v>2350</v>
      </c>
      <c r="G405" s="4" t="s">
        <v>2351</v>
      </c>
      <c r="H405" s="4" t="s">
        <v>2352</v>
      </c>
      <c r="I405" s="4" t="s">
        <v>2353</v>
      </c>
      <c r="J405" s="4" t="s">
        <v>2354</v>
      </c>
      <c r="K405" s="4" t="s">
        <v>2355</v>
      </c>
    </row>
    <row r="406" spans="2:11" ht="20.25" customHeight="1" x14ac:dyDescent="0.4">
      <c r="B406" s="7" t="s">
        <v>779</v>
      </c>
      <c r="C406" s="4" t="s">
        <v>780</v>
      </c>
      <c r="E406" s="4" t="s">
        <v>2305</v>
      </c>
      <c r="F406" s="4" t="s">
        <v>2356</v>
      </c>
      <c r="G406" s="4" t="s">
        <v>2357</v>
      </c>
      <c r="H406" s="4" t="s">
        <v>2358</v>
      </c>
      <c r="I406" s="4" t="s">
        <v>2359</v>
      </c>
      <c r="J406" s="4" t="s">
        <v>2360</v>
      </c>
      <c r="K406" s="4" t="s">
        <v>2361</v>
      </c>
    </row>
    <row r="407" spans="2:11" ht="20.25" customHeight="1" x14ac:dyDescent="0.4">
      <c r="B407" s="7" t="s">
        <v>779</v>
      </c>
      <c r="C407" s="4" t="s">
        <v>780</v>
      </c>
      <c r="D407" s="4" t="s">
        <v>1883</v>
      </c>
      <c r="E407" s="4" t="s">
        <v>2305</v>
      </c>
      <c r="F407" s="4" t="s">
        <v>2362</v>
      </c>
      <c r="G407" s="4" t="s">
        <v>2363</v>
      </c>
      <c r="H407" s="4" t="s">
        <v>2364</v>
      </c>
      <c r="I407" s="4" t="s">
        <v>2365</v>
      </c>
      <c r="J407" s="4" t="s">
        <v>2366</v>
      </c>
      <c r="K407" s="4" t="s">
        <v>2367</v>
      </c>
    </row>
    <row r="408" spans="2:11" ht="20.25" customHeight="1" x14ac:dyDescent="0.4">
      <c r="C408" s="5" t="s">
        <v>2368</v>
      </c>
      <c r="D408" s="5" t="s">
        <v>1965</v>
      </c>
      <c r="E408" s="4" t="s">
        <v>1923</v>
      </c>
      <c r="G408" s="4" t="s">
        <v>2326</v>
      </c>
      <c r="J408" s="4" t="s">
        <v>1876</v>
      </c>
    </row>
    <row r="409" spans="2:11" ht="20.25" customHeight="1" x14ac:dyDescent="0.4">
      <c r="C409" s="5" t="s">
        <v>1559</v>
      </c>
      <c r="D409" s="5" t="s">
        <v>2369</v>
      </c>
      <c r="E409" s="8" t="s">
        <v>1112</v>
      </c>
    </row>
    <row r="410" spans="2:11" ht="20.25" customHeight="1" x14ac:dyDescent="0.4">
      <c r="B410" s="7" t="s">
        <v>1032</v>
      </c>
      <c r="C410" s="8" t="s">
        <v>1365</v>
      </c>
      <c r="D410" s="4" t="s">
        <v>2370</v>
      </c>
      <c r="E410" s="7" t="s">
        <v>258</v>
      </c>
      <c r="F410" s="4" t="s">
        <v>2371</v>
      </c>
      <c r="G410" s="4" t="s">
        <v>1036</v>
      </c>
    </row>
    <row r="411" spans="2:11" ht="20.25" customHeight="1" x14ac:dyDescent="0.4">
      <c r="B411" s="7" t="s">
        <v>1032</v>
      </c>
      <c r="C411" s="8" t="s">
        <v>1365</v>
      </c>
      <c r="D411" s="29" t="s">
        <v>2372</v>
      </c>
      <c r="E411" s="7" t="s">
        <v>258</v>
      </c>
      <c r="F411" s="4" t="s">
        <v>2373</v>
      </c>
      <c r="G411" s="4" t="s">
        <v>1040</v>
      </c>
    </row>
    <row r="412" spans="2:11" ht="20.25" customHeight="1" x14ac:dyDescent="0.4">
      <c r="B412" s="7" t="s">
        <v>1032</v>
      </c>
      <c r="C412" s="8" t="s">
        <v>1365</v>
      </c>
      <c r="D412" s="4" t="s">
        <v>2374</v>
      </c>
      <c r="E412" s="7" t="s">
        <v>258</v>
      </c>
      <c r="F412" s="4" t="s">
        <v>2375</v>
      </c>
      <c r="G412" s="4" t="s">
        <v>1043</v>
      </c>
    </row>
    <row r="413" spans="2:11" ht="20.25" customHeight="1" x14ac:dyDescent="0.4">
      <c r="B413" s="7" t="s">
        <v>1032</v>
      </c>
      <c r="C413" s="8" t="s">
        <v>1365</v>
      </c>
      <c r="D413" s="4" t="s">
        <v>2376</v>
      </c>
      <c r="E413" s="7" t="s">
        <v>258</v>
      </c>
      <c r="F413" s="4" t="s">
        <v>2377</v>
      </c>
      <c r="G413" s="4" t="s">
        <v>1049</v>
      </c>
    </row>
    <row r="414" spans="2:11" ht="20.25" customHeight="1" x14ac:dyDescent="0.4">
      <c r="B414" s="7" t="s">
        <v>1032</v>
      </c>
      <c r="C414" s="8" t="s">
        <v>1365</v>
      </c>
      <c r="D414" s="4" t="s">
        <v>2378</v>
      </c>
      <c r="E414" s="7" t="s">
        <v>258</v>
      </c>
      <c r="F414" s="4" t="s">
        <v>2379</v>
      </c>
      <c r="G414" s="4" t="s">
        <v>1052</v>
      </c>
    </row>
    <row r="415" spans="2:11" ht="20.25" customHeight="1" x14ac:dyDescent="0.4">
      <c r="B415" s="7" t="s">
        <v>1032</v>
      </c>
      <c r="C415" s="8" t="s">
        <v>1365</v>
      </c>
      <c r="D415" s="4" t="s">
        <v>2380</v>
      </c>
      <c r="E415" s="7" t="s">
        <v>258</v>
      </c>
      <c r="F415" s="4" t="s">
        <v>2381</v>
      </c>
      <c r="G415" s="4" t="s">
        <v>1055</v>
      </c>
      <c r="J415" s="19" t="s">
        <v>2382</v>
      </c>
    </row>
    <row r="416" spans="2:11" ht="20.25" customHeight="1" x14ac:dyDescent="0.4"/>
    <row r="417" spans="2:6" ht="20.25" customHeight="1" x14ac:dyDescent="0.4"/>
    <row r="418" spans="2:6" ht="20.25" customHeight="1" x14ac:dyDescent="0.4">
      <c r="F418" s="12" t="s">
        <v>2383</v>
      </c>
    </row>
    <row r="419" spans="2:6" ht="20.25" customHeight="1" x14ac:dyDescent="0.4"/>
    <row r="420" spans="2:6" ht="20.25" customHeight="1" x14ac:dyDescent="0.4"/>
    <row r="421" spans="2:6" ht="20.25" customHeight="1" x14ac:dyDescent="0.4"/>
    <row r="422" spans="2:6" ht="20.25" customHeight="1" x14ac:dyDescent="0.4"/>
    <row r="423" spans="2:6" ht="20.25" customHeight="1" x14ac:dyDescent="0.4"/>
    <row r="424" spans="2:6" ht="20.25" customHeight="1" x14ac:dyDescent="0.4"/>
    <row r="425" spans="2:6" ht="20.25" customHeight="1" x14ac:dyDescent="0.4"/>
    <row r="426" spans="2:6" ht="20.25" customHeight="1" x14ac:dyDescent="0.4"/>
    <row r="427" spans="2:6" ht="20.25" customHeight="1" x14ac:dyDescent="0.4"/>
    <row r="428" spans="2:6" ht="20.25" customHeight="1" x14ac:dyDescent="0.4"/>
    <row r="429" spans="2:6" ht="20.25" customHeight="1" x14ac:dyDescent="0.4">
      <c r="B429" s="12" t="s">
        <v>2384</v>
      </c>
    </row>
    <row r="430" spans="2:6" ht="20.25" customHeight="1" x14ac:dyDescent="0.4"/>
    <row r="431" spans="2:6" ht="20.25" customHeight="1" x14ac:dyDescent="0.4"/>
    <row r="432" spans="2:6" ht="20.25" customHeight="1" x14ac:dyDescent="0.4"/>
    <row r="433" ht="20.25" customHeight="1" x14ac:dyDescent="0.4"/>
    <row r="434" ht="20.25" customHeight="1" x14ac:dyDescent="0.4"/>
    <row r="435" ht="20.25" customHeight="1" x14ac:dyDescent="0.4"/>
    <row r="436" ht="20.25" customHeight="1" x14ac:dyDescent="0.4"/>
    <row r="437" ht="20.25" customHeight="1" x14ac:dyDescent="0.4"/>
    <row r="438" ht="20.25" customHeight="1" x14ac:dyDescent="0.4"/>
    <row r="439" ht="20.25" customHeight="1" x14ac:dyDescent="0.4"/>
    <row r="440" ht="20.25" customHeight="1" x14ac:dyDescent="0.4"/>
    <row r="441" ht="20.25" customHeight="1" x14ac:dyDescent="0.4"/>
    <row r="442" ht="20.25" customHeight="1" x14ac:dyDescent="0.4"/>
    <row r="443" ht="20.25" customHeight="1" x14ac:dyDescent="0.4"/>
    <row r="444" ht="20.25" customHeight="1" x14ac:dyDescent="0.4"/>
    <row r="445" ht="20.25" customHeight="1" x14ac:dyDescent="0.4"/>
    <row r="446" ht="20.25" customHeight="1" x14ac:dyDescent="0.4"/>
    <row r="447" ht="20.25" customHeight="1" x14ac:dyDescent="0.4"/>
    <row r="448" ht="20.25" customHeight="1" x14ac:dyDescent="0.4"/>
    <row r="449" ht="20.25" customHeight="1" x14ac:dyDescent="0.4"/>
    <row r="450" ht="20.25" customHeight="1" x14ac:dyDescent="0.4"/>
    <row r="451" ht="20.25" customHeight="1" x14ac:dyDescent="0.4"/>
    <row r="452" ht="20.25" customHeight="1" x14ac:dyDescent="0.4"/>
    <row r="453" ht="20.25" customHeight="1" x14ac:dyDescent="0.4"/>
    <row r="454" ht="20.25" customHeight="1" x14ac:dyDescent="0.4"/>
    <row r="455" ht="20.25" customHeight="1" x14ac:dyDescent="0.4"/>
    <row r="456" ht="20.25" customHeight="1" x14ac:dyDescent="0.4"/>
    <row r="457" ht="20.25" customHeight="1" x14ac:dyDescent="0.4"/>
    <row r="458" ht="20.25" customHeight="1" x14ac:dyDescent="0.4"/>
    <row r="459" ht="20.25" customHeight="1" x14ac:dyDescent="0.4"/>
    <row r="460" ht="20.25" customHeight="1" x14ac:dyDescent="0.4"/>
    <row r="461" ht="20.25" customHeight="1" x14ac:dyDescent="0.4"/>
    <row r="462" ht="20.25" customHeight="1" x14ac:dyDescent="0.4"/>
    <row r="463" ht="20.25" customHeight="1" x14ac:dyDescent="0.4"/>
    <row r="464" ht="20.25" customHeight="1" x14ac:dyDescent="0.4"/>
    <row r="465" ht="20.25" customHeight="1" x14ac:dyDescent="0.4"/>
    <row r="466" ht="20.25" customHeight="1" x14ac:dyDescent="0.4"/>
    <row r="467" ht="20.25" customHeight="1" x14ac:dyDescent="0.4"/>
    <row r="468" ht="20.25" customHeight="1" x14ac:dyDescent="0.4"/>
    <row r="469" ht="20.25" customHeight="1" x14ac:dyDescent="0.4"/>
    <row r="470" ht="20.25" customHeight="1" x14ac:dyDescent="0.4"/>
    <row r="471" ht="20.25" customHeight="1" x14ac:dyDescent="0.4"/>
    <row r="472" ht="20.25" customHeight="1" x14ac:dyDescent="0.4"/>
    <row r="473" ht="20.25" customHeight="1" x14ac:dyDescent="0.4"/>
    <row r="474" ht="20.25" customHeight="1" x14ac:dyDescent="0.4"/>
    <row r="475" ht="20.25" customHeight="1" x14ac:dyDescent="0.4"/>
    <row r="476" ht="20.25" customHeight="1" x14ac:dyDescent="0.4"/>
    <row r="477" ht="20.25" customHeight="1" x14ac:dyDescent="0.4"/>
    <row r="478" ht="20.25" customHeight="1" x14ac:dyDescent="0.4"/>
    <row r="479" ht="20.25" customHeight="1" x14ac:dyDescent="0.4"/>
    <row r="480" ht="20.25" customHeight="1" x14ac:dyDescent="0.4"/>
    <row r="481" ht="20.25" customHeight="1" x14ac:dyDescent="0.4"/>
    <row r="482" ht="20.25" customHeight="1" x14ac:dyDescent="0.4"/>
    <row r="483" ht="20.25" customHeight="1" x14ac:dyDescent="0.4"/>
    <row r="484" ht="20.25" customHeight="1" x14ac:dyDescent="0.4"/>
    <row r="485" ht="20.25" customHeight="1" x14ac:dyDescent="0.4"/>
    <row r="486" ht="20.25" customHeight="1" x14ac:dyDescent="0.4"/>
    <row r="487" ht="20.25" customHeight="1" x14ac:dyDescent="0.4"/>
    <row r="488" ht="20.25" customHeight="1" x14ac:dyDescent="0.4"/>
    <row r="489" ht="20.25" customHeight="1" x14ac:dyDescent="0.4"/>
    <row r="490" ht="20.25" customHeight="1" x14ac:dyDescent="0.4"/>
    <row r="491" ht="20.25" customHeight="1" x14ac:dyDescent="0.4"/>
    <row r="492" ht="20.25" customHeight="1" x14ac:dyDescent="0.4"/>
    <row r="493" ht="20.25" customHeight="1" x14ac:dyDescent="0.4"/>
    <row r="494" ht="20.25" customHeight="1" x14ac:dyDescent="0.4"/>
    <row r="495" ht="20.25" customHeight="1" x14ac:dyDescent="0.4"/>
    <row r="496" ht="20.25" customHeight="1" x14ac:dyDescent="0.4"/>
    <row r="497" ht="20.25" customHeight="1" x14ac:dyDescent="0.4"/>
    <row r="498" ht="20.25" customHeight="1" x14ac:dyDescent="0.4"/>
    <row r="499" ht="20.25" customHeight="1" x14ac:dyDescent="0.4"/>
    <row r="500" ht="20.25" customHeight="1" x14ac:dyDescent="0.4"/>
    <row r="501" ht="20.25" customHeight="1" x14ac:dyDescent="0.4"/>
    <row r="502" ht="20.25" customHeight="1" x14ac:dyDescent="0.4"/>
    <row r="503" ht="20.25" customHeight="1" x14ac:dyDescent="0.4"/>
    <row r="504" ht="20.25" customHeight="1" x14ac:dyDescent="0.4"/>
    <row r="505" ht="20.25" customHeight="1" x14ac:dyDescent="0.4"/>
    <row r="506" ht="20.25" customHeight="1" x14ac:dyDescent="0.4"/>
    <row r="507" ht="20.25" customHeight="1" x14ac:dyDescent="0.4"/>
    <row r="508" ht="20.25" customHeight="1" x14ac:dyDescent="0.4"/>
    <row r="509" ht="20.25" customHeight="1" x14ac:dyDescent="0.4"/>
    <row r="510" ht="20.25" customHeight="1" x14ac:dyDescent="0.4"/>
    <row r="511" ht="20.25" customHeight="1" x14ac:dyDescent="0.4"/>
    <row r="512" ht="20.25" customHeight="1" x14ac:dyDescent="0.4"/>
    <row r="513" ht="20.25" customHeight="1" x14ac:dyDescent="0.4"/>
    <row r="514" ht="20.25" customHeight="1" x14ac:dyDescent="0.4"/>
    <row r="515" ht="20.25" customHeight="1" x14ac:dyDescent="0.4"/>
    <row r="516" ht="20.25" customHeight="1" x14ac:dyDescent="0.4"/>
    <row r="517" ht="20.25" customHeight="1" x14ac:dyDescent="0.4"/>
    <row r="518" ht="20.25" customHeight="1" x14ac:dyDescent="0.4"/>
    <row r="519" ht="20.25" customHeight="1" x14ac:dyDescent="0.4"/>
    <row r="520" ht="20.25" customHeight="1" x14ac:dyDescent="0.4"/>
    <row r="521" ht="20.25" customHeight="1" x14ac:dyDescent="0.4"/>
    <row r="522" ht="20.25" customHeight="1" x14ac:dyDescent="0.4"/>
    <row r="523" ht="20.25" customHeight="1" x14ac:dyDescent="0.4"/>
    <row r="524" ht="20.25" customHeight="1" x14ac:dyDescent="0.4"/>
    <row r="525" ht="20.25" customHeight="1" x14ac:dyDescent="0.4"/>
    <row r="526" ht="20.25" customHeight="1" x14ac:dyDescent="0.4"/>
    <row r="527" ht="20.25" customHeight="1" x14ac:dyDescent="0.4"/>
    <row r="528" ht="20.25" customHeight="1" x14ac:dyDescent="0.4"/>
    <row r="529" ht="20.25" customHeight="1" x14ac:dyDescent="0.4"/>
    <row r="530" ht="20.25" customHeight="1" x14ac:dyDescent="0.4"/>
    <row r="531" ht="20.25" customHeight="1" x14ac:dyDescent="0.4"/>
    <row r="532" ht="20.25" customHeight="1" x14ac:dyDescent="0.4"/>
    <row r="533" ht="20.25" customHeight="1" x14ac:dyDescent="0.4"/>
    <row r="534" ht="20.25" customHeight="1" x14ac:dyDescent="0.4"/>
    <row r="535" ht="20.25" customHeight="1" x14ac:dyDescent="0.4"/>
    <row r="536" ht="20.25" customHeight="1" x14ac:dyDescent="0.4"/>
    <row r="537" ht="20.25" customHeight="1" x14ac:dyDescent="0.4"/>
    <row r="538" ht="20.25" customHeight="1" x14ac:dyDescent="0.4"/>
    <row r="539" ht="20.25" customHeight="1" x14ac:dyDescent="0.4"/>
    <row r="540" ht="20.25" customHeight="1" x14ac:dyDescent="0.4"/>
    <row r="541" ht="20.25" customHeight="1" x14ac:dyDescent="0.4"/>
    <row r="542" ht="20.25" customHeight="1" x14ac:dyDescent="0.4"/>
    <row r="543" ht="20.25" customHeight="1" x14ac:dyDescent="0.4"/>
    <row r="544" ht="20.25" customHeight="1" x14ac:dyDescent="0.4"/>
    <row r="545" ht="20.25" customHeight="1" x14ac:dyDescent="0.4"/>
    <row r="546" ht="20.25" customHeight="1" x14ac:dyDescent="0.4"/>
    <row r="547" ht="20.25" customHeight="1" x14ac:dyDescent="0.4"/>
    <row r="548" ht="20.25" customHeight="1" x14ac:dyDescent="0.4"/>
    <row r="549" ht="20.25" customHeight="1" x14ac:dyDescent="0.4"/>
    <row r="550" ht="20.25" customHeight="1" x14ac:dyDescent="0.4"/>
    <row r="551" ht="20.25" customHeight="1" x14ac:dyDescent="0.4"/>
    <row r="552" ht="20.25" customHeight="1" x14ac:dyDescent="0.4"/>
    <row r="553" ht="20.25" customHeight="1" x14ac:dyDescent="0.4"/>
    <row r="554" ht="20.25" customHeight="1" x14ac:dyDescent="0.4"/>
    <row r="555" ht="20.25" customHeight="1" x14ac:dyDescent="0.4"/>
    <row r="556" ht="20.25" customHeight="1" x14ac:dyDescent="0.4"/>
    <row r="557" ht="20.25" customHeight="1" x14ac:dyDescent="0.4"/>
    <row r="558" ht="20.25" customHeight="1" x14ac:dyDescent="0.4"/>
    <row r="559" ht="20.25" customHeight="1" x14ac:dyDescent="0.4"/>
    <row r="560" ht="20.25" customHeight="1" x14ac:dyDescent="0.4"/>
    <row r="561" ht="20.25" customHeight="1" x14ac:dyDescent="0.4"/>
    <row r="562" ht="20.25" customHeight="1" x14ac:dyDescent="0.4"/>
    <row r="563" ht="20.25" customHeight="1" x14ac:dyDescent="0.4"/>
    <row r="564" ht="20.25" customHeight="1" x14ac:dyDescent="0.4"/>
    <row r="565" ht="20.25" customHeight="1" x14ac:dyDescent="0.4"/>
    <row r="566" ht="20.25" customHeight="1" x14ac:dyDescent="0.4"/>
    <row r="567" ht="20.25" customHeight="1" x14ac:dyDescent="0.4"/>
    <row r="568" ht="20.25" customHeight="1" x14ac:dyDescent="0.4"/>
    <row r="569" ht="20.25" customHeight="1" x14ac:dyDescent="0.4"/>
    <row r="570" ht="20.25" customHeight="1" x14ac:dyDescent="0.4"/>
    <row r="571" ht="20.25" customHeight="1" x14ac:dyDescent="0.4"/>
    <row r="572" ht="20.25" customHeight="1" x14ac:dyDescent="0.4"/>
    <row r="573" ht="20.25" customHeight="1" x14ac:dyDescent="0.4"/>
    <row r="574" ht="20.25" customHeight="1" x14ac:dyDescent="0.4"/>
    <row r="575" ht="20.25" customHeight="1" x14ac:dyDescent="0.4"/>
    <row r="576" ht="20.25" customHeight="1" x14ac:dyDescent="0.4"/>
    <row r="577" ht="20.25" customHeight="1" x14ac:dyDescent="0.4"/>
    <row r="578" ht="20.25" customHeight="1" x14ac:dyDescent="0.4"/>
    <row r="579" ht="20.25" customHeight="1" x14ac:dyDescent="0.4"/>
    <row r="580" ht="20.25" customHeight="1" x14ac:dyDescent="0.4"/>
    <row r="581" ht="20.25" customHeight="1" x14ac:dyDescent="0.4"/>
    <row r="582" ht="20.25" customHeight="1" x14ac:dyDescent="0.4"/>
    <row r="583" ht="20.25" customHeight="1" x14ac:dyDescent="0.4"/>
    <row r="584" ht="20.25" customHeight="1" x14ac:dyDescent="0.4"/>
    <row r="585" ht="20.25" customHeight="1" x14ac:dyDescent="0.4"/>
    <row r="586" ht="20.25" customHeight="1" x14ac:dyDescent="0.4"/>
    <row r="587" ht="20.25" customHeight="1" x14ac:dyDescent="0.4"/>
    <row r="588" ht="20.25" customHeight="1" x14ac:dyDescent="0.4"/>
    <row r="589" ht="20.25" customHeight="1" x14ac:dyDescent="0.4"/>
    <row r="590" ht="20.25" customHeight="1" x14ac:dyDescent="0.4"/>
    <row r="591" ht="20.25" customHeight="1" x14ac:dyDescent="0.4"/>
    <row r="592" ht="20.25" customHeight="1" x14ac:dyDescent="0.4"/>
    <row r="593" ht="20.25" customHeight="1" x14ac:dyDescent="0.4"/>
    <row r="594" ht="20.25" customHeight="1" x14ac:dyDescent="0.4"/>
    <row r="595" ht="20.25" customHeight="1" x14ac:dyDescent="0.4"/>
    <row r="596" ht="20.25" customHeight="1" x14ac:dyDescent="0.4"/>
    <row r="597" ht="20.25" customHeight="1" x14ac:dyDescent="0.4"/>
    <row r="598" ht="20.25" customHeight="1" x14ac:dyDescent="0.4"/>
    <row r="599" ht="20.25" customHeight="1" x14ac:dyDescent="0.4"/>
    <row r="600" ht="20.25" customHeight="1" x14ac:dyDescent="0.4"/>
    <row r="601" ht="20.25" customHeight="1" x14ac:dyDescent="0.4"/>
    <row r="602" ht="20.25" customHeight="1" x14ac:dyDescent="0.4"/>
    <row r="603" ht="20.25" customHeight="1" x14ac:dyDescent="0.4"/>
    <row r="604" ht="20.25" customHeight="1" x14ac:dyDescent="0.4"/>
    <row r="605" ht="20.25" customHeight="1" x14ac:dyDescent="0.4"/>
    <row r="606" ht="20.25" customHeight="1" x14ac:dyDescent="0.4"/>
    <row r="607" ht="20.25" customHeight="1" x14ac:dyDescent="0.4"/>
    <row r="608" ht="20.25" customHeight="1" x14ac:dyDescent="0.4"/>
    <row r="609" ht="20.25" customHeight="1" x14ac:dyDescent="0.4"/>
    <row r="610" ht="20.25" customHeight="1" x14ac:dyDescent="0.4"/>
    <row r="611" ht="20.25" customHeight="1" x14ac:dyDescent="0.4"/>
    <row r="612" ht="20.25" customHeight="1" x14ac:dyDescent="0.4"/>
    <row r="613" ht="20.25" customHeight="1" x14ac:dyDescent="0.4"/>
    <row r="614" ht="20.25" customHeight="1" x14ac:dyDescent="0.4"/>
    <row r="615" ht="20.25" customHeight="1" x14ac:dyDescent="0.4"/>
    <row r="616" ht="20.25" customHeight="1" x14ac:dyDescent="0.4"/>
    <row r="617" ht="20.25" customHeight="1" x14ac:dyDescent="0.4"/>
    <row r="618" ht="20.25" customHeight="1" x14ac:dyDescent="0.4"/>
    <row r="619" ht="20.25" customHeight="1" x14ac:dyDescent="0.4"/>
    <row r="620" ht="20.25" customHeight="1" x14ac:dyDescent="0.4"/>
    <row r="621" ht="20.25" customHeight="1" x14ac:dyDescent="0.4"/>
    <row r="622" ht="20.25" customHeight="1" x14ac:dyDescent="0.4"/>
    <row r="623" ht="20.25" customHeight="1" x14ac:dyDescent="0.4"/>
    <row r="624" ht="20.25" customHeight="1" x14ac:dyDescent="0.4"/>
    <row r="625" ht="20.25" customHeight="1" x14ac:dyDescent="0.4"/>
    <row r="626" ht="20.25" customHeight="1" x14ac:dyDescent="0.4"/>
    <row r="627" ht="20.25" customHeight="1" x14ac:dyDescent="0.4"/>
    <row r="628" ht="20.25" customHeight="1" x14ac:dyDescent="0.4"/>
    <row r="629" ht="20.25" customHeight="1" x14ac:dyDescent="0.4"/>
    <row r="630" ht="20.25" customHeight="1" x14ac:dyDescent="0.4"/>
    <row r="631" ht="20.25" customHeight="1" x14ac:dyDescent="0.4"/>
    <row r="632" ht="20.25" customHeight="1" x14ac:dyDescent="0.4"/>
    <row r="633" ht="20.25" customHeight="1" x14ac:dyDescent="0.4"/>
    <row r="634" ht="20.25" customHeight="1" x14ac:dyDescent="0.4"/>
    <row r="635" ht="20.25" customHeight="1" x14ac:dyDescent="0.4"/>
    <row r="636" ht="20.25" customHeight="1" x14ac:dyDescent="0.4"/>
    <row r="637" ht="20.25" customHeight="1" x14ac:dyDescent="0.4"/>
    <row r="638" ht="20.25" customHeight="1" x14ac:dyDescent="0.4"/>
    <row r="639" ht="20.25" customHeight="1" x14ac:dyDescent="0.4"/>
    <row r="640" ht="20.25" customHeight="1" x14ac:dyDescent="0.4"/>
    <row r="641" ht="20.25" customHeight="1" x14ac:dyDescent="0.4"/>
    <row r="642" ht="20.25" customHeight="1" x14ac:dyDescent="0.4"/>
    <row r="643" ht="20.25" customHeight="1" x14ac:dyDescent="0.4"/>
    <row r="644" ht="20.25" customHeight="1" x14ac:dyDescent="0.4"/>
    <row r="645" ht="20.25" customHeight="1" x14ac:dyDescent="0.4"/>
    <row r="646" ht="20.25" customHeight="1" x14ac:dyDescent="0.4"/>
    <row r="647" ht="20.25" customHeight="1" x14ac:dyDescent="0.4"/>
    <row r="648" ht="20.25" customHeight="1" x14ac:dyDescent="0.4"/>
    <row r="649" ht="20.25" customHeight="1" x14ac:dyDescent="0.4"/>
    <row r="650" ht="20.25" customHeight="1" x14ac:dyDescent="0.4"/>
    <row r="651" ht="20.25" customHeight="1" x14ac:dyDescent="0.4"/>
    <row r="652" ht="20.25" customHeight="1" x14ac:dyDescent="0.4"/>
    <row r="653" ht="20.25" customHeight="1" x14ac:dyDescent="0.4"/>
    <row r="654" ht="20.25" customHeight="1" x14ac:dyDescent="0.4"/>
    <row r="655" ht="20.25" customHeight="1" x14ac:dyDescent="0.4"/>
    <row r="656" ht="20.25" customHeight="1" x14ac:dyDescent="0.4"/>
    <row r="657" ht="20.25" customHeight="1" x14ac:dyDescent="0.4"/>
    <row r="658" ht="20.25" customHeight="1" x14ac:dyDescent="0.4"/>
    <row r="659" ht="20.25" customHeight="1" x14ac:dyDescent="0.4"/>
    <row r="660" ht="20.25" customHeight="1" x14ac:dyDescent="0.4"/>
    <row r="661" ht="20.25" customHeight="1" x14ac:dyDescent="0.4"/>
    <row r="662" ht="20.25" customHeight="1" x14ac:dyDescent="0.4"/>
    <row r="663" ht="20.25" customHeight="1" x14ac:dyDescent="0.4"/>
    <row r="664" ht="20.25" customHeight="1" x14ac:dyDescent="0.4"/>
    <row r="665" ht="20.25" customHeight="1" x14ac:dyDescent="0.4"/>
    <row r="666" ht="20.25" customHeight="1" x14ac:dyDescent="0.4"/>
    <row r="667" ht="20.25" customHeight="1" x14ac:dyDescent="0.4"/>
    <row r="668" ht="20.25" customHeight="1" x14ac:dyDescent="0.4"/>
    <row r="669" ht="20.25" customHeight="1" x14ac:dyDescent="0.4"/>
    <row r="670" ht="20.25" customHeight="1" x14ac:dyDescent="0.4"/>
    <row r="671" ht="20.25" customHeight="1" x14ac:dyDescent="0.4"/>
    <row r="672" ht="20.25" customHeight="1" x14ac:dyDescent="0.4"/>
    <row r="673" ht="20.25" customHeight="1" x14ac:dyDescent="0.4"/>
    <row r="674" ht="20.25" customHeight="1" x14ac:dyDescent="0.4"/>
    <row r="675" ht="20.25" customHeight="1" x14ac:dyDescent="0.4"/>
    <row r="676" ht="20.25" customHeight="1" x14ac:dyDescent="0.4"/>
    <row r="677" ht="20.25" customHeight="1" x14ac:dyDescent="0.4"/>
    <row r="678" ht="20.25" customHeight="1" x14ac:dyDescent="0.4"/>
    <row r="679" ht="20.25" customHeight="1" x14ac:dyDescent="0.4"/>
    <row r="680" ht="20.25" customHeight="1" x14ac:dyDescent="0.4"/>
    <row r="681" ht="20.25" customHeight="1" x14ac:dyDescent="0.4"/>
    <row r="682" ht="20.25" customHeight="1" x14ac:dyDescent="0.4"/>
    <row r="683" ht="20.25" customHeight="1" x14ac:dyDescent="0.4"/>
    <row r="684" ht="20.25" customHeight="1" x14ac:dyDescent="0.4"/>
    <row r="685" ht="20.25" customHeight="1" x14ac:dyDescent="0.4"/>
    <row r="686" ht="20.25" customHeight="1" x14ac:dyDescent="0.4"/>
    <row r="687" ht="20.25" customHeight="1" x14ac:dyDescent="0.4"/>
    <row r="688" ht="20.25" customHeight="1" x14ac:dyDescent="0.4"/>
    <row r="689" ht="20.25" customHeight="1" x14ac:dyDescent="0.4"/>
    <row r="690" ht="20.25" customHeight="1" x14ac:dyDescent="0.4"/>
    <row r="691" ht="20.25" customHeight="1" x14ac:dyDescent="0.4"/>
    <row r="692" ht="20.25" customHeight="1" x14ac:dyDescent="0.4"/>
    <row r="693" ht="20.25" customHeight="1" x14ac:dyDescent="0.4"/>
    <row r="694" ht="20.25" customHeight="1" x14ac:dyDescent="0.4"/>
    <row r="695" ht="20.25" customHeight="1" x14ac:dyDescent="0.4"/>
    <row r="696" ht="20.25" customHeight="1" x14ac:dyDescent="0.4"/>
    <row r="697" ht="20.25" customHeight="1" x14ac:dyDescent="0.4"/>
    <row r="698" ht="20.25" customHeight="1" x14ac:dyDescent="0.4"/>
    <row r="699" ht="20.25" customHeight="1" x14ac:dyDescent="0.4"/>
    <row r="700" ht="20.25" customHeight="1" x14ac:dyDescent="0.4"/>
    <row r="701" ht="20.25" customHeight="1" x14ac:dyDescent="0.4"/>
    <row r="702" ht="20.25" customHeight="1" x14ac:dyDescent="0.4"/>
    <row r="703" ht="20.25" customHeight="1" x14ac:dyDescent="0.4"/>
    <row r="704" ht="20.25" customHeight="1" x14ac:dyDescent="0.4"/>
    <row r="705" ht="20.25" customHeight="1" x14ac:dyDescent="0.4"/>
    <row r="706" ht="20.25" customHeight="1" x14ac:dyDescent="0.4"/>
    <row r="707" ht="20.25" customHeight="1" x14ac:dyDescent="0.4"/>
    <row r="708" ht="20.25" customHeight="1" x14ac:dyDescent="0.4"/>
    <row r="709" ht="20.25" customHeight="1" x14ac:dyDescent="0.4"/>
    <row r="710" ht="20.25" customHeight="1" x14ac:dyDescent="0.4"/>
    <row r="711" ht="20.25" customHeight="1" x14ac:dyDescent="0.4"/>
    <row r="712" ht="20.25" customHeight="1" x14ac:dyDescent="0.4"/>
    <row r="713" ht="20.25" customHeight="1" x14ac:dyDescent="0.4"/>
    <row r="714" ht="20.25" customHeight="1" x14ac:dyDescent="0.4"/>
    <row r="715" ht="20.25" customHeight="1" x14ac:dyDescent="0.4"/>
    <row r="716" ht="20.25" customHeight="1" x14ac:dyDescent="0.4"/>
    <row r="717" ht="20.25" customHeight="1" x14ac:dyDescent="0.4"/>
    <row r="718" ht="20.25" customHeight="1" x14ac:dyDescent="0.4"/>
    <row r="719" ht="20.25" customHeight="1" x14ac:dyDescent="0.4"/>
    <row r="720" ht="20.25" customHeight="1" x14ac:dyDescent="0.4"/>
    <row r="721" ht="20.25" customHeight="1" x14ac:dyDescent="0.4"/>
    <row r="722" ht="20.25" customHeight="1" x14ac:dyDescent="0.4"/>
    <row r="723" ht="20.25" customHeight="1" x14ac:dyDescent="0.4"/>
    <row r="724" ht="20.25" customHeight="1" x14ac:dyDescent="0.4"/>
    <row r="725" ht="20.25" customHeight="1" x14ac:dyDescent="0.4"/>
    <row r="726" ht="20.25" customHeight="1" x14ac:dyDescent="0.4"/>
    <row r="727" ht="20.25" customHeight="1" x14ac:dyDescent="0.4"/>
    <row r="728" ht="20.25" customHeight="1" x14ac:dyDescent="0.4"/>
    <row r="729" ht="20.25" customHeight="1" x14ac:dyDescent="0.4"/>
    <row r="730" ht="20.25" customHeight="1" x14ac:dyDescent="0.4"/>
    <row r="731" ht="20.25" customHeight="1" x14ac:dyDescent="0.4"/>
    <row r="732" ht="20.25" customHeight="1" x14ac:dyDescent="0.4"/>
    <row r="733" ht="20.25" customHeight="1" x14ac:dyDescent="0.4"/>
    <row r="734" ht="20.25" customHeight="1" x14ac:dyDescent="0.4"/>
    <row r="735" ht="20.25" customHeight="1" x14ac:dyDescent="0.4"/>
    <row r="736" ht="20.25" customHeight="1" x14ac:dyDescent="0.4"/>
    <row r="737" ht="20.25" customHeight="1" x14ac:dyDescent="0.4"/>
    <row r="738" ht="20.25" customHeight="1" x14ac:dyDescent="0.4"/>
    <row r="739" ht="20.25" customHeight="1" x14ac:dyDescent="0.4"/>
    <row r="740" ht="20.25" customHeight="1" x14ac:dyDescent="0.4"/>
    <row r="741" ht="20.25" customHeight="1" x14ac:dyDescent="0.4"/>
    <row r="742" ht="20.25" customHeight="1" x14ac:dyDescent="0.4"/>
    <row r="743" ht="20.25" customHeight="1" x14ac:dyDescent="0.4"/>
    <row r="744" ht="20.25" customHeight="1" x14ac:dyDescent="0.4"/>
    <row r="745" ht="20.25" customHeight="1" x14ac:dyDescent="0.4"/>
    <row r="746" ht="20.25" customHeight="1" x14ac:dyDescent="0.4"/>
    <row r="747" ht="20.25" customHeight="1" x14ac:dyDescent="0.4"/>
    <row r="748" ht="20.25" customHeight="1" x14ac:dyDescent="0.4"/>
    <row r="749" ht="20.25" customHeight="1" x14ac:dyDescent="0.4"/>
    <row r="750" ht="20.25" customHeight="1" x14ac:dyDescent="0.4"/>
    <row r="751" ht="20.25" customHeight="1" x14ac:dyDescent="0.4"/>
    <row r="752" ht="20.25" customHeight="1" x14ac:dyDescent="0.4"/>
    <row r="753" ht="20.25" customHeight="1" x14ac:dyDescent="0.4"/>
    <row r="754" ht="20.25" customHeight="1" x14ac:dyDescent="0.4"/>
    <row r="755" ht="20.25" customHeight="1" x14ac:dyDescent="0.4"/>
    <row r="756" ht="20.25" customHeight="1" x14ac:dyDescent="0.4"/>
    <row r="757" ht="20.25" customHeight="1" x14ac:dyDescent="0.4"/>
    <row r="758" ht="20.25" customHeight="1" x14ac:dyDescent="0.4"/>
    <row r="759" ht="20.25" customHeight="1" x14ac:dyDescent="0.4"/>
    <row r="760" ht="20.25" customHeight="1" x14ac:dyDescent="0.4"/>
    <row r="761" ht="20.25" customHeight="1" x14ac:dyDescent="0.4"/>
    <row r="762" ht="20.25" customHeight="1" x14ac:dyDescent="0.4"/>
    <row r="763" ht="20.25" customHeight="1" x14ac:dyDescent="0.4"/>
    <row r="764" ht="20.25" customHeight="1" x14ac:dyDescent="0.4"/>
    <row r="765" ht="20.25" customHeight="1" x14ac:dyDescent="0.4"/>
    <row r="766" ht="20.25" customHeight="1" x14ac:dyDescent="0.4"/>
    <row r="767" ht="20.25" customHeight="1" x14ac:dyDescent="0.4"/>
    <row r="768" ht="20.25" customHeight="1" x14ac:dyDescent="0.4"/>
    <row r="769" ht="20.25" customHeight="1" x14ac:dyDescent="0.4"/>
    <row r="770" ht="20.25" customHeight="1" x14ac:dyDescent="0.4"/>
    <row r="771" ht="20.25" customHeight="1" x14ac:dyDescent="0.4"/>
    <row r="772" ht="20.25" customHeight="1" x14ac:dyDescent="0.4"/>
    <row r="773" ht="20.25" customHeight="1" x14ac:dyDescent="0.4"/>
    <row r="774" ht="20.25" customHeight="1" x14ac:dyDescent="0.4"/>
    <row r="775" ht="20.25" customHeight="1" x14ac:dyDescent="0.4"/>
    <row r="776" ht="20.25" customHeight="1" x14ac:dyDescent="0.4"/>
    <row r="777" ht="20.25" customHeight="1" x14ac:dyDescent="0.4"/>
    <row r="778" ht="20.25" customHeight="1" x14ac:dyDescent="0.4"/>
    <row r="779" ht="20.25" customHeight="1" x14ac:dyDescent="0.4"/>
    <row r="780" ht="20.25" customHeight="1" x14ac:dyDescent="0.4"/>
    <row r="781" ht="20.25" customHeight="1" x14ac:dyDescent="0.4"/>
    <row r="782" ht="20.25" customHeight="1" x14ac:dyDescent="0.4"/>
    <row r="783" ht="20.25" customHeight="1" x14ac:dyDescent="0.4"/>
    <row r="784" ht="20.25" customHeight="1" x14ac:dyDescent="0.4"/>
    <row r="785" ht="20.25" customHeight="1" x14ac:dyDescent="0.4"/>
    <row r="786" ht="20.25" customHeight="1" x14ac:dyDescent="0.4"/>
    <row r="787" ht="20.25" customHeight="1" x14ac:dyDescent="0.4"/>
    <row r="788" ht="20.25" customHeight="1" x14ac:dyDescent="0.4"/>
    <row r="789" ht="20.25" customHeight="1" x14ac:dyDescent="0.4"/>
    <row r="790" ht="20.25" customHeight="1" x14ac:dyDescent="0.4"/>
    <row r="791" ht="20.25" customHeight="1" x14ac:dyDescent="0.4"/>
    <row r="792" ht="20.25" customHeight="1" x14ac:dyDescent="0.4"/>
    <row r="793" ht="20.25" customHeight="1" x14ac:dyDescent="0.4"/>
    <row r="794" ht="20.25" customHeight="1" x14ac:dyDescent="0.4"/>
    <row r="795" ht="20.25" customHeight="1" x14ac:dyDescent="0.4"/>
    <row r="796" ht="20.25" customHeight="1" x14ac:dyDescent="0.4"/>
    <row r="797" ht="20.25" customHeight="1" x14ac:dyDescent="0.4"/>
    <row r="798" ht="20.25" customHeight="1" x14ac:dyDescent="0.4"/>
    <row r="799" ht="20.25" customHeight="1" x14ac:dyDescent="0.4"/>
    <row r="800" ht="20.25" customHeight="1" x14ac:dyDescent="0.4"/>
    <row r="801" ht="20.25" customHeight="1" x14ac:dyDescent="0.4"/>
    <row r="802" ht="20.25" customHeight="1" x14ac:dyDescent="0.4"/>
    <row r="803" ht="20.25" customHeight="1" x14ac:dyDescent="0.4"/>
    <row r="804" ht="20.25" customHeight="1" x14ac:dyDescent="0.4"/>
    <row r="805" ht="20.25" customHeight="1" x14ac:dyDescent="0.4"/>
    <row r="806" ht="20.25" customHeight="1" x14ac:dyDescent="0.4"/>
    <row r="807" ht="20.25" customHeight="1" x14ac:dyDescent="0.4"/>
    <row r="808" ht="20.25" customHeight="1" x14ac:dyDescent="0.4"/>
    <row r="809" ht="20.25" customHeight="1" x14ac:dyDescent="0.4"/>
    <row r="810" ht="20.25" customHeight="1" x14ac:dyDescent="0.4"/>
    <row r="811" ht="20.25" customHeight="1" x14ac:dyDescent="0.4"/>
    <row r="812" ht="20.25" customHeight="1" x14ac:dyDescent="0.4"/>
    <row r="813" ht="20.25" customHeight="1" x14ac:dyDescent="0.4"/>
    <row r="814" ht="20.25" customHeight="1" x14ac:dyDescent="0.4"/>
    <row r="815" ht="20.25" customHeight="1" x14ac:dyDescent="0.4"/>
    <row r="816" ht="20.25" customHeight="1" x14ac:dyDescent="0.4"/>
    <row r="817" ht="20.25" customHeight="1" x14ac:dyDescent="0.4"/>
    <row r="818" ht="20.25" customHeight="1" x14ac:dyDescent="0.4"/>
    <row r="819" ht="20.25" customHeight="1" x14ac:dyDescent="0.4"/>
    <row r="820" ht="20.25" customHeight="1" x14ac:dyDescent="0.4"/>
    <row r="821" ht="20.25" customHeight="1" x14ac:dyDescent="0.4"/>
    <row r="822" ht="20.25" customHeight="1" x14ac:dyDescent="0.4"/>
    <row r="823" ht="20.25" customHeight="1" x14ac:dyDescent="0.4"/>
    <row r="824" ht="20.25" customHeight="1" x14ac:dyDescent="0.4"/>
    <row r="825" ht="20.25" customHeight="1" x14ac:dyDescent="0.4"/>
    <row r="826" ht="20.25" customHeight="1" x14ac:dyDescent="0.4"/>
    <row r="827" ht="20.25" customHeight="1" x14ac:dyDescent="0.4"/>
    <row r="828" ht="20.25" customHeight="1" x14ac:dyDescent="0.4"/>
    <row r="829" ht="20.25" customHeight="1" x14ac:dyDescent="0.4"/>
    <row r="830" ht="20.25" customHeight="1" x14ac:dyDescent="0.4"/>
    <row r="831" ht="20.25" customHeight="1" x14ac:dyDescent="0.4"/>
    <row r="832" ht="20.25" customHeight="1" x14ac:dyDescent="0.4"/>
    <row r="833" ht="20.25" customHeight="1" x14ac:dyDescent="0.4"/>
    <row r="834" ht="20.25" customHeight="1" x14ac:dyDescent="0.4"/>
    <row r="835" ht="20.25" customHeight="1" x14ac:dyDescent="0.4"/>
    <row r="836" ht="20.25" customHeight="1" x14ac:dyDescent="0.4"/>
    <row r="837" ht="20.25" customHeight="1" x14ac:dyDescent="0.4"/>
    <row r="838" ht="20.25" customHeight="1" x14ac:dyDescent="0.4"/>
    <row r="839" ht="20.25" customHeight="1" x14ac:dyDescent="0.4"/>
    <row r="840" ht="20.25" customHeight="1" x14ac:dyDescent="0.4"/>
    <row r="841" ht="20.25" customHeight="1" x14ac:dyDescent="0.4"/>
    <row r="842" ht="20.25" customHeight="1" x14ac:dyDescent="0.4"/>
    <row r="843" ht="20.25" customHeight="1" x14ac:dyDescent="0.4"/>
    <row r="844" ht="20.25" customHeight="1" x14ac:dyDescent="0.4"/>
    <row r="845" ht="20.25" customHeight="1" x14ac:dyDescent="0.4"/>
    <row r="846" ht="20.25" customHeight="1" x14ac:dyDescent="0.4"/>
    <row r="847" ht="20.25" customHeight="1" x14ac:dyDescent="0.4"/>
    <row r="848" ht="20.25" customHeight="1" x14ac:dyDescent="0.4"/>
    <row r="849" ht="20.25" customHeight="1" x14ac:dyDescent="0.4"/>
    <row r="850" ht="20.25" customHeight="1" x14ac:dyDescent="0.4"/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EB290-E036-4579-B4B0-46F6037D5400}">
  <dimension ref="B1:T850"/>
  <sheetViews>
    <sheetView workbookViewId="0"/>
  </sheetViews>
  <sheetFormatPr defaultRowHeight="17.399999999999999" x14ac:dyDescent="0.4"/>
  <cols>
    <col min="1" max="1" width="4.09765625" customWidth="1"/>
    <col min="2" max="2" width="22.8984375" customWidth="1"/>
    <col min="3" max="3" width="8.8984375" customWidth="1"/>
    <col min="4" max="4" width="6" customWidth="1"/>
    <col min="5" max="5" width="5.8984375" customWidth="1"/>
    <col min="6" max="8" width="8.8984375" customWidth="1"/>
    <col min="9" max="9" width="17.3984375" customWidth="1"/>
    <col min="10" max="10" width="7.09765625" customWidth="1"/>
    <col min="11" max="11" width="42" customWidth="1"/>
    <col min="12" max="12" width="19.09765625" customWidth="1"/>
    <col min="13" max="13" width="9.3984375" customWidth="1"/>
    <col min="14" max="14" width="14.296875" customWidth="1"/>
    <col min="15" max="15" width="9.796875" customWidth="1"/>
    <col min="16" max="16" width="20.09765625" customWidth="1"/>
    <col min="17" max="17" width="11.09765625" customWidth="1"/>
    <col min="18" max="18" width="15.69921875" customWidth="1"/>
    <col min="19" max="20" width="33.3984375" customWidth="1"/>
    <col min="21" max="30" width="8.8984375" customWidth="1"/>
  </cols>
  <sheetData>
    <row r="1" spans="2:20" ht="24" customHeight="1" x14ac:dyDescent="0.4">
      <c r="C1" s="8">
        <v>10.17</v>
      </c>
      <c r="D1" s="15" t="s">
        <v>23</v>
      </c>
      <c r="E1" s="18" t="s">
        <v>24</v>
      </c>
      <c r="F1" s="20" t="s">
        <v>24</v>
      </c>
      <c r="L1" s="5">
        <v>1</v>
      </c>
      <c r="M1" s="5">
        <v>6000</v>
      </c>
      <c r="N1" s="8">
        <f>+M1*L1</f>
        <v>6000</v>
      </c>
      <c r="Q1" s="5">
        <f>+N1</f>
        <v>6000</v>
      </c>
      <c r="R1" s="8" t="s">
        <v>25</v>
      </c>
    </row>
    <row r="2" spans="2:20" ht="24" customHeight="1" x14ac:dyDescent="0.4">
      <c r="B2" s="8" t="s">
        <v>26</v>
      </c>
      <c r="C2" s="8" t="s">
        <v>27</v>
      </c>
      <c r="D2" s="16" t="s">
        <v>28</v>
      </c>
      <c r="J2" s="8">
        <v>9.2899999999999991</v>
      </c>
      <c r="L2" s="5">
        <v>1</v>
      </c>
      <c r="M2" s="5">
        <v>6000</v>
      </c>
      <c r="N2" s="8">
        <f>+M2*L2</f>
        <v>6000</v>
      </c>
      <c r="O2" s="5">
        <f>+N2/1.1</f>
        <v>5454.545454545454</v>
      </c>
      <c r="P2" s="5">
        <f>+N2-O2</f>
        <v>545.45454545454595</v>
      </c>
      <c r="Q2" s="5">
        <f>+N2</f>
        <v>6000</v>
      </c>
      <c r="R2" s="8" t="s">
        <v>29</v>
      </c>
    </row>
    <row r="3" spans="2:20" ht="36" customHeight="1" x14ac:dyDescent="0.4">
      <c r="B3" s="10" t="s">
        <v>30</v>
      </c>
      <c r="C3" s="13" t="s">
        <v>31</v>
      </c>
      <c r="D3" s="17" t="s">
        <v>32</v>
      </c>
      <c r="E3" s="17" t="s">
        <v>33</v>
      </c>
      <c r="F3" s="17" t="s">
        <v>34</v>
      </c>
      <c r="G3" s="17" t="s">
        <v>35</v>
      </c>
      <c r="H3" s="17" t="s">
        <v>1</v>
      </c>
      <c r="I3" s="10" t="s">
        <v>36</v>
      </c>
      <c r="J3" s="9" t="s">
        <v>37</v>
      </c>
      <c r="K3" s="9" t="s">
        <v>38</v>
      </c>
      <c r="L3" s="9" t="s">
        <v>39</v>
      </c>
      <c r="M3" s="9" t="s">
        <v>40</v>
      </c>
      <c r="N3" s="7" t="s">
        <v>41</v>
      </c>
      <c r="O3" s="9" t="s">
        <v>42</v>
      </c>
      <c r="P3" s="9" t="s">
        <v>43</v>
      </c>
      <c r="Q3" s="9" t="s">
        <v>44</v>
      </c>
      <c r="R3" s="10" t="s">
        <v>45</v>
      </c>
      <c r="S3" s="9" t="s">
        <v>46</v>
      </c>
      <c r="T3" s="10" t="s">
        <v>47</v>
      </c>
    </row>
    <row r="4" spans="2:20" ht="24" customHeight="1" x14ac:dyDescent="0.4">
      <c r="B4" s="8" t="s">
        <v>26</v>
      </c>
      <c r="C4" s="8" t="s">
        <v>27</v>
      </c>
      <c r="D4" s="15" t="s">
        <v>23</v>
      </c>
      <c r="I4" s="5" t="s">
        <v>48</v>
      </c>
      <c r="J4" s="5">
        <v>8.27</v>
      </c>
      <c r="K4" s="29" t="s">
        <v>49</v>
      </c>
      <c r="L4" s="5">
        <v>6</v>
      </c>
      <c r="M4" s="68">
        <f>6000+3000</f>
        <v>9000</v>
      </c>
      <c r="N4" s="8">
        <f>+M4*L4</f>
        <v>54000</v>
      </c>
      <c r="O4" s="5">
        <f>+N4/1.1</f>
        <v>49090.909090909088</v>
      </c>
      <c r="P4" s="5">
        <f>+N4-O4</f>
        <v>4909.0909090909117</v>
      </c>
      <c r="Q4" s="5">
        <f>+N4</f>
        <v>54000</v>
      </c>
      <c r="S4" s="7" t="s">
        <v>50</v>
      </c>
      <c r="T4" s="7" t="s">
        <v>51</v>
      </c>
    </row>
    <row r="5" spans="2:20" ht="24" customHeight="1" x14ac:dyDescent="0.4">
      <c r="B5" s="8" t="s">
        <v>26</v>
      </c>
      <c r="C5" s="8" t="s">
        <v>27</v>
      </c>
      <c r="D5" s="15" t="s">
        <v>23</v>
      </c>
      <c r="I5" s="5" t="s">
        <v>48</v>
      </c>
      <c r="J5" s="5">
        <v>8.2799999999999994</v>
      </c>
      <c r="K5" s="29" t="s">
        <v>52</v>
      </c>
      <c r="L5" s="5">
        <v>150</v>
      </c>
      <c r="M5" s="69">
        <f>5000-500</f>
        <v>4500</v>
      </c>
      <c r="N5" s="8">
        <f>+M5*L5</f>
        <v>675000</v>
      </c>
      <c r="O5" s="5">
        <f>+N5/1.1</f>
        <v>613636.36363636353</v>
      </c>
      <c r="P5" s="5">
        <f>+N5-O5</f>
        <v>61363.636363636469</v>
      </c>
      <c r="Q5" s="5">
        <f>+N5</f>
        <v>675000</v>
      </c>
      <c r="T5" s="7" t="s">
        <v>51</v>
      </c>
    </row>
    <row r="6" spans="2:20" ht="24" customHeight="1" x14ac:dyDescent="0.4">
      <c r="B6" s="8" t="s">
        <v>26</v>
      </c>
      <c r="C6" s="8" t="s">
        <v>27</v>
      </c>
      <c r="D6" s="15" t="s">
        <v>23</v>
      </c>
      <c r="I6" s="5" t="s">
        <v>53</v>
      </c>
      <c r="J6" s="5">
        <v>8.2799999999999994</v>
      </c>
      <c r="K6" s="30" t="s">
        <v>54</v>
      </c>
      <c r="L6" s="5">
        <v>40</v>
      </c>
      <c r="M6" s="69">
        <f>12000-2000</f>
        <v>10000</v>
      </c>
      <c r="N6" s="8">
        <f>+M6*L6</f>
        <v>400000</v>
      </c>
      <c r="O6" s="5">
        <f>+N6/1.1</f>
        <v>363636.36363636359</v>
      </c>
      <c r="P6" s="5">
        <f>+N6-O6</f>
        <v>36363.636363636411</v>
      </c>
      <c r="Q6" s="5">
        <f>+N6</f>
        <v>400000</v>
      </c>
      <c r="T6" s="4" t="s">
        <v>55</v>
      </c>
    </row>
    <row r="7" spans="2:20" ht="24" customHeight="1" x14ac:dyDescent="0.4">
      <c r="B7" s="8" t="s">
        <v>26</v>
      </c>
      <c r="C7" s="8" t="s">
        <v>27</v>
      </c>
      <c r="D7" s="15" t="s">
        <v>23</v>
      </c>
      <c r="I7" s="5" t="s">
        <v>53</v>
      </c>
      <c r="J7" s="5">
        <v>8.2799999999999994</v>
      </c>
      <c r="K7" s="29" t="s">
        <v>56</v>
      </c>
      <c r="L7" s="5">
        <v>30</v>
      </c>
      <c r="M7" s="69">
        <f>5000-500</f>
        <v>4500</v>
      </c>
      <c r="N7" s="8">
        <f>+M7*L7</f>
        <v>135000</v>
      </c>
      <c r="O7" s="5">
        <f>+N7/1.1</f>
        <v>122727.27272727272</v>
      </c>
      <c r="P7" s="5">
        <f>+N7-O7</f>
        <v>12272.727272727279</v>
      </c>
      <c r="Q7" s="5">
        <f>+N7</f>
        <v>135000</v>
      </c>
    </row>
    <row r="8" spans="2:20" ht="24" customHeight="1" x14ac:dyDescent="0.4">
      <c r="B8" s="8" t="s">
        <v>26</v>
      </c>
      <c r="C8" s="8" t="s">
        <v>27</v>
      </c>
      <c r="D8" s="16" t="s">
        <v>28</v>
      </c>
      <c r="I8" s="5" t="s">
        <v>48</v>
      </c>
      <c r="J8" s="5">
        <v>8.2799999999999994</v>
      </c>
      <c r="K8" s="29" t="s">
        <v>57</v>
      </c>
      <c r="L8" s="5">
        <v>1</v>
      </c>
      <c r="M8" s="68">
        <f>12000+3000</f>
        <v>15000</v>
      </c>
      <c r="N8" s="8">
        <f>+M8*L8</f>
        <v>15000</v>
      </c>
      <c r="Q8" s="5">
        <f>+N8</f>
        <v>15000</v>
      </c>
      <c r="S8" s="4" t="s">
        <v>58</v>
      </c>
      <c r="T8" s="7" t="s">
        <v>51</v>
      </c>
    </row>
    <row r="9" spans="2:20" ht="24" customHeight="1" x14ac:dyDescent="0.4">
      <c r="B9" s="8" t="s">
        <v>26</v>
      </c>
      <c r="C9" s="8" t="s">
        <v>27</v>
      </c>
      <c r="D9" s="15" t="s">
        <v>23</v>
      </c>
      <c r="I9" s="5" t="s">
        <v>59</v>
      </c>
      <c r="J9" s="5">
        <v>8.2799999999999994</v>
      </c>
      <c r="K9" s="29" t="s">
        <v>60</v>
      </c>
      <c r="L9" s="5">
        <v>6</v>
      </c>
      <c r="M9" s="68">
        <v>25000</v>
      </c>
      <c r="N9" s="8">
        <f>+M9*L9</f>
        <v>150000</v>
      </c>
      <c r="O9" s="5">
        <f>+N9/1.1</f>
        <v>136363.63636363635</v>
      </c>
      <c r="P9" s="5">
        <f>+N9-O9</f>
        <v>13636.363636363647</v>
      </c>
      <c r="Q9" s="5">
        <f>+N9</f>
        <v>150000</v>
      </c>
      <c r="S9" s="7" t="s">
        <v>61</v>
      </c>
      <c r="T9" s="7" t="s">
        <v>62</v>
      </c>
    </row>
    <row r="10" spans="2:20" ht="24" customHeight="1" x14ac:dyDescent="0.4"/>
    <row r="11" spans="2:20" ht="24" customHeight="1" x14ac:dyDescent="0.4">
      <c r="B11" s="8" t="s">
        <v>26</v>
      </c>
      <c r="C11" s="8" t="s">
        <v>27</v>
      </c>
      <c r="D11" s="15" t="s">
        <v>23</v>
      </c>
      <c r="I11" s="5" t="s">
        <v>63</v>
      </c>
      <c r="J11" s="5">
        <v>8.3000000000000007</v>
      </c>
      <c r="K11" s="30" t="s">
        <v>64</v>
      </c>
      <c r="L11" s="5">
        <v>-1</v>
      </c>
      <c r="M11" s="70">
        <f>12000-2000</f>
        <v>10000</v>
      </c>
      <c r="N11" s="8">
        <f>+M11*L11</f>
        <v>-10000</v>
      </c>
      <c r="O11" s="5">
        <f>+N11/1.1</f>
        <v>-9090.9090909090901</v>
      </c>
      <c r="P11" s="5">
        <f>+N11-O11</f>
        <v>-909.09090909090992</v>
      </c>
      <c r="Q11" s="5">
        <f>+N11</f>
        <v>-10000</v>
      </c>
      <c r="S11" s="4" t="s">
        <v>65</v>
      </c>
    </row>
    <row r="12" spans="2:20" ht="24" customHeight="1" x14ac:dyDescent="0.4">
      <c r="B12" s="8" t="s">
        <v>26</v>
      </c>
      <c r="C12" s="8" t="s">
        <v>27</v>
      </c>
      <c r="D12" s="15" t="s">
        <v>23</v>
      </c>
      <c r="I12" s="5" t="s">
        <v>63</v>
      </c>
      <c r="J12" s="5">
        <v>8.3000000000000007</v>
      </c>
      <c r="K12" s="29" t="s">
        <v>66</v>
      </c>
      <c r="L12" s="5">
        <v>1</v>
      </c>
      <c r="M12" s="68">
        <v>3000</v>
      </c>
      <c r="N12" s="8">
        <f>+M12*L12</f>
        <v>3000</v>
      </c>
      <c r="O12" s="5">
        <f>+N12/1.1</f>
        <v>2727.272727272727</v>
      </c>
      <c r="P12" s="5">
        <f>+N12-O12</f>
        <v>272.72727272727298</v>
      </c>
      <c r="Q12" s="5">
        <f>+N12</f>
        <v>3000</v>
      </c>
      <c r="S12" s="4" t="s">
        <v>65</v>
      </c>
    </row>
    <row r="13" spans="2:20" ht="24" customHeight="1" x14ac:dyDescent="0.4"/>
    <row r="14" spans="2:20" ht="24" customHeight="1" x14ac:dyDescent="0.4">
      <c r="B14" s="8" t="s">
        <v>26</v>
      </c>
      <c r="C14" s="8" t="s">
        <v>27</v>
      </c>
      <c r="D14" s="16" t="s">
        <v>28</v>
      </c>
      <c r="I14" s="5" t="s">
        <v>67</v>
      </c>
      <c r="J14" s="5">
        <v>8.31</v>
      </c>
      <c r="K14" s="29" t="s">
        <v>68</v>
      </c>
      <c r="L14" s="5">
        <v>1</v>
      </c>
      <c r="M14" s="71">
        <v>50000</v>
      </c>
      <c r="P14" s="71">
        <v>50000</v>
      </c>
      <c r="Q14" s="68">
        <f>P14*L14</f>
        <v>50000</v>
      </c>
      <c r="R14" s="40" t="s">
        <v>69</v>
      </c>
      <c r="T14" s="7" t="s">
        <v>70</v>
      </c>
    </row>
    <row r="15" spans="2:20" ht="24" customHeight="1" x14ac:dyDescent="0.4">
      <c r="B15" s="8" t="s">
        <v>26</v>
      </c>
      <c r="C15" s="8" t="s">
        <v>27</v>
      </c>
      <c r="D15" s="15" t="s">
        <v>23</v>
      </c>
      <c r="I15" s="5" t="s">
        <v>71</v>
      </c>
      <c r="J15" s="5">
        <v>8.31</v>
      </c>
      <c r="K15" s="29" t="s">
        <v>72</v>
      </c>
      <c r="L15" s="5">
        <v>14</v>
      </c>
      <c r="M15" s="68">
        <v>5000</v>
      </c>
      <c r="N15" s="8">
        <f>+M15*L15</f>
        <v>70000</v>
      </c>
      <c r="O15" s="5">
        <f>+N15/1.1</f>
        <v>63636.363636363632</v>
      </c>
      <c r="P15" s="5">
        <f>+N15-O15</f>
        <v>6363.6363636363676</v>
      </c>
      <c r="Q15" s="5">
        <f>+N15</f>
        <v>70000</v>
      </c>
      <c r="S15" s="76" t="s">
        <v>73</v>
      </c>
      <c r="T15" s="7" t="s">
        <v>74</v>
      </c>
    </row>
    <row r="16" spans="2:20" ht="24" customHeight="1" x14ac:dyDescent="0.4">
      <c r="B16" s="8" t="s">
        <v>26</v>
      </c>
      <c r="C16" s="8" t="s">
        <v>27</v>
      </c>
      <c r="D16" s="15" t="s">
        <v>23</v>
      </c>
      <c r="I16" s="5" t="s">
        <v>71</v>
      </c>
      <c r="J16" s="5">
        <v>8.31</v>
      </c>
      <c r="K16" s="29" t="s">
        <v>52</v>
      </c>
      <c r="L16" s="5">
        <v>10</v>
      </c>
      <c r="M16" s="68">
        <v>5000</v>
      </c>
      <c r="N16" s="8">
        <f>+M16*L16</f>
        <v>50000</v>
      </c>
      <c r="O16" s="5">
        <f>+N16/1.1</f>
        <v>45454.545454545449</v>
      </c>
      <c r="P16" s="5">
        <f>+N16-O16</f>
        <v>4545.4545454545514</v>
      </c>
      <c r="Q16" s="5">
        <f>+N16</f>
        <v>50000</v>
      </c>
      <c r="S16" s="76" t="s">
        <v>73</v>
      </c>
    </row>
    <row r="17" spans="2:20" ht="24" customHeight="1" x14ac:dyDescent="0.4">
      <c r="B17" s="8" t="s">
        <v>26</v>
      </c>
      <c r="C17" s="8" t="s">
        <v>27</v>
      </c>
      <c r="D17" s="15" t="s">
        <v>23</v>
      </c>
      <c r="I17" s="5" t="s">
        <v>71</v>
      </c>
      <c r="J17" s="5">
        <v>8.31</v>
      </c>
      <c r="K17" s="29" t="s">
        <v>75</v>
      </c>
      <c r="L17" s="5">
        <v>3</v>
      </c>
      <c r="M17" s="68">
        <v>28000</v>
      </c>
      <c r="N17" s="8">
        <f>+M17*L17</f>
        <v>84000</v>
      </c>
      <c r="O17" s="5">
        <f>+N17/1.1</f>
        <v>76363.636363636353</v>
      </c>
      <c r="P17" s="5">
        <f>+N17-O17</f>
        <v>7636.3636363636469</v>
      </c>
      <c r="Q17" s="5">
        <f>+N17</f>
        <v>84000</v>
      </c>
      <c r="S17" s="76" t="s">
        <v>73</v>
      </c>
      <c r="T17" s="7" t="s">
        <v>74</v>
      </c>
    </row>
    <row r="18" spans="2:20" ht="24" customHeight="1" x14ac:dyDescent="0.4">
      <c r="B18" s="8" t="s">
        <v>26</v>
      </c>
      <c r="C18" s="8" t="s">
        <v>27</v>
      </c>
      <c r="D18" s="15" t="s">
        <v>23</v>
      </c>
      <c r="I18" s="5" t="s">
        <v>71</v>
      </c>
      <c r="J18" s="5">
        <v>8.31</v>
      </c>
      <c r="K18" s="29" t="s">
        <v>76</v>
      </c>
      <c r="L18" s="5">
        <v>8</v>
      </c>
      <c r="M18" s="71">
        <v>10000</v>
      </c>
      <c r="N18" s="8">
        <f>+M18*L18</f>
        <v>80000</v>
      </c>
      <c r="O18" s="5">
        <f>+N18/1.1</f>
        <v>72727.272727272721</v>
      </c>
      <c r="P18" s="5">
        <f>+N18-O18</f>
        <v>7272.7272727272793</v>
      </c>
      <c r="Q18" s="5">
        <f>+N18</f>
        <v>80000</v>
      </c>
      <c r="S18" s="76" t="s">
        <v>73</v>
      </c>
      <c r="T18" s="7" t="s">
        <v>74</v>
      </c>
    </row>
    <row r="19" spans="2:20" ht="24" customHeight="1" x14ac:dyDescent="0.4"/>
    <row r="20" spans="2:20" ht="24" customHeight="1" x14ac:dyDescent="0.4">
      <c r="B20" s="8" t="s">
        <v>26</v>
      </c>
      <c r="C20" s="8" t="s">
        <v>27</v>
      </c>
      <c r="D20" s="15" t="s">
        <v>23</v>
      </c>
      <c r="I20" s="5" t="s">
        <v>77</v>
      </c>
      <c r="J20" s="5">
        <v>9.01</v>
      </c>
      <c r="K20" s="29" t="s">
        <v>72</v>
      </c>
      <c r="L20" s="5">
        <v>10</v>
      </c>
      <c r="M20" s="68">
        <v>5000</v>
      </c>
      <c r="N20" s="8">
        <f>+M20*L20</f>
        <v>50000</v>
      </c>
      <c r="O20" s="5">
        <f>+N20/1.1</f>
        <v>45454.545454545449</v>
      </c>
      <c r="P20" s="5">
        <f>+N20-O20</f>
        <v>4545.4545454545514</v>
      </c>
      <c r="Q20" s="5">
        <f>+N20</f>
        <v>50000</v>
      </c>
      <c r="T20" s="7" t="s">
        <v>74</v>
      </c>
    </row>
    <row r="21" spans="2:20" ht="24" customHeight="1" x14ac:dyDescent="0.4">
      <c r="B21" s="8" t="s">
        <v>26</v>
      </c>
      <c r="C21" s="8" t="s">
        <v>27</v>
      </c>
      <c r="D21" s="15" t="s">
        <v>23</v>
      </c>
      <c r="I21" s="5" t="s">
        <v>77</v>
      </c>
      <c r="J21" s="5">
        <v>9.01</v>
      </c>
      <c r="K21" s="29" t="s">
        <v>76</v>
      </c>
      <c r="L21" s="5">
        <v>-8</v>
      </c>
      <c r="M21" s="71">
        <v>10000</v>
      </c>
      <c r="N21" s="8">
        <f>+M21*L21</f>
        <v>-80000</v>
      </c>
      <c r="O21" s="5">
        <f>+N21/1.1</f>
        <v>-72727.272727272721</v>
      </c>
      <c r="P21" s="5">
        <f>+N21-O21</f>
        <v>-7272.7272727272793</v>
      </c>
      <c r="Q21" s="5">
        <f>+N21</f>
        <v>-80000</v>
      </c>
      <c r="T21" s="7" t="s">
        <v>74</v>
      </c>
    </row>
    <row r="22" spans="2:20" ht="24" customHeight="1" x14ac:dyDescent="0.4">
      <c r="B22" s="8" t="s">
        <v>26</v>
      </c>
      <c r="C22" s="8" t="s">
        <v>27</v>
      </c>
      <c r="D22" s="15" t="s">
        <v>23</v>
      </c>
      <c r="I22" s="5" t="s">
        <v>77</v>
      </c>
      <c r="J22" s="5">
        <v>9.01</v>
      </c>
      <c r="K22" s="29" t="s">
        <v>78</v>
      </c>
      <c r="L22" s="5">
        <v>20</v>
      </c>
      <c r="M22" s="68">
        <v>10000</v>
      </c>
      <c r="N22" s="8">
        <f>+M22*L22</f>
        <v>200000</v>
      </c>
      <c r="O22" s="5">
        <f>+N22/1.1</f>
        <v>181818.18181818179</v>
      </c>
      <c r="P22" s="5">
        <f>+N22-O22</f>
        <v>18181.818181818206</v>
      </c>
      <c r="Q22" s="5">
        <f>+N22</f>
        <v>200000</v>
      </c>
      <c r="T22" s="7" t="s">
        <v>74</v>
      </c>
    </row>
    <row r="23" spans="2:20" ht="24" customHeight="1" x14ac:dyDescent="0.4"/>
    <row r="24" spans="2:20" ht="24" customHeight="1" x14ac:dyDescent="0.4">
      <c r="B24" s="8" t="s">
        <v>26</v>
      </c>
      <c r="C24" s="8" t="s">
        <v>27</v>
      </c>
      <c r="D24" s="16" t="s">
        <v>28</v>
      </c>
      <c r="I24" s="5" t="s">
        <v>79</v>
      </c>
      <c r="J24" s="5">
        <v>9.02</v>
      </c>
      <c r="K24" s="29" t="s">
        <v>80</v>
      </c>
      <c r="L24" s="5">
        <v>3</v>
      </c>
      <c r="M24" s="68">
        <v>20000</v>
      </c>
      <c r="N24" s="8">
        <f>+M24*L24</f>
        <v>60000</v>
      </c>
      <c r="Q24" s="5">
        <f>+N24</f>
        <v>60000</v>
      </c>
      <c r="T24" s="5" t="s">
        <v>81</v>
      </c>
    </row>
    <row r="25" spans="2:20" ht="24" customHeight="1" x14ac:dyDescent="0.4">
      <c r="B25" s="8" t="s">
        <v>26</v>
      </c>
      <c r="C25" s="8" t="s">
        <v>27</v>
      </c>
      <c r="D25" s="15" t="s">
        <v>23</v>
      </c>
      <c r="I25" s="5" t="s">
        <v>77</v>
      </c>
      <c r="J25" s="5">
        <v>9.02</v>
      </c>
      <c r="K25" s="29" t="s">
        <v>72</v>
      </c>
      <c r="L25" s="5">
        <v>10</v>
      </c>
      <c r="M25" s="68">
        <v>5000</v>
      </c>
      <c r="N25" s="8">
        <f>+M25*L25</f>
        <v>50000</v>
      </c>
      <c r="O25" s="5">
        <f>+N25/1.1</f>
        <v>45454.545454545449</v>
      </c>
      <c r="P25" s="5">
        <f>+N25-O25</f>
        <v>4545.4545454545514</v>
      </c>
      <c r="Q25" s="5">
        <f>+N25</f>
        <v>50000</v>
      </c>
      <c r="T25" s="7" t="s">
        <v>74</v>
      </c>
    </row>
    <row r="26" spans="2:20" ht="24" customHeight="1" x14ac:dyDescent="0.4">
      <c r="B26" s="8" t="s">
        <v>26</v>
      </c>
      <c r="C26" s="8" t="s">
        <v>27</v>
      </c>
      <c r="D26" s="15" t="s">
        <v>23</v>
      </c>
      <c r="I26" s="5" t="s">
        <v>82</v>
      </c>
      <c r="J26" s="5">
        <v>9.02</v>
      </c>
      <c r="K26" s="29" t="s">
        <v>72</v>
      </c>
      <c r="L26" s="5">
        <v>20</v>
      </c>
      <c r="M26" s="68">
        <v>5000</v>
      </c>
      <c r="N26" s="8">
        <f>+M26*L26</f>
        <v>100000</v>
      </c>
      <c r="O26" s="5">
        <f>+N26/1.1</f>
        <v>90909.090909090897</v>
      </c>
      <c r="P26" s="5">
        <f>+N26-O26</f>
        <v>9090.9090909091028</v>
      </c>
      <c r="Q26" s="5">
        <f>+N26</f>
        <v>100000</v>
      </c>
      <c r="T26" s="4" t="s">
        <v>83</v>
      </c>
    </row>
    <row r="27" spans="2:20" ht="24" customHeight="1" x14ac:dyDescent="0.4"/>
    <row r="28" spans="2:20" ht="24" customHeight="1" x14ac:dyDescent="0.4">
      <c r="B28" s="8" t="s">
        <v>26</v>
      </c>
      <c r="C28" s="8" t="s">
        <v>27</v>
      </c>
      <c r="D28" s="16" t="s">
        <v>28</v>
      </c>
      <c r="I28" s="5" t="s">
        <v>82</v>
      </c>
      <c r="J28" s="5">
        <v>9.0299999999999994</v>
      </c>
      <c r="K28" s="8" t="s">
        <v>84</v>
      </c>
      <c r="L28" s="5">
        <v>1</v>
      </c>
      <c r="M28" s="68">
        <f>20000+3000</f>
        <v>23000</v>
      </c>
      <c r="N28" s="8">
        <f>+M28*L28</f>
        <v>23000</v>
      </c>
      <c r="O28" s="5">
        <f>+N28/1.1</f>
        <v>20909.090909090908</v>
      </c>
      <c r="P28" s="5">
        <f>+N28-O28</f>
        <v>2090.9090909090919</v>
      </c>
      <c r="Q28" s="5">
        <f>+N28</f>
        <v>23000</v>
      </c>
      <c r="S28" s="4" t="s">
        <v>58</v>
      </c>
      <c r="T28" s="7" t="s">
        <v>83</v>
      </c>
    </row>
    <row r="29" spans="2:20" ht="24" customHeight="1" x14ac:dyDescent="0.4">
      <c r="B29" s="5" t="s">
        <v>85</v>
      </c>
      <c r="C29" s="8" t="s">
        <v>27</v>
      </c>
      <c r="D29" s="15" t="s">
        <v>23</v>
      </c>
      <c r="I29" s="5" t="s">
        <v>86</v>
      </c>
      <c r="J29" s="5">
        <v>9.0299999999999994</v>
      </c>
      <c r="K29" s="4" t="s">
        <v>87</v>
      </c>
      <c r="L29" s="5">
        <v>280</v>
      </c>
      <c r="M29" s="69">
        <f>5000-500</f>
        <v>4500</v>
      </c>
      <c r="N29" s="8">
        <f>+M29*L29</f>
        <v>1260000</v>
      </c>
      <c r="O29" s="5">
        <f>+N29/1.1</f>
        <v>1145454.5454545454</v>
      </c>
      <c r="P29" s="5">
        <f>+N29-O29</f>
        <v>114545.45454545459</v>
      </c>
      <c r="Q29" s="5">
        <f>+N29</f>
        <v>1260000</v>
      </c>
      <c r="T29" s="4" t="s">
        <v>88</v>
      </c>
    </row>
    <row r="30" spans="2:20" ht="24" customHeight="1" x14ac:dyDescent="0.4">
      <c r="B30" s="5" t="s">
        <v>85</v>
      </c>
      <c r="C30" s="8" t="s">
        <v>27</v>
      </c>
      <c r="D30" s="15" t="s">
        <v>23</v>
      </c>
      <c r="I30" s="5" t="s">
        <v>86</v>
      </c>
      <c r="J30" s="5">
        <v>9.0399999999999991</v>
      </c>
      <c r="K30" s="8" t="s">
        <v>89</v>
      </c>
      <c r="L30" s="5">
        <v>514</v>
      </c>
      <c r="M30" s="68">
        <v>5000</v>
      </c>
      <c r="N30" s="8">
        <f>+M30*L30</f>
        <v>2570000</v>
      </c>
      <c r="O30" s="5">
        <f>+N30/1.1</f>
        <v>2336363.6363636362</v>
      </c>
      <c r="P30" s="5">
        <f>+N30-O30</f>
        <v>233636.36363636376</v>
      </c>
      <c r="Q30" s="5">
        <f>+N30</f>
        <v>2570000</v>
      </c>
      <c r="T30" s="4" t="s">
        <v>88</v>
      </c>
    </row>
    <row r="31" spans="2:20" ht="24" customHeight="1" x14ac:dyDescent="0.4">
      <c r="B31" s="8" t="s">
        <v>26</v>
      </c>
      <c r="C31" s="8" t="s">
        <v>27</v>
      </c>
      <c r="D31" s="15" t="s">
        <v>23</v>
      </c>
      <c r="I31" s="5" t="s">
        <v>90</v>
      </c>
      <c r="J31" s="5">
        <v>9.0399999999999991</v>
      </c>
      <c r="K31" s="8" t="s">
        <v>87</v>
      </c>
      <c r="L31" s="5">
        <v>106</v>
      </c>
      <c r="M31" s="69">
        <f>5000-500</f>
        <v>4500</v>
      </c>
      <c r="N31" s="8">
        <f>+M31*L31</f>
        <v>477000</v>
      </c>
      <c r="O31" s="5">
        <f>+N31/1.1</f>
        <v>433636.36363636359</v>
      </c>
      <c r="P31" s="5">
        <f>+N31-O31</f>
        <v>43363.636363636411</v>
      </c>
      <c r="Q31" s="5">
        <f>+N31</f>
        <v>477000</v>
      </c>
      <c r="T31" s="4" t="s">
        <v>91</v>
      </c>
    </row>
    <row r="32" spans="2:20" ht="24" customHeight="1" x14ac:dyDescent="0.4">
      <c r="B32" s="8" t="s">
        <v>26</v>
      </c>
      <c r="C32" s="8" t="s">
        <v>27</v>
      </c>
      <c r="D32" s="15" t="s">
        <v>23</v>
      </c>
      <c r="I32" s="5" t="s">
        <v>48</v>
      </c>
      <c r="J32" s="5">
        <v>9.0399999999999991</v>
      </c>
      <c r="K32" s="8" t="s">
        <v>92</v>
      </c>
      <c r="L32" s="5">
        <v>80</v>
      </c>
      <c r="M32" s="69">
        <f>3500-200</f>
        <v>3300</v>
      </c>
      <c r="N32" s="8">
        <f>+M32*L32</f>
        <v>264000</v>
      </c>
      <c r="O32" s="5">
        <f>+N32/1.1</f>
        <v>239999.99999999997</v>
      </c>
      <c r="P32" s="5">
        <f>+N32-O32</f>
        <v>24000.000000000029</v>
      </c>
      <c r="Q32" s="5">
        <f>+N32</f>
        <v>264000</v>
      </c>
      <c r="T32" s="7" t="s">
        <v>51</v>
      </c>
    </row>
    <row r="33" spans="2:20" ht="24" customHeight="1" x14ac:dyDescent="0.4">
      <c r="B33" s="8" t="s">
        <v>26</v>
      </c>
      <c r="C33" s="8" t="s">
        <v>27</v>
      </c>
      <c r="D33" s="15" t="s">
        <v>23</v>
      </c>
      <c r="I33" s="5" t="s">
        <v>48</v>
      </c>
      <c r="J33" s="5">
        <v>9.0399999999999991</v>
      </c>
      <c r="K33" s="8" t="s">
        <v>60</v>
      </c>
      <c r="L33" s="5">
        <f>30+5</f>
        <v>35</v>
      </c>
      <c r="M33" s="69">
        <f>25000-3000</f>
        <v>22000</v>
      </c>
      <c r="N33" s="8">
        <f>+M33*L33</f>
        <v>770000</v>
      </c>
      <c r="O33" s="5">
        <f>+N33/1.1</f>
        <v>700000</v>
      </c>
      <c r="P33" s="5">
        <f>+N33-O33</f>
        <v>70000</v>
      </c>
      <c r="Q33" s="5">
        <f>+N33</f>
        <v>770000</v>
      </c>
    </row>
    <row r="34" spans="2:20" ht="24" customHeight="1" x14ac:dyDescent="0.4">
      <c r="B34" s="8" t="s">
        <v>26</v>
      </c>
      <c r="C34" s="8" t="s">
        <v>27</v>
      </c>
      <c r="D34" s="15" t="s">
        <v>23</v>
      </c>
      <c r="I34" s="5" t="s">
        <v>93</v>
      </c>
      <c r="J34" s="5">
        <v>9.0399999999999991</v>
      </c>
      <c r="K34" s="8" t="s">
        <v>94</v>
      </c>
      <c r="L34" s="5">
        <v>6</v>
      </c>
      <c r="M34" s="68">
        <v>12000</v>
      </c>
      <c r="N34" s="8">
        <f>+M34*L34</f>
        <v>72000</v>
      </c>
      <c r="O34" s="5">
        <f>+N34/1.1</f>
        <v>65454.545454545449</v>
      </c>
      <c r="P34" s="5">
        <f>+N34-O34</f>
        <v>6545.4545454545514</v>
      </c>
      <c r="Q34" s="5">
        <f>+N34</f>
        <v>72000</v>
      </c>
      <c r="T34" s="4" t="s">
        <v>95</v>
      </c>
    </row>
    <row r="35" spans="2:20" ht="24" customHeight="1" x14ac:dyDescent="0.4">
      <c r="B35" s="8" t="s">
        <v>26</v>
      </c>
      <c r="C35" s="8" t="s">
        <v>27</v>
      </c>
      <c r="D35" s="15" t="s">
        <v>23</v>
      </c>
      <c r="I35" s="5" t="s">
        <v>82</v>
      </c>
      <c r="J35" s="5">
        <v>9.0399999999999991</v>
      </c>
      <c r="K35" s="8" t="s">
        <v>94</v>
      </c>
      <c r="L35" s="5">
        <v>5</v>
      </c>
      <c r="M35" s="69">
        <f>12000-2000</f>
        <v>10000</v>
      </c>
      <c r="N35" s="8">
        <f>+M35*L35</f>
        <v>50000</v>
      </c>
      <c r="O35" s="5">
        <f>+N35/1.1</f>
        <v>45454.545454545449</v>
      </c>
      <c r="P35" s="5">
        <f>+N35-O35</f>
        <v>4545.4545454545514</v>
      </c>
      <c r="Q35" s="5">
        <f>+N35</f>
        <v>50000</v>
      </c>
      <c r="T35" s="4" t="s">
        <v>83</v>
      </c>
    </row>
    <row r="36" spans="2:20" ht="24" customHeight="1" x14ac:dyDescent="0.4">
      <c r="B36" s="8" t="s">
        <v>26</v>
      </c>
      <c r="C36" s="8" t="s">
        <v>27</v>
      </c>
      <c r="D36" s="15" t="s">
        <v>23</v>
      </c>
      <c r="I36" s="5" t="s">
        <v>96</v>
      </c>
      <c r="J36" s="5">
        <v>9.0399999999999991</v>
      </c>
      <c r="K36" s="8" t="s">
        <v>94</v>
      </c>
      <c r="L36" s="5">
        <v>5</v>
      </c>
      <c r="M36" s="69">
        <f>12000-2000</f>
        <v>10000</v>
      </c>
      <c r="N36" s="8">
        <f>+M36*L36</f>
        <v>50000</v>
      </c>
      <c r="O36" s="5">
        <f>+N36/1.1</f>
        <v>45454.545454545449</v>
      </c>
      <c r="P36" s="5">
        <f>+N36-O36</f>
        <v>4545.4545454545514</v>
      </c>
      <c r="Q36" s="5">
        <f>+N36</f>
        <v>50000</v>
      </c>
      <c r="T36" s="7" t="s">
        <v>97</v>
      </c>
    </row>
    <row r="37" spans="2:20" ht="24" customHeight="1" x14ac:dyDescent="0.4"/>
    <row r="38" spans="2:20" ht="24" customHeight="1" x14ac:dyDescent="0.4">
      <c r="B38" s="8" t="s">
        <v>26</v>
      </c>
      <c r="C38" s="8" t="s">
        <v>27</v>
      </c>
      <c r="D38" s="15" t="s">
        <v>23</v>
      </c>
      <c r="I38" s="5" t="s">
        <v>53</v>
      </c>
      <c r="J38" s="5">
        <v>9.06</v>
      </c>
      <c r="K38" s="8" t="s">
        <v>98</v>
      </c>
      <c r="L38" s="5">
        <v>6</v>
      </c>
      <c r="M38" s="68">
        <v>10000</v>
      </c>
      <c r="N38" s="8">
        <f>+M38*L38</f>
        <v>60000</v>
      </c>
      <c r="O38" s="5">
        <f>+N38/1.1</f>
        <v>54545.454545454544</v>
      </c>
      <c r="P38" s="5">
        <f>+N38-O38</f>
        <v>5454.5454545454559</v>
      </c>
      <c r="Q38" s="5">
        <f>+N38</f>
        <v>60000</v>
      </c>
      <c r="S38" s="28" t="s">
        <v>99</v>
      </c>
      <c r="T38" s="4" t="s">
        <v>55</v>
      </c>
    </row>
    <row r="39" spans="2:20" ht="24" customHeight="1" x14ac:dyDescent="0.4">
      <c r="B39" s="8" t="s">
        <v>26</v>
      </c>
      <c r="C39" s="8" t="s">
        <v>27</v>
      </c>
      <c r="D39" s="16" t="s">
        <v>28</v>
      </c>
      <c r="I39" s="5" t="s">
        <v>100</v>
      </c>
      <c r="J39" s="5">
        <v>9.06</v>
      </c>
      <c r="K39" s="8" t="s">
        <v>101</v>
      </c>
      <c r="L39" s="5">
        <v>1</v>
      </c>
      <c r="M39" s="68">
        <f>12000+3000</f>
        <v>15000</v>
      </c>
      <c r="N39" s="8">
        <f>+M39*L39</f>
        <v>15000</v>
      </c>
      <c r="Q39" s="5">
        <f>+N39</f>
        <v>15000</v>
      </c>
      <c r="S39" s="4" t="s">
        <v>58</v>
      </c>
      <c r="T39" s="4" t="s">
        <v>102</v>
      </c>
    </row>
    <row r="40" spans="2:20" ht="24" customHeight="1" x14ac:dyDescent="0.4">
      <c r="B40" s="8" t="s">
        <v>26</v>
      </c>
      <c r="C40" s="8" t="s">
        <v>27</v>
      </c>
      <c r="D40" s="16" t="s">
        <v>28</v>
      </c>
      <c r="I40" s="5" t="s">
        <v>100</v>
      </c>
      <c r="J40" s="5">
        <v>9.06</v>
      </c>
      <c r="K40" s="8" t="s">
        <v>103</v>
      </c>
      <c r="L40" s="5">
        <v>1</v>
      </c>
      <c r="M40" s="68">
        <f>12000+3000</f>
        <v>15000</v>
      </c>
      <c r="N40" s="8">
        <f>+M40*L40</f>
        <v>15000</v>
      </c>
      <c r="Q40" s="5">
        <f>+N40</f>
        <v>15000</v>
      </c>
      <c r="S40" s="4" t="s">
        <v>58</v>
      </c>
      <c r="T40" s="4" t="s">
        <v>102</v>
      </c>
    </row>
    <row r="41" spans="2:20" ht="24" customHeight="1" x14ac:dyDescent="0.4"/>
    <row r="42" spans="2:20" ht="24" customHeight="1" x14ac:dyDescent="0.4">
      <c r="B42" s="8" t="s">
        <v>26</v>
      </c>
      <c r="C42" s="8" t="s">
        <v>27</v>
      </c>
      <c r="D42" s="15" t="s">
        <v>23</v>
      </c>
      <c r="I42" s="5" t="s">
        <v>53</v>
      </c>
      <c r="J42" s="5">
        <v>9.07</v>
      </c>
      <c r="K42" s="8" t="s">
        <v>104</v>
      </c>
      <c r="L42" s="5">
        <v>17</v>
      </c>
      <c r="M42" s="69">
        <f>5000-500+3000</f>
        <v>7500</v>
      </c>
      <c r="N42" s="8">
        <f>+M42*L42</f>
        <v>127500</v>
      </c>
      <c r="O42" s="5">
        <f>+N42/1.1</f>
        <v>115909.0909090909</v>
      </c>
      <c r="P42" s="5">
        <f>+N42-O42</f>
        <v>11590.909090909103</v>
      </c>
      <c r="Q42" s="5">
        <f>+N42</f>
        <v>127500</v>
      </c>
      <c r="R42" s="40" t="s">
        <v>50</v>
      </c>
      <c r="T42" s="4" t="s">
        <v>55</v>
      </c>
    </row>
    <row r="43" spans="2:20" ht="24" customHeight="1" x14ac:dyDescent="0.4"/>
    <row r="44" spans="2:20" ht="24" customHeight="1" x14ac:dyDescent="0.4">
      <c r="B44" s="8" t="s">
        <v>26</v>
      </c>
      <c r="C44" s="8" t="s">
        <v>27</v>
      </c>
      <c r="D44" s="15" t="s">
        <v>23</v>
      </c>
      <c r="I44" s="5" t="s">
        <v>105</v>
      </c>
      <c r="J44" s="5">
        <v>9.08</v>
      </c>
      <c r="K44" s="8" t="s">
        <v>94</v>
      </c>
      <c r="L44" s="5">
        <v>15</v>
      </c>
      <c r="M44" s="68">
        <v>6000</v>
      </c>
      <c r="N44" s="8">
        <f>+M44*L44</f>
        <v>90000</v>
      </c>
      <c r="O44" s="5">
        <f>+N44/1.1</f>
        <v>81818.181818181809</v>
      </c>
      <c r="P44" s="5">
        <f>+N44-O44</f>
        <v>8181.8181818181911</v>
      </c>
      <c r="Q44" s="5">
        <f>+N44</f>
        <v>90000</v>
      </c>
      <c r="T44" s="7" t="s">
        <v>106</v>
      </c>
    </row>
    <row r="45" spans="2:20" ht="24" customHeight="1" x14ac:dyDescent="0.4">
      <c r="B45" s="8" t="s">
        <v>26</v>
      </c>
      <c r="C45" s="8" t="s">
        <v>27</v>
      </c>
      <c r="D45" s="15" t="s">
        <v>23</v>
      </c>
      <c r="I45" s="5" t="s">
        <v>107</v>
      </c>
      <c r="J45" s="5">
        <v>9.08</v>
      </c>
      <c r="K45" s="8" t="s">
        <v>94</v>
      </c>
      <c r="L45" s="5">
        <v>25</v>
      </c>
      <c r="M45" s="68">
        <v>6000</v>
      </c>
      <c r="N45" s="8">
        <f>+M45*L45</f>
        <v>150000</v>
      </c>
      <c r="O45" s="5">
        <f>+N45/1.1</f>
        <v>136363.63636363635</v>
      </c>
      <c r="P45" s="5">
        <f>+N45-O45</f>
        <v>13636.363636363647</v>
      </c>
      <c r="Q45" s="5">
        <f>+N45</f>
        <v>150000</v>
      </c>
      <c r="T45" s="7" t="s">
        <v>108</v>
      </c>
    </row>
    <row r="46" spans="2:20" ht="24" customHeight="1" x14ac:dyDescent="0.4"/>
    <row r="47" spans="2:20" ht="24" customHeight="1" x14ac:dyDescent="0.4">
      <c r="B47" s="8" t="s">
        <v>26</v>
      </c>
      <c r="C47" s="8" t="s">
        <v>27</v>
      </c>
      <c r="D47" s="15" t="s">
        <v>23</v>
      </c>
      <c r="I47" s="5" t="s">
        <v>109</v>
      </c>
      <c r="J47" s="5">
        <v>9.09</v>
      </c>
      <c r="K47" s="8" t="s">
        <v>94</v>
      </c>
      <c r="L47" s="5">
        <v>2</v>
      </c>
      <c r="M47" s="68">
        <v>12000</v>
      </c>
      <c r="N47" s="8">
        <f>+M47*L47</f>
        <v>24000</v>
      </c>
      <c r="O47" s="5">
        <f>+N47/1.1</f>
        <v>21818.181818181816</v>
      </c>
      <c r="P47" s="5">
        <f>+N47-O47</f>
        <v>2181.8181818181838</v>
      </c>
      <c r="Q47" s="5">
        <f>+N47</f>
        <v>24000</v>
      </c>
      <c r="T47" s="4" t="s">
        <v>110</v>
      </c>
    </row>
    <row r="48" spans="2:20" ht="24" customHeight="1" x14ac:dyDescent="0.4">
      <c r="B48" s="8" t="s">
        <v>26</v>
      </c>
      <c r="C48" s="8" t="s">
        <v>27</v>
      </c>
      <c r="D48" s="15" t="s">
        <v>23</v>
      </c>
      <c r="I48" s="5" t="s">
        <v>109</v>
      </c>
      <c r="J48" s="5">
        <v>9.09</v>
      </c>
      <c r="K48" s="4" t="s">
        <v>111</v>
      </c>
      <c r="L48" s="5">
        <v>4</v>
      </c>
      <c r="M48" s="71">
        <v>60000</v>
      </c>
      <c r="N48" s="8">
        <f>+M48*L48</f>
        <v>240000</v>
      </c>
      <c r="O48" s="5">
        <f>+N48/1.1</f>
        <v>218181.81818181818</v>
      </c>
      <c r="P48" s="5">
        <f>+N48-O48</f>
        <v>21818.181818181823</v>
      </c>
      <c r="Q48" s="5">
        <f>+N48</f>
        <v>240000</v>
      </c>
    </row>
    <row r="49" spans="2:20" ht="24" customHeight="1" x14ac:dyDescent="0.4">
      <c r="B49" s="8" t="s">
        <v>26</v>
      </c>
      <c r="C49" s="8" t="s">
        <v>27</v>
      </c>
      <c r="D49" s="15" t="s">
        <v>23</v>
      </c>
      <c r="I49" s="5" t="s">
        <v>112</v>
      </c>
      <c r="J49" s="5">
        <v>9.09</v>
      </c>
      <c r="K49" s="4" t="s">
        <v>113</v>
      </c>
      <c r="L49" s="5">
        <v>135</v>
      </c>
      <c r="M49" s="68">
        <v>6000</v>
      </c>
      <c r="N49" s="8">
        <f>+M49*L49</f>
        <v>810000</v>
      </c>
      <c r="O49" s="5">
        <f>+N49/1.1</f>
        <v>736363.63636363635</v>
      </c>
      <c r="P49" s="5">
        <f>+N49-O49</f>
        <v>73636.363636363647</v>
      </c>
      <c r="Q49" s="5">
        <f>+N49</f>
        <v>810000</v>
      </c>
      <c r="T49" s="7" t="s">
        <v>114</v>
      </c>
    </row>
    <row r="50" spans="2:20" ht="24" customHeight="1" x14ac:dyDescent="0.4">
      <c r="B50" s="8" t="s">
        <v>26</v>
      </c>
      <c r="C50" s="8" t="s">
        <v>27</v>
      </c>
      <c r="D50" s="16" t="s">
        <v>28</v>
      </c>
      <c r="I50" s="5" t="s">
        <v>115</v>
      </c>
      <c r="J50" s="5">
        <v>9.09</v>
      </c>
      <c r="K50" s="4" t="s">
        <v>116</v>
      </c>
      <c r="L50" s="5">
        <v>1</v>
      </c>
      <c r="M50" s="68">
        <v>15000</v>
      </c>
      <c r="N50" s="8">
        <f>+M50*L50</f>
        <v>15000</v>
      </c>
      <c r="Q50" s="5">
        <f>+N50</f>
        <v>15000</v>
      </c>
      <c r="R50" s="4" t="s">
        <v>58</v>
      </c>
      <c r="S50" s="4" t="s">
        <v>58</v>
      </c>
      <c r="T50" s="7" t="s">
        <v>117</v>
      </c>
    </row>
    <row r="51" spans="2:20" ht="24" customHeight="1" x14ac:dyDescent="0.4">
      <c r="B51" s="8" t="s">
        <v>26</v>
      </c>
      <c r="C51" s="8" t="s">
        <v>27</v>
      </c>
      <c r="D51" s="15" t="s">
        <v>23</v>
      </c>
      <c r="I51" s="5" t="s">
        <v>93</v>
      </c>
      <c r="J51" s="5">
        <v>9.09</v>
      </c>
      <c r="K51" s="4" t="s">
        <v>118</v>
      </c>
      <c r="L51" s="5">
        <v>6</v>
      </c>
      <c r="M51" s="68">
        <v>12000</v>
      </c>
      <c r="N51" s="8">
        <f>+M51*L51</f>
        <v>72000</v>
      </c>
      <c r="O51" s="5">
        <f>+N51/1.1</f>
        <v>65454.545454545449</v>
      </c>
      <c r="P51" s="5">
        <f>+N51-O51</f>
        <v>6545.4545454545514</v>
      </c>
      <c r="Q51" s="5">
        <f>+N51</f>
        <v>72000</v>
      </c>
      <c r="T51" s="4" t="s">
        <v>95</v>
      </c>
    </row>
    <row r="52" spans="2:20" ht="24" customHeight="1" x14ac:dyDescent="0.4">
      <c r="B52" s="8" t="s">
        <v>26</v>
      </c>
      <c r="C52" s="8" t="s">
        <v>27</v>
      </c>
      <c r="D52" s="15" t="s">
        <v>23</v>
      </c>
      <c r="I52" s="5" t="s">
        <v>119</v>
      </c>
      <c r="J52" s="5">
        <v>9.09</v>
      </c>
      <c r="K52" s="4" t="s">
        <v>120</v>
      </c>
      <c r="L52" s="5">
        <v>19</v>
      </c>
      <c r="M52" s="71">
        <v>9000</v>
      </c>
      <c r="N52" s="8">
        <f>+M52*L52</f>
        <v>171000</v>
      </c>
      <c r="O52" s="5">
        <f>+N52/1.1</f>
        <v>155454.54545454544</v>
      </c>
      <c r="P52" s="5">
        <f>+N52-O52</f>
        <v>15545.454545454559</v>
      </c>
      <c r="Q52" s="5">
        <f>+N52</f>
        <v>171000</v>
      </c>
      <c r="R52" s="4" t="s">
        <v>50</v>
      </c>
      <c r="S52" s="4" t="s">
        <v>50</v>
      </c>
      <c r="T52" s="4" t="s">
        <v>121</v>
      </c>
    </row>
    <row r="53" spans="2:20" ht="24" customHeight="1" x14ac:dyDescent="0.4"/>
    <row r="54" spans="2:20" ht="24" customHeight="1" x14ac:dyDescent="0.4">
      <c r="B54" s="8" t="s">
        <v>26</v>
      </c>
      <c r="C54" s="8" t="s">
        <v>27</v>
      </c>
      <c r="D54" s="15" t="s">
        <v>23</v>
      </c>
      <c r="H54" s="5">
        <v>150</v>
      </c>
      <c r="I54" s="5" t="s">
        <v>93</v>
      </c>
      <c r="J54" s="5">
        <v>9.1</v>
      </c>
      <c r="K54" s="4" t="s">
        <v>113</v>
      </c>
      <c r="L54" s="5">
        <v>6</v>
      </c>
      <c r="M54" s="68">
        <v>12000</v>
      </c>
      <c r="N54" s="8">
        <f>+M54*L54</f>
        <v>72000</v>
      </c>
      <c r="O54" s="5">
        <f>+N54/1.1</f>
        <v>65454.545454545449</v>
      </c>
      <c r="P54" s="5">
        <f>+N54-O54</f>
        <v>6545.4545454545514</v>
      </c>
      <c r="Q54" s="5">
        <f>+N54</f>
        <v>72000</v>
      </c>
      <c r="T54" s="4" t="s">
        <v>95</v>
      </c>
    </row>
    <row r="55" spans="2:20" ht="24" customHeight="1" x14ac:dyDescent="0.4">
      <c r="B55" s="8" t="s">
        <v>26</v>
      </c>
      <c r="C55" s="8" t="s">
        <v>27</v>
      </c>
      <c r="D55" s="15" t="s">
        <v>23</v>
      </c>
      <c r="H55" s="5">
        <v>150</v>
      </c>
      <c r="I55" s="5" t="s">
        <v>93</v>
      </c>
      <c r="J55" s="5">
        <v>9.1</v>
      </c>
      <c r="K55" s="4" t="s">
        <v>113</v>
      </c>
      <c r="L55" s="5">
        <f>6+3</f>
        <v>9</v>
      </c>
      <c r="M55" s="68">
        <v>12000</v>
      </c>
      <c r="N55" s="8">
        <f>+M55*L55</f>
        <v>108000</v>
      </c>
      <c r="O55" s="5">
        <f>+N55/1.1</f>
        <v>98181.818181818177</v>
      </c>
      <c r="P55" s="5">
        <f>+N55-O55</f>
        <v>9818.1818181818235</v>
      </c>
      <c r="Q55" s="5">
        <f>+N55</f>
        <v>108000</v>
      </c>
      <c r="T55" s="4" t="s">
        <v>95</v>
      </c>
    </row>
    <row r="56" spans="2:20" ht="24" customHeight="1" x14ac:dyDescent="0.4">
      <c r="B56" s="8" t="s">
        <v>26</v>
      </c>
      <c r="C56" s="8" t="s">
        <v>27</v>
      </c>
      <c r="D56" s="15" t="s">
        <v>23</v>
      </c>
      <c r="H56" s="5">
        <v>150</v>
      </c>
      <c r="I56" s="5" t="s">
        <v>93</v>
      </c>
      <c r="J56" s="5">
        <v>9.1</v>
      </c>
      <c r="K56" s="4" t="s">
        <v>113</v>
      </c>
      <c r="L56" s="5">
        <v>8</v>
      </c>
      <c r="M56" s="68">
        <v>6000</v>
      </c>
      <c r="N56" s="8">
        <f>+M56*L56</f>
        <v>48000</v>
      </c>
      <c r="O56" s="5">
        <f>+N56/1.1</f>
        <v>43636.363636363632</v>
      </c>
      <c r="P56" s="5">
        <f>+N56-O56</f>
        <v>4363.6363636363676</v>
      </c>
      <c r="Q56" s="5">
        <f>+N56</f>
        <v>48000</v>
      </c>
      <c r="T56" s="4" t="s">
        <v>95</v>
      </c>
    </row>
    <row r="57" spans="2:20" ht="24" customHeight="1" x14ac:dyDescent="0.4">
      <c r="B57" s="8" t="s">
        <v>26</v>
      </c>
      <c r="C57" s="8" t="s">
        <v>27</v>
      </c>
      <c r="D57" s="15" t="s">
        <v>23</v>
      </c>
      <c r="H57" s="5">
        <v>2634</v>
      </c>
      <c r="I57" s="5" t="s">
        <v>119</v>
      </c>
      <c r="J57" s="5">
        <v>9.1</v>
      </c>
      <c r="K57" s="4" t="s">
        <v>113</v>
      </c>
      <c r="L57" s="5">
        <v>20</v>
      </c>
      <c r="M57" s="71">
        <f>6000+3000</f>
        <v>9000</v>
      </c>
      <c r="N57" s="8">
        <f>+M57*L57</f>
        <v>180000</v>
      </c>
      <c r="O57" s="5">
        <f>+N57/1.1</f>
        <v>163636.36363636362</v>
      </c>
      <c r="P57" s="5">
        <f>+N57-O57</f>
        <v>16363.636363636382</v>
      </c>
      <c r="Q57" s="5">
        <f>+N57</f>
        <v>180000</v>
      </c>
      <c r="S57" s="4" t="s">
        <v>50</v>
      </c>
      <c r="T57" s="4" t="s">
        <v>121</v>
      </c>
    </row>
    <row r="58" spans="2:20" ht="24" customHeight="1" x14ac:dyDescent="0.4">
      <c r="B58" s="8" t="s">
        <v>26</v>
      </c>
      <c r="C58" s="8" t="s">
        <v>27</v>
      </c>
      <c r="D58" s="15" t="s">
        <v>23</v>
      </c>
      <c r="H58" s="5">
        <v>1325</v>
      </c>
      <c r="I58" s="5" t="s">
        <v>82</v>
      </c>
      <c r="J58" s="5">
        <v>9.1</v>
      </c>
      <c r="K58" s="4" t="s">
        <v>122</v>
      </c>
      <c r="L58" s="5">
        <v>19</v>
      </c>
      <c r="M58" s="68">
        <f>35000+3000</f>
        <v>38000</v>
      </c>
      <c r="N58" s="8">
        <f>+M58*L58</f>
        <v>722000</v>
      </c>
      <c r="O58" s="5">
        <f>+N58/1.1</f>
        <v>656363.63636363635</v>
      </c>
      <c r="P58" s="5">
        <f>+N58-O58</f>
        <v>65636.363636363647</v>
      </c>
      <c r="Q58" s="5">
        <f>+N58</f>
        <v>722000</v>
      </c>
      <c r="S58" s="40" t="s">
        <v>50</v>
      </c>
      <c r="T58" s="4" t="s">
        <v>83</v>
      </c>
    </row>
    <row r="59" spans="2:20" ht="24" customHeight="1" x14ac:dyDescent="0.4">
      <c r="B59" s="8" t="s">
        <v>26</v>
      </c>
      <c r="C59" s="8" t="s">
        <v>27</v>
      </c>
      <c r="D59" s="15" t="s">
        <v>23</v>
      </c>
      <c r="H59" s="5">
        <v>1324</v>
      </c>
      <c r="I59" s="5" t="s">
        <v>96</v>
      </c>
      <c r="J59" s="5">
        <v>9.1</v>
      </c>
      <c r="K59" s="4" t="s">
        <v>122</v>
      </c>
      <c r="L59" s="5">
        <v>23</v>
      </c>
      <c r="M59" s="68">
        <f>35000+3000</f>
        <v>38000</v>
      </c>
      <c r="N59" s="8">
        <f>+M59*L59</f>
        <v>874000</v>
      </c>
      <c r="O59" s="5">
        <f>+N59/1.1</f>
        <v>794545.45454545447</v>
      </c>
      <c r="P59" s="5">
        <f>+N59-O59</f>
        <v>79454.545454545529</v>
      </c>
      <c r="Q59" s="5">
        <f>+N59</f>
        <v>874000</v>
      </c>
      <c r="S59" s="40" t="s">
        <v>50</v>
      </c>
      <c r="T59" s="7" t="s">
        <v>97</v>
      </c>
    </row>
    <row r="60" spans="2:20" ht="24" customHeight="1" x14ac:dyDescent="0.4">
      <c r="B60" s="8" t="s">
        <v>26</v>
      </c>
      <c r="C60" s="8" t="s">
        <v>27</v>
      </c>
      <c r="D60" s="16" t="s">
        <v>28</v>
      </c>
      <c r="H60" s="5">
        <v>1324</v>
      </c>
      <c r="I60" s="5" t="s">
        <v>96</v>
      </c>
      <c r="J60" s="5">
        <v>9.1</v>
      </c>
      <c r="K60" s="4" t="s">
        <v>111</v>
      </c>
      <c r="L60" s="5">
        <v>5</v>
      </c>
      <c r="M60" s="68">
        <f>120000+3000</f>
        <v>123000</v>
      </c>
      <c r="N60" s="8">
        <f>+M60*L60</f>
        <v>615000</v>
      </c>
      <c r="Q60" s="5">
        <f>+N60</f>
        <v>615000</v>
      </c>
      <c r="S60" s="7" t="s">
        <v>50</v>
      </c>
      <c r="T60" s="7" t="s">
        <v>97</v>
      </c>
    </row>
    <row r="61" spans="2:20" ht="24" customHeight="1" x14ac:dyDescent="0.4">
      <c r="B61" s="8" t="s">
        <v>26</v>
      </c>
      <c r="C61" s="8" t="s">
        <v>27</v>
      </c>
      <c r="D61" s="16" t="s">
        <v>28</v>
      </c>
      <c r="H61" s="5">
        <v>1325</v>
      </c>
      <c r="I61" s="5" t="s">
        <v>82</v>
      </c>
      <c r="J61" s="5">
        <v>9.1</v>
      </c>
      <c r="K61" s="4" t="s">
        <v>111</v>
      </c>
      <c r="L61" s="5">
        <v>4</v>
      </c>
      <c r="M61" s="68">
        <f>120000+3000</f>
        <v>123000</v>
      </c>
      <c r="N61" s="8">
        <f>+M61*L61</f>
        <v>492000</v>
      </c>
      <c r="Q61" s="5">
        <f>+N61</f>
        <v>492000</v>
      </c>
      <c r="S61" s="7" t="s">
        <v>50</v>
      </c>
      <c r="T61" s="4" t="s">
        <v>83</v>
      </c>
    </row>
    <row r="62" spans="2:20" ht="24" customHeight="1" x14ac:dyDescent="0.4"/>
    <row r="63" spans="2:20" ht="24" customHeight="1" x14ac:dyDescent="0.4">
      <c r="B63" s="8" t="s">
        <v>26</v>
      </c>
      <c r="C63" s="8" t="s">
        <v>27</v>
      </c>
      <c r="D63" s="16" t="s">
        <v>28</v>
      </c>
      <c r="H63" s="5">
        <v>148</v>
      </c>
      <c r="I63" s="5" t="s">
        <v>123</v>
      </c>
      <c r="J63" s="5">
        <v>9.11</v>
      </c>
      <c r="K63" s="4" t="s">
        <v>124</v>
      </c>
      <c r="L63" s="5">
        <v>1</v>
      </c>
      <c r="M63" s="68">
        <f>12000+3000</f>
        <v>15000</v>
      </c>
      <c r="N63" s="8">
        <f>+M63*L63</f>
        <v>15000</v>
      </c>
      <c r="Q63" s="5">
        <f>+N63</f>
        <v>15000</v>
      </c>
      <c r="S63" s="4" t="s">
        <v>58</v>
      </c>
      <c r="T63" s="7" t="s">
        <v>117</v>
      </c>
    </row>
    <row r="64" spans="2:20" ht="24" customHeight="1" x14ac:dyDescent="0.4">
      <c r="B64" s="5" t="s">
        <v>125</v>
      </c>
      <c r="C64" s="8" t="s">
        <v>27</v>
      </c>
      <c r="D64" s="15" t="s">
        <v>23</v>
      </c>
      <c r="H64" s="5">
        <v>1665</v>
      </c>
      <c r="I64" s="5" t="s">
        <v>126</v>
      </c>
      <c r="J64" s="5">
        <v>9.11</v>
      </c>
      <c r="K64" s="4" t="s">
        <v>113</v>
      </c>
      <c r="L64" s="5">
        <v>17</v>
      </c>
      <c r="M64" s="68">
        <v>12000</v>
      </c>
      <c r="N64" s="8">
        <f>+M64*L64</f>
        <v>204000</v>
      </c>
      <c r="O64" s="5">
        <f>+N64/1.1</f>
        <v>185454.54545454544</v>
      </c>
      <c r="P64" s="5">
        <f>+N64-O64</f>
        <v>18545.454545454559</v>
      </c>
      <c r="Q64" s="5">
        <f>+N64</f>
        <v>204000</v>
      </c>
      <c r="S64" s="40" t="s">
        <v>127</v>
      </c>
      <c r="T64" s="7" t="s">
        <v>128</v>
      </c>
    </row>
    <row r="65" spans="2:20" ht="24" customHeight="1" x14ac:dyDescent="0.4"/>
    <row r="66" spans="2:20" ht="24" customHeight="1" x14ac:dyDescent="0.4">
      <c r="B66" s="8" t="s">
        <v>26</v>
      </c>
      <c r="C66" s="8" t="s">
        <v>27</v>
      </c>
      <c r="D66" s="16" t="s">
        <v>28</v>
      </c>
      <c r="H66" s="5">
        <v>532</v>
      </c>
      <c r="I66" s="5" t="s">
        <v>129</v>
      </c>
      <c r="J66" s="5">
        <v>9.1300000000000008</v>
      </c>
      <c r="K66" s="4" t="s">
        <v>130</v>
      </c>
      <c r="L66" s="5">
        <v>1</v>
      </c>
      <c r="M66" s="68">
        <f>12000+3000</f>
        <v>15000</v>
      </c>
      <c r="P66" s="68">
        <f>12000+3000</f>
        <v>15000</v>
      </c>
      <c r="Q66" s="71">
        <f>P66*L66</f>
        <v>15000</v>
      </c>
      <c r="S66" s="4" t="s">
        <v>58</v>
      </c>
      <c r="T66" s="7" t="s">
        <v>131</v>
      </c>
    </row>
    <row r="67" spans="2:20" ht="24" customHeight="1" x14ac:dyDescent="0.4">
      <c r="B67" s="8" t="s">
        <v>26</v>
      </c>
      <c r="C67" s="8" t="s">
        <v>27</v>
      </c>
      <c r="D67" s="16" t="s">
        <v>28</v>
      </c>
      <c r="H67" s="5">
        <v>135</v>
      </c>
      <c r="I67" s="5" t="s">
        <v>79</v>
      </c>
      <c r="J67" s="5">
        <v>9.1300000000000008</v>
      </c>
      <c r="K67" s="4" t="s">
        <v>80</v>
      </c>
      <c r="L67" s="5">
        <v>1</v>
      </c>
      <c r="M67" s="68">
        <v>20000</v>
      </c>
      <c r="P67" s="68">
        <v>20000</v>
      </c>
      <c r="Q67" s="68">
        <f>P67*L67</f>
        <v>20000</v>
      </c>
      <c r="T67" s="5" t="s">
        <v>81</v>
      </c>
    </row>
    <row r="68" spans="2:20" ht="24" customHeight="1" x14ac:dyDescent="0.4">
      <c r="B68" s="8" t="s">
        <v>26</v>
      </c>
      <c r="C68" s="8" t="s">
        <v>27</v>
      </c>
      <c r="D68" s="16" t="s">
        <v>28</v>
      </c>
      <c r="H68" s="5">
        <v>1325</v>
      </c>
      <c r="I68" s="5" t="s">
        <v>82</v>
      </c>
      <c r="J68" s="5">
        <v>9.1300000000000008</v>
      </c>
      <c r="K68" s="4" t="s">
        <v>132</v>
      </c>
      <c r="L68" s="5">
        <v>1</v>
      </c>
      <c r="M68" s="68">
        <v>33000</v>
      </c>
      <c r="P68" s="68">
        <v>33000</v>
      </c>
      <c r="Q68" s="68">
        <v>33000</v>
      </c>
      <c r="S68" s="72" t="s">
        <v>50</v>
      </c>
      <c r="T68" s="4" t="s">
        <v>83</v>
      </c>
    </row>
    <row r="69" spans="2:20" ht="24" customHeight="1" x14ac:dyDescent="0.4">
      <c r="B69" s="8" t="s">
        <v>26</v>
      </c>
      <c r="C69" s="8" t="s">
        <v>27</v>
      </c>
      <c r="D69" s="15" t="s">
        <v>23</v>
      </c>
      <c r="H69" s="5">
        <v>2634</v>
      </c>
      <c r="I69" s="5" t="s">
        <v>119</v>
      </c>
      <c r="J69" s="5">
        <v>9.1300000000000008</v>
      </c>
      <c r="K69" s="4" t="s">
        <v>133</v>
      </c>
      <c r="L69" s="5">
        <v>3</v>
      </c>
      <c r="M69" s="71">
        <f>6000+3000</f>
        <v>9000</v>
      </c>
      <c r="P69" s="71">
        <f>6000+3000</f>
        <v>9000</v>
      </c>
      <c r="Q69" s="68">
        <f>P69*L69</f>
        <v>27000</v>
      </c>
      <c r="S69" s="4" t="s">
        <v>50</v>
      </c>
      <c r="T69" s="4" t="s">
        <v>121</v>
      </c>
    </row>
    <row r="70" spans="2:20" ht="24" customHeight="1" x14ac:dyDescent="0.4"/>
    <row r="71" spans="2:20" ht="24" customHeight="1" x14ac:dyDescent="0.4">
      <c r="B71" s="8" t="s">
        <v>26</v>
      </c>
      <c r="C71" s="8" t="s">
        <v>27</v>
      </c>
      <c r="D71" s="16" t="s">
        <v>28</v>
      </c>
      <c r="H71" s="5">
        <v>1325</v>
      </c>
      <c r="I71" s="5" t="s">
        <v>82</v>
      </c>
      <c r="J71" s="5">
        <v>9.14</v>
      </c>
      <c r="K71" s="3" t="s">
        <v>134</v>
      </c>
      <c r="L71" s="5">
        <v>3</v>
      </c>
      <c r="M71" s="68">
        <v>50000</v>
      </c>
      <c r="N71" s="8">
        <f>+M71*L71</f>
        <v>150000</v>
      </c>
      <c r="Q71" s="5">
        <f>+N71</f>
        <v>150000</v>
      </c>
      <c r="S71" s="72" t="s">
        <v>135</v>
      </c>
      <c r="T71" s="4" t="s">
        <v>83</v>
      </c>
    </row>
    <row r="72" spans="2:20" ht="24" customHeight="1" x14ac:dyDescent="0.4">
      <c r="B72" s="8" t="s">
        <v>26</v>
      </c>
      <c r="C72" s="8" t="s">
        <v>27</v>
      </c>
      <c r="D72" s="15" t="s">
        <v>23</v>
      </c>
      <c r="H72" s="5">
        <v>1325</v>
      </c>
      <c r="I72" s="5" t="s">
        <v>82</v>
      </c>
      <c r="J72" s="5">
        <v>9.14</v>
      </c>
      <c r="K72" s="4" t="s">
        <v>136</v>
      </c>
      <c r="L72" s="5">
        <v>1</v>
      </c>
      <c r="M72" s="68">
        <v>25000</v>
      </c>
      <c r="N72" s="8">
        <f>+M72*L72</f>
        <v>25000</v>
      </c>
      <c r="O72" s="5">
        <f>+N72/1.1</f>
        <v>22727.272727272724</v>
      </c>
      <c r="P72" s="5">
        <f>+N72-O72</f>
        <v>2272.7272727272757</v>
      </c>
      <c r="Q72" s="5">
        <f>+N72</f>
        <v>25000</v>
      </c>
      <c r="S72" s="72" t="s">
        <v>135</v>
      </c>
      <c r="T72" s="4" t="s">
        <v>83</v>
      </c>
    </row>
    <row r="73" spans="2:20" ht="24" customHeight="1" x14ac:dyDescent="0.4">
      <c r="B73" s="8" t="s">
        <v>26</v>
      </c>
      <c r="C73" s="8" t="s">
        <v>27</v>
      </c>
      <c r="D73" s="16" t="s">
        <v>28</v>
      </c>
      <c r="H73" s="5">
        <v>532</v>
      </c>
      <c r="I73" s="5" t="s">
        <v>129</v>
      </c>
      <c r="J73" s="5">
        <v>9.14</v>
      </c>
      <c r="K73" s="4" t="s">
        <v>137</v>
      </c>
      <c r="L73" s="5">
        <v>37</v>
      </c>
      <c r="M73" s="71">
        <f>50000+3000</f>
        <v>53000</v>
      </c>
      <c r="N73" s="8">
        <f>+M73*L73</f>
        <v>1961000</v>
      </c>
      <c r="Q73" s="5">
        <f>+N73</f>
        <v>1961000</v>
      </c>
      <c r="S73" s="7" t="s">
        <v>50</v>
      </c>
      <c r="T73" s="4" t="s">
        <v>131</v>
      </c>
    </row>
    <row r="74" spans="2:20" ht="24" customHeight="1" x14ac:dyDescent="0.4">
      <c r="B74" s="8" t="s">
        <v>26</v>
      </c>
      <c r="C74" s="8" t="s">
        <v>27</v>
      </c>
      <c r="D74" s="16" t="s">
        <v>28</v>
      </c>
      <c r="H74" s="5">
        <v>493</v>
      </c>
      <c r="I74" s="5" t="s">
        <v>138</v>
      </c>
      <c r="J74" s="5">
        <v>9.14</v>
      </c>
      <c r="K74" s="4" t="s">
        <v>139</v>
      </c>
      <c r="L74" s="5">
        <v>8</v>
      </c>
      <c r="M74" s="68">
        <f>60000+3000</f>
        <v>63000</v>
      </c>
      <c r="N74" s="8">
        <f>+M74*L74</f>
        <v>504000</v>
      </c>
      <c r="Q74" s="5">
        <f>+N74</f>
        <v>504000</v>
      </c>
      <c r="S74" s="4" t="s">
        <v>50</v>
      </c>
      <c r="T74" s="4" t="s">
        <v>140</v>
      </c>
    </row>
    <row r="75" spans="2:20" ht="24" customHeight="1" x14ac:dyDescent="0.4"/>
    <row r="76" spans="2:20" ht="24" customHeight="1" x14ac:dyDescent="0.4">
      <c r="B76" s="8" t="s">
        <v>26</v>
      </c>
      <c r="C76" s="8" t="s">
        <v>27</v>
      </c>
      <c r="D76" s="16" t="s">
        <v>28</v>
      </c>
      <c r="H76" s="5">
        <v>880</v>
      </c>
      <c r="I76" s="5" t="s">
        <v>100</v>
      </c>
      <c r="J76" s="5">
        <v>9.15</v>
      </c>
      <c r="K76" s="4" t="s">
        <v>141</v>
      </c>
      <c r="L76" s="5">
        <v>1</v>
      </c>
      <c r="M76" s="68">
        <f>12000+3000</f>
        <v>15000</v>
      </c>
      <c r="N76" s="8">
        <f>+M76*L76</f>
        <v>15000</v>
      </c>
      <c r="Q76" s="5">
        <f>+N76</f>
        <v>15000</v>
      </c>
      <c r="S76" s="4" t="s">
        <v>58</v>
      </c>
      <c r="T76" s="4" t="s">
        <v>102</v>
      </c>
    </row>
    <row r="77" spans="2:20" ht="24" customHeight="1" x14ac:dyDescent="0.4">
      <c r="B77" s="8" t="s">
        <v>26</v>
      </c>
      <c r="C77" s="8" t="s">
        <v>27</v>
      </c>
      <c r="D77" s="16" t="s">
        <v>28</v>
      </c>
      <c r="H77" s="5">
        <v>193</v>
      </c>
      <c r="I77" s="5" t="s">
        <v>67</v>
      </c>
      <c r="J77" s="5">
        <v>9.15</v>
      </c>
      <c r="K77" s="4" t="s">
        <v>142</v>
      </c>
      <c r="L77" s="5">
        <v>1</v>
      </c>
      <c r="M77" s="71">
        <v>33000</v>
      </c>
      <c r="N77" s="8">
        <f>+M77*L77</f>
        <v>33000</v>
      </c>
      <c r="Q77" s="5">
        <f>+N77</f>
        <v>33000</v>
      </c>
      <c r="S77" s="4" t="s">
        <v>143</v>
      </c>
      <c r="T77" s="7" t="s">
        <v>70</v>
      </c>
    </row>
    <row r="78" spans="2:20" ht="24" customHeight="1" x14ac:dyDescent="0.4">
      <c r="B78" s="8" t="s">
        <v>26</v>
      </c>
      <c r="C78" s="8" t="s">
        <v>27</v>
      </c>
      <c r="D78" s="16" t="s">
        <v>28</v>
      </c>
      <c r="H78" s="5">
        <v>1325</v>
      </c>
      <c r="I78" s="5" t="s">
        <v>82</v>
      </c>
      <c r="J78" s="5">
        <v>9.15</v>
      </c>
      <c r="K78" s="4" t="s">
        <v>144</v>
      </c>
      <c r="L78" s="5">
        <v>1</v>
      </c>
      <c r="M78" s="68">
        <f>20000+3000</f>
        <v>23000</v>
      </c>
      <c r="N78" s="8">
        <f>+M78*L78</f>
        <v>23000</v>
      </c>
      <c r="Q78" s="5">
        <f>+N78</f>
        <v>23000</v>
      </c>
      <c r="S78" s="4" t="s">
        <v>58</v>
      </c>
      <c r="T78" s="4" t="s">
        <v>83</v>
      </c>
    </row>
    <row r="79" spans="2:20" ht="24" customHeight="1" x14ac:dyDescent="0.4">
      <c r="B79" s="8" t="s">
        <v>26</v>
      </c>
      <c r="C79" s="8" t="s">
        <v>27</v>
      </c>
      <c r="D79" s="16" t="s">
        <v>28</v>
      </c>
      <c r="H79" s="5">
        <v>127</v>
      </c>
      <c r="I79" s="5" t="s">
        <v>145</v>
      </c>
      <c r="J79" s="5">
        <v>9.15</v>
      </c>
      <c r="K79" s="4" t="s">
        <v>146</v>
      </c>
      <c r="L79" s="5">
        <v>6</v>
      </c>
      <c r="M79" s="68">
        <f>70000+3000-3000</f>
        <v>70000</v>
      </c>
      <c r="N79" s="8">
        <f>+M79*L79</f>
        <v>420000</v>
      </c>
      <c r="Q79" s="5">
        <f>+N79</f>
        <v>420000</v>
      </c>
      <c r="S79" s="40" t="s">
        <v>147</v>
      </c>
      <c r="T79" s="4" t="s">
        <v>148</v>
      </c>
    </row>
    <row r="80" spans="2:20" ht="24" customHeight="1" x14ac:dyDescent="0.4">
      <c r="B80" s="8" t="s">
        <v>26</v>
      </c>
      <c r="C80" s="8" t="s">
        <v>27</v>
      </c>
      <c r="D80" s="16" t="s">
        <v>28</v>
      </c>
      <c r="H80" s="5">
        <v>127</v>
      </c>
      <c r="I80" s="5" t="s">
        <v>145</v>
      </c>
      <c r="J80" s="5">
        <v>9.15</v>
      </c>
      <c r="K80" s="4" t="s">
        <v>149</v>
      </c>
      <c r="L80" s="5">
        <v>7</v>
      </c>
      <c r="M80" s="68">
        <f>100000+3000-3000</f>
        <v>100000</v>
      </c>
      <c r="N80" s="8">
        <f>+M80*L80</f>
        <v>700000</v>
      </c>
      <c r="Q80" s="5">
        <f>+N80</f>
        <v>700000</v>
      </c>
      <c r="S80" s="40" t="s">
        <v>147</v>
      </c>
      <c r="T80" s="4" t="s">
        <v>148</v>
      </c>
    </row>
    <row r="81" spans="2:20" ht="24" customHeight="1" x14ac:dyDescent="0.4">
      <c r="B81" s="8" t="s">
        <v>26</v>
      </c>
      <c r="C81" s="8" t="s">
        <v>27</v>
      </c>
      <c r="D81" s="15" t="s">
        <v>23</v>
      </c>
      <c r="H81" s="5">
        <v>2634</v>
      </c>
      <c r="I81" s="5" t="s">
        <v>119</v>
      </c>
      <c r="J81" s="5">
        <v>9.15</v>
      </c>
      <c r="K81" s="4" t="s">
        <v>150</v>
      </c>
      <c r="L81" s="5">
        <v>25</v>
      </c>
      <c r="M81" s="68">
        <f>6000+3000</f>
        <v>9000</v>
      </c>
      <c r="N81" s="8">
        <f>+M81*L81</f>
        <v>225000</v>
      </c>
      <c r="O81" s="5">
        <f>+N81/1.1</f>
        <v>204545.45454545453</v>
      </c>
      <c r="P81" s="5">
        <f>+N81-O81</f>
        <v>20454.54545454547</v>
      </c>
      <c r="Q81" s="5">
        <f>+N81</f>
        <v>225000</v>
      </c>
      <c r="S81" s="4" t="s">
        <v>50</v>
      </c>
      <c r="T81" s="4" t="s">
        <v>121</v>
      </c>
    </row>
    <row r="82" spans="2:20" ht="24" customHeight="1" x14ac:dyDescent="0.4">
      <c r="B82" s="8" t="s">
        <v>26</v>
      </c>
      <c r="C82" s="8" t="s">
        <v>27</v>
      </c>
      <c r="D82" s="16" t="s">
        <v>28</v>
      </c>
      <c r="H82" s="5">
        <v>127</v>
      </c>
      <c r="I82" s="5" t="s">
        <v>145</v>
      </c>
      <c r="J82" s="5">
        <v>9.15</v>
      </c>
      <c r="K82" s="4" t="s">
        <v>151</v>
      </c>
      <c r="L82" s="5">
        <v>1</v>
      </c>
      <c r="M82" s="68">
        <f>100000+3000-3000</f>
        <v>100000</v>
      </c>
      <c r="N82" s="8">
        <f>+M82*L82</f>
        <v>100000</v>
      </c>
      <c r="Q82" s="5">
        <f>+N82</f>
        <v>100000</v>
      </c>
      <c r="S82" s="40" t="s">
        <v>147</v>
      </c>
    </row>
    <row r="83" spans="2:20" ht="24" customHeight="1" x14ac:dyDescent="0.4"/>
    <row r="84" spans="2:20" ht="24" customHeight="1" x14ac:dyDescent="0.4">
      <c r="B84" s="8" t="s">
        <v>26</v>
      </c>
      <c r="C84" s="8" t="s">
        <v>27</v>
      </c>
      <c r="D84" s="16" t="s">
        <v>28</v>
      </c>
      <c r="H84" s="5">
        <v>550</v>
      </c>
      <c r="I84" s="5" t="s">
        <v>48</v>
      </c>
      <c r="J84" s="5">
        <v>9.16</v>
      </c>
      <c r="K84" s="4" t="s">
        <v>152</v>
      </c>
      <c r="L84" s="5">
        <v>2</v>
      </c>
      <c r="M84" s="69">
        <f>25000-3000</f>
        <v>22000</v>
      </c>
      <c r="N84" s="8">
        <f>+M84*L84</f>
        <v>44000</v>
      </c>
      <c r="Q84" s="5">
        <f>+N84</f>
        <v>44000</v>
      </c>
      <c r="S84" s="81" t="s">
        <v>153</v>
      </c>
      <c r="T84" s="7" t="s">
        <v>51</v>
      </c>
    </row>
    <row r="85" spans="2:20" ht="24" customHeight="1" x14ac:dyDescent="0.4">
      <c r="B85" s="8" t="s">
        <v>26</v>
      </c>
      <c r="C85" s="8" t="s">
        <v>27</v>
      </c>
      <c r="D85" s="15" t="s">
        <v>23</v>
      </c>
      <c r="H85" s="5">
        <v>729</v>
      </c>
      <c r="I85" s="5" t="s">
        <v>109</v>
      </c>
      <c r="J85" s="5">
        <v>9.16</v>
      </c>
      <c r="K85" s="4" t="s">
        <v>87</v>
      </c>
      <c r="L85" s="5">
        <v>30</v>
      </c>
      <c r="M85" s="68">
        <v>6000</v>
      </c>
      <c r="N85" s="8">
        <f>+M85*L85</f>
        <v>180000</v>
      </c>
      <c r="O85" s="5">
        <f>+N85/1.1</f>
        <v>163636.36363636362</v>
      </c>
      <c r="P85" s="5">
        <f>+N85-O85</f>
        <v>16363.636363636382</v>
      </c>
      <c r="Q85" s="5">
        <f>+N85</f>
        <v>180000</v>
      </c>
      <c r="T85" s="4" t="s">
        <v>110</v>
      </c>
    </row>
    <row r="86" spans="2:20" ht="24" customHeight="1" x14ac:dyDescent="0.4"/>
    <row r="87" spans="2:20" ht="24" customHeight="1" x14ac:dyDescent="0.4">
      <c r="B87" s="8" t="s">
        <v>26</v>
      </c>
      <c r="C87" s="8" t="s">
        <v>27</v>
      </c>
      <c r="D87" s="16" t="s">
        <v>28</v>
      </c>
      <c r="H87" s="5">
        <v>193</v>
      </c>
      <c r="I87" s="5" t="s">
        <v>67</v>
      </c>
      <c r="J87" s="5">
        <v>9.23</v>
      </c>
      <c r="K87" s="8" t="s">
        <v>154</v>
      </c>
      <c r="L87" s="5">
        <v>1</v>
      </c>
      <c r="M87" s="71">
        <v>50000</v>
      </c>
      <c r="N87" s="8">
        <f>+M87*L87</f>
        <v>50000</v>
      </c>
      <c r="Q87" s="5">
        <f>+N87</f>
        <v>50000</v>
      </c>
      <c r="S87" s="40" t="s">
        <v>69</v>
      </c>
    </row>
    <row r="88" spans="2:20" ht="24" customHeight="1" x14ac:dyDescent="0.4">
      <c r="B88" s="8" t="s">
        <v>26</v>
      </c>
      <c r="C88" s="8" t="s">
        <v>27</v>
      </c>
      <c r="D88" s="16" t="s">
        <v>28</v>
      </c>
      <c r="H88" s="5">
        <v>550</v>
      </c>
      <c r="I88" s="5" t="s">
        <v>48</v>
      </c>
      <c r="J88" s="5">
        <v>9.23</v>
      </c>
      <c r="K88" s="4" t="s">
        <v>155</v>
      </c>
      <c r="L88" s="5">
        <v>6</v>
      </c>
      <c r="M88" s="68">
        <f>6000+3000</f>
        <v>9000</v>
      </c>
      <c r="N88" s="8">
        <f>+M88*L88</f>
        <v>54000</v>
      </c>
      <c r="Q88" s="5">
        <f>+N88</f>
        <v>54000</v>
      </c>
      <c r="S88" s="40" t="s">
        <v>50</v>
      </c>
    </row>
    <row r="89" spans="2:20" ht="24" customHeight="1" x14ac:dyDescent="0.4"/>
    <row r="90" spans="2:20" ht="24" customHeight="1" x14ac:dyDescent="0.4">
      <c r="B90" s="8" t="s">
        <v>26</v>
      </c>
      <c r="C90" s="8" t="s">
        <v>27</v>
      </c>
      <c r="D90" s="15" t="s">
        <v>23</v>
      </c>
      <c r="H90" s="5">
        <v>550</v>
      </c>
      <c r="I90" s="5" t="s">
        <v>48</v>
      </c>
      <c r="J90" s="5">
        <v>9.24</v>
      </c>
      <c r="K90" s="4" t="s">
        <v>156</v>
      </c>
      <c r="L90" s="5">
        <v>100</v>
      </c>
      <c r="M90" s="69">
        <f>1200-200</f>
        <v>1000</v>
      </c>
      <c r="N90" s="8">
        <f>+M90*L90</f>
        <v>100000</v>
      </c>
      <c r="O90" s="5">
        <f>+N90/1.1</f>
        <v>90909.090909090897</v>
      </c>
      <c r="P90" s="5">
        <f>+N90-O90</f>
        <v>9090.9090909091028</v>
      </c>
      <c r="Q90" s="5">
        <f>+N90</f>
        <v>100000</v>
      </c>
      <c r="T90" s="7" t="s">
        <v>51</v>
      </c>
    </row>
    <row r="91" spans="2:20" ht="24" customHeight="1" x14ac:dyDescent="0.4">
      <c r="B91" s="8" t="s">
        <v>157</v>
      </c>
      <c r="C91" s="8" t="s">
        <v>27</v>
      </c>
      <c r="D91" s="15" t="s">
        <v>23</v>
      </c>
      <c r="H91" s="5">
        <v>209</v>
      </c>
      <c r="I91" s="5" t="s">
        <v>158</v>
      </c>
      <c r="J91" s="5">
        <v>9.24</v>
      </c>
      <c r="K91" s="4" t="s">
        <v>159</v>
      </c>
      <c r="L91" s="5">
        <f>25+32+40+20+45+18</f>
        <v>180</v>
      </c>
      <c r="M91" s="68">
        <v>6000</v>
      </c>
      <c r="N91" s="8">
        <f>+M91*L91</f>
        <v>1080000</v>
      </c>
      <c r="O91" s="5">
        <f>+N91/1.1</f>
        <v>981818.18181818177</v>
      </c>
      <c r="P91" s="5">
        <f>+N91-O91</f>
        <v>98181.818181818235</v>
      </c>
      <c r="Q91" s="5">
        <f>+N91</f>
        <v>1080000</v>
      </c>
      <c r="T91" s="5" t="s">
        <v>160</v>
      </c>
    </row>
    <row r="92" spans="2:20" ht="24" customHeight="1" x14ac:dyDescent="0.4">
      <c r="B92" s="8" t="s">
        <v>26</v>
      </c>
      <c r="C92" s="8" t="s">
        <v>27</v>
      </c>
      <c r="D92" s="16" t="s">
        <v>28</v>
      </c>
      <c r="H92" s="5">
        <v>148</v>
      </c>
      <c r="I92" s="5" t="s">
        <v>115</v>
      </c>
      <c r="J92" s="5">
        <v>9.24</v>
      </c>
      <c r="K92" s="4" t="s">
        <v>161</v>
      </c>
      <c r="L92" s="5">
        <v>1</v>
      </c>
      <c r="M92" s="68">
        <f>12000+3000</f>
        <v>15000</v>
      </c>
      <c r="N92" s="8">
        <f>+M92*L92</f>
        <v>15000</v>
      </c>
      <c r="Q92" s="5">
        <f>+N92</f>
        <v>15000</v>
      </c>
      <c r="R92" s="4" t="s">
        <v>58</v>
      </c>
      <c r="S92" s="4" t="s">
        <v>58</v>
      </c>
      <c r="T92" s="7" t="s">
        <v>117</v>
      </c>
    </row>
    <row r="93" spans="2:20" ht="24" customHeight="1" x14ac:dyDescent="0.4">
      <c r="B93" s="8" t="s">
        <v>26</v>
      </c>
      <c r="C93" s="8" t="s">
        <v>27</v>
      </c>
      <c r="D93" s="16" t="s">
        <v>28</v>
      </c>
      <c r="H93" s="5">
        <v>1220</v>
      </c>
      <c r="I93" s="5" t="s">
        <v>63</v>
      </c>
      <c r="J93" s="5">
        <v>9.24</v>
      </c>
      <c r="K93" s="4" t="s">
        <v>162</v>
      </c>
      <c r="L93" s="5">
        <v>8</v>
      </c>
      <c r="M93" s="68">
        <f>6000+3000</f>
        <v>9000</v>
      </c>
      <c r="N93" s="8">
        <f>+M93*L93</f>
        <v>72000</v>
      </c>
      <c r="Q93" s="5">
        <f>+N93</f>
        <v>72000</v>
      </c>
      <c r="R93" s="40" t="s">
        <v>50</v>
      </c>
      <c r="S93" s="40" t="s">
        <v>50</v>
      </c>
      <c r="T93" s="4" t="s">
        <v>65</v>
      </c>
    </row>
    <row r="94" spans="2:20" ht="24" customHeight="1" x14ac:dyDescent="0.4"/>
    <row r="95" spans="2:20" ht="24" customHeight="1" x14ac:dyDescent="0.4">
      <c r="B95" s="8" t="s">
        <v>26</v>
      </c>
      <c r="C95" s="8" t="s">
        <v>27</v>
      </c>
      <c r="D95" s="15" t="s">
        <v>23</v>
      </c>
      <c r="H95" s="5">
        <v>550</v>
      </c>
      <c r="I95" s="5" t="s">
        <v>48</v>
      </c>
      <c r="J95" s="5">
        <v>9.25</v>
      </c>
      <c r="K95" s="4" t="s">
        <v>89</v>
      </c>
      <c r="L95" s="5">
        <v>12</v>
      </c>
      <c r="M95" s="68">
        <v>5000</v>
      </c>
      <c r="N95" s="8">
        <f>+M95*L95</f>
        <v>60000</v>
      </c>
      <c r="O95" s="5">
        <f>+N95/1.1</f>
        <v>54545.454545454544</v>
      </c>
      <c r="P95" s="5">
        <f>+N95-O95</f>
        <v>5454.5454545454559</v>
      </c>
      <c r="Q95" s="5">
        <f>+N95</f>
        <v>60000</v>
      </c>
      <c r="T95" s="7" t="s">
        <v>51</v>
      </c>
    </row>
    <row r="96" spans="2:20" ht="24" customHeight="1" x14ac:dyDescent="0.4"/>
    <row r="97" spans="2:20" ht="24" customHeight="1" x14ac:dyDescent="0.4">
      <c r="B97" s="5" t="s">
        <v>125</v>
      </c>
      <c r="C97" s="8" t="s">
        <v>27</v>
      </c>
      <c r="D97" s="16" t="s">
        <v>28</v>
      </c>
      <c r="H97" s="5">
        <v>1665</v>
      </c>
      <c r="I97" s="5" t="s">
        <v>163</v>
      </c>
      <c r="J97" s="5">
        <v>9.27</v>
      </c>
      <c r="K97" s="4" t="s">
        <v>111</v>
      </c>
      <c r="L97" s="5">
        <v>6</v>
      </c>
      <c r="M97" s="68">
        <f>60000+3000</f>
        <v>63000</v>
      </c>
      <c r="N97" s="8">
        <f>+M97*L97</f>
        <v>378000</v>
      </c>
      <c r="Q97" s="5">
        <f>+N97</f>
        <v>378000</v>
      </c>
    </row>
    <row r="98" spans="2:20" ht="24" customHeight="1" x14ac:dyDescent="0.4">
      <c r="B98" s="5" t="s">
        <v>125</v>
      </c>
      <c r="C98" s="8" t="s">
        <v>27</v>
      </c>
      <c r="D98" s="16" t="s">
        <v>28</v>
      </c>
      <c r="H98" s="5">
        <v>1665</v>
      </c>
      <c r="I98" s="5" t="s">
        <v>163</v>
      </c>
      <c r="J98" s="5">
        <v>9.27</v>
      </c>
      <c r="K98" s="4" t="s">
        <v>164</v>
      </c>
      <c r="L98" s="5">
        <v>11</v>
      </c>
      <c r="M98" s="68">
        <v>21000</v>
      </c>
      <c r="N98" s="8">
        <f>+M98*L98</f>
        <v>231000</v>
      </c>
      <c r="Q98" s="5">
        <f>+N98</f>
        <v>231000</v>
      </c>
    </row>
    <row r="99" spans="2:20" ht="24" customHeight="1" x14ac:dyDescent="0.4">
      <c r="B99" s="5" t="s">
        <v>125</v>
      </c>
      <c r="C99" s="8" t="s">
        <v>27</v>
      </c>
      <c r="D99" s="15" t="s">
        <v>23</v>
      </c>
      <c r="H99" s="5">
        <v>1665</v>
      </c>
      <c r="I99" s="5" t="s">
        <v>163</v>
      </c>
      <c r="J99" s="5">
        <v>9.27</v>
      </c>
      <c r="K99" s="4" t="s">
        <v>165</v>
      </c>
      <c r="L99" s="5">
        <v>4</v>
      </c>
      <c r="M99" s="68">
        <v>4000</v>
      </c>
      <c r="N99" s="8">
        <f>+M99*L99</f>
        <v>16000</v>
      </c>
      <c r="O99" s="5">
        <f>+N99/1.1</f>
        <v>14545.454545454544</v>
      </c>
      <c r="P99" s="5">
        <f>+N99-O99</f>
        <v>1454.5454545454559</v>
      </c>
      <c r="Q99" s="5">
        <f>+N99</f>
        <v>16000</v>
      </c>
    </row>
    <row r="100" spans="2:20" ht="24" customHeight="1" x14ac:dyDescent="0.4"/>
    <row r="101" spans="2:20" ht="24" customHeight="1" x14ac:dyDescent="0.4">
      <c r="B101" s="8" t="s">
        <v>157</v>
      </c>
      <c r="C101" s="8" t="s">
        <v>27</v>
      </c>
      <c r="D101" s="15" t="s">
        <v>23</v>
      </c>
      <c r="H101" s="5">
        <v>209</v>
      </c>
      <c r="I101" s="5" t="s">
        <v>158</v>
      </c>
      <c r="J101" s="5">
        <v>9.27</v>
      </c>
      <c r="K101" s="4" t="s">
        <v>159</v>
      </c>
      <c r="L101" s="5">
        <f>25+32+40+20+45+18</f>
        <v>180</v>
      </c>
      <c r="M101" s="68">
        <v>6000</v>
      </c>
      <c r="N101" s="8">
        <f>+M101*L101</f>
        <v>1080000</v>
      </c>
      <c r="O101" s="5">
        <f>+N101/1.1</f>
        <v>981818.18181818177</v>
      </c>
      <c r="P101" s="5">
        <f>+N101-O101</f>
        <v>98181.818181818235</v>
      </c>
      <c r="Q101" s="5">
        <f>+N101</f>
        <v>1080000</v>
      </c>
      <c r="T101" s="4" t="s">
        <v>166</v>
      </c>
    </row>
    <row r="102" spans="2:20" ht="24" customHeight="1" x14ac:dyDescent="0.4">
      <c r="B102" s="8" t="s">
        <v>26</v>
      </c>
      <c r="C102" s="8" t="s">
        <v>27</v>
      </c>
      <c r="D102" s="16" t="s">
        <v>28</v>
      </c>
      <c r="H102" s="5">
        <v>1325</v>
      </c>
      <c r="I102" s="5" t="s">
        <v>82</v>
      </c>
      <c r="J102" s="5">
        <v>9.27</v>
      </c>
      <c r="K102" s="4" t="s">
        <v>167</v>
      </c>
      <c r="L102" s="5">
        <v>25</v>
      </c>
      <c r="M102" s="68">
        <v>6000</v>
      </c>
      <c r="N102" s="8">
        <f>+M102*L102</f>
        <v>150000</v>
      </c>
      <c r="Q102" s="5">
        <f>+N102</f>
        <v>150000</v>
      </c>
      <c r="T102" s="4" t="s">
        <v>83</v>
      </c>
    </row>
    <row r="103" spans="2:20" ht="24" customHeight="1" x14ac:dyDescent="0.4">
      <c r="B103" s="8" t="s">
        <v>26</v>
      </c>
      <c r="C103" s="8" t="s">
        <v>27</v>
      </c>
      <c r="D103" s="16" t="s">
        <v>28</v>
      </c>
      <c r="H103" s="5">
        <v>1324</v>
      </c>
      <c r="I103" s="5" t="s">
        <v>96</v>
      </c>
      <c r="J103" s="5">
        <v>9.27</v>
      </c>
      <c r="K103" s="4" t="s">
        <v>167</v>
      </c>
      <c r="L103" s="5">
        <v>25</v>
      </c>
      <c r="M103" s="68">
        <v>6000</v>
      </c>
      <c r="N103" s="8">
        <f>+M103*L103</f>
        <v>150000</v>
      </c>
      <c r="Q103" s="5">
        <f>+N103</f>
        <v>150000</v>
      </c>
      <c r="T103" s="7" t="s">
        <v>97</v>
      </c>
    </row>
    <row r="104" spans="2:20" ht="24" customHeight="1" x14ac:dyDescent="0.4">
      <c r="B104" s="8" t="s">
        <v>26</v>
      </c>
      <c r="C104" s="8" t="s">
        <v>27</v>
      </c>
      <c r="D104" s="16" t="s">
        <v>28</v>
      </c>
      <c r="H104" s="5">
        <v>880</v>
      </c>
      <c r="I104" s="5" t="s">
        <v>100</v>
      </c>
      <c r="J104" s="5">
        <v>9.27</v>
      </c>
      <c r="K104" s="4" t="s">
        <v>168</v>
      </c>
      <c r="L104" s="5">
        <v>1</v>
      </c>
      <c r="M104" s="68">
        <f>12000+3000</f>
        <v>15000</v>
      </c>
      <c r="N104" s="8">
        <f>+M104*L104</f>
        <v>15000</v>
      </c>
      <c r="Q104" s="5">
        <f>+N104</f>
        <v>15000</v>
      </c>
      <c r="S104" s="4" t="s">
        <v>58</v>
      </c>
      <c r="T104" s="4" t="s">
        <v>102</v>
      </c>
    </row>
    <row r="105" spans="2:20" ht="24" customHeight="1" x14ac:dyDescent="0.4">
      <c r="B105" s="8" t="s">
        <v>26</v>
      </c>
      <c r="C105" s="8" t="s">
        <v>27</v>
      </c>
      <c r="D105" s="15" t="s">
        <v>23</v>
      </c>
      <c r="H105" s="5">
        <v>2865</v>
      </c>
      <c r="I105" s="5" t="s">
        <v>169</v>
      </c>
      <c r="J105" s="5">
        <v>9.27</v>
      </c>
      <c r="K105" s="3" t="s">
        <v>170</v>
      </c>
      <c r="L105" s="5">
        <v>17</v>
      </c>
      <c r="M105" s="68">
        <f>5000+3000</f>
        <v>8000</v>
      </c>
      <c r="N105" s="8">
        <f>+M105*L105</f>
        <v>136000</v>
      </c>
      <c r="O105" s="5">
        <f>+N105/1.1</f>
        <v>123636.36363636363</v>
      </c>
      <c r="P105" s="5">
        <f>+N105-O105</f>
        <v>12363.636363636368</v>
      </c>
      <c r="Q105" s="5">
        <f>+N105</f>
        <v>136000</v>
      </c>
      <c r="S105" s="40" t="s">
        <v>50</v>
      </c>
      <c r="T105" s="4" t="s">
        <v>171</v>
      </c>
    </row>
    <row r="106" spans="2:20" ht="24" customHeight="1" x14ac:dyDescent="0.4"/>
    <row r="107" spans="2:20" ht="24" customHeight="1" x14ac:dyDescent="0.4">
      <c r="B107" s="8" t="s">
        <v>26</v>
      </c>
      <c r="C107" s="8" t="s">
        <v>27</v>
      </c>
      <c r="D107" s="15" t="s">
        <v>23</v>
      </c>
      <c r="H107" s="5">
        <v>455</v>
      </c>
      <c r="I107" s="5" t="s">
        <v>77</v>
      </c>
      <c r="J107" s="5">
        <v>9.2799999999999994</v>
      </c>
      <c r="K107" s="31" t="s">
        <v>172</v>
      </c>
      <c r="L107" s="5">
        <v>30</v>
      </c>
      <c r="M107" s="68">
        <v>10000</v>
      </c>
      <c r="N107" s="8">
        <f>+M107*L107</f>
        <v>300000</v>
      </c>
      <c r="O107" s="5">
        <f>+N107/1.1</f>
        <v>272727.27272727271</v>
      </c>
      <c r="P107" s="5">
        <f>+N107-O107</f>
        <v>27272.727272727294</v>
      </c>
      <c r="Q107" s="5">
        <f>+N107</f>
        <v>300000</v>
      </c>
      <c r="T107" s="7" t="s">
        <v>74</v>
      </c>
    </row>
    <row r="108" spans="2:20" ht="24" customHeight="1" x14ac:dyDescent="0.4"/>
    <row r="109" spans="2:20" ht="24" customHeight="1" x14ac:dyDescent="0.4">
      <c r="B109" s="8" t="s">
        <v>26</v>
      </c>
      <c r="C109" s="8" t="s">
        <v>27</v>
      </c>
      <c r="D109" s="15" t="s">
        <v>23</v>
      </c>
      <c r="H109" s="5">
        <v>550</v>
      </c>
      <c r="I109" s="5" t="s">
        <v>48</v>
      </c>
      <c r="J109" s="5">
        <v>9.3000000000000007</v>
      </c>
      <c r="K109" s="7" t="s">
        <v>173</v>
      </c>
      <c r="L109" s="5">
        <v>16</v>
      </c>
      <c r="M109" s="68">
        <f>6000+3000</f>
        <v>9000</v>
      </c>
      <c r="N109" s="8">
        <f>+M109*L109</f>
        <v>144000</v>
      </c>
      <c r="O109" s="5">
        <f>+N109/1.1</f>
        <v>130909.0909090909</v>
      </c>
      <c r="P109" s="5">
        <f>+N109-O109</f>
        <v>13090.909090909103</v>
      </c>
      <c r="Q109" s="5">
        <f>+N109</f>
        <v>144000</v>
      </c>
    </row>
    <row r="110" spans="2:20" ht="24" customHeight="1" x14ac:dyDescent="0.4"/>
    <row r="111" spans="2:20" ht="24" customHeight="1" x14ac:dyDescent="0.4">
      <c r="B111" s="8" t="s">
        <v>26</v>
      </c>
      <c r="C111" s="8" t="s">
        <v>27</v>
      </c>
      <c r="D111" s="16" t="s">
        <v>28</v>
      </c>
      <c r="H111" s="5">
        <v>148</v>
      </c>
      <c r="I111" s="5" t="s">
        <v>115</v>
      </c>
      <c r="J111" s="5">
        <v>10.01</v>
      </c>
      <c r="K111" s="7" t="s">
        <v>174</v>
      </c>
      <c r="L111" s="5">
        <v>1</v>
      </c>
      <c r="M111" s="68">
        <f>12000+3000</f>
        <v>15000</v>
      </c>
      <c r="N111" s="8">
        <f>+M111*L111</f>
        <v>15000</v>
      </c>
      <c r="Q111" s="5">
        <f>+N111</f>
        <v>15000</v>
      </c>
      <c r="R111" s="4" t="s">
        <v>58</v>
      </c>
      <c r="T111" s="7" t="s">
        <v>117</v>
      </c>
    </row>
    <row r="112" spans="2:20" ht="24" customHeight="1" x14ac:dyDescent="0.4">
      <c r="B112" s="8" t="s">
        <v>26</v>
      </c>
      <c r="C112" s="8" t="s">
        <v>27</v>
      </c>
      <c r="D112" s="15" t="s">
        <v>23</v>
      </c>
      <c r="H112" s="5">
        <v>1870</v>
      </c>
      <c r="I112" s="5" t="s">
        <v>90</v>
      </c>
      <c r="K112" s="7" t="s">
        <v>175</v>
      </c>
      <c r="L112" s="5">
        <v>2</v>
      </c>
      <c r="M112" s="68">
        <f>10000+10000+3000</f>
        <v>23000</v>
      </c>
      <c r="N112" s="8">
        <f>+M112*L112</f>
        <v>46000</v>
      </c>
      <c r="O112" s="5">
        <f>+N112/1.1</f>
        <v>41818.181818181816</v>
      </c>
      <c r="P112" s="5">
        <f>+N112-O112</f>
        <v>4181.8181818181838</v>
      </c>
      <c r="Q112" s="5">
        <f>+N112</f>
        <v>46000</v>
      </c>
      <c r="R112" s="40" t="s">
        <v>50</v>
      </c>
      <c r="T112" s="4" t="s">
        <v>91</v>
      </c>
    </row>
    <row r="113" spans="2:20" ht="24" customHeight="1" x14ac:dyDescent="0.4">
      <c r="B113" s="8" t="s">
        <v>26</v>
      </c>
      <c r="C113" s="8" t="s">
        <v>27</v>
      </c>
      <c r="D113" s="16" t="s">
        <v>28</v>
      </c>
      <c r="H113" s="5">
        <v>1324</v>
      </c>
      <c r="I113" s="5" t="s">
        <v>96</v>
      </c>
      <c r="J113" s="5">
        <v>10.02</v>
      </c>
      <c r="K113" s="7" t="s">
        <v>176</v>
      </c>
      <c r="L113" s="5">
        <v>1</v>
      </c>
      <c r="M113" s="68">
        <f>20000+3000</f>
        <v>23000</v>
      </c>
      <c r="N113" s="8">
        <f>+M113*L113</f>
        <v>23000</v>
      </c>
      <c r="Q113" s="5">
        <f>+N113</f>
        <v>23000</v>
      </c>
      <c r="R113" s="4" t="s">
        <v>58</v>
      </c>
      <c r="T113" s="7" t="s">
        <v>97</v>
      </c>
    </row>
    <row r="114" spans="2:20" ht="24" customHeight="1" x14ac:dyDescent="0.4"/>
    <row r="115" spans="2:20" ht="24" customHeight="1" x14ac:dyDescent="0.4">
      <c r="B115" s="8" t="s">
        <v>26</v>
      </c>
      <c r="C115" s="8" t="s">
        <v>27</v>
      </c>
      <c r="D115" s="15" t="s">
        <v>23</v>
      </c>
      <c r="H115" s="5">
        <v>605</v>
      </c>
      <c r="I115" s="5" t="s">
        <v>177</v>
      </c>
      <c r="J115" s="5">
        <v>10.050000000000001</v>
      </c>
      <c r="K115" s="7" t="s">
        <v>178</v>
      </c>
      <c r="L115" s="5">
        <v>57</v>
      </c>
      <c r="M115" s="68">
        <v>5000</v>
      </c>
      <c r="N115" s="8">
        <f>+M115*L115</f>
        <v>285000</v>
      </c>
      <c r="O115" s="5">
        <f>+N115/1.1</f>
        <v>259090.90909090906</v>
      </c>
      <c r="P115" s="5">
        <f>+N115-O115</f>
        <v>25909.090909090941</v>
      </c>
      <c r="Q115" s="5">
        <f>+N115</f>
        <v>285000</v>
      </c>
      <c r="T115" s="4" t="s">
        <v>179</v>
      </c>
    </row>
    <row r="116" spans="2:20" ht="24" customHeight="1" x14ac:dyDescent="0.4">
      <c r="B116" s="8" t="s">
        <v>26</v>
      </c>
      <c r="C116" s="8" t="s">
        <v>27</v>
      </c>
      <c r="D116" s="16" t="s">
        <v>28</v>
      </c>
      <c r="H116" s="5">
        <v>605</v>
      </c>
      <c r="I116" s="5" t="s">
        <v>177</v>
      </c>
      <c r="J116" s="5">
        <v>10.050000000000001</v>
      </c>
      <c r="K116" s="7" t="s">
        <v>180</v>
      </c>
      <c r="L116" s="5">
        <v>15</v>
      </c>
      <c r="M116" s="68">
        <v>5000</v>
      </c>
      <c r="N116" s="8">
        <f>+M116*L116</f>
        <v>75000</v>
      </c>
      <c r="Q116" s="5">
        <f>+N116</f>
        <v>75000</v>
      </c>
      <c r="T116" s="4" t="s">
        <v>179</v>
      </c>
    </row>
    <row r="117" spans="2:20" ht="24" customHeight="1" x14ac:dyDescent="0.4">
      <c r="B117" s="8" t="s">
        <v>26</v>
      </c>
      <c r="C117" s="8" t="s">
        <v>27</v>
      </c>
      <c r="D117" s="16" t="s">
        <v>28</v>
      </c>
      <c r="H117" s="5">
        <v>880</v>
      </c>
      <c r="I117" s="5" t="s">
        <v>100</v>
      </c>
      <c r="J117" s="5">
        <v>10.050000000000001</v>
      </c>
      <c r="K117" s="7" t="s">
        <v>181</v>
      </c>
      <c r="L117" s="5">
        <v>1</v>
      </c>
      <c r="M117" s="68">
        <f>12000+3000</f>
        <v>15000</v>
      </c>
      <c r="N117" s="8">
        <f>+M117*L117</f>
        <v>15000</v>
      </c>
      <c r="Q117" s="5">
        <f>+N117</f>
        <v>15000</v>
      </c>
      <c r="R117" s="4" t="s">
        <v>58</v>
      </c>
      <c r="T117" s="4" t="s">
        <v>102</v>
      </c>
    </row>
    <row r="118" spans="2:20" ht="24" customHeight="1" x14ac:dyDescent="0.4">
      <c r="B118" s="8" t="s">
        <v>26</v>
      </c>
      <c r="C118" s="8" t="s">
        <v>27</v>
      </c>
      <c r="D118" s="16" t="s">
        <v>28</v>
      </c>
      <c r="H118" s="5">
        <v>193</v>
      </c>
      <c r="I118" s="5" t="s">
        <v>67</v>
      </c>
      <c r="J118" s="5">
        <v>10.050000000000001</v>
      </c>
      <c r="K118" s="7" t="s">
        <v>182</v>
      </c>
      <c r="L118" s="5">
        <v>1</v>
      </c>
      <c r="M118" s="71">
        <v>50000</v>
      </c>
      <c r="N118" s="8">
        <f>+M118*L118</f>
        <v>50000</v>
      </c>
      <c r="Q118" s="5">
        <f>+N118</f>
        <v>50000</v>
      </c>
      <c r="R118" s="40" t="s">
        <v>69</v>
      </c>
      <c r="T118" s="7" t="s">
        <v>70</v>
      </c>
    </row>
    <row r="119" spans="2:20" ht="24" customHeight="1" x14ac:dyDescent="0.4">
      <c r="B119" s="8" t="s">
        <v>26</v>
      </c>
      <c r="C119" s="8" t="s">
        <v>27</v>
      </c>
      <c r="D119" s="15" t="s">
        <v>23</v>
      </c>
      <c r="H119" s="5">
        <v>493</v>
      </c>
      <c r="I119" s="5" t="s">
        <v>138</v>
      </c>
      <c r="J119" s="5">
        <v>10.050000000000001</v>
      </c>
      <c r="K119" s="7" t="s">
        <v>183</v>
      </c>
      <c r="L119" s="5">
        <v>500</v>
      </c>
      <c r="M119" s="68">
        <v>1000</v>
      </c>
      <c r="N119" s="8">
        <f>+M119*L119</f>
        <v>500000</v>
      </c>
      <c r="O119" s="5">
        <f>+N119/1.1</f>
        <v>454545.45454545453</v>
      </c>
      <c r="P119" s="5">
        <f>+N119-O119</f>
        <v>45454.54545454547</v>
      </c>
      <c r="Q119" s="5">
        <f>+N119</f>
        <v>500000</v>
      </c>
      <c r="T119" s="4" t="s">
        <v>140</v>
      </c>
    </row>
    <row r="120" spans="2:20" ht="24" customHeight="1" x14ac:dyDescent="0.4"/>
    <row r="121" spans="2:20" ht="24" customHeight="1" x14ac:dyDescent="0.4">
      <c r="B121" s="8" t="s">
        <v>26</v>
      </c>
      <c r="C121" s="8" t="s">
        <v>27</v>
      </c>
      <c r="D121" s="15" t="s">
        <v>23</v>
      </c>
      <c r="H121" s="5">
        <v>1720</v>
      </c>
      <c r="I121" s="4" t="s">
        <v>53</v>
      </c>
      <c r="J121" s="5">
        <v>10.06</v>
      </c>
      <c r="K121" s="7" t="s">
        <v>184</v>
      </c>
      <c r="L121" s="5">
        <v>30</v>
      </c>
      <c r="M121" s="68">
        <v>6000</v>
      </c>
      <c r="N121" s="8">
        <f>+M121*L121</f>
        <v>180000</v>
      </c>
      <c r="O121" s="5">
        <f>+N121/1.1</f>
        <v>163636.36363636362</v>
      </c>
      <c r="P121" s="5">
        <f>+N121-O121</f>
        <v>16363.636363636382</v>
      </c>
      <c r="Q121" s="5">
        <f>+N121</f>
        <v>180000</v>
      </c>
      <c r="T121" s="4" t="s">
        <v>55</v>
      </c>
    </row>
    <row r="122" spans="2:20" ht="24" customHeight="1" x14ac:dyDescent="0.4">
      <c r="B122" s="8" t="s">
        <v>26</v>
      </c>
      <c r="C122" s="8" t="s">
        <v>27</v>
      </c>
      <c r="D122" s="16" t="s">
        <v>28</v>
      </c>
      <c r="H122" s="5">
        <v>286</v>
      </c>
      <c r="I122" s="4" t="s">
        <v>185</v>
      </c>
      <c r="J122" s="5">
        <v>10.06</v>
      </c>
      <c r="K122" s="7" t="s">
        <v>186</v>
      </c>
      <c r="L122" s="5">
        <v>1</v>
      </c>
      <c r="M122" s="69">
        <f>60000-10000</f>
        <v>50000</v>
      </c>
      <c r="N122" s="8">
        <f>+M122*L122</f>
        <v>50000</v>
      </c>
      <c r="Q122" s="5">
        <f>+N122</f>
        <v>50000</v>
      </c>
      <c r="R122" s="75" t="s">
        <v>187</v>
      </c>
      <c r="T122" s="4" t="s">
        <v>188</v>
      </c>
    </row>
    <row r="123" spans="2:20" ht="24" customHeight="1" x14ac:dyDescent="0.4">
      <c r="B123" s="8" t="s">
        <v>26</v>
      </c>
      <c r="C123" s="8" t="s">
        <v>27</v>
      </c>
      <c r="D123" s="16" t="s">
        <v>28</v>
      </c>
      <c r="H123" s="5">
        <v>148</v>
      </c>
      <c r="I123" s="4" t="s">
        <v>115</v>
      </c>
      <c r="J123" s="5">
        <v>10.06</v>
      </c>
      <c r="K123" s="7" t="s">
        <v>189</v>
      </c>
      <c r="L123" s="5">
        <v>1</v>
      </c>
      <c r="M123" s="68">
        <f>12000+3000</f>
        <v>15000</v>
      </c>
      <c r="N123" s="8">
        <f>+M123*L123</f>
        <v>15000</v>
      </c>
      <c r="Q123" s="5">
        <f>+N123</f>
        <v>15000</v>
      </c>
      <c r="R123" s="4" t="s">
        <v>58</v>
      </c>
      <c r="T123" s="7" t="s">
        <v>117</v>
      </c>
    </row>
    <row r="124" spans="2:20" ht="24" customHeight="1" x14ac:dyDescent="0.4"/>
    <row r="125" spans="2:20" ht="24" customHeight="1" x14ac:dyDescent="0.4">
      <c r="B125" s="8" t="s">
        <v>26</v>
      </c>
      <c r="C125" s="8" t="s">
        <v>27</v>
      </c>
      <c r="D125" s="16" t="s">
        <v>28</v>
      </c>
      <c r="H125" s="5">
        <v>2709</v>
      </c>
      <c r="I125" s="4" t="s">
        <v>190</v>
      </c>
      <c r="J125" s="5">
        <v>10.07</v>
      </c>
      <c r="K125" s="7" t="s">
        <v>191</v>
      </c>
      <c r="L125" s="5">
        <v>20</v>
      </c>
      <c r="M125" s="68">
        <v>6000</v>
      </c>
      <c r="N125" s="8">
        <f>+M125*L125</f>
        <v>120000</v>
      </c>
      <c r="Q125" s="5">
        <f>+N125</f>
        <v>120000</v>
      </c>
      <c r="T125" s="4" t="s">
        <v>192</v>
      </c>
    </row>
    <row r="126" spans="2:20" ht="24" customHeight="1" x14ac:dyDescent="0.4">
      <c r="B126" s="8" t="s">
        <v>26</v>
      </c>
      <c r="C126" s="8" t="s">
        <v>27</v>
      </c>
      <c r="D126" s="16" t="s">
        <v>28</v>
      </c>
      <c r="H126" s="5">
        <v>148</v>
      </c>
      <c r="I126" s="4" t="s">
        <v>115</v>
      </c>
      <c r="J126" s="5">
        <v>10.07</v>
      </c>
      <c r="K126" s="7" t="s">
        <v>193</v>
      </c>
      <c r="L126" s="5">
        <v>1</v>
      </c>
      <c r="M126" s="68">
        <f>12000+3000</f>
        <v>15000</v>
      </c>
      <c r="N126" s="8">
        <f>+M126*L126</f>
        <v>15000</v>
      </c>
      <c r="Q126" s="5">
        <f>+N126</f>
        <v>15000</v>
      </c>
      <c r="R126" s="4" t="s">
        <v>58</v>
      </c>
      <c r="T126" s="7" t="s">
        <v>117</v>
      </c>
    </row>
    <row r="127" spans="2:20" ht="24" customHeight="1" x14ac:dyDescent="0.4">
      <c r="B127" s="8" t="s">
        <v>26</v>
      </c>
      <c r="C127" s="8" t="s">
        <v>27</v>
      </c>
      <c r="D127" s="16" t="s">
        <v>28</v>
      </c>
      <c r="H127" s="5">
        <v>550</v>
      </c>
      <c r="I127" s="4" t="s">
        <v>48</v>
      </c>
      <c r="J127" s="5">
        <v>10.07</v>
      </c>
      <c r="K127" s="7" t="s">
        <v>194</v>
      </c>
      <c r="L127" s="5">
        <v>1</v>
      </c>
      <c r="M127" s="68">
        <f>12000+3000</f>
        <v>15000</v>
      </c>
      <c r="N127" s="8">
        <f>+M127*L127</f>
        <v>15000</v>
      </c>
      <c r="Q127" s="5">
        <f>+N127</f>
        <v>15000</v>
      </c>
      <c r="R127" s="4" t="s">
        <v>58</v>
      </c>
      <c r="T127" s="7" t="s">
        <v>51</v>
      </c>
    </row>
    <row r="128" spans="2:20" ht="24" customHeight="1" x14ac:dyDescent="0.4">
      <c r="B128" s="8" t="s">
        <v>26</v>
      </c>
      <c r="C128" s="8" t="s">
        <v>27</v>
      </c>
      <c r="D128" s="16" t="s">
        <v>28</v>
      </c>
      <c r="H128" s="5">
        <v>880</v>
      </c>
      <c r="I128" s="4" t="s">
        <v>100</v>
      </c>
      <c r="J128" s="5">
        <v>10.07</v>
      </c>
      <c r="K128" s="7" t="s">
        <v>195</v>
      </c>
      <c r="L128" s="5">
        <v>1</v>
      </c>
      <c r="M128" s="68">
        <f>12000+3000</f>
        <v>15000</v>
      </c>
      <c r="N128" s="8">
        <f>+M128*L128</f>
        <v>15000</v>
      </c>
      <c r="Q128" s="5">
        <f>+N128</f>
        <v>15000</v>
      </c>
      <c r="R128" s="4" t="s">
        <v>58</v>
      </c>
      <c r="T128" s="4" t="s">
        <v>102</v>
      </c>
    </row>
    <row r="129" spans="2:20" ht="24" customHeight="1" x14ac:dyDescent="0.4">
      <c r="B129" s="8" t="s">
        <v>26</v>
      </c>
      <c r="C129" s="8" t="s">
        <v>27</v>
      </c>
      <c r="D129" s="16" t="s">
        <v>28</v>
      </c>
      <c r="H129" s="5">
        <v>550</v>
      </c>
      <c r="I129" s="4" t="s">
        <v>48</v>
      </c>
      <c r="J129" s="5">
        <v>10.07</v>
      </c>
      <c r="K129" s="7" t="s">
        <v>196</v>
      </c>
      <c r="L129" s="5">
        <v>6</v>
      </c>
      <c r="M129" s="69">
        <f>8000-1000+3000</f>
        <v>10000</v>
      </c>
      <c r="N129" s="8">
        <f>+M129*L129</f>
        <v>60000</v>
      </c>
      <c r="Q129" s="5">
        <f>+N129</f>
        <v>60000</v>
      </c>
      <c r="R129" s="7" t="s">
        <v>50</v>
      </c>
      <c r="T129" s="7" t="s">
        <v>51</v>
      </c>
    </row>
    <row r="130" spans="2:20" ht="24" customHeight="1" x14ac:dyDescent="0.4"/>
    <row r="131" spans="2:20" ht="24" customHeight="1" x14ac:dyDescent="0.4">
      <c r="B131" s="8" t="s">
        <v>26</v>
      </c>
      <c r="C131" s="8" t="s">
        <v>27</v>
      </c>
      <c r="D131" s="15" t="s">
        <v>23</v>
      </c>
      <c r="H131" s="5">
        <v>782</v>
      </c>
      <c r="I131" s="4" t="s">
        <v>197</v>
      </c>
      <c r="J131" s="5">
        <v>10.119999999999999</v>
      </c>
      <c r="K131" s="7" t="s">
        <v>198</v>
      </c>
      <c r="L131" s="5">
        <v>50</v>
      </c>
      <c r="M131" s="68">
        <v>10000</v>
      </c>
      <c r="N131" s="8">
        <f>+M131*L131</f>
        <v>500000</v>
      </c>
      <c r="O131" s="5">
        <f>+N131/1.1</f>
        <v>454545.45454545453</v>
      </c>
      <c r="P131" s="5">
        <f>+N131-O131</f>
        <v>45454.54545454547</v>
      </c>
      <c r="Q131" s="5">
        <f>+N131</f>
        <v>500000</v>
      </c>
      <c r="T131" s="4" t="s">
        <v>199</v>
      </c>
    </row>
    <row r="132" spans="2:20" ht="24" customHeight="1" x14ac:dyDescent="0.4">
      <c r="B132" s="8" t="s">
        <v>26</v>
      </c>
      <c r="C132" s="8" t="s">
        <v>27</v>
      </c>
      <c r="D132" s="16" t="s">
        <v>28</v>
      </c>
      <c r="H132" s="5">
        <v>782</v>
      </c>
      <c r="I132" s="4" t="s">
        <v>197</v>
      </c>
      <c r="J132" s="5">
        <v>10.119999999999999</v>
      </c>
      <c r="K132" s="7" t="s">
        <v>200</v>
      </c>
      <c r="L132" s="5">
        <v>27</v>
      </c>
      <c r="M132" s="68">
        <v>8000</v>
      </c>
      <c r="N132" s="8">
        <f>+M132*L132</f>
        <v>216000</v>
      </c>
      <c r="Q132" s="5">
        <f>+N132</f>
        <v>216000</v>
      </c>
      <c r="T132" s="4" t="s">
        <v>199</v>
      </c>
    </row>
    <row r="133" spans="2:20" ht="24" customHeight="1" x14ac:dyDescent="0.4">
      <c r="B133" s="8" t="s">
        <v>26</v>
      </c>
      <c r="C133" s="8" t="s">
        <v>27</v>
      </c>
      <c r="D133" s="15" t="s">
        <v>23</v>
      </c>
      <c r="H133" s="5">
        <v>829</v>
      </c>
      <c r="I133" s="4" t="s">
        <v>201</v>
      </c>
      <c r="J133" s="5">
        <v>10.119999999999999</v>
      </c>
      <c r="K133" s="7" t="s">
        <v>198</v>
      </c>
      <c r="L133" s="5">
        <v>30</v>
      </c>
      <c r="M133" s="68">
        <v>10000</v>
      </c>
      <c r="N133" s="8">
        <f>+M133*L133</f>
        <v>300000</v>
      </c>
      <c r="O133" s="5">
        <f>+N133/1.1</f>
        <v>272727.27272727271</v>
      </c>
      <c r="P133" s="5">
        <f>+N133-O133</f>
        <v>27272.727272727294</v>
      </c>
      <c r="Q133" s="5">
        <f>+N133</f>
        <v>300000</v>
      </c>
      <c r="T133" s="7" t="s">
        <v>202</v>
      </c>
    </row>
    <row r="134" spans="2:20" ht="24" customHeight="1" x14ac:dyDescent="0.4">
      <c r="B134" s="8" t="s">
        <v>26</v>
      </c>
      <c r="C134" s="8" t="s">
        <v>27</v>
      </c>
      <c r="D134" s="16" t="s">
        <v>28</v>
      </c>
      <c r="H134" s="5">
        <v>829</v>
      </c>
      <c r="I134" s="4" t="s">
        <v>201</v>
      </c>
      <c r="J134" s="5">
        <v>10.119999999999999</v>
      </c>
      <c r="K134" s="7" t="s">
        <v>200</v>
      </c>
      <c r="L134" s="5">
        <v>25</v>
      </c>
      <c r="M134" s="68">
        <v>8000</v>
      </c>
      <c r="N134" s="8">
        <f>+M134*L134</f>
        <v>200000</v>
      </c>
      <c r="Q134" s="5">
        <f>+N134</f>
        <v>200000</v>
      </c>
      <c r="T134" s="7" t="s">
        <v>202</v>
      </c>
    </row>
    <row r="135" spans="2:20" ht="24" customHeight="1" x14ac:dyDescent="0.4">
      <c r="B135" s="8" t="s">
        <v>26</v>
      </c>
      <c r="C135" s="8" t="s">
        <v>27</v>
      </c>
      <c r="D135" s="16" t="s">
        <v>28</v>
      </c>
      <c r="H135" s="5">
        <v>2709</v>
      </c>
      <c r="I135" s="4" t="s">
        <v>190</v>
      </c>
      <c r="J135" s="5">
        <v>10.119999999999999</v>
      </c>
      <c r="K135" s="7" t="s">
        <v>191</v>
      </c>
      <c r="L135" s="5">
        <f>20-5</f>
        <v>15</v>
      </c>
      <c r="M135" s="68">
        <v>6000</v>
      </c>
      <c r="N135" s="8">
        <f>+M135*L135</f>
        <v>90000</v>
      </c>
      <c r="Q135" s="5">
        <f>+N135</f>
        <v>90000</v>
      </c>
      <c r="T135" s="4" t="s">
        <v>192</v>
      </c>
    </row>
    <row r="136" spans="2:20" ht="24" customHeight="1" x14ac:dyDescent="0.4">
      <c r="B136" s="8" t="s">
        <v>26</v>
      </c>
      <c r="C136" s="8" t="s">
        <v>27</v>
      </c>
      <c r="D136" s="16" t="s">
        <v>28</v>
      </c>
      <c r="H136" s="5">
        <v>193</v>
      </c>
      <c r="I136" s="4" t="s">
        <v>67</v>
      </c>
      <c r="J136" s="5">
        <v>10.119999999999999</v>
      </c>
      <c r="K136" s="7" t="s">
        <v>203</v>
      </c>
      <c r="L136" s="5">
        <v>1</v>
      </c>
      <c r="M136" s="71">
        <v>33000</v>
      </c>
      <c r="N136" s="8">
        <f>+M136*L136</f>
        <v>33000</v>
      </c>
      <c r="Q136" s="5">
        <f>+N136</f>
        <v>33000</v>
      </c>
      <c r="R136" s="4" t="s">
        <v>58</v>
      </c>
      <c r="T136" s="7" t="s">
        <v>70</v>
      </c>
    </row>
    <row r="137" spans="2:20" ht="24" customHeight="1" x14ac:dyDescent="0.4">
      <c r="B137" s="8" t="s">
        <v>26</v>
      </c>
      <c r="C137" s="8" t="s">
        <v>27</v>
      </c>
      <c r="D137" s="16" t="s">
        <v>28</v>
      </c>
      <c r="H137" s="5">
        <v>550</v>
      </c>
      <c r="I137" s="4" t="s">
        <v>48</v>
      </c>
      <c r="J137" s="5">
        <v>10.119999999999999</v>
      </c>
      <c r="K137" s="7" t="s">
        <v>204</v>
      </c>
      <c r="L137" s="5">
        <v>1</v>
      </c>
      <c r="M137" s="68">
        <f>12000+3000</f>
        <v>15000</v>
      </c>
      <c r="N137" s="8">
        <f>+M137*L137</f>
        <v>15000</v>
      </c>
      <c r="Q137" s="5">
        <f>+N137</f>
        <v>15000</v>
      </c>
      <c r="R137" s="4" t="s">
        <v>58</v>
      </c>
      <c r="T137" s="7" t="s">
        <v>51</v>
      </c>
    </row>
    <row r="138" spans="2:20" ht="24" customHeight="1" x14ac:dyDescent="0.4"/>
    <row r="139" spans="2:20" ht="24" customHeight="1" x14ac:dyDescent="0.4">
      <c r="B139" s="8" t="s">
        <v>85</v>
      </c>
      <c r="C139" s="8" t="s">
        <v>27</v>
      </c>
      <c r="D139" s="16" t="s">
        <v>28</v>
      </c>
      <c r="H139" s="5">
        <v>692</v>
      </c>
      <c r="I139" s="4" t="s">
        <v>86</v>
      </c>
      <c r="J139" s="5">
        <v>10.130000000000001</v>
      </c>
      <c r="K139" s="7" t="s">
        <v>205</v>
      </c>
      <c r="L139" s="5">
        <v>28</v>
      </c>
      <c r="M139" s="68">
        <v>50000</v>
      </c>
      <c r="N139" s="8">
        <f>+M139*L139</f>
        <v>1400000</v>
      </c>
      <c r="Q139" s="5">
        <f>+N139</f>
        <v>1400000</v>
      </c>
      <c r="T139" s="7" t="s">
        <v>206</v>
      </c>
    </row>
    <row r="140" spans="2:20" ht="24" customHeight="1" x14ac:dyDescent="0.4">
      <c r="B140" s="8" t="s">
        <v>26</v>
      </c>
      <c r="C140" s="8" t="s">
        <v>27</v>
      </c>
      <c r="D140" s="16" t="s">
        <v>28</v>
      </c>
      <c r="H140" s="5">
        <v>729</v>
      </c>
      <c r="I140" s="4" t="s">
        <v>109</v>
      </c>
      <c r="J140" s="5">
        <v>10.130000000000001</v>
      </c>
      <c r="K140" s="7" t="s">
        <v>207</v>
      </c>
      <c r="L140" s="5">
        <v>58</v>
      </c>
      <c r="M140" s="68">
        <v>5000</v>
      </c>
      <c r="N140" s="8">
        <f>+M140*L140</f>
        <v>290000</v>
      </c>
      <c r="Q140" s="5">
        <f>+N140</f>
        <v>290000</v>
      </c>
      <c r="T140" s="4" t="s">
        <v>110</v>
      </c>
    </row>
    <row r="141" spans="2:20" ht="24" customHeight="1" x14ac:dyDescent="0.4">
      <c r="B141" s="8" t="s">
        <v>157</v>
      </c>
      <c r="C141" s="8" t="s">
        <v>27</v>
      </c>
      <c r="D141" s="16" t="s">
        <v>28</v>
      </c>
      <c r="H141" s="5">
        <v>209</v>
      </c>
      <c r="I141" s="4" t="s">
        <v>158</v>
      </c>
      <c r="J141" s="5">
        <v>10.130000000000001</v>
      </c>
      <c r="K141" s="7" t="s">
        <v>200</v>
      </c>
      <c r="L141" s="5">
        <v>6</v>
      </c>
      <c r="M141" s="69">
        <f>33000-3000</f>
        <v>30000</v>
      </c>
      <c r="N141" s="8">
        <f>+M141*L141</f>
        <v>180000</v>
      </c>
      <c r="Q141" s="5">
        <f>+N141</f>
        <v>180000</v>
      </c>
      <c r="T141" s="5" t="s">
        <v>160</v>
      </c>
    </row>
    <row r="142" spans="2:20" ht="24" customHeight="1" x14ac:dyDescent="0.4">
      <c r="B142" s="8" t="s">
        <v>208</v>
      </c>
      <c r="C142" s="8" t="s">
        <v>27</v>
      </c>
      <c r="D142" s="15" t="s">
        <v>23</v>
      </c>
      <c r="H142" s="5">
        <v>246</v>
      </c>
      <c r="I142" s="4" t="s">
        <v>209</v>
      </c>
      <c r="J142" s="5">
        <v>10.130000000000001</v>
      </c>
      <c r="K142" s="7" t="s">
        <v>184</v>
      </c>
      <c r="L142" s="5">
        <v>680</v>
      </c>
      <c r="M142" s="68">
        <v>6000</v>
      </c>
      <c r="N142" s="8">
        <f>+M142*L142</f>
        <v>4080000</v>
      </c>
      <c r="O142" s="5">
        <f>+N142/1.1</f>
        <v>3709090.9090909087</v>
      </c>
      <c r="P142" s="5">
        <f>+N142-O142</f>
        <v>370909.09090909129</v>
      </c>
      <c r="Q142" s="5">
        <f>+N142</f>
        <v>4080000</v>
      </c>
      <c r="T142" s="7" t="s">
        <v>210</v>
      </c>
    </row>
    <row r="143" spans="2:20" ht="24" customHeight="1" x14ac:dyDescent="0.4"/>
    <row r="144" spans="2:20" ht="24" customHeight="1" x14ac:dyDescent="0.4">
      <c r="B144" s="8" t="s">
        <v>85</v>
      </c>
      <c r="C144" s="8" t="s">
        <v>27</v>
      </c>
      <c r="D144" s="16" t="s">
        <v>28</v>
      </c>
      <c r="H144" s="5">
        <v>692</v>
      </c>
      <c r="I144" s="4" t="s">
        <v>86</v>
      </c>
      <c r="J144" s="5">
        <v>10.06</v>
      </c>
      <c r="K144" s="5" t="s">
        <v>211</v>
      </c>
      <c r="L144" s="5">
        <v>8</v>
      </c>
      <c r="M144" s="71">
        <v>55000</v>
      </c>
      <c r="N144" s="8">
        <f>+M144*L144</f>
        <v>440000</v>
      </c>
      <c r="Q144" s="5">
        <f>+N144</f>
        <v>440000</v>
      </c>
      <c r="T144" s="4" t="s">
        <v>88</v>
      </c>
    </row>
    <row r="145" spans="2:20" ht="24" customHeight="1" x14ac:dyDescent="0.4"/>
    <row r="146" spans="2:20" ht="24" customHeight="1" x14ac:dyDescent="0.4">
      <c r="B146" s="8" t="s">
        <v>26</v>
      </c>
      <c r="C146" s="8" t="s">
        <v>27</v>
      </c>
      <c r="D146" s="16" t="s">
        <v>28</v>
      </c>
      <c r="H146" s="5">
        <v>193</v>
      </c>
      <c r="I146" s="4" t="s">
        <v>67</v>
      </c>
      <c r="J146" s="5">
        <v>10.14</v>
      </c>
      <c r="K146" s="33" t="s">
        <v>212</v>
      </c>
      <c r="L146" s="5">
        <v>1</v>
      </c>
      <c r="M146" s="71">
        <v>33000</v>
      </c>
      <c r="N146" s="8">
        <f>+M146*L146</f>
        <v>33000</v>
      </c>
      <c r="Q146" s="5">
        <f>+N146</f>
        <v>33000</v>
      </c>
      <c r="R146" s="4" t="s">
        <v>143</v>
      </c>
      <c r="T146" s="7" t="s">
        <v>70</v>
      </c>
    </row>
    <row r="147" spans="2:20" ht="24" customHeight="1" x14ac:dyDescent="0.4">
      <c r="B147" s="8" t="s">
        <v>26</v>
      </c>
      <c r="C147" s="8" t="s">
        <v>27</v>
      </c>
      <c r="D147" s="16" t="s">
        <v>28</v>
      </c>
      <c r="H147" s="5">
        <v>135</v>
      </c>
      <c r="I147" s="4" t="s">
        <v>79</v>
      </c>
      <c r="J147" s="5">
        <v>10.01</v>
      </c>
      <c r="K147" s="3" t="s">
        <v>213</v>
      </c>
      <c r="L147" s="5">
        <v>5</v>
      </c>
      <c r="M147" s="68">
        <v>20000</v>
      </c>
      <c r="N147" s="8">
        <f>+M147*L147</f>
        <v>100000</v>
      </c>
      <c r="Q147" s="5">
        <f>+N147</f>
        <v>100000</v>
      </c>
      <c r="T147" s="5" t="s">
        <v>81</v>
      </c>
    </row>
    <row r="148" spans="2:20" ht="24" customHeight="1" x14ac:dyDescent="0.4"/>
    <row r="149" spans="2:20" ht="24" customHeight="1" x14ac:dyDescent="0.4">
      <c r="B149" s="8" t="s">
        <v>26</v>
      </c>
      <c r="C149" s="8" t="s">
        <v>27</v>
      </c>
      <c r="D149" s="16" t="s">
        <v>28</v>
      </c>
      <c r="H149" s="5">
        <v>2709</v>
      </c>
      <c r="I149" s="4" t="s">
        <v>190</v>
      </c>
      <c r="J149" s="5">
        <v>10.15</v>
      </c>
      <c r="K149" s="4" t="s">
        <v>214</v>
      </c>
      <c r="L149" s="5">
        <f>10+10</f>
        <v>20</v>
      </c>
      <c r="M149" s="68">
        <v>6000</v>
      </c>
      <c r="N149" s="8">
        <f>+M149*L149</f>
        <v>120000</v>
      </c>
      <c r="Q149" s="5">
        <f>+N149</f>
        <v>120000</v>
      </c>
      <c r="T149" s="4" t="s">
        <v>192</v>
      </c>
    </row>
    <row r="150" spans="2:20" ht="24" customHeight="1" x14ac:dyDescent="0.4">
      <c r="B150" s="8" t="s">
        <v>26</v>
      </c>
      <c r="C150" s="8" t="s">
        <v>27</v>
      </c>
      <c r="D150" s="16" t="s">
        <v>28</v>
      </c>
      <c r="H150" s="5">
        <v>880</v>
      </c>
      <c r="I150" s="4" t="s">
        <v>100</v>
      </c>
      <c r="J150" s="5">
        <v>10.15</v>
      </c>
      <c r="K150" s="4" t="s">
        <v>215</v>
      </c>
      <c r="L150" s="5">
        <v>1</v>
      </c>
      <c r="M150" s="68">
        <f>12000+3000</f>
        <v>15000</v>
      </c>
      <c r="N150" s="8">
        <f>+M150*L150</f>
        <v>15000</v>
      </c>
      <c r="Q150" s="5">
        <f>+N150</f>
        <v>15000</v>
      </c>
      <c r="R150" s="4" t="s">
        <v>58</v>
      </c>
      <c r="T150" s="4" t="s">
        <v>102</v>
      </c>
    </row>
    <row r="151" spans="2:20" ht="24" customHeight="1" x14ac:dyDescent="0.4">
      <c r="B151" s="8" t="s">
        <v>208</v>
      </c>
      <c r="C151" s="8" t="s">
        <v>27</v>
      </c>
      <c r="D151" s="15" t="s">
        <v>23</v>
      </c>
      <c r="H151" s="5">
        <v>246</v>
      </c>
      <c r="I151" s="4" t="s">
        <v>209</v>
      </c>
      <c r="J151" s="5">
        <v>10.16</v>
      </c>
      <c r="K151" s="4" t="s">
        <v>184</v>
      </c>
      <c r="L151" s="5">
        <v>340</v>
      </c>
      <c r="M151" s="68">
        <v>6000</v>
      </c>
      <c r="N151" s="8">
        <f>+M151*L151</f>
        <v>2040000</v>
      </c>
      <c r="O151" s="5">
        <f>+N151/1.1</f>
        <v>1854545.4545454544</v>
      </c>
      <c r="P151" s="5">
        <f>+N151-O151</f>
        <v>185454.54545454565</v>
      </c>
      <c r="Q151" s="5">
        <f>+N151</f>
        <v>2040000</v>
      </c>
      <c r="T151" s="7" t="s">
        <v>210</v>
      </c>
    </row>
    <row r="152" spans="2:20" ht="24" customHeight="1" x14ac:dyDescent="0.4"/>
    <row r="153" spans="2:20" ht="24" customHeight="1" x14ac:dyDescent="0.4">
      <c r="B153" s="5" t="s">
        <v>157</v>
      </c>
      <c r="C153" s="8" t="s">
        <v>27</v>
      </c>
      <c r="D153" s="16" t="s">
        <v>28</v>
      </c>
      <c r="H153" s="5">
        <v>209</v>
      </c>
      <c r="I153" s="4" t="s">
        <v>158</v>
      </c>
      <c r="J153" s="5">
        <v>10.19</v>
      </c>
      <c r="K153" s="4" t="s">
        <v>214</v>
      </c>
      <c r="L153" s="5">
        <f>70+1</f>
        <v>71</v>
      </c>
      <c r="M153" s="68">
        <v>6000</v>
      </c>
      <c r="N153" s="8">
        <f>+M153*L153</f>
        <v>426000</v>
      </c>
      <c r="Q153" s="5">
        <f>+N153</f>
        <v>426000</v>
      </c>
      <c r="T153" s="4" t="s">
        <v>216</v>
      </c>
    </row>
    <row r="154" spans="2:20" ht="24" customHeight="1" x14ac:dyDescent="0.4"/>
    <row r="155" spans="2:20" ht="24" customHeight="1" x14ac:dyDescent="0.4">
      <c r="B155" s="8" t="s">
        <v>26</v>
      </c>
      <c r="C155" s="8" t="s">
        <v>27</v>
      </c>
      <c r="D155" s="16" t="s">
        <v>28</v>
      </c>
      <c r="H155" s="5">
        <v>729</v>
      </c>
      <c r="I155" s="4" t="s">
        <v>109</v>
      </c>
      <c r="J155" s="5">
        <v>10.199999999999999</v>
      </c>
      <c r="K155" s="4" t="s">
        <v>214</v>
      </c>
      <c r="L155" s="5">
        <v>51</v>
      </c>
      <c r="M155" s="68">
        <v>6000</v>
      </c>
      <c r="N155" s="8">
        <f>+M155*L155</f>
        <v>306000</v>
      </c>
      <c r="Q155" s="5">
        <f>+N155</f>
        <v>306000</v>
      </c>
      <c r="T155" s="4" t="s">
        <v>110</v>
      </c>
    </row>
    <row r="156" spans="2:20" ht="24" customHeight="1" x14ac:dyDescent="0.4"/>
    <row r="157" spans="2:20" ht="24" customHeight="1" x14ac:dyDescent="0.4">
      <c r="B157" s="8" t="s">
        <v>26</v>
      </c>
      <c r="C157" s="8" t="s">
        <v>27</v>
      </c>
      <c r="D157" s="15" t="s">
        <v>23</v>
      </c>
      <c r="H157" s="5">
        <v>550</v>
      </c>
      <c r="I157" s="21" t="s">
        <v>48</v>
      </c>
      <c r="J157" s="5">
        <v>10.220000000000001</v>
      </c>
      <c r="K157" s="4" t="s">
        <v>217</v>
      </c>
      <c r="L157" s="5">
        <v>9</v>
      </c>
      <c r="M157" s="68">
        <f>6000+3000</f>
        <v>9000</v>
      </c>
      <c r="N157" s="8">
        <f>+M157*L157</f>
        <v>81000</v>
      </c>
      <c r="O157" s="5">
        <f>+N157/1.1</f>
        <v>73636.363636363632</v>
      </c>
      <c r="P157" s="5">
        <f>+N157-O157</f>
        <v>7363.6363636363676</v>
      </c>
      <c r="Q157" s="5">
        <f>+N157</f>
        <v>81000</v>
      </c>
      <c r="R157" s="40" t="s">
        <v>50</v>
      </c>
      <c r="T157" s="7" t="s">
        <v>51</v>
      </c>
    </row>
    <row r="158" spans="2:20" ht="24" customHeight="1" x14ac:dyDescent="0.4">
      <c r="B158" s="8" t="s">
        <v>26</v>
      </c>
      <c r="C158" s="8" t="s">
        <v>27</v>
      </c>
      <c r="D158" s="15" t="s">
        <v>23</v>
      </c>
      <c r="H158" s="5">
        <v>1870</v>
      </c>
      <c r="I158" s="21" t="s">
        <v>90</v>
      </c>
      <c r="J158" s="5">
        <v>10.220000000000001</v>
      </c>
      <c r="K158" s="4" t="s">
        <v>218</v>
      </c>
      <c r="L158" s="5">
        <v>2</v>
      </c>
      <c r="M158" s="68">
        <f>6000+3000</f>
        <v>9000</v>
      </c>
      <c r="N158" s="8">
        <f>+M158*L158</f>
        <v>18000</v>
      </c>
      <c r="O158" s="5">
        <f>+N158/1.1</f>
        <v>16363.636363636362</v>
      </c>
      <c r="P158" s="5">
        <f>+N158-O158</f>
        <v>1636.3636363636379</v>
      </c>
      <c r="Q158" s="5">
        <f>+N158</f>
        <v>18000</v>
      </c>
      <c r="R158" s="40" t="s">
        <v>50</v>
      </c>
    </row>
    <row r="159" spans="2:20" ht="24" customHeight="1" x14ac:dyDescent="0.4"/>
    <row r="160" spans="2:20" ht="24" customHeight="1" x14ac:dyDescent="0.4">
      <c r="B160" s="8" t="s">
        <v>26</v>
      </c>
      <c r="C160" s="8" t="s">
        <v>27</v>
      </c>
      <c r="D160" s="15" t="s">
        <v>23</v>
      </c>
      <c r="H160" s="5">
        <v>550</v>
      </c>
      <c r="I160" s="21" t="s">
        <v>48</v>
      </c>
      <c r="J160" s="5">
        <v>10.220000000000001</v>
      </c>
      <c r="K160" s="4" t="s">
        <v>219</v>
      </c>
      <c r="L160" s="5">
        <v>150</v>
      </c>
      <c r="M160" s="69">
        <f>7000-1000</f>
        <v>6000</v>
      </c>
      <c r="N160" s="8">
        <f>+M160*L160</f>
        <v>900000</v>
      </c>
      <c r="O160" s="5">
        <f>+N160/1.1</f>
        <v>818181.81818181812</v>
      </c>
      <c r="P160" s="5">
        <f>+N160-O160</f>
        <v>81818.181818181882</v>
      </c>
      <c r="Q160" s="5">
        <f>+N160</f>
        <v>900000</v>
      </c>
      <c r="T160" s="7" t="s">
        <v>51</v>
      </c>
    </row>
    <row r="161" spans="2:20" ht="24" customHeight="1" x14ac:dyDescent="0.4">
      <c r="B161" s="8" t="s">
        <v>26</v>
      </c>
      <c r="C161" s="8" t="s">
        <v>27</v>
      </c>
      <c r="D161" s="16" t="s">
        <v>28</v>
      </c>
      <c r="H161" s="5">
        <v>880</v>
      </c>
      <c r="I161" s="21" t="s">
        <v>100</v>
      </c>
      <c r="J161" s="5">
        <v>10.25</v>
      </c>
      <c r="K161" s="4" t="s">
        <v>220</v>
      </c>
      <c r="L161" s="5">
        <v>1</v>
      </c>
      <c r="M161" s="68">
        <f>12000+3000</f>
        <v>15000</v>
      </c>
      <c r="N161" s="8">
        <f>+M161*L161</f>
        <v>15000</v>
      </c>
      <c r="Q161" s="5">
        <f>+N161</f>
        <v>15000</v>
      </c>
      <c r="R161" s="4" t="s">
        <v>58</v>
      </c>
      <c r="T161" s="4" t="s">
        <v>102</v>
      </c>
    </row>
    <row r="162" spans="2:20" ht="24" customHeight="1" x14ac:dyDescent="0.4"/>
    <row r="163" spans="2:20" ht="24" customHeight="1" x14ac:dyDescent="0.4">
      <c r="B163" s="8" t="s">
        <v>26</v>
      </c>
      <c r="C163" s="8" t="s">
        <v>27</v>
      </c>
      <c r="D163" s="16" t="s">
        <v>28</v>
      </c>
      <c r="H163" s="5">
        <v>1325</v>
      </c>
      <c r="I163" s="22" t="s">
        <v>82</v>
      </c>
      <c r="J163" s="5">
        <v>10.26</v>
      </c>
      <c r="K163" s="4" t="s">
        <v>221</v>
      </c>
      <c r="L163" s="5">
        <v>2</v>
      </c>
      <c r="M163" s="68">
        <f>23000+3000</f>
        <v>26000</v>
      </c>
      <c r="N163" s="8">
        <f>+M163*L163</f>
        <v>52000</v>
      </c>
      <c r="Q163" s="5">
        <f>+N163</f>
        <v>52000</v>
      </c>
      <c r="R163" s="40" t="s">
        <v>50</v>
      </c>
      <c r="T163" s="4" t="s">
        <v>83</v>
      </c>
    </row>
    <row r="164" spans="2:20" ht="24" customHeight="1" x14ac:dyDescent="0.4">
      <c r="B164" s="8" t="s">
        <v>26</v>
      </c>
      <c r="C164" s="8" t="s">
        <v>27</v>
      </c>
      <c r="D164" s="15" t="s">
        <v>23</v>
      </c>
      <c r="H164" s="5">
        <v>455</v>
      </c>
      <c r="I164" s="21" t="s">
        <v>77</v>
      </c>
      <c r="J164" s="5">
        <v>10.26</v>
      </c>
      <c r="K164" s="4" t="s">
        <v>222</v>
      </c>
      <c r="L164" s="5">
        <v>15</v>
      </c>
      <c r="M164" s="68">
        <v>10000</v>
      </c>
      <c r="N164" s="8">
        <f>+M164*L164</f>
        <v>150000</v>
      </c>
      <c r="O164" s="5">
        <f>+N164/1.1</f>
        <v>136363.63636363635</v>
      </c>
      <c r="P164" s="5">
        <f>+N164-O164</f>
        <v>13636.363636363647</v>
      </c>
      <c r="Q164" s="5">
        <f>+N164</f>
        <v>150000</v>
      </c>
      <c r="T164" s="7" t="s">
        <v>74</v>
      </c>
    </row>
    <row r="165" spans="2:20" ht="24" customHeight="1" x14ac:dyDescent="0.4"/>
    <row r="166" spans="2:20" ht="24" customHeight="1" x14ac:dyDescent="0.4">
      <c r="B166" s="8" t="s">
        <v>26</v>
      </c>
      <c r="C166" s="8" t="s">
        <v>27</v>
      </c>
      <c r="D166" s="16" t="s">
        <v>28</v>
      </c>
      <c r="H166" s="5">
        <v>532</v>
      </c>
      <c r="I166" s="21" t="s">
        <v>129</v>
      </c>
      <c r="J166" s="5">
        <v>10.27</v>
      </c>
      <c r="K166" s="4" t="s">
        <v>223</v>
      </c>
      <c r="L166" s="5">
        <v>1</v>
      </c>
      <c r="M166" s="68">
        <f>12000+3000</f>
        <v>15000</v>
      </c>
      <c r="N166" s="8">
        <f>+M166*L166</f>
        <v>15000</v>
      </c>
      <c r="Q166" s="5">
        <f>+N166</f>
        <v>15000</v>
      </c>
      <c r="R166" s="4" t="s">
        <v>58</v>
      </c>
      <c r="T166" s="7" t="s">
        <v>131</v>
      </c>
    </row>
    <row r="167" spans="2:20" ht="24" customHeight="1" x14ac:dyDescent="0.4"/>
    <row r="168" spans="2:20" ht="24" customHeight="1" x14ac:dyDescent="0.4">
      <c r="B168" s="8" t="s">
        <v>26</v>
      </c>
      <c r="C168" s="8" t="s">
        <v>27</v>
      </c>
      <c r="D168" s="16" t="s">
        <v>28</v>
      </c>
      <c r="H168" s="5">
        <v>550</v>
      </c>
      <c r="I168" s="21" t="s">
        <v>48</v>
      </c>
      <c r="J168" s="5">
        <v>10.28</v>
      </c>
      <c r="K168" s="32" t="s">
        <v>224</v>
      </c>
      <c r="L168" s="5">
        <v>1</v>
      </c>
      <c r="M168" s="68">
        <f>12000+3000</f>
        <v>15000</v>
      </c>
      <c r="N168" s="8">
        <f>+M168*L168</f>
        <v>15000</v>
      </c>
      <c r="Q168" s="5">
        <f>+N168</f>
        <v>15000</v>
      </c>
      <c r="R168" s="40" t="s">
        <v>50</v>
      </c>
      <c r="T168" s="7" t="s">
        <v>51</v>
      </c>
    </row>
    <row r="169" spans="2:20" ht="24" customHeight="1" x14ac:dyDescent="0.4"/>
    <row r="170" spans="2:20" ht="24" customHeight="1" x14ac:dyDescent="0.4">
      <c r="B170" s="8" t="s">
        <v>26</v>
      </c>
      <c r="C170" s="8" t="s">
        <v>27</v>
      </c>
      <c r="D170" s="16" t="s">
        <v>28</v>
      </c>
      <c r="H170" s="5">
        <v>1325</v>
      </c>
      <c r="I170" s="22" t="s">
        <v>82</v>
      </c>
      <c r="J170" s="5">
        <v>10.29</v>
      </c>
      <c r="K170" s="8" t="s">
        <v>225</v>
      </c>
      <c r="L170" s="5">
        <v>1</v>
      </c>
      <c r="M170" s="68">
        <f>20000+3000</f>
        <v>23000</v>
      </c>
      <c r="N170" s="8">
        <f>+M170*L170</f>
        <v>23000</v>
      </c>
      <c r="Q170" s="5">
        <f>+N170</f>
        <v>23000</v>
      </c>
      <c r="R170" s="4" t="s">
        <v>58</v>
      </c>
      <c r="T170" s="4" t="s">
        <v>83</v>
      </c>
    </row>
    <row r="171" spans="2:20" ht="24" customHeight="1" x14ac:dyDescent="0.4">
      <c r="B171" s="8" t="s">
        <v>26</v>
      </c>
      <c r="C171" s="8" t="s">
        <v>27</v>
      </c>
      <c r="D171" s="15" t="s">
        <v>23</v>
      </c>
      <c r="H171" s="5">
        <v>550</v>
      </c>
      <c r="I171" s="21" t="s">
        <v>48</v>
      </c>
      <c r="J171" s="5">
        <v>10.29</v>
      </c>
      <c r="K171" s="7" t="s">
        <v>226</v>
      </c>
      <c r="L171" s="5">
        <v>1</v>
      </c>
      <c r="M171" s="68">
        <v>9000</v>
      </c>
      <c r="N171" s="8">
        <f>+M171*L171</f>
        <v>9000</v>
      </c>
      <c r="O171" s="5">
        <f>+N171/1.1</f>
        <v>8181.8181818181811</v>
      </c>
      <c r="P171" s="5">
        <f>+N171-O171</f>
        <v>818.18181818181893</v>
      </c>
      <c r="Q171" s="5">
        <f>+N171</f>
        <v>9000</v>
      </c>
      <c r="R171" s="4" t="s">
        <v>58</v>
      </c>
      <c r="T171" s="7" t="s">
        <v>51</v>
      </c>
    </row>
    <row r="172" spans="2:20" ht="24" customHeight="1" x14ac:dyDescent="0.4">
      <c r="B172" s="8" t="s">
        <v>26</v>
      </c>
      <c r="C172" s="8" t="s">
        <v>27</v>
      </c>
      <c r="D172" s="16" t="s">
        <v>28</v>
      </c>
      <c r="H172" s="5">
        <v>150</v>
      </c>
      <c r="I172" s="21" t="s">
        <v>93</v>
      </c>
      <c r="J172" s="5">
        <v>10.29</v>
      </c>
      <c r="K172" s="4" t="s">
        <v>227</v>
      </c>
      <c r="L172" s="5">
        <v>4</v>
      </c>
      <c r="M172" s="68">
        <f>60000+3000</f>
        <v>63000</v>
      </c>
      <c r="N172" s="8">
        <f>+M172*L172</f>
        <v>252000</v>
      </c>
      <c r="Q172" s="5">
        <f>+N172</f>
        <v>252000</v>
      </c>
      <c r="R172" s="40" t="s">
        <v>50</v>
      </c>
      <c r="T172" s="4" t="s">
        <v>95</v>
      </c>
    </row>
    <row r="173" spans="2:20" ht="24" customHeight="1" x14ac:dyDescent="0.4"/>
    <row r="174" spans="2:20" ht="24" customHeight="1" x14ac:dyDescent="0.4">
      <c r="B174" s="8" t="s">
        <v>26</v>
      </c>
      <c r="C174" s="8" t="s">
        <v>27</v>
      </c>
      <c r="D174" s="16" t="s">
        <v>28</v>
      </c>
      <c r="H174" s="5">
        <v>1324</v>
      </c>
      <c r="I174" s="21" t="s">
        <v>96</v>
      </c>
      <c r="J174" s="5">
        <v>11.01</v>
      </c>
      <c r="K174" s="4" t="s">
        <v>228</v>
      </c>
      <c r="L174" s="5">
        <v>1</v>
      </c>
      <c r="M174" s="68">
        <f>20000+3000</f>
        <v>23000</v>
      </c>
      <c r="N174" s="8">
        <f>+M174*L174</f>
        <v>23000</v>
      </c>
      <c r="Q174" s="5">
        <f>+N174</f>
        <v>23000</v>
      </c>
      <c r="R174" s="4" t="s">
        <v>58</v>
      </c>
      <c r="S174" s="7" t="s">
        <v>97</v>
      </c>
    </row>
    <row r="175" spans="2:20" ht="24" customHeight="1" x14ac:dyDescent="0.4">
      <c r="B175" s="8" t="s">
        <v>26</v>
      </c>
      <c r="C175" s="8" t="s">
        <v>27</v>
      </c>
      <c r="D175" s="15" t="s">
        <v>23</v>
      </c>
      <c r="H175" s="5">
        <v>143</v>
      </c>
      <c r="I175" s="22" t="s">
        <v>229</v>
      </c>
      <c r="J175" s="5">
        <v>11.02</v>
      </c>
      <c r="K175" s="4" t="s">
        <v>184</v>
      </c>
      <c r="L175" s="5">
        <v>280</v>
      </c>
      <c r="M175" s="68">
        <v>6000</v>
      </c>
      <c r="N175" s="8">
        <f>+M175*L175</f>
        <v>1680000</v>
      </c>
      <c r="O175" s="5">
        <f>+N175/1.1</f>
        <v>1527272.7272727271</v>
      </c>
      <c r="P175" s="5">
        <f>+N175-O175</f>
        <v>152727.27272727294</v>
      </c>
      <c r="Q175" s="5">
        <f>+N175</f>
        <v>1680000</v>
      </c>
    </row>
    <row r="176" spans="2:20" ht="24" customHeight="1" x14ac:dyDescent="0.4">
      <c r="B176" s="8" t="s">
        <v>26</v>
      </c>
      <c r="C176" s="8" t="s">
        <v>27</v>
      </c>
      <c r="D176" s="15" t="s">
        <v>23</v>
      </c>
      <c r="H176" s="5">
        <v>782</v>
      </c>
      <c r="I176" s="21" t="s">
        <v>197</v>
      </c>
      <c r="J176" s="5">
        <v>11.03</v>
      </c>
      <c r="K176" s="4" t="s">
        <v>198</v>
      </c>
      <c r="L176" s="5">
        <v>14</v>
      </c>
      <c r="M176" s="68">
        <v>9000</v>
      </c>
      <c r="N176" s="8">
        <f>+M176*L176</f>
        <v>126000</v>
      </c>
      <c r="O176" s="5">
        <f>+N176/1.1</f>
        <v>114545.45454545453</v>
      </c>
      <c r="P176" s="5">
        <f>+N176-O176</f>
        <v>11454.54545454547</v>
      </c>
      <c r="Q176" s="5">
        <f>+N176</f>
        <v>126000</v>
      </c>
    </row>
    <row r="177" spans="2:19" ht="24" customHeight="1" x14ac:dyDescent="0.4">
      <c r="B177" s="8" t="s">
        <v>26</v>
      </c>
      <c r="C177" s="8" t="s">
        <v>27</v>
      </c>
      <c r="D177" s="15" t="s">
        <v>23</v>
      </c>
      <c r="H177" s="5">
        <v>829</v>
      </c>
      <c r="I177" s="21" t="s">
        <v>201</v>
      </c>
      <c r="J177" s="5">
        <v>11.03</v>
      </c>
      <c r="K177" s="4" t="s">
        <v>198</v>
      </c>
      <c r="L177" s="5">
        <v>6</v>
      </c>
      <c r="M177" s="68">
        <v>9000</v>
      </c>
      <c r="N177" s="8">
        <f>+M177*L177</f>
        <v>54000</v>
      </c>
      <c r="O177" s="5">
        <f>+N177/1.1</f>
        <v>49090.909090909088</v>
      </c>
      <c r="P177" s="5">
        <f>+N177-O177</f>
        <v>4909.0909090909117</v>
      </c>
      <c r="Q177" s="5">
        <f>+N177</f>
        <v>54000</v>
      </c>
    </row>
    <row r="178" spans="2:19" ht="24" customHeight="1" x14ac:dyDescent="0.4"/>
    <row r="179" spans="2:19" ht="24" customHeight="1" x14ac:dyDescent="0.4">
      <c r="B179" s="8" t="s">
        <v>26</v>
      </c>
      <c r="C179" s="8" t="s">
        <v>27</v>
      </c>
      <c r="D179" s="16" t="s">
        <v>28</v>
      </c>
      <c r="H179" s="5">
        <v>550</v>
      </c>
      <c r="I179" s="21" t="s">
        <v>48</v>
      </c>
      <c r="J179" s="5">
        <v>11.04</v>
      </c>
      <c r="K179" s="4" t="s">
        <v>230</v>
      </c>
      <c r="L179" s="5">
        <v>1</v>
      </c>
      <c r="M179" s="68">
        <f>12000+3000</f>
        <v>15000</v>
      </c>
      <c r="N179" s="8">
        <f>+M179*L179</f>
        <v>15000</v>
      </c>
      <c r="Q179" s="5">
        <f>+N179</f>
        <v>15000</v>
      </c>
      <c r="R179" s="4" t="s">
        <v>58</v>
      </c>
      <c r="S179" s="7" t="s">
        <v>51</v>
      </c>
    </row>
    <row r="180" spans="2:19" ht="24" customHeight="1" x14ac:dyDescent="0.4">
      <c r="B180" s="8" t="s">
        <v>26</v>
      </c>
      <c r="C180" s="8" t="s">
        <v>27</v>
      </c>
      <c r="D180" s="15" t="s">
        <v>23</v>
      </c>
      <c r="H180" s="5">
        <v>550</v>
      </c>
      <c r="I180" s="21" t="s">
        <v>48</v>
      </c>
      <c r="J180" s="5">
        <v>11.05</v>
      </c>
      <c r="K180" s="7" t="s">
        <v>231</v>
      </c>
      <c r="L180" s="5">
        <v>60</v>
      </c>
      <c r="M180" s="68">
        <v>5000</v>
      </c>
      <c r="N180" s="8">
        <f>+M180*L180</f>
        <v>300000</v>
      </c>
      <c r="O180" s="5">
        <f>+N180/1.1</f>
        <v>272727.27272727271</v>
      </c>
      <c r="P180" s="5">
        <f>+N180-O180</f>
        <v>27272.727272727294</v>
      </c>
      <c r="Q180" s="5">
        <f>+N180</f>
        <v>300000</v>
      </c>
      <c r="S180" s="7" t="s">
        <v>51</v>
      </c>
    </row>
    <row r="181" spans="2:19" ht="24" customHeight="1" x14ac:dyDescent="0.4">
      <c r="B181" s="8" t="s">
        <v>26</v>
      </c>
      <c r="C181" s="8" t="s">
        <v>27</v>
      </c>
      <c r="D181" s="16" t="s">
        <v>28</v>
      </c>
      <c r="H181" s="5">
        <v>1324</v>
      </c>
      <c r="I181" s="21" t="s">
        <v>96</v>
      </c>
      <c r="J181" s="5">
        <v>11.05</v>
      </c>
      <c r="K181" s="8" t="s">
        <v>232</v>
      </c>
      <c r="L181" s="5">
        <v>1</v>
      </c>
      <c r="M181" s="68">
        <f>20000+3000</f>
        <v>23000</v>
      </c>
      <c r="N181" s="8">
        <f>+M181*L181</f>
        <v>23000</v>
      </c>
      <c r="Q181" s="5">
        <f>+N181</f>
        <v>23000</v>
      </c>
      <c r="R181" s="4" t="s">
        <v>58</v>
      </c>
      <c r="S181" s="7" t="s">
        <v>97</v>
      </c>
    </row>
    <row r="182" spans="2:19" ht="24" customHeight="1" x14ac:dyDescent="0.4">
      <c r="B182" s="8" t="s">
        <v>26</v>
      </c>
      <c r="C182" s="8" t="s">
        <v>27</v>
      </c>
      <c r="D182" s="16" t="s">
        <v>28</v>
      </c>
      <c r="H182" s="5">
        <v>1325</v>
      </c>
      <c r="I182" s="22" t="s">
        <v>82</v>
      </c>
      <c r="J182" s="5">
        <v>11.05</v>
      </c>
      <c r="K182" s="34" t="s">
        <v>233</v>
      </c>
      <c r="L182" s="5">
        <v>2</v>
      </c>
      <c r="M182" s="68">
        <f>23000+3000</f>
        <v>26000</v>
      </c>
      <c r="N182" s="8">
        <f>+M182*L182</f>
        <v>52000</v>
      </c>
      <c r="Q182" s="5">
        <f>+N182</f>
        <v>52000</v>
      </c>
      <c r="R182" s="40" t="s">
        <v>50</v>
      </c>
      <c r="S182" s="4" t="s">
        <v>83</v>
      </c>
    </row>
    <row r="183" spans="2:19" ht="24" customHeight="1" x14ac:dyDescent="0.4"/>
    <row r="184" spans="2:19" ht="24" customHeight="1" x14ac:dyDescent="0.4">
      <c r="B184" s="8" t="s">
        <v>26</v>
      </c>
      <c r="C184" s="8" t="s">
        <v>27</v>
      </c>
      <c r="D184" s="15" t="s">
        <v>23</v>
      </c>
      <c r="H184" s="5">
        <v>143</v>
      </c>
      <c r="I184" s="22" t="s">
        <v>229</v>
      </c>
      <c r="J184" s="5">
        <v>11.08</v>
      </c>
      <c r="K184" s="35" t="s">
        <v>184</v>
      </c>
      <c r="L184" s="5">
        <v>280</v>
      </c>
      <c r="M184" s="68">
        <v>6000</v>
      </c>
      <c r="N184" s="8">
        <f>+M184*L184</f>
        <v>1680000</v>
      </c>
      <c r="O184" s="5">
        <f>+N184/1.1</f>
        <v>1527272.7272727271</v>
      </c>
      <c r="P184" s="5">
        <f>+N184-O184</f>
        <v>152727.27272727294</v>
      </c>
      <c r="Q184" s="5">
        <f>+N184</f>
        <v>1680000</v>
      </c>
      <c r="S184" s="7" t="s">
        <v>234</v>
      </c>
    </row>
    <row r="185" spans="2:19" ht="24" customHeight="1" x14ac:dyDescent="0.4">
      <c r="B185" s="8" t="s">
        <v>26</v>
      </c>
      <c r="C185" s="8" t="s">
        <v>27</v>
      </c>
      <c r="D185" s="15" t="s">
        <v>23</v>
      </c>
      <c r="H185" s="5">
        <v>159</v>
      </c>
      <c r="I185" s="21" t="s">
        <v>235</v>
      </c>
      <c r="J185" s="5">
        <v>11.08</v>
      </c>
      <c r="K185" s="35" t="s">
        <v>184</v>
      </c>
      <c r="L185" s="5">
        <v>230</v>
      </c>
      <c r="M185" s="68">
        <v>6000</v>
      </c>
      <c r="N185" s="8">
        <f>+M185*L185</f>
        <v>1380000</v>
      </c>
      <c r="O185" s="5">
        <f>+N185/1.1</f>
        <v>1254545.4545454544</v>
      </c>
      <c r="P185" s="5">
        <f>+N185-O185</f>
        <v>125454.54545454565</v>
      </c>
      <c r="Q185" s="5">
        <f>+N185</f>
        <v>1380000</v>
      </c>
      <c r="S185" s="7" t="s">
        <v>236</v>
      </c>
    </row>
    <row r="186" spans="2:19" ht="24" customHeight="1" x14ac:dyDescent="0.4">
      <c r="B186" s="8" t="s">
        <v>26</v>
      </c>
      <c r="C186" s="8" t="s">
        <v>27</v>
      </c>
      <c r="D186" s="16" t="s">
        <v>28</v>
      </c>
      <c r="H186" s="5">
        <v>1325</v>
      </c>
      <c r="I186" s="22" t="s">
        <v>82</v>
      </c>
      <c r="J186" s="5">
        <v>11.08</v>
      </c>
      <c r="K186" s="8" t="s">
        <v>237</v>
      </c>
      <c r="L186" s="5">
        <v>1</v>
      </c>
      <c r="M186" s="68">
        <f>20000+3000</f>
        <v>23000</v>
      </c>
      <c r="N186" s="8">
        <f>+M186*L186</f>
        <v>23000</v>
      </c>
      <c r="Q186" s="5">
        <f>+N186</f>
        <v>23000</v>
      </c>
      <c r="R186" s="4" t="s">
        <v>58</v>
      </c>
      <c r="S186" s="4" t="s">
        <v>83</v>
      </c>
    </row>
    <row r="187" spans="2:19" ht="24" customHeight="1" x14ac:dyDescent="0.4"/>
    <row r="188" spans="2:19" ht="24" customHeight="1" x14ac:dyDescent="0.4">
      <c r="B188" s="8" t="s">
        <v>26</v>
      </c>
      <c r="C188" s="8" t="s">
        <v>27</v>
      </c>
      <c r="D188" s="15" t="s">
        <v>23</v>
      </c>
      <c r="H188" s="4">
        <v>550</v>
      </c>
      <c r="I188" s="21" t="s">
        <v>48</v>
      </c>
      <c r="K188" s="8" t="s">
        <v>231</v>
      </c>
      <c r="L188" s="5">
        <v>10</v>
      </c>
      <c r="M188" s="68">
        <v>5000</v>
      </c>
      <c r="N188" s="8">
        <f>+M188*L188</f>
        <v>50000</v>
      </c>
      <c r="O188" s="5">
        <f>+N188/1.1</f>
        <v>45454.545454545449</v>
      </c>
      <c r="P188" s="5">
        <f>+N188-O188</f>
        <v>4545.4545454545514</v>
      </c>
      <c r="Q188" s="5">
        <f>+N188</f>
        <v>50000</v>
      </c>
      <c r="S188" s="7" t="s">
        <v>51</v>
      </c>
    </row>
    <row r="189" spans="2:19" ht="24" customHeight="1" x14ac:dyDescent="0.4">
      <c r="B189" s="8" t="s">
        <v>26</v>
      </c>
      <c r="C189" s="8" t="s">
        <v>27</v>
      </c>
      <c r="D189" s="16" t="s">
        <v>28</v>
      </c>
      <c r="H189" s="4">
        <v>193</v>
      </c>
      <c r="I189" s="21" t="s">
        <v>67</v>
      </c>
      <c r="K189" s="8" t="s">
        <v>238</v>
      </c>
      <c r="L189" s="5">
        <v>1</v>
      </c>
      <c r="M189" s="71">
        <v>30000</v>
      </c>
      <c r="N189" s="8">
        <f>+M189*L189</f>
        <v>30000</v>
      </c>
      <c r="Q189" s="5">
        <f>+N189</f>
        <v>30000</v>
      </c>
      <c r="R189" s="4" t="s">
        <v>143</v>
      </c>
      <c r="S189" s="7" t="s">
        <v>70</v>
      </c>
    </row>
    <row r="190" spans="2:19" ht="24" customHeight="1" x14ac:dyDescent="0.4">
      <c r="B190" s="8" t="s">
        <v>26</v>
      </c>
      <c r="C190" s="8" t="s">
        <v>27</v>
      </c>
      <c r="D190" s="16" t="s">
        <v>28</v>
      </c>
      <c r="H190" s="4">
        <v>532</v>
      </c>
      <c r="I190" s="21" t="s">
        <v>129</v>
      </c>
      <c r="K190" s="6" t="s">
        <v>239</v>
      </c>
      <c r="L190" s="5">
        <v>1</v>
      </c>
      <c r="M190" s="68">
        <v>35000</v>
      </c>
      <c r="N190" s="8">
        <f>+M190*L190</f>
        <v>35000</v>
      </c>
      <c r="Q190" s="5">
        <f>+N190</f>
        <v>35000</v>
      </c>
      <c r="R190" s="76" t="s">
        <v>69</v>
      </c>
      <c r="S190" s="7" t="s">
        <v>131</v>
      </c>
    </row>
    <row r="191" spans="2:19" ht="24" customHeight="1" x14ac:dyDescent="0.4">
      <c r="B191" s="8" t="s">
        <v>26</v>
      </c>
      <c r="C191" s="8" t="s">
        <v>27</v>
      </c>
      <c r="D191" s="16" t="s">
        <v>28</v>
      </c>
      <c r="H191" s="4">
        <v>532</v>
      </c>
      <c r="I191" s="21" t="s">
        <v>129</v>
      </c>
      <c r="K191" s="8" t="s">
        <v>240</v>
      </c>
      <c r="L191" s="5">
        <v>1</v>
      </c>
      <c r="M191" s="68">
        <f>12000+3000</f>
        <v>15000</v>
      </c>
      <c r="N191" s="8">
        <f>+M191*L191</f>
        <v>15000</v>
      </c>
      <c r="Q191" s="5">
        <f>+N191</f>
        <v>15000</v>
      </c>
      <c r="R191" s="4" t="s">
        <v>58</v>
      </c>
      <c r="S191" s="7" t="s">
        <v>131</v>
      </c>
    </row>
    <row r="192" spans="2:19" ht="24" customHeight="1" x14ac:dyDescent="0.4">
      <c r="B192" s="8" t="s">
        <v>26</v>
      </c>
      <c r="C192" s="8" t="s">
        <v>27</v>
      </c>
      <c r="D192" s="16" t="s">
        <v>28</v>
      </c>
      <c r="H192" s="4">
        <v>550</v>
      </c>
      <c r="I192" s="21" t="s">
        <v>48</v>
      </c>
      <c r="K192" s="8" t="s">
        <v>241</v>
      </c>
      <c r="L192" s="5">
        <v>1</v>
      </c>
      <c r="M192" s="68">
        <f>12000+3000</f>
        <v>15000</v>
      </c>
      <c r="N192" s="8">
        <f>+M192*L192</f>
        <v>15000</v>
      </c>
      <c r="Q192" s="5">
        <f>+N192</f>
        <v>15000</v>
      </c>
      <c r="R192" s="4" t="s">
        <v>58</v>
      </c>
      <c r="S192" s="7" t="s">
        <v>51</v>
      </c>
    </row>
    <row r="193" spans="2:19" ht="24" customHeight="1" x14ac:dyDescent="0.4">
      <c r="B193" s="8" t="s">
        <v>26</v>
      </c>
      <c r="C193" s="8" t="s">
        <v>27</v>
      </c>
      <c r="D193" s="16" t="s">
        <v>28</v>
      </c>
      <c r="H193" s="4">
        <v>1324</v>
      </c>
      <c r="I193" s="21" t="s">
        <v>96</v>
      </c>
      <c r="K193" s="8" t="s">
        <v>242</v>
      </c>
      <c r="L193" s="5">
        <v>1</v>
      </c>
      <c r="M193" s="68">
        <f>20000+3000</f>
        <v>23000</v>
      </c>
      <c r="N193" s="8">
        <f>+M193*L193</f>
        <v>23000</v>
      </c>
      <c r="Q193" s="5">
        <f>+N193</f>
        <v>23000</v>
      </c>
      <c r="R193" s="4" t="s">
        <v>58</v>
      </c>
      <c r="S193" s="7" t="s">
        <v>97</v>
      </c>
    </row>
    <row r="194" spans="2:19" ht="24" customHeight="1" x14ac:dyDescent="0.4">
      <c r="B194" s="8" t="s">
        <v>26</v>
      </c>
      <c r="C194" s="8" t="s">
        <v>27</v>
      </c>
      <c r="D194" s="16" t="s">
        <v>28</v>
      </c>
      <c r="H194" s="4">
        <v>148</v>
      </c>
      <c r="I194" s="21" t="s">
        <v>115</v>
      </c>
      <c r="K194" s="8" t="s">
        <v>243</v>
      </c>
      <c r="L194" s="5">
        <v>1</v>
      </c>
      <c r="M194" s="68">
        <f>12000+3000</f>
        <v>15000</v>
      </c>
      <c r="N194" s="8">
        <f>+M194*L194</f>
        <v>15000</v>
      </c>
      <c r="Q194" s="5">
        <f>+N194</f>
        <v>15000</v>
      </c>
      <c r="R194" s="4" t="s">
        <v>58</v>
      </c>
      <c r="S194" s="7" t="s">
        <v>117</v>
      </c>
    </row>
    <row r="195" spans="2:19" ht="24" customHeight="1" x14ac:dyDescent="0.4">
      <c r="B195" s="8" t="s">
        <v>26</v>
      </c>
      <c r="C195" s="8" t="s">
        <v>27</v>
      </c>
      <c r="D195" s="16" t="s">
        <v>28</v>
      </c>
      <c r="H195" s="4">
        <v>193</v>
      </c>
      <c r="I195" s="21" t="s">
        <v>67</v>
      </c>
      <c r="K195" s="8" t="s">
        <v>244</v>
      </c>
      <c r="L195" s="5">
        <v>1</v>
      </c>
      <c r="M195" s="71">
        <v>30000</v>
      </c>
      <c r="N195" s="8">
        <f>+M195*L195</f>
        <v>30000</v>
      </c>
      <c r="Q195" s="5">
        <f>+N195</f>
        <v>30000</v>
      </c>
      <c r="R195" s="4" t="s">
        <v>143</v>
      </c>
      <c r="S195" s="7" t="s">
        <v>70</v>
      </c>
    </row>
    <row r="196" spans="2:19" ht="24" customHeight="1" x14ac:dyDescent="0.4">
      <c r="B196" s="8" t="s">
        <v>26</v>
      </c>
      <c r="C196" s="8" t="s">
        <v>27</v>
      </c>
      <c r="D196" s="16" t="s">
        <v>28</v>
      </c>
      <c r="H196" s="4">
        <v>148</v>
      </c>
      <c r="I196" s="21" t="s">
        <v>115</v>
      </c>
      <c r="K196" s="8" t="s">
        <v>245</v>
      </c>
      <c r="L196" s="5">
        <v>1</v>
      </c>
      <c r="M196" s="68">
        <f>12000+3000</f>
        <v>15000</v>
      </c>
      <c r="N196" s="8">
        <f>+M196*L196</f>
        <v>15000</v>
      </c>
      <c r="Q196" s="5">
        <f>+N196</f>
        <v>15000</v>
      </c>
      <c r="R196" s="4" t="s">
        <v>58</v>
      </c>
      <c r="S196" s="7" t="s">
        <v>117</v>
      </c>
    </row>
    <row r="197" spans="2:19" ht="24" customHeight="1" x14ac:dyDescent="0.4">
      <c r="B197" s="8" t="s">
        <v>26</v>
      </c>
      <c r="C197" s="8" t="s">
        <v>27</v>
      </c>
      <c r="D197" s="16" t="s">
        <v>28</v>
      </c>
      <c r="H197" s="4">
        <v>550</v>
      </c>
      <c r="I197" s="21" t="s">
        <v>48</v>
      </c>
      <c r="K197" s="8" t="s">
        <v>246</v>
      </c>
      <c r="L197" s="5">
        <v>1</v>
      </c>
      <c r="M197" s="68">
        <f>12000+3000</f>
        <v>15000</v>
      </c>
      <c r="N197" s="8">
        <f>+M197*L197</f>
        <v>15000</v>
      </c>
      <c r="Q197" s="5">
        <f>+N197</f>
        <v>15000</v>
      </c>
      <c r="R197" s="4" t="s">
        <v>58</v>
      </c>
      <c r="S197" s="7" t="s">
        <v>51</v>
      </c>
    </row>
    <row r="198" spans="2:19" ht="24" customHeight="1" x14ac:dyDescent="0.4"/>
    <row r="199" spans="2:19" ht="24" customHeight="1" x14ac:dyDescent="0.4">
      <c r="B199" s="8" t="s">
        <v>26</v>
      </c>
      <c r="C199" s="8" t="s">
        <v>27</v>
      </c>
      <c r="D199" s="15" t="s">
        <v>23</v>
      </c>
      <c r="H199" s="4">
        <v>182</v>
      </c>
      <c r="I199" s="21" t="s">
        <v>247</v>
      </c>
      <c r="J199" s="4">
        <v>10.28</v>
      </c>
      <c r="K199" s="8" t="s">
        <v>248</v>
      </c>
      <c r="L199" s="5">
        <f>220+5</f>
        <v>225</v>
      </c>
      <c r="M199" s="69">
        <f>5500-500</f>
        <v>5000</v>
      </c>
      <c r="N199" s="8">
        <f>+M199*L199</f>
        <v>1125000</v>
      </c>
      <c r="Q199" s="5">
        <f>+N199</f>
        <v>1125000</v>
      </c>
      <c r="S199" s="4" t="s">
        <v>249</v>
      </c>
    </row>
    <row r="200" spans="2:19" ht="24" customHeight="1" x14ac:dyDescent="0.4">
      <c r="B200" s="8" t="s">
        <v>26</v>
      </c>
      <c r="C200" s="8" t="s">
        <v>27</v>
      </c>
      <c r="D200" s="16" t="s">
        <v>28</v>
      </c>
      <c r="H200" s="4">
        <v>182</v>
      </c>
      <c r="I200" s="21" t="s">
        <v>247</v>
      </c>
      <c r="J200" s="4">
        <v>10.28</v>
      </c>
      <c r="K200" s="6" t="s">
        <v>250</v>
      </c>
      <c r="L200" s="5">
        <v>1</v>
      </c>
      <c r="M200" s="69">
        <f>33000-3000</f>
        <v>30000</v>
      </c>
      <c r="N200" s="8">
        <f>+M200*L200</f>
        <v>30000</v>
      </c>
      <c r="Q200" s="5">
        <f>+N200</f>
        <v>30000</v>
      </c>
    </row>
    <row r="201" spans="2:19" ht="24" customHeight="1" x14ac:dyDescent="0.4">
      <c r="B201" s="8" t="s">
        <v>26</v>
      </c>
      <c r="C201" s="8" t="s">
        <v>27</v>
      </c>
      <c r="D201" s="16" t="s">
        <v>28</v>
      </c>
      <c r="H201" s="4">
        <v>532</v>
      </c>
      <c r="I201" s="21" t="s">
        <v>129</v>
      </c>
      <c r="J201" s="4">
        <v>10.28</v>
      </c>
      <c r="K201" s="8" t="s">
        <v>251</v>
      </c>
      <c r="L201" s="5">
        <v>1</v>
      </c>
      <c r="M201" s="68">
        <f>12000+3000</f>
        <v>15000</v>
      </c>
      <c r="N201" s="8">
        <f>+M201*L201</f>
        <v>15000</v>
      </c>
      <c r="O201" s="5">
        <f>+N201/1.1</f>
        <v>13636.363636363636</v>
      </c>
      <c r="P201" s="5">
        <f>+N201-O201</f>
        <v>1363.636363636364</v>
      </c>
      <c r="Q201" s="5">
        <f>+N201</f>
        <v>15000</v>
      </c>
      <c r="R201" s="4" t="s">
        <v>58</v>
      </c>
      <c r="S201" s="7" t="s">
        <v>131</v>
      </c>
    </row>
    <row r="202" spans="2:19" ht="24" customHeight="1" x14ac:dyDescent="0.4"/>
    <row r="203" spans="2:19" ht="24" customHeight="1" x14ac:dyDescent="0.4">
      <c r="B203" s="8" t="s">
        <v>26</v>
      </c>
      <c r="C203" s="8" t="s">
        <v>27</v>
      </c>
      <c r="D203" s="15" t="s">
        <v>23</v>
      </c>
      <c r="H203" s="4">
        <v>247</v>
      </c>
      <c r="I203" s="22" t="s">
        <v>252</v>
      </c>
      <c r="J203" s="4">
        <v>11.09</v>
      </c>
      <c r="K203" s="8" t="s">
        <v>198</v>
      </c>
      <c r="L203" s="5">
        <v>10</v>
      </c>
      <c r="M203" s="68">
        <v>9000</v>
      </c>
      <c r="N203" s="8">
        <f>+M203*L203</f>
        <v>90000</v>
      </c>
      <c r="O203" s="5">
        <f>+N203/1.1</f>
        <v>81818.181818181809</v>
      </c>
      <c r="P203" s="5">
        <f>+N203-O203</f>
        <v>8181.8181818181911</v>
      </c>
      <c r="Q203" s="5">
        <f>+N203</f>
        <v>90000</v>
      </c>
    </row>
    <row r="204" spans="2:19" ht="24" customHeight="1" x14ac:dyDescent="0.4">
      <c r="B204" s="8" t="s">
        <v>26</v>
      </c>
      <c r="C204" s="8" t="s">
        <v>27</v>
      </c>
      <c r="D204" s="15" t="s">
        <v>23</v>
      </c>
      <c r="H204" s="4">
        <v>1720</v>
      </c>
      <c r="I204" s="21" t="s">
        <v>53</v>
      </c>
      <c r="J204" s="4">
        <v>11.09</v>
      </c>
      <c r="K204" s="8" t="s">
        <v>253</v>
      </c>
      <c r="L204" s="5">
        <v>8</v>
      </c>
      <c r="M204" s="68">
        <f>5000+3000</f>
        <v>8000</v>
      </c>
      <c r="N204" s="8">
        <f>+M204*L204</f>
        <v>64000</v>
      </c>
      <c r="O204" s="5">
        <f>+N204/1.1</f>
        <v>58181.818181818177</v>
      </c>
      <c r="P204" s="5">
        <f>+N204-O204</f>
        <v>5818.1818181818235</v>
      </c>
      <c r="Q204" s="5">
        <f>+N204</f>
        <v>64000</v>
      </c>
    </row>
    <row r="205" spans="2:19" ht="24" customHeight="1" x14ac:dyDescent="0.4">
      <c r="B205" s="8" t="s">
        <v>26</v>
      </c>
      <c r="C205" s="8" t="s">
        <v>27</v>
      </c>
      <c r="D205" s="15" t="s">
        <v>23</v>
      </c>
      <c r="H205" s="4">
        <v>1720</v>
      </c>
      <c r="I205" s="21" t="s">
        <v>53</v>
      </c>
      <c r="J205" s="4">
        <v>11.1</v>
      </c>
      <c r="K205" s="8" t="s">
        <v>231</v>
      </c>
      <c r="L205" s="5">
        <v>7</v>
      </c>
      <c r="M205" s="68">
        <v>5000</v>
      </c>
      <c r="N205" s="8">
        <f>+M205*L205</f>
        <v>35000</v>
      </c>
      <c r="O205" s="5">
        <f>+N205/1.1</f>
        <v>31818.181818181816</v>
      </c>
      <c r="P205" s="5">
        <f>+N205-O205</f>
        <v>3181.8181818181838</v>
      </c>
      <c r="Q205" s="5">
        <f>+N205</f>
        <v>35000</v>
      </c>
      <c r="S205" s="4" t="s">
        <v>55</v>
      </c>
    </row>
    <row r="206" spans="2:19" ht="24" customHeight="1" x14ac:dyDescent="0.4">
      <c r="B206" s="8" t="s">
        <v>26</v>
      </c>
      <c r="C206" s="8" t="s">
        <v>27</v>
      </c>
      <c r="D206" s="16" t="s">
        <v>28</v>
      </c>
      <c r="H206" s="4">
        <v>209</v>
      </c>
      <c r="I206" s="21" t="s">
        <v>158</v>
      </c>
      <c r="J206" s="4">
        <v>11.1</v>
      </c>
      <c r="K206" s="8" t="s">
        <v>200</v>
      </c>
      <c r="L206" s="5">
        <v>144</v>
      </c>
      <c r="M206" s="68">
        <v>10000</v>
      </c>
      <c r="N206" s="8">
        <f>+M206*L206</f>
        <v>1440000</v>
      </c>
      <c r="Q206" s="5">
        <f>+N206</f>
        <v>1440000</v>
      </c>
      <c r="S206" s="5" t="s">
        <v>254</v>
      </c>
    </row>
    <row r="207" spans="2:19" ht="24" customHeight="1" x14ac:dyDescent="0.4">
      <c r="B207" s="8" t="s">
        <v>26</v>
      </c>
      <c r="C207" s="8" t="s">
        <v>27</v>
      </c>
      <c r="D207" s="16" t="s">
        <v>28</v>
      </c>
      <c r="H207" s="4">
        <v>193</v>
      </c>
      <c r="I207" s="21" t="s">
        <v>67</v>
      </c>
      <c r="J207" s="4">
        <v>11.1</v>
      </c>
      <c r="K207" s="8" t="s">
        <v>255</v>
      </c>
      <c r="L207" s="5">
        <v>1</v>
      </c>
      <c r="M207" s="71">
        <v>33000</v>
      </c>
      <c r="N207" s="8">
        <f>+M207*L207</f>
        <v>33000</v>
      </c>
      <c r="Q207" s="5">
        <f>+N207</f>
        <v>33000</v>
      </c>
      <c r="S207" s="7" t="s">
        <v>70</v>
      </c>
    </row>
    <row r="208" spans="2:19" ht="24" customHeight="1" x14ac:dyDescent="0.4"/>
    <row r="209" spans="2:19" ht="24" customHeight="1" x14ac:dyDescent="0.4">
      <c r="B209" s="8" t="s">
        <v>26</v>
      </c>
      <c r="C209" s="8" t="s">
        <v>27</v>
      </c>
      <c r="D209" s="16" t="s">
        <v>28</v>
      </c>
      <c r="H209" s="4">
        <v>607</v>
      </c>
      <c r="I209" s="21" t="s">
        <v>256</v>
      </c>
      <c r="J209" s="4">
        <v>11.15</v>
      </c>
      <c r="K209" s="6" t="s">
        <v>250</v>
      </c>
      <c r="L209" s="5">
        <v>1</v>
      </c>
      <c r="M209" s="68">
        <v>33000</v>
      </c>
      <c r="N209" s="8">
        <f>+M209*L209</f>
        <v>33000</v>
      </c>
      <c r="Q209" s="5">
        <f>+N209</f>
        <v>33000</v>
      </c>
      <c r="S209" s="7" t="s">
        <v>257</v>
      </c>
    </row>
    <row r="210" spans="2:19" ht="24" customHeight="1" x14ac:dyDescent="0.4"/>
    <row r="211" spans="2:19" ht="24" customHeight="1" x14ac:dyDescent="0.4">
      <c r="B211" s="7" t="s">
        <v>258</v>
      </c>
      <c r="C211" s="8" t="s">
        <v>27</v>
      </c>
      <c r="D211" s="15" t="s">
        <v>23</v>
      </c>
      <c r="H211" s="4">
        <v>157</v>
      </c>
      <c r="I211" s="22" t="s">
        <v>259</v>
      </c>
      <c r="J211" s="4">
        <v>11.11</v>
      </c>
      <c r="K211" s="8" t="s">
        <v>184</v>
      </c>
      <c r="L211" s="5">
        <f>855+10+30</f>
        <v>895</v>
      </c>
      <c r="M211" s="68">
        <v>6000</v>
      </c>
      <c r="N211" s="8">
        <f>+M211*L211</f>
        <v>5370000</v>
      </c>
      <c r="O211" s="5">
        <f>+N211/1.1</f>
        <v>4881818.1818181816</v>
      </c>
      <c r="P211" s="5">
        <f>+N211-O211</f>
        <v>488181.81818181835</v>
      </c>
      <c r="Q211" s="5">
        <f>+N211</f>
        <v>5370000</v>
      </c>
      <c r="S211" s="7" t="s">
        <v>260</v>
      </c>
    </row>
    <row r="212" spans="2:19" ht="24" customHeight="1" x14ac:dyDescent="0.4">
      <c r="B212" s="8" t="s">
        <v>26</v>
      </c>
      <c r="C212" s="8" t="s">
        <v>27</v>
      </c>
      <c r="D212" s="15" t="s">
        <v>23</v>
      </c>
      <c r="H212" s="4">
        <v>1324</v>
      </c>
      <c r="I212" s="22" t="s">
        <v>82</v>
      </c>
      <c r="J212" s="4">
        <v>11.12</v>
      </c>
      <c r="K212" s="8" t="s">
        <v>261</v>
      </c>
      <c r="L212" s="5">
        <v>60</v>
      </c>
      <c r="M212" s="68">
        <v>5000</v>
      </c>
      <c r="N212" s="8">
        <f>+M212*L212</f>
        <v>300000</v>
      </c>
      <c r="O212" s="5">
        <f>+N212/1.1</f>
        <v>272727.27272727271</v>
      </c>
      <c r="P212" s="5">
        <f>+N212-O212</f>
        <v>27272.727272727294</v>
      </c>
      <c r="Q212" s="5">
        <f>+N212</f>
        <v>300000</v>
      </c>
      <c r="S212" s="4" t="s">
        <v>83</v>
      </c>
    </row>
    <row r="213" spans="2:19" ht="24" customHeight="1" x14ac:dyDescent="0.4">
      <c r="B213" s="8" t="s">
        <v>26</v>
      </c>
      <c r="C213" s="8" t="s">
        <v>27</v>
      </c>
      <c r="D213" s="16" t="s">
        <v>28</v>
      </c>
      <c r="H213" s="4">
        <v>550</v>
      </c>
      <c r="I213" s="21" t="s">
        <v>48</v>
      </c>
      <c r="J213" s="4">
        <v>11.12</v>
      </c>
      <c r="K213" s="8" t="s">
        <v>262</v>
      </c>
      <c r="L213" s="5">
        <v>34</v>
      </c>
      <c r="M213" s="68">
        <f>23000+3000-1000</f>
        <v>25000</v>
      </c>
      <c r="N213" s="8">
        <f>+M213*L213</f>
        <v>850000</v>
      </c>
      <c r="Q213" s="5">
        <f>+N213</f>
        <v>850000</v>
      </c>
      <c r="R213" s="40" t="s">
        <v>263</v>
      </c>
      <c r="S213" s="7" t="s">
        <v>264</v>
      </c>
    </row>
    <row r="214" spans="2:19" ht="24" customHeight="1" x14ac:dyDescent="0.4"/>
    <row r="215" spans="2:19" ht="24" customHeight="1" x14ac:dyDescent="0.4">
      <c r="B215" s="8" t="s">
        <v>26</v>
      </c>
      <c r="C215" s="8" t="s">
        <v>27</v>
      </c>
      <c r="D215" s="15" t="s">
        <v>23</v>
      </c>
      <c r="H215" s="4">
        <v>169</v>
      </c>
      <c r="I215" s="21" t="s">
        <v>265</v>
      </c>
      <c r="J215" s="4">
        <v>11.15</v>
      </c>
      <c r="K215" s="8" t="s">
        <v>184</v>
      </c>
      <c r="L215" s="5">
        <v>60</v>
      </c>
      <c r="M215" s="68">
        <v>6000</v>
      </c>
      <c r="N215" s="8">
        <f>+M215*L215</f>
        <v>360000</v>
      </c>
      <c r="O215" s="5">
        <f>+N215/1.1</f>
        <v>327272.72727272724</v>
      </c>
      <c r="P215" s="5">
        <f>+N215-O215</f>
        <v>32727.272727272764</v>
      </c>
      <c r="Q215" s="5">
        <f>+N215</f>
        <v>360000</v>
      </c>
      <c r="S215" s="7" t="s">
        <v>266</v>
      </c>
    </row>
    <row r="216" spans="2:19" ht="24" customHeight="1" x14ac:dyDescent="0.4">
      <c r="B216" s="8" t="s">
        <v>26</v>
      </c>
      <c r="C216" s="8" t="s">
        <v>27</v>
      </c>
      <c r="D216" s="15" t="s">
        <v>23</v>
      </c>
      <c r="H216" s="4">
        <v>550</v>
      </c>
      <c r="I216" s="21" t="s">
        <v>48</v>
      </c>
      <c r="J216" s="4">
        <v>11.16</v>
      </c>
      <c r="K216" s="8" t="s">
        <v>184</v>
      </c>
      <c r="L216" s="5">
        <v>60</v>
      </c>
      <c r="M216" s="68">
        <v>6000</v>
      </c>
      <c r="N216" s="8">
        <f>+M216*L216</f>
        <v>360000</v>
      </c>
      <c r="O216" s="5">
        <f>+N216/1.1</f>
        <v>327272.72727272724</v>
      </c>
      <c r="P216" s="5">
        <f>+N216-O216</f>
        <v>32727.272727272764</v>
      </c>
      <c r="Q216" s="5">
        <f>+N216</f>
        <v>360000</v>
      </c>
      <c r="S216" s="7" t="s">
        <v>51</v>
      </c>
    </row>
    <row r="217" spans="2:19" ht="24" customHeight="1" x14ac:dyDescent="0.4">
      <c r="B217" s="8" t="s">
        <v>26</v>
      </c>
      <c r="C217" s="8" t="s">
        <v>27</v>
      </c>
      <c r="D217" s="15" t="s">
        <v>23</v>
      </c>
      <c r="H217" s="4">
        <v>1720</v>
      </c>
      <c r="I217" s="21" t="s">
        <v>53</v>
      </c>
      <c r="J217" s="4">
        <v>11.16</v>
      </c>
      <c r="K217" s="8" t="s">
        <v>231</v>
      </c>
      <c r="L217" s="5">
        <v>40</v>
      </c>
      <c r="M217" s="68">
        <v>5000</v>
      </c>
      <c r="N217" s="8">
        <f>+M217*L217</f>
        <v>200000</v>
      </c>
      <c r="O217" s="5">
        <f>+N217/1.1</f>
        <v>181818.18181818179</v>
      </c>
      <c r="P217" s="5">
        <f>+N217-O217</f>
        <v>18181.818181818206</v>
      </c>
      <c r="Q217" s="5">
        <f>+N217</f>
        <v>200000</v>
      </c>
      <c r="S217" s="4" t="s">
        <v>55</v>
      </c>
    </row>
    <row r="218" spans="2:19" ht="24" customHeight="1" x14ac:dyDescent="0.4">
      <c r="B218" s="8" t="s">
        <v>26</v>
      </c>
      <c r="C218" s="8" t="s">
        <v>27</v>
      </c>
      <c r="D218" s="15" t="s">
        <v>23</v>
      </c>
      <c r="H218" s="4">
        <v>253</v>
      </c>
      <c r="I218" s="21" t="s">
        <v>267</v>
      </c>
      <c r="J218" s="4">
        <v>11.16</v>
      </c>
      <c r="K218" s="8" t="s">
        <v>268</v>
      </c>
      <c r="L218" s="5">
        <v>310</v>
      </c>
      <c r="M218" s="68">
        <v>6000</v>
      </c>
      <c r="N218" s="8">
        <f>+M218*L218</f>
        <v>1860000</v>
      </c>
      <c r="O218" s="5">
        <f>+N218/1.1</f>
        <v>1690909.0909090908</v>
      </c>
      <c r="P218" s="5">
        <f>+N218-O218</f>
        <v>169090.90909090918</v>
      </c>
      <c r="Q218" s="5">
        <f>+N218</f>
        <v>1860000</v>
      </c>
      <c r="S218" s="7" t="s">
        <v>269</v>
      </c>
    </row>
    <row r="219" spans="2:19" ht="24" customHeight="1" x14ac:dyDescent="0.4">
      <c r="B219" s="8" t="s">
        <v>26</v>
      </c>
      <c r="C219" s="8" t="s">
        <v>27</v>
      </c>
      <c r="D219" s="16" t="s">
        <v>28</v>
      </c>
      <c r="H219" s="4">
        <v>1324</v>
      </c>
      <c r="I219" s="21" t="s">
        <v>96</v>
      </c>
      <c r="J219" s="4">
        <v>11.16</v>
      </c>
      <c r="K219" s="8" t="s">
        <v>270</v>
      </c>
      <c r="L219" s="5">
        <v>1</v>
      </c>
      <c r="M219" s="68">
        <f>20000+3000</f>
        <v>23000</v>
      </c>
      <c r="N219" s="8">
        <f>+M219*L219</f>
        <v>23000</v>
      </c>
      <c r="Q219" s="5">
        <f>+N219</f>
        <v>23000</v>
      </c>
      <c r="R219" s="4" t="s">
        <v>58</v>
      </c>
      <c r="S219" s="7" t="s">
        <v>97</v>
      </c>
    </row>
    <row r="220" spans="2:19" ht="24" customHeight="1" x14ac:dyDescent="0.4">
      <c r="B220" s="8" t="s">
        <v>26</v>
      </c>
      <c r="C220" s="8" t="s">
        <v>27</v>
      </c>
      <c r="D220" s="16" t="s">
        <v>28</v>
      </c>
      <c r="H220" s="4">
        <v>148</v>
      </c>
      <c r="I220" s="21" t="s">
        <v>115</v>
      </c>
      <c r="J220" s="4">
        <v>11.16</v>
      </c>
      <c r="K220" s="8" t="s">
        <v>243</v>
      </c>
      <c r="L220" s="5">
        <v>1</v>
      </c>
      <c r="M220" s="68">
        <f>12000+3000</f>
        <v>15000</v>
      </c>
      <c r="N220" s="8">
        <f>+M220*L220</f>
        <v>15000</v>
      </c>
      <c r="Q220" s="5">
        <f>+N220</f>
        <v>15000</v>
      </c>
      <c r="R220" s="4" t="s">
        <v>58</v>
      </c>
      <c r="S220" s="7" t="s">
        <v>117</v>
      </c>
    </row>
    <row r="221" spans="2:19" ht="24" customHeight="1" x14ac:dyDescent="0.4">
      <c r="B221" s="8" t="s">
        <v>26</v>
      </c>
      <c r="C221" s="8" t="s">
        <v>27</v>
      </c>
      <c r="D221" s="16" t="s">
        <v>28</v>
      </c>
      <c r="H221" s="4">
        <v>193</v>
      </c>
      <c r="I221" s="21" t="s">
        <v>67</v>
      </c>
      <c r="J221" s="4">
        <v>11.16</v>
      </c>
      <c r="K221" s="8" t="s">
        <v>271</v>
      </c>
      <c r="L221" s="5">
        <v>1</v>
      </c>
      <c r="M221" s="71">
        <v>33000</v>
      </c>
      <c r="N221" s="8">
        <f>+M221*L221</f>
        <v>33000</v>
      </c>
      <c r="Q221" s="5">
        <f>+N221</f>
        <v>33000</v>
      </c>
      <c r="R221" s="4" t="s">
        <v>143</v>
      </c>
      <c r="S221" s="7" t="s">
        <v>70</v>
      </c>
    </row>
    <row r="222" spans="2:19" ht="24" customHeight="1" x14ac:dyDescent="0.4">
      <c r="B222" s="8" t="s">
        <v>26</v>
      </c>
      <c r="C222" s="8" t="s">
        <v>27</v>
      </c>
      <c r="D222" s="16" t="s">
        <v>28</v>
      </c>
      <c r="H222" s="4">
        <v>148</v>
      </c>
      <c r="I222" s="21" t="s">
        <v>115</v>
      </c>
      <c r="J222" s="4">
        <v>11.16</v>
      </c>
      <c r="K222" s="8" t="s">
        <v>245</v>
      </c>
      <c r="L222" s="5">
        <v>1</v>
      </c>
      <c r="M222" s="68">
        <f>12000+3000</f>
        <v>15000</v>
      </c>
      <c r="N222" s="8">
        <f>+M222*L222</f>
        <v>15000</v>
      </c>
      <c r="Q222" s="5">
        <f>+N222</f>
        <v>15000</v>
      </c>
      <c r="R222" s="4" t="s">
        <v>58</v>
      </c>
      <c r="S222" s="7" t="s">
        <v>117</v>
      </c>
    </row>
    <row r="223" spans="2:19" ht="24" customHeight="1" x14ac:dyDescent="0.4">
      <c r="B223" s="8" t="s">
        <v>26</v>
      </c>
      <c r="C223" s="8" t="s">
        <v>27</v>
      </c>
      <c r="D223" s="16" t="s">
        <v>28</v>
      </c>
      <c r="H223" s="4">
        <v>550</v>
      </c>
      <c r="I223" s="21" t="s">
        <v>48</v>
      </c>
      <c r="J223" s="4">
        <v>11.16</v>
      </c>
      <c r="K223" s="8" t="s">
        <v>246</v>
      </c>
      <c r="L223" s="5">
        <v>1</v>
      </c>
      <c r="M223" s="68">
        <f>12000+3000</f>
        <v>15000</v>
      </c>
      <c r="N223" s="8">
        <f>+M223*L223</f>
        <v>15000</v>
      </c>
      <c r="Q223" s="5">
        <f>+N223</f>
        <v>15000</v>
      </c>
      <c r="R223" s="4" t="s">
        <v>58</v>
      </c>
      <c r="S223" s="7" t="s">
        <v>51</v>
      </c>
    </row>
    <row r="224" spans="2:19" ht="24" customHeight="1" x14ac:dyDescent="0.4"/>
    <row r="225" spans="2:19" ht="24" customHeight="1" x14ac:dyDescent="0.4">
      <c r="B225" s="4" t="s">
        <v>272</v>
      </c>
      <c r="C225" s="8" t="s">
        <v>27</v>
      </c>
      <c r="D225" s="16" t="s">
        <v>28</v>
      </c>
      <c r="H225" s="4">
        <v>534</v>
      </c>
      <c r="I225" s="4" t="s">
        <v>272</v>
      </c>
      <c r="J225" s="4">
        <v>11.01</v>
      </c>
      <c r="K225" s="36" t="s">
        <v>273</v>
      </c>
      <c r="L225" s="5">
        <v>18</v>
      </c>
      <c r="M225" s="68">
        <v>25000</v>
      </c>
      <c r="N225" s="8">
        <f>+M225*L225</f>
        <v>450000</v>
      </c>
      <c r="Q225" s="5">
        <f>+N225</f>
        <v>450000</v>
      </c>
      <c r="S225" s="4" t="s">
        <v>274</v>
      </c>
    </row>
    <row r="226" spans="2:19" ht="24" customHeight="1" x14ac:dyDescent="0.4">
      <c r="B226" s="4" t="s">
        <v>272</v>
      </c>
      <c r="C226" s="8" t="s">
        <v>27</v>
      </c>
      <c r="D226" s="16" t="s">
        <v>28</v>
      </c>
      <c r="H226" s="4">
        <v>543</v>
      </c>
      <c r="I226" s="4" t="s">
        <v>275</v>
      </c>
      <c r="J226" s="4">
        <v>11.01</v>
      </c>
      <c r="K226" s="36" t="s">
        <v>273</v>
      </c>
      <c r="L226" s="5">
        <v>18</v>
      </c>
      <c r="M226" s="68">
        <v>25000</v>
      </c>
      <c r="N226" s="8">
        <f>+M226*L226</f>
        <v>450000</v>
      </c>
      <c r="Q226" s="5">
        <f>+N226</f>
        <v>450000</v>
      </c>
      <c r="S226" s="4" t="s">
        <v>274</v>
      </c>
    </row>
    <row r="227" spans="2:19" ht="24" customHeight="1" x14ac:dyDescent="0.4"/>
    <row r="228" spans="2:19" ht="24" customHeight="1" x14ac:dyDescent="0.4">
      <c r="B228" s="8" t="s">
        <v>26</v>
      </c>
      <c r="C228" s="8" t="s">
        <v>27</v>
      </c>
      <c r="D228" s="15" t="s">
        <v>23</v>
      </c>
      <c r="H228" s="4">
        <v>550</v>
      </c>
      <c r="I228" s="21" t="s">
        <v>48</v>
      </c>
      <c r="J228" s="4">
        <v>11.16</v>
      </c>
      <c r="K228" s="35" t="s">
        <v>184</v>
      </c>
      <c r="L228" s="5">
        <v>60</v>
      </c>
      <c r="M228" s="68">
        <v>6000</v>
      </c>
      <c r="N228" s="8">
        <f>+M228*L228</f>
        <v>360000</v>
      </c>
      <c r="O228" s="5">
        <f>+N228/1.1</f>
        <v>327272.72727272724</v>
      </c>
      <c r="P228" s="5">
        <f>+N228-O228</f>
        <v>32727.272727272764</v>
      </c>
      <c r="Q228" s="5">
        <f>+N228</f>
        <v>360000</v>
      </c>
      <c r="S228" s="7" t="s">
        <v>51</v>
      </c>
    </row>
    <row r="229" spans="2:19" ht="24" customHeight="1" x14ac:dyDescent="0.4">
      <c r="B229" s="8" t="s">
        <v>26</v>
      </c>
      <c r="C229" s="8" t="s">
        <v>27</v>
      </c>
      <c r="D229" s="15" t="s">
        <v>23</v>
      </c>
      <c r="H229" s="4">
        <v>1720</v>
      </c>
      <c r="I229" s="21" t="s">
        <v>53</v>
      </c>
      <c r="J229" s="4">
        <v>11.16</v>
      </c>
      <c r="K229" s="7" t="s">
        <v>276</v>
      </c>
      <c r="L229" s="5">
        <v>40</v>
      </c>
      <c r="M229" s="68">
        <v>5000</v>
      </c>
      <c r="N229" s="8">
        <f>+M229*L229</f>
        <v>200000</v>
      </c>
      <c r="O229" s="5">
        <f>+N229/1.1</f>
        <v>181818.18181818179</v>
      </c>
      <c r="P229" s="5">
        <f>+N229-O229</f>
        <v>18181.818181818206</v>
      </c>
      <c r="Q229" s="5">
        <f>+N229</f>
        <v>200000</v>
      </c>
      <c r="S229" s="4" t="s">
        <v>55</v>
      </c>
    </row>
    <row r="230" spans="2:19" ht="24" customHeight="1" x14ac:dyDescent="0.4">
      <c r="B230" s="8" t="s">
        <v>26</v>
      </c>
      <c r="C230" s="8" t="s">
        <v>27</v>
      </c>
      <c r="D230" s="15" t="s">
        <v>23</v>
      </c>
      <c r="H230" s="4">
        <v>253</v>
      </c>
      <c r="I230" s="21" t="s">
        <v>267</v>
      </c>
      <c r="J230" s="4">
        <v>11.16</v>
      </c>
      <c r="K230" s="7" t="s">
        <v>277</v>
      </c>
      <c r="L230" s="5">
        <v>310</v>
      </c>
      <c r="M230" s="68">
        <v>6000</v>
      </c>
      <c r="N230" s="8">
        <f>+M230*L230</f>
        <v>1860000</v>
      </c>
      <c r="O230" s="5">
        <f>+N230/1.1</f>
        <v>1690909.0909090908</v>
      </c>
      <c r="P230" s="5">
        <f>+N230-O230</f>
        <v>169090.90909090918</v>
      </c>
      <c r="Q230" s="5">
        <f>+N230</f>
        <v>1860000</v>
      </c>
      <c r="S230" s="7" t="s">
        <v>269</v>
      </c>
    </row>
    <row r="231" spans="2:19" ht="24" customHeight="1" x14ac:dyDescent="0.4">
      <c r="B231" s="8" t="s">
        <v>26</v>
      </c>
      <c r="C231" s="8" t="s">
        <v>27</v>
      </c>
      <c r="D231" s="16" t="s">
        <v>28</v>
      </c>
      <c r="H231" s="4">
        <v>607</v>
      </c>
      <c r="I231" s="21" t="s">
        <v>256</v>
      </c>
      <c r="J231" s="4">
        <v>11.16</v>
      </c>
      <c r="K231" s="37" t="s">
        <v>278</v>
      </c>
      <c r="L231" s="5">
        <v>1</v>
      </c>
      <c r="M231" s="68">
        <v>36000</v>
      </c>
      <c r="N231" s="8">
        <f>+M231*L231</f>
        <v>36000</v>
      </c>
      <c r="Q231" s="5">
        <f>+N231</f>
        <v>36000</v>
      </c>
      <c r="R231" s="72" t="s">
        <v>279</v>
      </c>
      <c r="S231" s="4" t="s">
        <v>280</v>
      </c>
    </row>
    <row r="232" spans="2:19" ht="24" customHeight="1" x14ac:dyDescent="0.4">
      <c r="B232" s="8" t="s">
        <v>26</v>
      </c>
      <c r="C232" s="8" t="s">
        <v>27</v>
      </c>
      <c r="D232" s="15" t="s">
        <v>23</v>
      </c>
      <c r="H232" s="4">
        <v>455</v>
      </c>
      <c r="I232" s="21" t="s">
        <v>77</v>
      </c>
      <c r="J232" s="4">
        <v>11.16</v>
      </c>
      <c r="K232" s="31" t="s">
        <v>281</v>
      </c>
      <c r="L232" s="5">
        <v>8</v>
      </c>
      <c r="M232" s="68">
        <v>10000</v>
      </c>
      <c r="N232" s="8">
        <f>+M232*L232</f>
        <v>80000</v>
      </c>
      <c r="O232" s="5">
        <f>+N232/1.1</f>
        <v>72727.272727272721</v>
      </c>
      <c r="P232" s="5">
        <f>+N232-O232</f>
        <v>7272.7272727272793</v>
      </c>
      <c r="Q232" s="5">
        <f>+N232</f>
        <v>80000</v>
      </c>
      <c r="R232" s="78" t="s">
        <v>282</v>
      </c>
      <c r="S232" s="7" t="s">
        <v>74</v>
      </c>
    </row>
    <row r="233" spans="2:19" ht="24" customHeight="1" x14ac:dyDescent="0.4">
      <c r="B233" s="8" t="s">
        <v>26</v>
      </c>
      <c r="C233" s="8" t="s">
        <v>27</v>
      </c>
      <c r="D233" s="15" t="s">
        <v>23</v>
      </c>
      <c r="H233" s="4">
        <v>557</v>
      </c>
      <c r="I233" s="21" t="s">
        <v>283</v>
      </c>
      <c r="J233" s="4">
        <v>11.17</v>
      </c>
      <c r="K233" s="38" t="s">
        <v>184</v>
      </c>
      <c r="L233" s="5">
        <v>160</v>
      </c>
      <c r="M233" s="68">
        <v>7000</v>
      </c>
      <c r="N233" s="8">
        <f>+M233*L233</f>
        <v>1120000</v>
      </c>
      <c r="O233" s="5">
        <f>+N233/1.1</f>
        <v>1018181.8181818181</v>
      </c>
      <c r="P233" s="5">
        <f>+N233-O233</f>
        <v>101818.18181818188</v>
      </c>
      <c r="Q233" s="5">
        <f>+N233</f>
        <v>1120000</v>
      </c>
      <c r="R233" s="40" t="s">
        <v>284</v>
      </c>
      <c r="S233" s="7" t="s">
        <v>285</v>
      </c>
    </row>
    <row r="234" spans="2:19" ht="24" customHeight="1" x14ac:dyDescent="0.4">
      <c r="B234" s="8" t="s">
        <v>26</v>
      </c>
      <c r="C234" s="8" t="s">
        <v>27</v>
      </c>
      <c r="D234" s="16" t="s">
        <v>28</v>
      </c>
      <c r="H234" s="4">
        <v>1324</v>
      </c>
      <c r="I234" s="21" t="s">
        <v>96</v>
      </c>
      <c r="J234" s="4">
        <v>11.17</v>
      </c>
      <c r="K234" s="8" t="s">
        <v>270</v>
      </c>
      <c r="L234" s="5">
        <v>1</v>
      </c>
      <c r="M234" s="68">
        <f>20000+3000</f>
        <v>23000</v>
      </c>
      <c r="N234" s="8">
        <f>+M234*L234</f>
        <v>23000</v>
      </c>
      <c r="Q234" s="5">
        <f>+N234</f>
        <v>23000</v>
      </c>
      <c r="R234" s="4" t="s">
        <v>58</v>
      </c>
      <c r="S234" s="7" t="s">
        <v>97</v>
      </c>
    </row>
    <row r="235" spans="2:19" ht="24" customHeight="1" x14ac:dyDescent="0.4">
      <c r="B235" s="8" t="s">
        <v>26</v>
      </c>
      <c r="C235" s="8" t="s">
        <v>27</v>
      </c>
      <c r="D235" s="16" t="s">
        <v>28</v>
      </c>
      <c r="H235" s="4">
        <v>1325</v>
      </c>
      <c r="I235" s="22" t="s">
        <v>82</v>
      </c>
      <c r="J235" s="4">
        <v>11.17</v>
      </c>
      <c r="K235" s="34" t="s">
        <v>286</v>
      </c>
      <c r="L235" s="5">
        <v>1</v>
      </c>
      <c r="M235" s="68">
        <v>50000</v>
      </c>
      <c r="N235" s="8">
        <f>+M235*L235</f>
        <v>50000</v>
      </c>
      <c r="Q235" s="5">
        <f>+N235</f>
        <v>50000</v>
      </c>
      <c r="R235" s="40" t="s">
        <v>279</v>
      </c>
      <c r="S235" s="4" t="s">
        <v>83</v>
      </c>
    </row>
    <row r="236" spans="2:19" ht="24" customHeight="1" x14ac:dyDescent="0.4"/>
    <row r="237" spans="2:19" ht="24" customHeight="1" x14ac:dyDescent="0.4">
      <c r="B237" s="8" t="s">
        <v>26</v>
      </c>
      <c r="C237" s="8" t="s">
        <v>27</v>
      </c>
      <c r="D237" s="15" t="s">
        <v>23</v>
      </c>
      <c r="H237" s="4">
        <v>143</v>
      </c>
      <c r="I237" s="22" t="s">
        <v>229</v>
      </c>
      <c r="J237" s="4">
        <v>11.18</v>
      </c>
      <c r="K237" s="39" t="s">
        <v>184</v>
      </c>
      <c r="L237" s="5">
        <v>30</v>
      </c>
      <c r="M237" s="69">
        <f>6000-2000</f>
        <v>4000</v>
      </c>
      <c r="N237" s="8">
        <f>+M237*L237</f>
        <v>120000</v>
      </c>
      <c r="O237" s="5">
        <f>+N237/1.1</f>
        <v>109090.90909090909</v>
      </c>
      <c r="P237" s="5">
        <f>+N237-O237</f>
        <v>10909.090909090912</v>
      </c>
      <c r="Q237" s="5">
        <f>+N237</f>
        <v>120000</v>
      </c>
    </row>
    <row r="238" spans="2:19" ht="24" customHeight="1" x14ac:dyDescent="0.4"/>
    <row r="239" spans="2:19" ht="24" customHeight="1" x14ac:dyDescent="0.4">
      <c r="B239" s="8" t="s">
        <v>26</v>
      </c>
      <c r="C239" s="8" t="s">
        <v>27</v>
      </c>
      <c r="D239" s="16" t="s">
        <v>28</v>
      </c>
      <c r="H239" s="4">
        <v>1325</v>
      </c>
      <c r="I239" s="22" t="s">
        <v>82</v>
      </c>
      <c r="J239" s="4">
        <v>11.19</v>
      </c>
      <c r="K239" s="34" t="s">
        <v>287</v>
      </c>
      <c r="L239" s="5">
        <v>1</v>
      </c>
      <c r="M239" s="68">
        <v>26000</v>
      </c>
      <c r="N239" s="8">
        <f>+M239*L239</f>
        <v>26000</v>
      </c>
      <c r="Q239" s="5">
        <f>+N239</f>
        <v>26000</v>
      </c>
      <c r="R239" s="40" t="s">
        <v>279</v>
      </c>
    </row>
    <row r="240" spans="2:19" ht="24" customHeight="1" x14ac:dyDescent="0.4">
      <c r="B240" s="8" t="s">
        <v>26</v>
      </c>
      <c r="C240" s="8" t="s">
        <v>27</v>
      </c>
      <c r="D240" s="15" t="s">
        <v>23</v>
      </c>
      <c r="H240" s="4">
        <v>1325</v>
      </c>
      <c r="I240" s="22" t="s">
        <v>82</v>
      </c>
      <c r="J240" s="4">
        <v>11.19</v>
      </c>
      <c r="K240" s="40" t="s">
        <v>288</v>
      </c>
      <c r="L240" s="5">
        <v>30</v>
      </c>
      <c r="M240" s="71">
        <v>5000</v>
      </c>
      <c r="N240" s="8">
        <f>+M240*L240</f>
        <v>150000</v>
      </c>
      <c r="O240" s="5">
        <f>+N240/1.1</f>
        <v>136363.63636363635</v>
      </c>
      <c r="P240" s="5">
        <f>+N240-O240</f>
        <v>13636.363636363647</v>
      </c>
      <c r="Q240" s="5">
        <f>+N240</f>
        <v>150000</v>
      </c>
    </row>
    <row r="241" spans="2:19" ht="24" customHeight="1" x14ac:dyDescent="0.4"/>
    <row r="242" spans="2:19" ht="24" customHeight="1" x14ac:dyDescent="0.4">
      <c r="B242" s="8" t="s">
        <v>26</v>
      </c>
      <c r="C242" s="8" t="s">
        <v>27</v>
      </c>
      <c r="D242" s="15" t="s">
        <v>23</v>
      </c>
      <c r="H242" s="4">
        <v>248</v>
      </c>
      <c r="I242" s="22" t="s">
        <v>289</v>
      </c>
      <c r="J242" s="4">
        <v>11.22</v>
      </c>
      <c r="K242" s="7" t="s">
        <v>268</v>
      </c>
      <c r="L242" s="5">
        <v>220</v>
      </c>
      <c r="M242" s="68">
        <v>6000</v>
      </c>
      <c r="N242" s="8">
        <f>+M242*L242</f>
        <v>1320000</v>
      </c>
      <c r="O242" s="5">
        <f>+N242/1.1</f>
        <v>1200000</v>
      </c>
      <c r="P242" s="5">
        <f>+N242-O242</f>
        <v>120000</v>
      </c>
      <c r="Q242" s="5">
        <f>+N242</f>
        <v>1320000</v>
      </c>
      <c r="S242" s="7" t="s">
        <v>290</v>
      </c>
    </row>
    <row r="243" spans="2:19" ht="24" customHeight="1" x14ac:dyDescent="0.4">
      <c r="B243" s="8" t="s">
        <v>26</v>
      </c>
      <c r="C243" s="8" t="s">
        <v>27</v>
      </c>
      <c r="D243" s="15" t="s">
        <v>23</v>
      </c>
      <c r="H243" s="4">
        <v>729</v>
      </c>
      <c r="I243" s="22" t="s">
        <v>109</v>
      </c>
      <c r="J243" s="4">
        <v>11.22</v>
      </c>
      <c r="K243" s="29" t="s">
        <v>291</v>
      </c>
      <c r="L243" s="5">
        <v>8</v>
      </c>
      <c r="M243" s="71">
        <f>15000+4000</f>
        <v>19000</v>
      </c>
      <c r="N243" s="8">
        <f>+M243*L243</f>
        <v>152000</v>
      </c>
      <c r="O243" s="5">
        <f>+N243/1.1</f>
        <v>138181.81818181818</v>
      </c>
      <c r="P243" s="5">
        <f>+N243-O243</f>
        <v>13818.181818181823</v>
      </c>
      <c r="Q243" s="5">
        <f>+N243</f>
        <v>152000</v>
      </c>
      <c r="S243" s="4" t="s">
        <v>110</v>
      </c>
    </row>
    <row r="244" spans="2:19" ht="24" customHeight="1" x14ac:dyDescent="0.4"/>
    <row r="245" spans="2:19" ht="24" customHeight="1" x14ac:dyDescent="0.4">
      <c r="B245" s="8" t="s">
        <v>26</v>
      </c>
      <c r="C245" s="8" t="s">
        <v>27</v>
      </c>
      <c r="D245" s="16" t="s">
        <v>28</v>
      </c>
      <c r="H245" s="4">
        <v>1325</v>
      </c>
      <c r="I245" s="22" t="s">
        <v>82</v>
      </c>
      <c r="J245" s="4">
        <v>11.23</v>
      </c>
      <c r="K245" s="25" t="s">
        <v>292</v>
      </c>
      <c r="L245" s="5">
        <v>2</v>
      </c>
      <c r="M245" s="68">
        <v>32000</v>
      </c>
      <c r="N245" s="8">
        <f>+M245*L245</f>
        <v>64000</v>
      </c>
      <c r="Q245" s="5">
        <f>+N245</f>
        <v>64000</v>
      </c>
      <c r="R245" s="40" t="s">
        <v>293</v>
      </c>
      <c r="S245" s="4" t="s">
        <v>83</v>
      </c>
    </row>
    <row r="246" spans="2:19" ht="24" customHeight="1" x14ac:dyDescent="0.4">
      <c r="B246" s="8" t="s">
        <v>26</v>
      </c>
      <c r="C246" s="8" t="s">
        <v>27</v>
      </c>
      <c r="D246" s="16" t="s">
        <v>28</v>
      </c>
      <c r="H246" s="4">
        <v>1325</v>
      </c>
      <c r="I246" s="22" t="s">
        <v>82</v>
      </c>
      <c r="J246" s="4">
        <v>11.23</v>
      </c>
      <c r="K246" s="41" t="s">
        <v>294</v>
      </c>
      <c r="L246" s="5">
        <v>1</v>
      </c>
      <c r="M246" s="68">
        <v>33000</v>
      </c>
      <c r="N246" s="8">
        <f>+M246*L246</f>
        <v>33000</v>
      </c>
      <c r="Q246" s="5">
        <f>+N246</f>
        <v>33000</v>
      </c>
      <c r="R246" s="40" t="s">
        <v>143</v>
      </c>
      <c r="S246" s="4" t="s">
        <v>83</v>
      </c>
    </row>
    <row r="247" spans="2:19" ht="24" customHeight="1" x14ac:dyDescent="0.4">
      <c r="B247" s="8" t="s">
        <v>26</v>
      </c>
      <c r="C247" s="8" t="s">
        <v>27</v>
      </c>
      <c r="D247" s="15" t="s">
        <v>23</v>
      </c>
      <c r="H247" s="4">
        <v>1324</v>
      </c>
      <c r="I247" s="21" t="s">
        <v>96</v>
      </c>
      <c r="J247" s="4">
        <v>11.23</v>
      </c>
      <c r="K247" s="40" t="s">
        <v>288</v>
      </c>
      <c r="L247" s="5">
        <v>20</v>
      </c>
      <c r="M247" s="71">
        <v>5000</v>
      </c>
      <c r="N247" s="8">
        <f>+M247*L247</f>
        <v>100000</v>
      </c>
      <c r="O247" s="5">
        <f>+N247/1.1</f>
        <v>90909.090909090897</v>
      </c>
      <c r="P247" s="5">
        <f>+N247-O247</f>
        <v>9090.9090909091028</v>
      </c>
      <c r="Q247" s="5">
        <f>+N247</f>
        <v>100000</v>
      </c>
      <c r="S247" s="7" t="s">
        <v>97</v>
      </c>
    </row>
    <row r="248" spans="2:19" ht="24" customHeight="1" x14ac:dyDescent="0.4">
      <c r="B248" s="8" t="s">
        <v>26</v>
      </c>
      <c r="C248" s="8" t="s">
        <v>27</v>
      </c>
      <c r="D248" s="15" t="s">
        <v>23</v>
      </c>
      <c r="H248" s="4">
        <v>251</v>
      </c>
      <c r="I248" s="22" t="s">
        <v>295</v>
      </c>
      <c r="J248" s="4">
        <v>11.24</v>
      </c>
      <c r="K248" s="7" t="s">
        <v>268</v>
      </c>
      <c r="L248" s="5">
        <f>15*2</f>
        <v>30</v>
      </c>
      <c r="M248" s="68">
        <v>6000</v>
      </c>
      <c r="N248" s="8">
        <f>+M248*L248</f>
        <v>180000</v>
      </c>
      <c r="O248" s="5">
        <f>+N248/1.1</f>
        <v>163636.36363636362</v>
      </c>
      <c r="P248" s="5">
        <f>+N248-O248</f>
        <v>16363.636363636382</v>
      </c>
      <c r="Q248" s="5">
        <f>+N248</f>
        <v>180000</v>
      </c>
      <c r="R248" s="7">
        <v>24</v>
      </c>
      <c r="S248" s="7" t="s">
        <v>296</v>
      </c>
    </row>
    <row r="249" spans="2:19" ht="24" customHeight="1" x14ac:dyDescent="0.4">
      <c r="B249" s="8" t="s">
        <v>26</v>
      </c>
      <c r="C249" s="8" t="s">
        <v>27</v>
      </c>
      <c r="D249" s="16" t="s">
        <v>28</v>
      </c>
      <c r="H249" s="4">
        <v>624</v>
      </c>
      <c r="I249" s="21" t="s">
        <v>297</v>
      </c>
      <c r="J249" s="4">
        <v>11.25</v>
      </c>
      <c r="K249" s="4" t="s">
        <v>298</v>
      </c>
      <c r="L249" s="5">
        <v>10</v>
      </c>
      <c r="M249" s="68">
        <v>5000</v>
      </c>
      <c r="N249" s="8">
        <f>+M249*L249</f>
        <v>50000</v>
      </c>
      <c r="Q249" s="5">
        <f>+N249</f>
        <v>50000</v>
      </c>
      <c r="R249" s="7">
        <v>25</v>
      </c>
      <c r="S249" s="4" t="s">
        <v>299</v>
      </c>
    </row>
    <row r="250" spans="2:19" ht="24" customHeight="1" x14ac:dyDescent="0.4"/>
    <row r="251" spans="2:19" ht="24" customHeight="1" x14ac:dyDescent="0.4">
      <c r="B251" s="8" t="s">
        <v>26</v>
      </c>
      <c r="C251" s="8" t="s">
        <v>27</v>
      </c>
      <c r="D251" s="16" t="s">
        <v>28</v>
      </c>
      <c r="H251" s="4">
        <v>550</v>
      </c>
      <c r="I251" s="21" t="s">
        <v>48</v>
      </c>
      <c r="J251" s="4">
        <v>11.25</v>
      </c>
      <c r="K251" s="4" t="s">
        <v>214</v>
      </c>
      <c r="L251" s="5">
        <v>165</v>
      </c>
      <c r="M251" s="68">
        <v>6000</v>
      </c>
      <c r="N251" s="8">
        <f>+M251*L251</f>
        <v>990000</v>
      </c>
      <c r="Q251" s="5">
        <f>+N251</f>
        <v>990000</v>
      </c>
      <c r="S251" s="21" t="s">
        <v>48</v>
      </c>
    </row>
    <row r="252" spans="2:19" ht="24" customHeight="1" x14ac:dyDescent="0.4">
      <c r="B252" s="8" t="s">
        <v>26</v>
      </c>
      <c r="C252" s="8" t="s">
        <v>27</v>
      </c>
      <c r="D252" s="15" t="s">
        <v>23</v>
      </c>
      <c r="H252" s="4">
        <v>550</v>
      </c>
      <c r="I252" s="21" t="s">
        <v>48</v>
      </c>
      <c r="J252" s="4">
        <v>11.25</v>
      </c>
      <c r="K252" s="4" t="s">
        <v>300</v>
      </c>
      <c r="L252" s="5">
        <v>1</v>
      </c>
      <c r="M252" s="68">
        <v>18000</v>
      </c>
      <c r="N252" s="8">
        <f>+M252*L252</f>
        <v>18000</v>
      </c>
      <c r="O252" s="5">
        <f>+N252/1.1</f>
        <v>16363.636363636362</v>
      </c>
      <c r="P252" s="5">
        <f>+N252-O252</f>
        <v>1636.3636363636379</v>
      </c>
      <c r="Q252" s="5">
        <f>+N252</f>
        <v>18000</v>
      </c>
      <c r="S252" s="21" t="s">
        <v>48</v>
      </c>
    </row>
    <row r="253" spans="2:19" ht="24" customHeight="1" x14ac:dyDescent="0.4">
      <c r="B253" s="8" t="s">
        <v>26</v>
      </c>
      <c r="C253" s="8" t="s">
        <v>27</v>
      </c>
      <c r="D253" s="16" t="s">
        <v>28</v>
      </c>
      <c r="H253" s="4">
        <v>624</v>
      </c>
      <c r="I253" s="21" t="s">
        <v>297</v>
      </c>
      <c r="J253" s="4">
        <v>11.25</v>
      </c>
      <c r="K253" s="4" t="s">
        <v>298</v>
      </c>
      <c r="L253" s="5">
        <v>10</v>
      </c>
      <c r="M253" s="68">
        <v>5000</v>
      </c>
      <c r="N253" s="8">
        <f>+M253*L253</f>
        <v>50000</v>
      </c>
      <c r="Q253" s="5">
        <f>+N253</f>
        <v>50000</v>
      </c>
      <c r="S253" s="21" t="s">
        <v>297</v>
      </c>
    </row>
    <row r="254" spans="2:19" ht="24" customHeight="1" x14ac:dyDescent="0.4">
      <c r="B254" s="8" t="s">
        <v>26</v>
      </c>
      <c r="C254" s="8" t="s">
        <v>27</v>
      </c>
      <c r="D254" s="16" t="s">
        <v>28</v>
      </c>
      <c r="H254" s="4">
        <v>550</v>
      </c>
      <c r="I254" s="21" t="s">
        <v>48</v>
      </c>
      <c r="J254" s="4">
        <v>11.25</v>
      </c>
      <c r="K254" s="4" t="s">
        <v>301</v>
      </c>
      <c r="L254" s="5">
        <v>1</v>
      </c>
      <c r="M254" s="68">
        <v>33000</v>
      </c>
      <c r="N254" s="8">
        <f>+M254*L254</f>
        <v>33000</v>
      </c>
      <c r="Q254" s="5">
        <f>+N254</f>
        <v>33000</v>
      </c>
      <c r="S254" s="21" t="s">
        <v>48</v>
      </c>
    </row>
    <row r="255" spans="2:19" ht="24" customHeight="1" x14ac:dyDescent="0.4">
      <c r="B255" s="8" t="s">
        <v>26</v>
      </c>
      <c r="C255" s="8" t="s">
        <v>27</v>
      </c>
      <c r="D255" s="15" t="s">
        <v>23</v>
      </c>
      <c r="H255" s="4">
        <v>782</v>
      </c>
      <c r="I255" s="21" t="s">
        <v>197</v>
      </c>
      <c r="J255" s="4">
        <v>11.25</v>
      </c>
      <c r="K255" s="4" t="s">
        <v>198</v>
      </c>
      <c r="L255" s="5">
        <v>38</v>
      </c>
      <c r="M255" s="68">
        <v>9000</v>
      </c>
      <c r="N255" s="8">
        <f>+M255*L255</f>
        <v>342000</v>
      </c>
      <c r="O255" s="5">
        <f>+N255/1.1</f>
        <v>310909.09090909088</v>
      </c>
      <c r="P255" s="5">
        <f>+N255-O255</f>
        <v>31090.909090909117</v>
      </c>
      <c r="Q255" s="5">
        <f>+N255</f>
        <v>342000</v>
      </c>
      <c r="R255" s="40" t="s">
        <v>302</v>
      </c>
      <c r="S255" s="21" t="s">
        <v>197</v>
      </c>
    </row>
    <row r="256" spans="2:19" ht="24" customHeight="1" x14ac:dyDescent="0.4">
      <c r="B256" s="8" t="s">
        <v>26</v>
      </c>
      <c r="C256" s="8" t="s">
        <v>27</v>
      </c>
      <c r="D256" s="15" t="s">
        <v>23</v>
      </c>
      <c r="H256" s="4">
        <v>829</v>
      </c>
      <c r="I256" s="21" t="s">
        <v>201</v>
      </c>
      <c r="J256" s="4">
        <v>11.25</v>
      </c>
      <c r="K256" s="4" t="s">
        <v>198</v>
      </c>
      <c r="L256" s="5">
        <v>10</v>
      </c>
      <c r="M256" s="68">
        <v>9000</v>
      </c>
      <c r="N256" s="8">
        <f>+M256*L256</f>
        <v>90000</v>
      </c>
      <c r="O256" s="5">
        <f>+N256/1.1</f>
        <v>81818.181818181809</v>
      </c>
      <c r="P256" s="5">
        <f>+N256-O256</f>
        <v>8181.8181818181911</v>
      </c>
      <c r="Q256" s="5">
        <f>+N256</f>
        <v>90000</v>
      </c>
      <c r="R256" s="40" t="s">
        <v>302</v>
      </c>
      <c r="S256" s="21" t="s">
        <v>201</v>
      </c>
    </row>
    <row r="257" spans="2:19" ht="24" customHeight="1" x14ac:dyDescent="0.4"/>
    <row r="258" spans="2:19" ht="24" customHeight="1" x14ac:dyDescent="0.4">
      <c r="B258" s="8" t="s">
        <v>26</v>
      </c>
      <c r="C258" s="8" t="s">
        <v>27</v>
      </c>
      <c r="D258" s="16" t="s">
        <v>28</v>
      </c>
      <c r="H258" s="4">
        <v>2865</v>
      </c>
      <c r="I258" s="22" t="s">
        <v>169</v>
      </c>
      <c r="J258" s="4">
        <v>11.29</v>
      </c>
      <c r="K258" s="6" t="s">
        <v>303</v>
      </c>
      <c r="L258" s="5">
        <v>3</v>
      </c>
      <c r="M258" s="68">
        <f>30000+3000</f>
        <v>33000</v>
      </c>
      <c r="N258" s="8">
        <f>+M258*L258</f>
        <v>99000</v>
      </c>
      <c r="Q258" s="5">
        <f>+N258</f>
        <v>99000</v>
      </c>
    </row>
    <row r="259" spans="2:19" ht="24" customHeight="1" x14ac:dyDescent="0.4"/>
    <row r="260" spans="2:19" ht="24" customHeight="1" x14ac:dyDescent="0.4">
      <c r="B260" s="8" t="s">
        <v>26</v>
      </c>
      <c r="C260" s="8" t="s">
        <v>27</v>
      </c>
      <c r="D260" s="15" t="s">
        <v>23</v>
      </c>
      <c r="H260" s="4">
        <v>182</v>
      </c>
      <c r="I260" s="21" t="s">
        <v>247</v>
      </c>
      <c r="J260" s="4">
        <v>11.3</v>
      </c>
      <c r="K260" s="4" t="s">
        <v>304</v>
      </c>
      <c r="L260" s="5">
        <v>80</v>
      </c>
      <c r="M260" s="69">
        <f>6000-500</f>
        <v>5500</v>
      </c>
      <c r="N260" s="8">
        <f>+M260*L260</f>
        <v>440000</v>
      </c>
      <c r="O260" s="5">
        <f>+N260/1.1</f>
        <v>399999.99999999994</v>
      </c>
      <c r="P260" s="5">
        <f>+N260-O260</f>
        <v>40000.000000000058</v>
      </c>
      <c r="Q260" s="5">
        <f>+N260</f>
        <v>440000</v>
      </c>
    </row>
    <row r="261" spans="2:19" ht="24" customHeight="1" x14ac:dyDescent="0.4">
      <c r="B261" s="8" t="s">
        <v>26</v>
      </c>
      <c r="C261" s="8" t="s">
        <v>27</v>
      </c>
      <c r="D261" s="15" t="s">
        <v>23</v>
      </c>
      <c r="H261" s="4">
        <v>182</v>
      </c>
      <c r="I261" s="21" t="s">
        <v>247</v>
      </c>
      <c r="J261" s="4">
        <v>11.3</v>
      </c>
      <c r="K261" s="35" t="s">
        <v>184</v>
      </c>
      <c r="L261" s="5">
        <v>105</v>
      </c>
      <c r="M261" s="69">
        <f>6000-500</f>
        <v>5500</v>
      </c>
      <c r="N261" s="8">
        <f>+M261*L261</f>
        <v>577500</v>
      </c>
      <c r="O261" s="5">
        <f>+N261/1.1</f>
        <v>525000</v>
      </c>
      <c r="P261" s="5">
        <f>+N261-O261</f>
        <v>52500</v>
      </c>
      <c r="Q261" s="5">
        <f>+N261</f>
        <v>577500</v>
      </c>
    </row>
    <row r="262" spans="2:19" ht="24" customHeight="1" x14ac:dyDescent="0.4"/>
    <row r="263" spans="2:19" ht="24" customHeight="1" x14ac:dyDescent="0.4">
      <c r="B263" s="8" t="s">
        <v>26</v>
      </c>
      <c r="C263" s="8" t="s">
        <v>27</v>
      </c>
      <c r="D263" s="16" t="s">
        <v>28</v>
      </c>
      <c r="H263" s="4">
        <v>150</v>
      </c>
      <c r="I263" s="21" t="s">
        <v>93</v>
      </c>
      <c r="J263" s="4">
        <v>12.02</v>
      </c>
      <c r="K263" s="4" t="s">
        <v>186</v>
      </c>
      <c r="L263" s="5">
        <v>18</v>
      </c>
      <c r="M263" s="68">
        <v>60000</v>
      </c>
      <c r="N263" s="8">
        <f>+M263*L263</f>
        <v>1080000</v>
      </c>
      <c r="Q263" s="5">
        <f>+N263</f>
        <v>1080000</v>
      </c>
    </row>
    <row r="264" spans="2:19" ht="24" customHeight="1" x14ac:dyDescent="0.4"/>
    <row r="265" spans="2:19" ht="24" customHeight="1" x14ac:dyDescent="0.4">
      <c r="B265" s="8" t="s">
        <v>26</v>
      </c>
      <c r="C265" s="8" t="s">
        <v>27</v>
      </c>
      <c r="D265" s="16" t="s">
        <v>28</v>
      </c>
      <c r="H265" s="4">
        <v>1325</v>
      </c>
      <c r="I265" s="22" t="s">
        <v>82</v>
      </c>
      <c r="J265" s="4">
        <v>11.25</v>
      </c>
      <c r="K265" s="42" t="s">
        <v>305</v>
      </c>
      <c r="L265" s="5">
        <v>4</v>
      </c>
      <c r="M265" s="68">
        <f>20000+3000</f>
        <v>23000</v>
      </c>
      <c r="N265" s="8">
        <f>+M265*L265</f>
        <v>92000</v>
      </c>
      <c r="Q265" s="5">
        <f>+N265</f>
        <v>92000</v>
      </c>
      <c r="R265" s="40" t="s">
        <v>50</v>
      </c>
    </row>
    <row r="266" spans="2:19" ht="24" customHeight="1" x14ac:dyDescent="0.4">
      <c r="B266" s="8" t="s">
        <v>26</v>
      </c>
      <c r="C266" s="8" t="s">
        <v>27</v>
      </c>
      <c r="D266" s="16" t="s">
        <v>28</v>
      </c>
      <c r="H266" s="4">
        <v>1325</v>
      </c>
      <c r="I266" s="22" t="s">
        <v>82</v>
      </c>
      <c r="J266" s="4">
        <v>11.29</v>
      </c>
      <c r="K266" s="8" t="s">
        <v>306</v>
      </c>
      <c r="L266" s="5">
        <v>1</v>
      </c>
      <c r="M266" s="68">
        <f>20000+3000</f>
        <v>23000</v>
      </c>
      <c r="N266" s="8">
        <f>+M266*L266</f>
        <v>23000</v>
      </c>
      <c r="Q266" s="5">
        <f>+N266</f>
        <v>23000</v>
      </c>
    </row>
    <row r="267" spans="2:19" ht="24" customHeight="1" x14ac:dyDescent="0.4">
      <c r="B267" s="8" t="s">
        <v>26</v>
      </c>
      <c r="C267" s="8" t="s">
        <v>27</v>
      </c>
      <c r="D267" s="16" t="s">
        <v>28</v>
      </c>
      <c r="H267" s="4">
        <v>1325</v>
      </c>
      <c r="I267" s="22" t="s">
        <v>82</v>
      </c>
      <c r="J267" s="4">
        <v>11.29</v>
      </c>
      <c r="K267" s="8" t="s">
        <v>307</v>
      </c>
      <c r="L267" s="5">
        <v>1</v>
      </c>
      <c r="M267" s="68">
        <f>20000+3000</f>
        <v>23000</v>
      </c>
      <c r="N267" s="8">
        <f>+M267*L267</f>
        <v>23000</v>
      </c>
      <c r="Q267" s="5">
        <f>+N267</f>
        <v>23000</v>
      </c>
    </row>
    <row r="268" spans="2:19" ht="24" customHeight="1" x14ac:dyDescent="0.4"/>
    <row r="269" spans="2:19" ht="24" customHeight="1" x14ac:dyDescent="0.4">
      <c r="B269" s="8" t="s">
        <v>26</v>
      </c>
      <c r="C269" s="8" t="s">
        <v>27</v>
      </c>
      <c r="D269" s="15" t="s">
        <v>23</v>
      </c>
      <c r="H269" s="4">
        <v>605</v>
      </c>
      <c r="I269" s="21" t="s">
        <v>177</v>
      </c>
      <c r="J269" s="4">
        <v>12.01</v>
      </c>
      <c r="K269" s="6" t="s">
        <v>308</v>
      </c>
      <c r="L269" s="5">
        <v>55</v>
      </c>
      <c r="M269" s="68">
        <v>5000</v>
      </c>
      <c r="N269" s="8">
        <f>+M269*L269</f>
        <v>275000</v>
      </c>
      <c r="O269" s="5">
        <f>+N269/1.1</f>
        <v>249999.99999999997</v>
      </c>
      <c r="P269" s="5">
        <f>+N269-O269</f>
        <v>25000.000000000029</v>
      </c>
      <c r="Q269" s="5">
        <f>+N269</f>
        <v>275000</v>
      </c>
    </row>
    <row r="270" spans="2:19" ht="24" customHeight="1" x14ac:dyDescent="0.4">
      <c r="B270" s="8" t="s">
        <v>26</v>
      </c>
      <c r="C270" s="8" t="s">
        <v>27</v>
      </c>
      <c r="D270" s="16" t="s">
        <v>28</v>
      </c>
      <c r="H270" s="4">
        <v>1325</v>
      </c>
      <c r="I270" s="22" t="s">
        <v>82</v>
      </c>
      <c r="J270" s="4">
        <v>12.02</v>
      </c>
      <c r="K270" s="6" t="s">
        <v>309</v>
      </c>
      <c r="L270" s="5">
        <v>17</v>
      </c>
      <c r="M270" s="68">
        <v>23000</v>
      </c>
      <c r="N270" s="8">
        <f>+M270*L270</f>
        <v>391000</v>
      </c>
      <c r="Q270" s="5">
        <f>+N270</f>
        <v>391000</v>
      </c>
      <c r="R270" s="40" t="s">
        <v>310</v>
      </c>
      <c r="S270" s="40" t="s">
        <v>310</v>
      </c>
    </row>
    <row r="271" spans="2:19" ht="24" customHeight="1" x14ac:dyDescent="0.4">
      <c r="B271" s="8" t="s">
        <v>26</v>
      </c>
      <c r="C271" s="8" t="s">
        <v>27</v>
      </c>
      <c r="D271" s="16" t="s">
        <v>28</v>
      </c>
      <c r="H271" s="4">
        <v>1325</v>
      </c>
      <c r="I271" s="22" t="s">
        <v>82</v>
      </c>
      <c r="J271" s="4">
        <v>12.02</v>
      </c>
      <c r="K271" s="6" t="s">
        <v>309</v>
      </c>
      <c r="L271" s="5">
        <v>17</v>
      </c>
      <c r="M271" s="68">
        <v>23000</v>
      </c>
      <c r="N271" s="8">
        <f>+M271*L271</f>
        <v>391000</v>
      </c>
      <c r="Q271" s="5">
        <f>+N271</f>
        <v>391000</v>
      </c>
      <c r="R271" s="40" t="s">
        <v>310</v>
      </c>
      <c r="S271" s="40" t="s">
        <v>310</v>
      </c>
    </row>
    <row r="272" spans="2:19" ht="24" customHeight="1" x14ac:dyDescent="0.4">
      <c r="B272" s="8" t="s">
        <v>26</v>
      </c>
      <c r="C272" s="8" t="s">
        <v>27</v>
      </c>
      <c r="D272" s="16" t="s">
        <v>28</v>
      </c>
      <c r="H272" s="4">
        <v>1324</v>
      </c>
      <c r="I272" s="21" t="s">
        <v>96</v>
      </c>
      <c r="J272" s="4">
        <v>12.02</v>
      </c>
      <c r="K272" s="6" t="s">
        <v>309</v>
      </c>
      <c r="L272" s="5">
        <v>16</v>
      </c>
      <c r="M272" s="68">
        <v>23000</v>
      </c>
      <c r="N272" s="8">
        <f>+M272*L272</f>
        <v>368000</v>
      </c>
      <c r="Q272" s="5">
        <f>+N272</f>
        <v>368000</v>
      </c>
      <c r="R272" s="40" t="s">
        <v>311</v>
      </c>
      <c r="S272" s="40" t="s">
        <v>312</v>
      </c>
    </row>
    <row r="273" spans="2:19" ht="24" customHeight="1" x14ac:dyDescent="0.4">
      <c r="B273" s="8" t="s">
        <v>26</v>
      </c>
      <c r="C273" s="8" t="s">
        <v>27</v>
      </c>
      <c r="D273" s="16" t="s">
        <v>28</v>
      </c>
      <c r="H273" s="4">
        <v>1324</v>
      </c>
      <c r="I273" s="21" t="s">
        <v>96</v>
      </c>
      <c r="J273" s="4">
        <v>12.02</v>
      </c>
      <c r="K273" s="6" t="s">
        <v>309</v>
      </c>
      <c r="L273" s="5">
        <v>16</v>
      </c>
      <c r="M273" s="68">
        <v>23000</v>
      </c>
      <c r="N273" s="8">
        <f>+M273*L273</f>
        <v>368000</v>
      </c>
      <c r="Q273" s="5">
        <f>+N273</f>
        <v>368000</v>
      </c>
      <c r="R273" s="40" t="s">
        <v>311</v>
      </c>
      <c r="S273" s="40" t="s">
        <v>312</v>
      </c>
    </row>
    <row r="274" spans="2:19" ht="24" customHeight="1" x14ac:dyDescent="0.4"/>
    <row r="275" spans="2:19" ht="24" customHeight="1" x14ac:dyDescent="0.4">
      <c r="B275" s="8" t="s">
        <v>26</v>
      </c>
      <c r="C275" s="8" t="s">
        <v>27</v>
      </c>
      <c r="D275" s="16" t="s">
        <v>28</v>
      </c>
      <c r="H275" s="4">
        <v>1324</v>
      </c>
      <c r="I275" s="21" t="s">
        <v>96</v>
      </c>
      <c r="J275" s="4">
        <v>12.03</v>
      </c>
      <c r="K275" s="6" t="s">
        <v>309</v>
      </c>
      <c r="L275" s="5">
        <f>2+1</f>
        <v>3</v>
      </c>
      <c r="M275" s="68">
        <v>23000</v>
      </c>
      <c r="N275" s="8">
        <f>+M275*L275</f>
        <v>69000</v>
      </c>
      <c r="Q275" s="5">
        <f>+N275</f>
        <v>69000</v>
      </c>
    </row>
    <row r="276" spans="2:19" ht="24" customHeight="1" x14ac:dyDescent="0.4">
      <c r="B276" s="8" t="s">
        <v>26</v>
      </c>
      <c r="C276" s="8" t="s">
        <v>27</v>
      </c>
      <c r="D276" s="16" t="s">
        <v>28</v>
      </c>
      <c r="H276" s="4">
        <v>1324</v>
      </c>
      <c r="I276" s="21" t="s">
        <v>96</v>
      </c>
      <c r="J276" s="4">
        <v>12.03</v>
      </c>
      <c r="K276" s="6" t="s">
        <v>309</v>
      </c>
      <c r="L276" s="5">
        <v>-1</v>
      </c>
      <c r="M276" s="73">
        <v>23000</v>
      </c>
      <c r="N276" s="8">
        <f>+M276*L276</f>
        <v>-23000</v>
      </c>
      <c r="Q276" s="5">
        <f>+N276</f>
        <v>-23000</v>
      </c>
    </row>
    <row r="277" spans="2:19" ht="24" customHeight="1" x14ac:dyDescent="0.4">
      <c r="B277" s="8" t="s">
        <v>26</v>
      </c>
      <c r="C277" s="8" t="s">
        <v>27</v>
      </c>
      <c r="D277" s="16" t="s">
        <v>28</v>
      </c>
      <c r="H277" s="4">
        <v>1325</v>
      </c>
      <c r="I277" s="22" t="s">
        <v>82</v>
      </c>
      <c r="J277" s="4">
        <v>12.03</v>
      </c>
      <c r="K277" s="6" t="s">
        <v>309</v>
      </c>
      <c r="L277" s="5">
        <v>2</v>
      </c>
      <c r="M277" s="68">
        <v>23000</v>
      </c>
      <c r="N277" s="8">
        <f>+M277*L277</f>
        <v>46000</v>
      </c>
      <c r="Q277" s="5">
        <f>+N277</f>
        <v>46000</v>
      </c>
    </row>
    <row r="278" spans="2:19" ht="24" customHeight="1" x14ac:dyDescent="0.4">
      <c r="B278" s="8" t="s">
        <v>26</v>
      </c>
      <c r="C278" s="8" t="s">
        <v>27</v>
      </c>
      <c r="D278" s="15" t="s">
        <v>23</v>
      </c>
      <c r="H278" s="4">
        <v>782</v>
      </c>
      <c r="I278" s="21" t="s">
        <v>197</v>
      </c>
      <c r="J278" s="4">
        <v>12.03</v>
      </c>
      <c r="K278" s="32" t="s">
        <v>198</v>
      </c>
      <c r="L278" s="5">
        <v>30</v>
      </c>
      <c r="M278" s="68">
        <v>9000</v>
      </c>
      <c r="N278" s="8">
        <f>+M278*L278</f>
        <v>270000</v>
      </c>
      <c r="O278" s="5">
        <f>+N278/1.1</f>
        <v>245454.54545454544</v>
      </c>
      <c r="P278" s="5">
        <f>+N278-O278</f>
        <v>24545.454545454559</v>
      </c>
      <c r="Q278" s="5">
        <f>+N278</f>
        <v>270000</v>
      </c>
    </row>
    <row r="279" spans="2:19" ht="24" customHeight="1" x14ac:dyDescent="0.4">
      <c r="B279" s="8" t="s">
        <v>26</v>
      </c>
      <c r="C279" s="8" t="s">
        <v>27</v>
      </c>
      <c r="D279" s="15" t="s">
        <v>23</v>
      </c>
      <c r="H279" s="4">
        <v>550</v>
      </c>
      <c r="I279" s="21" t="s">
        <v>48</v>
      </c>
      <c r="J279" s="4">
        <v>12.06</v>
      </c>
      <c r="K279" s="6" t="s">
        <v>313</v>
      </c>
      <c r="L279" s="5">
        <v>37</v>
      </c>
      <c r="M279" s="68">
        <v>5000</v>
      </c>
      <c r="N279" s="8">
        <f>+M279*L279</f>
        <v>185000</v>
      </c>
      <c r="O279" s="5">
        <f>+N279/1.1</f>
        <v>168181.81818181818</v>
      </c>
      <c r="P279" s="5">
        <f>+N279-O279</f>
        <v>16818.181818181823</v>
      </c>
      <c r="Q279" s="5">
        <f>+N279</f>
        <v>185000</v>
      </c>
    </row>
    <row r="280" spans="2:19" ht="24" customHeight="1" x14ac:dyDescent="0.4">
      <c r="B280" s="8" t="s">
        <v>26</v>
      </c>
      <c r="C280" s="8" t="s">
        <v>27</v>
      </c>
      <c r="D280" s="15" t="s">
        <v>23</v>
      </c>
      <c r="H280" s="4">
        <v>550</v>
      </c>
      <c r="I280" s="21" t="s">
        <v>48</v>
      </c>
      <c r="J280" s="4">
        <v>12.06</v>
      </c>
      <c r="K280" s="6" t="s">
        <v>313</v>
      </c>
      <c r="L280" s="5">
        <v>37</v>
      </c>
      <c r="M280" s="68">
        <v>5000</v>
      </c>
      <c r="N280" s="8">
        <f>+M280*L280</f>
        <v>185000</v>
      </c>
      <c r="O280" s="5">
        <f>+N280/1.1</f>
        <v>168181.81818181818</v>
      </c>
      <c r="P280" s="5">
        <f>+N280-O280</f>
        <v>16818.181818181823</v>
      </c>
      <c r="Q280" s="5">
        <f>+N280</f>
        <v>185000</v>
      </c>
    </row>
    <row r="281" spans="2:19" ht="24" customHeight="1" x14ac:dyDescent="0.4">
      <c r="B281" s="8" t="s">
        <v>26</v>
      </c>
      <c r="C281" s="8" t="s">
        <v>27</v>
      </c>
      <c r="D281" s="16" t="s">
        <v>28</v>
      </c>
      <c r="H281" s="4">
        <v>150</v>
      </c>
      <c r="I281" s="21" t="s">
        <v>93</v>
      </c>
      <c r="J281" s="4">
        <v>12.06</v>
      </c>
      <c r="K281" s="4" t="s">
        <v>186</v>
      </c>
      <c r="L281" s="5">
        <f>18+0</f>
        <v>18</v>
      </c>
      <c r="M281" s="68">
        <v>60000</v>
      </c>
      <c r="N281" s="8">
        <f>+M281*L281</f>
        <v>1080000</v>
      </c>
      <c r="Q281" s="5">
        <f>+N281</f>
        <v>1080000</v>
      </c>
    </row>
    <row r="282" spans="2:19" ht="24" customHeight="1" x14ac:dyDescent="0.4">
      <c r="B282" s="8" t="s">
        <v>26</v>
      </c>
      <c r="C282" s="8" t="s">
        <v>27</v>
      </c>
      <c r="D282" s="15" t="s">
        <v>23</v>
      </c>
      <c r="H282" s="4">
        <v>291</v>
      </c>
      <c r="I282" s="22" t="s">
        <v>314</v>
      </c>
      <c r="J282" s="4">
        <v>12.06</v>
      </c>
      <c r="K282" s="35" t="s">
        <v>315</v>
      </c>
      <c r="L282" s="5">
        <v>37</v>
      </c>
      <c r="M282" s="68">
        <v>6000</v>
      </c>
      <c r="N282" s="8">
        <f>+M282*L282</f>
        <v>222000</v>
      </c>
      <c r="O282" s="5">
        <f>+N282/1.1</f>
        <v>201818.18181818179</v>
      </c>
      <c r="P282" s="5">
        <f>+N282-O282</f>
        <v>20181.818181818206</v>
      </c>
      <c r="Q282" s="5">
        <f>+N282</f>
        <v>222000</v>
      </c>
    </row>
    <row r="283" spans="2:19" ht="24" customHeight="1" x14ac:dyDescent="0.4"/>
    <row r="284" spans="2:19" ht="24" customHeight="1" x14ac:dyDescent="0.4">
      <c r="B284" s="8" t="s">
        <v>26</v>
      </c>
      <c r="C284" s="8" t="s">
        <v>27</v>
      </c>
      <c r="D284" s="15" t="s">
        <v>23</v>
      </c>
      <c r="H284" s="4">
        <v>182</v>
      </c>
      <c r="I284" s="21" t="s">
        <v>247</v>
      </c>
      <c r="J284" s="4">
        <v>12.07</v>
      </c>
      <c r="K284" s="35" t="s">
        <v>315</v>
      </c>
      <c r="L284" s="5">
        <v>30</v>
      </c>
      <c r="M284" s="69">
        <f>6000-500</f>
        <v>5500</v>
      </c>
      <c r="N284" s="8">
        <f>+M284*L284</f>
        <v>165000</v>
      </c>
      <c r="O284" s="5">
        <f>+N284/1.1</f>
        <v>150000</v>
      </c>
      <c r="P284" s="5">
        <f>+N284-O284</f>
        <v>15000</v>
      </c>
      <c r="Q284" s="5">
        <f>+N284</f>
        <v>165000</v>
      </c>
      <c r="S284" s="4" t="s">
        <v>249</v>
      </c>
    </row>
    <row r="285" spans="2:19" ht="24" customHeight="1" x14ac:dyDescent="0.4">
      <c r="B285" s="8" t="s">
        <v>26</v>
      </c>
      <c r="C285" s="8" t="s">
        <v>27</v>
      </c>
      <c r="D285" s="15" t="s">
        <v>23</v>
      </c>
      <c r="H285" s="4">
        <v>291</v>
      </c>
      <c r="I285" s="22" t="s">
        <v>314</v>
      </c>
      <c r="J285" s="4">
        <v>12.07</v>
      </c>
      <c r="K285" s="35" t="s">
        <v>315</v>
      </c>
      <c r="L285" s="5">
        <v>37</v>
      </c>
      <c r="M285" s="68">
        <v>6000</v>
      </c>
      <c r="N285" s="8">
        <f>+M285*L285</f>
        <v>222000</v>
      </c>
      <c r="O285" s="5">
        <f>+N285/1.1</f>
        <v>201818.18181818179</v>
      </c>
      <c r="P285" s="5">
        <f>+N285-O285</f>
        <v>20181.818181818206</v>
      </c>
      <c r="Q285" s="5">
        <f>+N285</f>
        <v>222000</v>
      </c>
      <c r="S285" s="7" t="s">
        <v>316</v>
      </c>
    </row>
    <row r="286" spans="2:19" ht="24" customHeight="1" x14ac:dyDescent="0.4">
      <c r="B286" s="8" t="s">
        <v>26</v>
      </c>
      <c r="C286" s="8" t="s">
        <v>27</v>
      </c>
      <c r="D286" s="15" t="s">
        <v>23</v>
      </c>
      <c r="H286" s="4">
        <v>1634</v>
      </c>
      <c r="I286" s="21" t="s">
        <v>317</v>
      </c>
      <c r="J286" s="4">
        <v>12.07</v>
      </c>
      <c r="K286" s="43" t="s">
        <v>318</v>
      </c>
      <c r="L286" s="5">
        <v>23</v>
      </c>
      <c r="M286" s="68">
        <v>7000</v>
      </c>
      <c r="N286" s="8">
        <f>+M286*L286</f>
        <v>161000</v>
      </c>
      <c r="O286" s="5">
        <f>+N286/1.1</f>
        <v>146363.63636363635</v>
      </c>
      <c r="P286" s="5">
        <f>+N286-O286</f>
        <v>14636.363636363647</v>
      </c>
      <c r="Q286" s="5">
        <f>+N286</f>
        <v>161000</v>
      </c>
      <c r="S286" s="7" t="s">
        <v>319</v>
      </c>
    </row>
    <row r="287" spans="2:19" ht="24" customHeight="1" x14ac:dyDescent="0.4">
      <c r="B287" s="8" t="s">
        <v>26</v>
      </c>
      <c r="C287" s="8" t="s">
        <v>27</v>
      </c>
      <c r="D287" s="15" t="s">
        <v>23</v>
      </c>
      <c r="H287" s="4">
        <v>1025</v>
      </c>
      <c r="I287" s="21" t="s">
        <v>320</v>
      </c>
      <c r="J287" s="4">
        <v>12.07</v>
      </c>
      <c r="K287" s="29" t="s">
        <v>321</v>
      </c>
      <c r="L287" s="5">
        <v>22</v>
      </c>
      <c r="M287" s="68">
        <f>5000+3000</f>
        <v>8000</v>
      </c>
      <c r="N287" s="8">
        <f>+M287*L287</f>
        <v>176000</v>
      </c>
      <c r="O287" s="5">
        <f>+N287/1.1</f>
        <v>160000</v>
      </c>
      <c r="P287" s="5">
        <f>+N287-O287</f>
        <v>16000</v>
      </c>
      <c r="Q287" s="5">
        <f>+N287</f>
        <v>176000</v>
      </c>
      <c r="R287" s="40" t="s">
        <v>50</v>
      </c>
      <c r="S287" s="7" t="s">
        <v>322</v>
      </c>
    </row>
    <row r="288" spans="2:19" ht="24" customHeight="1" x14ac:dyDescent="0.4">
      <c r="B288" s="7" t="s">
        <v>323</v>
      </c>
      <c r="C288" s="8" t="s">
        <v>27</v>
      </c>
      <c r="D288" s="15" t="s">
        <v>23</v>
      </c>
      <c r="H288" s="4">
        <v>453</v>
      </c>
      <c r="I288" s="21" t="s">
        <v>324</v>
      </c>
      <c r="J288" s="4">
        <v>12.08</v>
      </c>
      <c r="K288" s="29" t="s">
        <v>325</v>
      </c>
      <c r="L288" s="5">
        <v>33</v>
      </c>
      <c r="M288" s="68">
        <v>12000</v>
      </c>
      <c r="N288" s="8">
        <f>+M288*L288</f>
        <v>396000</v>
      </c>
      <c r="O288" s="5">
        <f>+N288/1.1</f>
        <v>360000</v>
      </c>
      <c r="P288" s="5">
        <f>+N288-O288</f>
        <v>36000</v>
      </c>
      <c r="Q288" s="5">
        <f>+N288</f>
        <v>396000</v>
      </c>
      <c r="R288" s="7">
        <v>12.08</v>
      </c>
      <c r="S288" s="4" t="s">
        <v>326</v>
      </c>
    </row>
    <row r="289" spans="2:19" ht="24" customHeight="1" x14ac:dyDescent="0.4">
      <c r="B289" s="7" t="s">
        <v>258</v>
      </c>
      <c r="C289" s="8" t="s">
        <v>27</v>
      </c>
      <c r="D289" s="15" t="s">
        <v>23</v>
      </c>
      <c r="H289" s="4">
        <v>157</v>
      </c>
      <c r="I289" s="22" t="s">
        <v>259</v>
      </c>
      <c r="J289" s="4">
        <v>12.14</v>
      </c>
      <c r="K289" s="32" t="s">
        <v>214</v>
      </c>
      <c r="L289" s="5">
        <v>314</v>
      </c>
      <c r="M289" s="68">
        <v>6000</v>
      </c>
      <c r="N289" s="8">
        <f>+M289*L289</f>
        <v>1884000</v>
      </c>
      <c r="O289" s="5">
        <f>+N289/1.1</f>
        <v>1712727.2727272725</v>
      </c>
      <c r="P289" s="5">
        <f>+N289-O289</f>
        <v>171272.72727272753</v>
      </c>
      <c r="Q289" s="5">
        <f>+N289</f>
        <v>1884000</v>
      </c>
      <c r="R289" s="7">
        <v>12.14</v>
      </c>
      <c r="S289" s="7" t="s">
        <v>327</v>
      </c>
    </row>
    <row r="290" spans="2:19" ht="24" customHeight="1" x14ac:dyDescent="0.4">
      <c r="B290" s="8" t="s">
        <v>26</v>
      </c>
      <c r="C290" s="8" t="s">
        <v>27</v>
      </c>
      <c r="D290" s="16" t="s">
        <v>28</v>
      </c>
      <c r="H290" s="4">
        <v>2634</v>
      </c>
      <c r="I290" s="22" t="s">
        <v>119</v>
      </c>
      <c r="J290" s="4">
        <v>12.08</v>
      </c>
      <c r="K290" s="7" t="s">
        <v>328</v>
      </c>
      <c r="L290" s="5">
        <v>19</v>
      </c>
      <c r="M290" s="68">
        <f>6000+3000</f>
        <v>9000</v>
      </c>
      <c r="N290" s="8">
        <f>+M290*L290</f>
        <v>171000</v>
      </c>
      <c r="O290" s="5">
        <f>+N290/1.1</f>
        <v>155454.54545454544</v>
      </c>
      <c r="P290" s="5">
        <f>+N290-O290</f>
        <v>15545.454545454559</v>
      </c>
      <c r="Q290" s="5">
        <f>+N290</f>
        <v>171000</v>
      </c>
      <c r="R290" s="40" t="s">
        <v>50</v>
      </c>
      <c r="S290" s="4" t="s">
        <v>121</v>
      </c>
    </row>
    <row r="291" spans="2:19" ht="24" customHeight="1" x14ac:dyDescent="0.4">
      <c r="B291" s="8" t="s">
        <v>26</v>
      </c>
      <c r="C291" s="8" t="s">
        <v>27</v>
      </c>
      <c r="D291" s="16" t="s">
        <v>28</v>
      </c>
      <c r="H291" s="4">
        <v>148</v>
      </c>
      <c r="I291" s="21" t="s">
        <v>115</v>
      </c>
      <c r="J291" s="4">
        <v>12.09</v>
      </c>
      <c r="K291" s="32" t="s">
        <v>329</v>
      </c>
      <c r="L291" s="5">
        <v>1</v>
      </c>
      <c r="M291" s="68">
        <f>12000+3000</f>
        <v>15000</v>
      </c>
      <c r="N291" s="8">
        <f>+M291*L291</f>
        <v>15000</v>
      </c>
      <c r="Q291" s="5">
        <f>+N291</f>
        <v>15000</v>
      </c>
      <c r="R291" s="4" t="s">
        <v>58</v>
      </c>
      <c r="S291" s="7" t="s">
        <v>117</v>
      </c>
    </row>
    <row r="292" spans="2:19" ht="24" customHeight="1" x14ac:dyDescent="0.4"/>
    <row r="293" spans="2:19" ht="24" customHeight="1" x14ac:dyDescent="0.4">
      <c r="B293" s="8" t="s">
        <v>26</v>
      </c>
      <c r="C293" s="8" t="s">
        <v>27</v>
      </c>
      <c r="D293" s="16" t="s">
        <v>28</v>
      </c>
      <c r="H293" s="4">
        <v>148</v>
      </c>
      <c r="I293" s="21" t="s">
        <v>115</v>
      </c>
      <c r="J293" s="4">
        <v>12.1</v>
      </c>
      <c r="K293" s="32" t="s">
        <v>330</v>
      </c>
      <c r="L293" s="5">
        <v>1</v>
      </c>
      <c r="M293" s="68">
        <f>12000+3000</f>
        <v>15000</v>
      </c>
      <c r="N293" s="8">
        <f>+M293*L293</f>
        <v>15000</v>
      </c>
      <c r="Q293" s="5">
        <f>+N293</f>
        <v>15000</v>
      </c>
      <c r="R293" s="4" t="s">
        <v>58</v>
      </c>
      <c r="S293" s="7" t="s">
        <v>117</v>
      </c>
    </row>
    <row r="294" spans="2:19" ht="24" customHeight="1" x14ac:dyDescent="0.4">
      <c r="B294" s="8" t="s">
        <v>26</v>
      </c>
      <c r="C294" s="8" t="s">
        <v>27</v>
      </c>
      <c r="D294" s="16" t="s">
        <v>28</v>
      </c>
      <c r="H294" s="4">
        <v>550</v>
      </c>
      <c r="I294" s="21" t="s">
        <v>48</v>
      </c>
      <c r="J294" s="4">
        <v>12.1</v>
      </c>
      <c r="K294" s="32" t="s">
        <v>331</v>
      </c>
      <c r="L294" s="5">
        <v>1</v>
      </c>
      <c r="M294" s="68">
        <f>12000+3000</f>
        <v>15000</v>
      </c>
      <c r="N294" s="8">
        <f>+M294*L294</f>
        <v>15000</v>
      </c>
      <c r="Q294" s="5">
        <f>+N294</f>
        <v>15000</v>
      </c>
      <c r="R294" s="4" t="s">
        <v>58</v>
      </c>
      <c r="S294" s="7" t="s">
        <v>51</v>
      </c>
    </row>
    <row r="295" spans="2:19" ht="24" customHeight="1" x14ac:dyDescent="0.4">
      <c r="B295" s="8" t="s">
        <v>26</v>
      </c>
      <c r="C295" s="8" t="s">
        <v>27</v>
      </c>
      <c r="D295" s="15" t="s">
        <v>23</v>
      </c>
      <c r="H295" s="4">
        <v>1331</v>
      </c>
      <c r="I295" s="21" t="s">
        <v>332</v>
      </c>
      <c r="J295" s="4">
        <v>12.1</v>
      </c>
      <c r="K295" s="29" t="s">
        <v>333</v>
      </c>
      <c r="L295" s="5">
        <v>30</v>
      </c>
      <c r="M295" s="68">
        <f>5000+3000</f>
        <v>8000</v>
      </c>
      <c r="N295" s="8">
        <f>+M295*L295</f>
        <v>240000</v>
      </c>
      <c r="O295" s="5">
        <f>+N295/1.1</f>
        <v>218181.81818181818</v>
      </c>
      <c r="P295" s="5">
        <f>+N295-O295</f>
        <v>21818.181818181823</v>
      </c>
      <c r="Q295" s="5">
        <f>+N295</f>
        <v>240000</v>
      </c>
      <c r="R295" s="40" t="s">
        <v>50</v>
      </c>
      <c r="S295" s="4" t="s">
        <v>334</v>
      </c>
    </row>
    <row r="296" spans="2:19" ht="24" customHeight="1" x14ac:dyDescent="0.4">
      <c r="B296" s="8" t="s">
        <v>26</v>
      </c>
      <c r="C296" s="8" t="s">
        <v>27</v>
      </c>
      <c r="D296" s="15" t="s">
        <v>23</v>
      </c>
      <c r="H296" s="4">
        <v>1356</v>
      </c>
      <c r="I296" s="21" t="s">
        <v>335</v>
      </c>
      <c r="J296" s="4">
        <v>12.1</v>
      </c>
      <c r="K296" s="29" t="s">
        <v>336</v>
      </c>
      <c r="L296" s="5">
        <v>22</v>
      </c>
      <c r="M296" s="68">
        <f>5000+3000</f>
        <v>8000</v>
      </c>
      <c r="N296" s="8">
        <f>+M296*L296</f>
        <v>176000</v>
      </c>
      <c r="O296" s="5">
        <f>+N296/1.1</f>
        <v>160000</v>
      </c>
      <c r="P296" s="5">
        <f>+N296-O296</f>
        <v>16000</v>
      </c>
      <c r="Q296" s="5">
        <f>+N296</f>
        <v>176000</v>
      </c>
      <c r="R296" s="40" t="s">
        <v>50</v>
      </c>
      <c r="S296" s="7" t="s">
        <v>337</v>
      </c>
    </row>
    <row r="297" spans="2:19" ht="24" customHeight="1" x14ac:dyDescent="0.4">
      <c r="B297" s="8" t="s">
        <v>26</v>
      </c>
      <c r="C297" s="8" t="s">
        <v>27</v>
      </c>
      <c r="D297" s="15" t="s">
        <v>23</v>
      </c>
      <c r="H297" s="4">
        <v>1025</v>
      </c>
      <c r="I297" s="21" t="s">
        <v>320</v>
      </c>
      <c r="J297" s="4">
        <v>12.1</v>
      </c>
      <c r="K297" s="29" t="s">
        <v>336</v>
      </c>
      <c r="L297" s="5">
        <v>1</v>
      </c>
      <c r="M297" s="68">
        <f>5000+3000</f>
        <v>8000</v>
      </c>
      <c r="N297" s="8">
        <f>+M297*L297</f>
        <v>8000</v>
      </c>
      <c r="O297" s="5">
        <f>+N297/1.1</f>
        <v>7272.7272727272721</v>
      </c>
      <c r="P297" s="5">
        <f>+N297-O297</f>
        <v>727.27272727272793</v>
      </c>
      <c r="Q297" s="5">
        <f>+N297</f>
        <v>8000</v>
      </c>
      <c r="R297" s="40" t="s">
        <v>338</v>
      </c>
      <c r="S297" s="7" t="s">
        <v>322</v>
      </c>
    </row>
    <row r="298" spans="2:19" ht="24" customHeight="1" x14ac:dyDescent="0.4"/>
    <row r="299" spans="2:19" ht="24" customHeight="1" x14ac:dyDescent="0.4">
      <c r="B299" s="8" t="s">
        <v>26</v>
      </c>
      <c r="C299" s="8" t="s">
        <v>27</v>
      </c>
      <c r="D299" s="15" t="s">
        <v>23</v>
      </c>
      <c r="H299" s="4">
        <v>1324</v>
      </c>
      <c r="I299" s="21" t="s">
        <v>96</v>
      </c>
      <c r="J299" s="4">
        <v>12.1</v>
      </c>
      <c r="K299" s="4" t="s">
        <v>339</v>
      </c>
      <c r="L299" s="5">
        <v>3</v>
      </c>
      <c r="M299" s="68">
        <f>8000+3000</f>
        <v>11000</v>
      </c>
      <c r="N299" s="8">
        <f>+M299*L299</f>
        <v>33000</v>
      </c>
      <c r="O299" s="5">
        <f>+N299/1.1</f>
        <v>29999.999999999996</v>
      </c>
      <c r="P299" s="5">
        <f>+N299-O299</f>
        <v>3000.0000000000036</v>
      </c>
      <c r="Q299" s="5">
        <f>+N299</f>
        <v>33000</v>
      </c>
      <c r="R299" s="40" t="s">
        <v>50</v>
      </c>
      <c r="S299" s="7" t="s">
        <v>97</v>
      </c>
    </row>
    <row r="300" spans="2:19" ht="24" customHeight="1" x14ac:dyDescent="0.4">
      <c r="B300" s="8" t="s">
        <v>26</v>
      </c>
      <c r="C300" s="8" t="s">
        <v>27</v>
      </c>
      <c r="D300" s="15" t="s">
        <v>23</v>
      </c>
      <c r="H300" s="4">
        <v>1324</v>
      </c>
      <c r="I300" s="21" t="s">
        <v>96</v>
      </c>
      <c r="J300" s="4">
        <v>12.1</v>
      </c>
      <c r="K300" s="7" t="s">
        <v>340</v>
      </c>
      <c r="L300" s="5">
        <v>120</v>
      </c>
      <c r="M300" s="68">
        <v>600</v>
      </c>
      <c r="N300" s="8">
        <f>+M300*L300</f>
        <v>72000</v>
      </c>
      <c r="O300" s="5">
        <f>+N300/1.1</f>
        <v>65454.545454545449</v>
      </c>
      <c r="P300" s="5">
        <f>+N300-O300</f>
        <v>6545.4545454545514</v>
      </c>
      <c r="Q300" s="5">
        <f>+N300</f>
        <v>72000</v>
      </c>
      <c r="S300" s="7" t="s">
        <v>97</v>
      </c>
    </row>
    <row r="301" spans="2:19" ht="24" customHeight="1" x14ac:dyDescent="0.4">
      <c r="B301" s="8" t="s">
        <v>26</v>
      </c>
      <c r="C301" s="8" t="s">
        <v>27</v>
      </c>
      <c r="D301" s="15" t="s">
        <v>23</v>
      </c>
      <c r="H301" s="4">
        <v>150</v>
      </c>
      <c r="I301" s="21" t="s">
        <v>93</v>
      </c>
      <c r="J301" s="4">
        <v>12.13</v>
      </c>
      <c r="K301" s="32" t="s">
        <v>198</v>
      </c>
      <c r="L301" s="5">
        <v>10</v>
      </c>
      <c r="M301" s="68">
        <v>9000</v>
      </c>
      <c r="N301" s="8">
        <f>+M301*L301</f>
        <v>90000</v>
      </c>
      <c r="O301" s="5">
        <f>+N301/1.1</f>
        <v>81818.181818181809</v>
      </c>
      <c r="P301" s="5">
        <f>+N301-O301</f>
        <v>8181.8181818181911</v>
      </c>
      <c r="Q301" s="5">
        <f>+N301</f>
        <v>90000</v>
      </c>
      <c r="S301" s="4" t="s">
        <v>341</v>
      </c>
    </row>
    <row r="302" spans="2:19" ht="24" customHeight="1" x14ac:dyDescent="0.4">
      <c r="B302" s="8" t="s">
        <v>26</v>
      </c>
      <c r="C302" s="8" t="s">
        <v>27</v>
      </c>
      <c r="D302" s="15" t="s">
        <v>23</v>
      </c>
      <c r="H302" s="4">
        <v>150</v>
      </c>
      <c r="I302" s="21" t="s">
        <v>93</v>
      </c>
      <c r="J302" s="4">
        <v>12.13</v>
      </c>
      <c r="K302" s="7" t="s">
        <v>342</v>
      </c>
      <c r="L302" s="5">
        <v>120</v>
      </c>
      <c r="M302" s="68">
        <v>600</v>
      </c>
      <c r="N302" s="8">
        <f>+M302*L302</f>
        <v>72000</v>
      </c>
      <c r="O302" s="5">
        <f>+N302/1.1</f>
        <v>65454.545454545449</v>
      </c>
      <c r="P302" s="5">
        <f>+N302-O302</f>
        <v>6545.4545454545514</v>
      </c>
      <c r="Q302" s="5">
        <f>+N302</f>
        <v>72000</v>
      </c>
      <c r="S302" s="4" t="s">
        <v>341</v>
      </c>
    </row>
    <row r="303" spans="2:19" ht="24" customHeight="1" x14ac:dyDescent="0.4">
      <c r="B303" s="8" t="s">
        <v>26</v>
      </c>
      <c r="C303" s="8" t="s">
        <v>27</v>
      </c>
      <c r="D303" s="15" t="s">
        <v>23</v>
      </c>
      <c r="H303" s="4">
        <v>150</v>
      </c>
      <c r="I303" s="21" t="s">
        <v>93</v>
      </c>
      <c r="J303" s="4">
        <v>12.13</v>
      </c>
      <c r="K303" s="8" t="s">
        <v>343</v>
      </c>
      <c r="L303" s="5">
        <v>15</v>
      </c>
      <c r="M303" s="68">
        <v>10000</v>
      </c>
      <c r="N303" s="8">
        <f>+M303*L303</f>
        <v>150000</v>
      </c>
      <c r="O303" s="5">
        <f>+N303/1.1</f>
        <v>136363.63636363635</v>
      </c>
      <c r="P303" s="5">
        <f>+N303-O303</f>
        <v>13636.363636363647</v>
      </c>
      <c r="Q303" s="5">
        <f>+N303</f>
        <v>150000</v>
      </c>
      <c r="S303" s="4" t="s">
        <v>341</v>
      </c>
    </row>
    <row r="304" spans="2:19" ht="24" customHeight="1" x14ac:dyDescent="0.4">
      <c r="B304" s="8" t="s">
        <v>26</v>
      </c>
      <c r="C304" s="8" t="s">
        <v>27</v>
      </c>
      <c r="D304" s="15" t="s">
        <v>23</v>
      </c>
      <c r="H304" s="4">
        <v>1025</v>
      </c>
      <c r="I304" s="21" t="s">
        <v>320</v>
      </c>
      <c r="J304" s="4">
        <v>12.13</v>
      </c>
      <c r="K304" s="29" t="s">
        <v>344</v>
      </c>
      <c r="L304" s="5">
        <v>12</v>
      </c>
      <c r="M304" s="68">
        <f>5000+3000</f>
        <v>8000</v>
      </c>
      <c r="N304" s="8">
        <f>+M304*L304</f>
        <v>96000</v>
      </c>
      <c r="O304" s="5">
        <f>+N304/1.1</f>
        <v>87272.727272727265</v>
      </c>
      <c r="P304" s="5">
        <f>+N304-O304</f>
        <v>8727.2727272727352</v>
      </c>
      <c r="Q304" s="5">
        <f>+N304</f>
        <v>96000</v>
      </c>
      <c r="R304" s="40" t="s">
        <v>50</v>
      </c>
      <c r="S304" s="7" t="s">
        <v>322</v>
      </c>
    </row>
    <row r="305" spans="2:19" ht="24" customHeight="1" x14ac:dyDescent="0.4"/>
    <row r="306" spans="2:19" ht="24" customHeight="1" x14ac:dyDescent="0.4">
      <c r="B306" s="8" t="s">
        <v>26</v>
      </c>
      <c r="C306" s="8" t="s">
        <v>27</v>
      </c>
      <c r="D306" s="15" t="s">
        <v>23</v>
      </c>
      <c r="H306" s="4">
        <v>262</v>
      </c>
      <c r="I306" s="21" t="s">
        <v>345</v>
      </c>
      <c r="J306" s="4">
        <v>12.14</v>
      </c>
      <c r="K306" s="8" t="s">
        <v>304</v>
      </c>
      <c r="L306" s="5">
        <v>50</v>
      </c>
      <c r="M306" s="68">
        <v>6000</v>
      </c>
      <c r="N306" s="8">
        <f>+M306*L306</f>
        <v>300000</v>
      </c>
      <c r="O306" s="5">
        <f>+N306/1.1</f>
        <v>272727.27272727271</v>
      </c>
      <c r="P306" s="5">
        <f>+N306-O306</f>
        <v>27272.727272727294</v>
      </c>
      <c r="Q306" s="5">
        <f>+N306</f>
        <v>300000</v>
      </c>
      <c r="S306" s="4" t="s">
        <v>346</v>
      </c>
    </row>
    <row r="307" spans="2:19" ht="24" customHeight="1" x14ac:dyDescent="0.4">
      <c r="B307" s="8" t="s">
        <v>26</v>
      </c>
      <c r="C307" s="8" t="s">
        <v>27</v>
      </c>
      <c r="D307" s="15" t="s">
        <v>23</v>
      </c>
      <c r="H307" s="4">
        <v>262</v>
      </c>
      <c r="I307" s="21" t="s">
        <v>345</v>
      </c>
      <c r="J307" s="4">
        <v>12.14</v>
      </c>
      <c r="K307" s="8" t="s">
        <v>184</v>
      </c>
      <c r="L307" s="5">
        <v>5</v>
      </c>
      <c r="M307" s="68">
        <v>6000</v>
      </c>
      <c r="N307" s="8">
        <f>+M307*L307</f>
        <v>30000</v>
      </c>
      <c r="O307" s="5">
        <f>+N307/1.1</f>
        <v>27272.727272727272</v>
      </c>
      <c r="P307" s="5">
        <f>+N307-O307</f>
        <v>2727.2727272727279</v>
      </c>
      <c r="Q307" s="5">
        <f>+N307</f>
        <v>30000</v>
      </c>
      <c r="S307" s="4" t="s">
        <v>346</v>
      </c>
    </row>
    <row r="308" spans="2:19" ht="24" customHeight="1" x14ac:dyDescent="0.4">
      <c r="B308" s="8" t="s">
        <v>26</v>
      </c>
      <c r="C308" s="8" t="s">
        <v>27</v>
      </c>
      <c r="D308" s="15" t="s">
        <v>23</v>
      </c>
      <c r="H308" s="4">
        <v>157</v>
      </c>
      <c r="I308" s="22" t="s">
        <v>259</v>
      </c>
      <c r="J308" s="4">
        <v>12.14</v>
      </c>
      <c r="K308" s="8" t="s">
        <v>304</v>
      </c>
      <c r="L308" s="5">
        <v>314</v>
      </c>
      <c r="M308" s="68">
        <v>6000</v>
      </c>
      <c r="N308" s="8">
        <f>+M308*L308</f>
        <v>1884000</v>
      </c>
      <c r="O308" s="5">
        <f>+N308/1.1</f>
        <v>1712727.2727272725</v>
      </c>
      <c r="P308" s="5">
        <f>+N308-O308</f>
        <v>171272.72727272753</v>
      </c>
      <c r="Q308" s="5">
        <f>+N308</f>
        <v>1884000</v>
      </c>
      <c r="S308" s="7" t="s">
        <v>327</v>
      </c>
    </row>
    <row r="309" spans="2:19" ht="24" customHeight="1" x14ac:dyDescent="0.4">
      <c r="B309" s="8" t="s">
        <v>26</v>
      </c>
      <c r="C309" s="8" t="s">
        <v>27</v>
      </c>
      <c r="D309" s="16" t="s">
        <v>28</v>
      </c>
      <c r="H309" s="4">
        <v>1325</v>
      </c>
      <c r="I309" s="22" t="s">
        <v>82</v>
      </c>
      <c r="J309" s="4">
        <v>12.14</v>
      </c>
      <c r="K309" s="8" t="s">
        <v>347</v>
      </c>
      <c r="L309" s="5">
        <v>1</v>
      </c>
      <c r="M309" s="68">
        <f>40000+3000</f>
        <v>43000</v>
      </c>
      <c r="N309" s="8">
        <f>+M309*L309</f>
        <v>43000</v>
      </c>
      <c r="Q309" s="5">
        <f>+N309</f>
        <v>43000</v>
      </c>
      <c r="R309" s="72" t="s">
        <v>50</v>
      </c>
      <c r="S309" s="4" t="s">
        <v>83</v>
      </c>
    </row>
    <row r="310" spans="2:19" ht="24" customHeight="1" x14ac:dyDescent="0.4">
      <c r="B310" s="8" t="s">
        <v>26</v>
      </c>
      <c r="C310" s="8" t="s">
        <v>27</v>
      </c>
      <c r="D310" s="16" t="s">
        <v>28</v>
      </c>
      <c r="H310" s="4">
        <v>1325</v>
      </c>
      <c r="I310" s="22" t="s">
        <v>82</v>
      </c>
      <c r="J310" s="4">
        <v>12.14</v>
      </c>
      <c r="K310" s="8" t="s">
        <v>348</v>
      </c>
      <c r="L310" s="5">
        <v>3</v>
      </c>
      <c r="M310" s="68">
        <f>25000+3000</f>
        <v>28000</v>
      </c>
      <c r="N310" s="8">
        <f>+M310*L310</f>
        <v>84000</v>
      </c>
      <c r="Q310" s="5">
        <f>+N310</f>
        <v>84000</v>
      </c>
      <c r="R310" s="72" t="s">
        <v>50</v>
      </c>
      <c r="S310" s="4" t="s">
        <v>83</v>
      </c>
    </row>
    <row r="311" spans="2:19" ht="24" customHeight="1" x14ac:dyDescent="0.4"/>
    <row r="312" spans="2:19" ht="24" customHeight="1" x14ac:dyDescent="0.4">
      <c r="B312" s="8" t="s">
        <v>26</v>
      </c>
      <c r="C312" s="8" t="s">
        <v>27</v>
      </c>
      <c r="D312" s="15" t="s">
        <v>23</v>
      </c>
      <c r="H312" s="4">
        <v>729</v>
      </c>
      <c r="I312" s="22" t="s">
        <v>109</v>
      </c>
      <c r="J312" s="4">
        <v>12.16</v>
      </c>
      <c r="K312" s="7" t="s">
        <v>308</v>
      </c>
      <c r="L312" s="5">
        <v>72</v>
      </c>
      <c r="M312" s="68">
        <v>5000</v>
      </c>
      <c r="N312" s="8">
        <f>+M312*L312</f>
        <v>360000</v>
      </c>
      <c r="O312" s="5">
        <f>+N312/1.1</f>
        <v>327272.72727272724</v>
      </c>
      <c r="P312" s="5">
        <f>+N312-O312</f>
        <v>32727.272727272764</v>
      </c>
      <c r="Q312" s="5">
        <f>+N312</f>
        <v>360000</v>
      </c>
    </row>
    <row r="313" spans="2:19" ht="24" customHeight="1" x14ac:dyDescent="0.4">
      <c r="B313" s="8" t="s">
        <v>26</v>
      </c>
      <c r="C313" s="8" t="s">
        <v>27</v>
      </c>
      <c r="D313" s="15" t="s">
        <v>23</v>
      </c>
      <c r="H313" s="4">
        <v>775</v>
      </c>
      <c r="I313" s="21" t="s">
        <v>349</v>
      </c>
      <c r="J313" s="4">
        <v>12.16</v>
      </c>
      <c r="K313" s="8" t="s">
        <v>198</v>
      </c>
      <c r="L313" s="5">
        <v>20</v>
      </c>
      <c r="M313" s="68">
        <v>9000</v>
      </c>
      <c r="N313" s="8">
        <f>+M313*L313</f>
        <v>180000</v>
      </c>
      <c r="O313" s="5">
        <f>+N313/1.1</f>
        <v>163636.36363636362</v>
      </c>
      <c r="P313" s="5">
        <f>+N313-O313</f>
        <v>16363.636363636382</v>
      </c>
      <c r="Q313" s="5">
        <f>+N313</f>
        <v>180000</v>
      </c>
    </row>
    <row r="314" spans="2:19" ht="24" customHeight="1" x14ac:dyDescent="0.4">
      <c r="B314" s="8" t="s">
        <v>26</v>
      </c>
      <c r="C314" s="8" t="s">
        <v>27</v>
      </c>
      <c r="D314" s="15" t="s">
        <v>23</v>
      </c>
      <c r="H314" s="4">
        <v>786</v>
      </c>
      <c r="I314" s="21" t="s">
        <v>350</v>
      </c>
      <c r="J314" s="4">
        <v>12.16</v>
      </c>
      <c r="K314" s="8" t="s">
        <v>351</v>
      </c>
      <c r="L314" s="5">
        <v>15</v>
      </c>
      <c r="M314" s="68">
        <v>20000</v>
      </c>
      <c r="N314" s="8">
        <f>+M314*L314</f>
        <v>300000</v>
      </c>
      <c r="O314" s="5">
        <f>+N314/1.1</f>
        <v>272727.27272727271</v>
      </c>
      <c r="P314" s="5">
        <f>+N314-O314</f>
        <v>27272.727272727294</v>
      </c>
      <c r="Q314" s="5">
        <f>+N314</f>
        <v>300000</v>
      </c>
    </row>
    <row r="315" spans="2:19" ht="24" customHeight="1" x14ac:dyDescent="0.4">
      <c r="B315" s="8" t="s">
        <v>26</v>
      </c>
      <c r="C315" s="8" t="s">
        <v>27</v>
      </c>
      <c r="D315" s="16" t="s">
        <v>28</v>
      </c>
      <c r="H315" s="4">
        <v>550</v>
      </c>
      <c r="I315" s="21" t="s">
        <v>48</v>
      </c>
      <c r="J315" s="4">
        <v>12.17</v>
      </c>
      <c r="K315" s="8" t="s">
        <v>352</v>
      </c>
      <c r="L315" s="5">
        <v>1</v>
      </c>
      <c r="M315" s="68">
        <f>12000+3000</f>
        <v>15000</v>
      </c>
      <c r="N315" s="8">
        <f>+M315*L315</f>
        <v>15000</v>
      </c>
      <c r="Q315" s="5">
        <f>+N315</f>
        <v>15000</v>
      </c>
      <c r="S315" s="7" t="s">
        <v>51</v>
      </c>
    </row>
    <row r="316" spans="2:19" ht="24" customHeight="1" x14ac:dyDescent="0.4">
      <c r="B316" s="8" t="s">
        <v>26</v>
      </c>
      <c r="C316" s="8" t="s">
        <v>27</v>
      </c>
      <c r="D316" s="16" t="s">
        <v>28</v>
      </c>
      <c r="H316" s="4">
        <v>532</v>
      </c>
      <c r="I316" s="21" t="s">
        <v>129</v>
      </c>
      <c r="J316" s="4">
        <v>12.17</v>
      </c>
      <c r="K316" s="8" t="s">
        <v>353</v>
      </c>
      <c r="L316" s="5">
        <v>1</v>
      </c>
      <c r="M316" s="68">
        <f>12000+3000</f>
        <v>15000</v>
      </c>
      <c r="N316" s="8">
        <f>+M316*L316</f>
        <v>15000</v>
      </c>
      <c r="Q316" s="5">
        <f>+N316</f>
        <v>15000</v>
      </c>
      <c r="S316" s="7" t="s">
        <v>131</v>
      </c>
    </row>
    <row r="317" spans="2:19" ht="24" customHeight="1" x14ac:dyDescent="0.4">
      <c r="B317" s="8" t="s">
        <v>26</v>
      </c>
      <c r="C317" s="8" t="s">
        <v>27</v>
      </c>
      <c r="D317" s="16" t="s">
        <v>28</v>
      </c>
      <c r="H317" s="4">
        <v>1325</v>
      </c>
      <c r="I317" s="22" t="s">
        <v>82</v>
      </c>
      <c r="J317" s="4">
        <v>12.17</v>
      </c>
      <c r="K317" s="8" t="s">
        <v>354</v>
      </c>
      <c r="L317" s="5">
        <v>1</v>
      </c>
      <c r="M317" s="68">
        <v>43000</v>
      </c>
      <c r="N317" s="8">
        <f>+M317*L317</f>
        <v>43000</v>
      </c>
      <c r="Q317" s="5">
        <f>+N317</f>
        <v>43000</v>
      </c>
      <c r="S317" s="4" t="s">
        <v>83</v>
      </c>
    </row>
    <row r="318" spans="2:19" ht="24" customHeight="1" x14ac:dyDescent="0.4">
      <c r="B318" s="8" t="s">
        <v>26</v>
      </c>
      <c r="C318" s="8" t="s">
        <v>27</v>
      </c>
      <c r="D318" s="15" t="s">
        <v>23</v>
      </c>
      <c r="H318" s="4">
        <v>1331</v>
      </c>
      <c r="I318" s="21" t="s">
        <v>332</v>
      </c>
      <c r="J318" s="4">
        <v>12.17</v>
      </c>
      <c r="K318" s="6" t="s">
        <v>355</v>
      </c>
      <c r="L318" s="5">
        <v>10</v>
      </c>
      <c r="M318" s="68">
        <f>5000+3000</f>
        <v>8000</v>
      </c>
      <c r="N318" s="8">
        <f>+M318*L318</f>
        <v>80000</v>
      </c>
      <c r="O318" s="5">
        <f>+N318/1.1</f>
        <v>72727.272727272721</v>
      </c>
      <c r="P318" s="5">
        <f>+N318-O318</f>
        <v>7272.7272727272793</v>
      </c>
      <c r="Q318" s="5">
        <f>+N318</f>
        <v>80000</v>
      </c>
      <c r="S318" s="4" t="s">
        <v>334</v>
      </c>
    </row>
    <row r="319" spans="2:19" ht="24" customHeight="1" x14ac:dyDescent="0.4">
      <c r="B319" s="8" t="s">
        <v>26</v>
      </c>
      <c r="C319" s="8" t="s">
        <v>27</v>
      </c>
      <c r="D319" s="16" t="s">
        <v>28</v>
      </c>
      <c r="H319" s="4">
        <v>1325</v>
      </c>
      <c r="I319" s="22" t="s">
        <v>82</v>
      </c>
      <c r="J319" s="4">
        <v>12.2</v>
      </c>
      <c r="K319" s="44" t="s">
        <v>356</v>
      </c>
      <c r="L319" s="5">
        <v>1</v>
      </c>
      <c r="M319" s="68">
        <v>40000</v>
      </c>
      <c r="N319" s="8">
        <f>+M319*L319</f>
        <v>40000</v>
      </c>
      <c r="Q319" s="5">
        <f>+N319</f>
        <v>40000</v>
      </c>
      <c r="S319" s="4" t="s">
        <v>83</v>
      </c>
    </row>
    <row r="320" spans="2:19" ht="24" customHeight="1" x14ac:dyDescent="0.4">
      <c r="B320" s="8" t="s">
        <v>26</v>
      </c>
      <c r="C320" s="8" t="s">
        <v>27</v>
      </c>
      <c r="D320" s="15" t="s">
        <v>23</v>
      </c>
      <c r="H320" s="4">
        <v>1325</v>
      </c>
      <c r="I320" s="22" t="s">
        <v>82</v>
      </c>
      <c r="J320" s="4">
        <v>12.2</v>
      </c>
      <c r="K320" s="44" t="s">
        <v>136</v>
      </c>
      <c r="L320" s="5">
        <v>1</v>
      </c>
      <c r="M320" s="68">
        <v>20000</v>
      </c>
      <c r="N320" s="8">
        <f>+M320*L320</f>
        <v>20000</v>
      </c>
      <c r="O320" s="5">
        <f>+N320/1.1</f>
        <v>18181.81818181818</v>
      </c>
      <c r="P320" s="5">
        <f>+N320-O320</f>
        <v>1818.1818181818198</v>
      </c>
      <c r="Q320" s="5">
        <f>+N320</f>
        <v>20000</v>
      </c>
      <c r="S320" s="72" t="s">
        <v>357</v>
      </c>
    </row>
    <row r="321" spans="2:19" ht="24" customHeight="1" x14ac:dyDescent="0.4">
      <c r="B321" s="8" t="s">
        <v>26</v>
      </c>
      <c r="C321" s="8" t="s">
        <v>27</v>
      </c>
      <c r="D321" s="15" t="s">
        <v>23</v>
      </c>
      <c r="H321" s="4">
        <v>161</v>
      </c>
      <c r="I321" s="21" t="s">
        <v>358</v>
      </c>
      <c r="J321" s="4">
        <v>12.2</v>
      </c>
      <c r="K321" s="7" t="s">
        <v>268</v>
      </c>
      <c r="L321" s="5">
        <f>65+5</f>
        <v>70</v>
      </c>
      <c r="M321" s="68">
        <v>6000</v>
      </c>
      <c r="N321" s="8">
        <f>+M321*L321</f>
        <v>420000</v>
      </c>
      <c r="O321" s="5">
        <f>+N321/1.1</f>
        <v>381818.18181818177</v>
      </c>
      <c r="P321" s="5">
        <f>+N321-O321</f>
        <v>38181.818181818235</v>
      </c>
      <c r="Q321" s="5">
        <f>+N321</f>
        <v>420000</v>
      </c>
      <c r="S321" s="7" t="s">
        <v>359</v>
      </c>
    </row>
    <row r="322" spans="2:19" ht="24" customHeight="1" x14ac:dyDescent="0.4"/>
    <row r="323" spans="2:19" ht="24" customHeight="1" x14ac:dyDescent="0.4">
      <c r="B323" s="8" t="s">
        <v>26</v>
      </c>
      <c r="C323" s="8" t="s">
        <v>27</v>
      </c>
      <c r="D323" s="15" t="s">
        <v>23</v>
      </c>
      <c r="H323" s="4">
        <v>571</v>
      </c>
      <c r="I323" s="21" t="s">
        <v>360</v>
      </c>
      <c r="J323" s="4">
        <v>12.21</v>
      </c>
      <c r="K323" s="29" t="s">
        <v>361</v>
      </c>
      <c r="L323" s="5">
        <v>2</v>
      </c>
      <c r="M323" s="68">
        <v>13000</v>
      </c>
      <c r="N323" s="8">
        <f>+M323*L323</f>
        <v>26000</v>
      </c>
      <c r="O323" s="5">
        <f>+N323/1.1</f>
        <v>23636.363636363636</v>
      </c>
      <c r="P323" s="5">
        <f>+N323-O323</f>
        <v>2363.636363636364</v>
      </c>
      <c r="Q323" s="5">
        <f>+N323</f>
        <v>26000</v>
      </c>
      <c r="R323" s="72" t="s">
        <v>50</v>
      </c>
    </row>
    <row r="324" spans="2:19" ht="24" customHeight="1" x14ac:dyDescent="0.4">
      <c r="B324" s="8" t="s">
        <v>26</v>
      </c>
      <c r="C324" s="8" t="s">
        <v>27</v>
      </c>
      <c r="D324" s="15" t="s">
        <v>23</v>
      </c>
      <c r="H324" s="4">
        <v>571</v>
      </c>
      <c r="I324" s="21" t="s">
        <v>360</v>
      </c>
      <c r="J324" s="4">
        <v>12.21</v>
      </c>
      <c r="K324" s="31" t="s">
        <v>362</v>
      </c>
      <c r="L324" s="5">
        <v>1</v>
      </c>
      <c r="M324" s="68">
        <v>13000</v>
      </c>
      <c r="N324" s="8">
        <f>+M324*L324</f>
        <v>13000</v>
      </c>
      <c r="O324" s="5">
        <f>+N324/1.1</f>
        <v>11818.181818181818</v>
      </c>
      <c r="P324" s="5">
        <f>+N324-O324</f>
        <v>1181.818181818182</v>
      </c>
      <c r="Q324" s="5">
        <f>+N324</f>
        <v>13000</v>
      </c>
      <c r="R324" s="72" t="s">
        <v>50</v>
      </c>
    </row>
    <row r="325" spans="2:19" ht="24" customHeight="1" x14ac:dyDescent="0.4">
      <c r="B325" s="8" t="s">
        <v>26</v>
      </c>
      <c r="C325" s="8" t="s">
        <v>27</v>
      </c>
      <c r="D325" s="15" t="s">
        <v>23</v>
      </c>
      <c r="H325" s="4">
        <v>571</v>
      </c>
      <c r="I325" s="21" t="s">
        <v>363</v>
      </c>
      <c r="J325" s="4">
        <v>12.22</v>
      </c>
      <c r="K325" s="31" t="s">
        <v>364</v>
      </c>
      <c r="L325" s="5">
        <v>4</v>
      </c>
      <c r="M325" s="68">
        <f>10000+3000</f>
        <v>13000</v>
      </c>
      <c r="N325" s="8">
        <f>+M325*L325</f>
        <v>52000</v>
      </c>
      <c r="O325" s="5">
        <f>+N325/1.1</f>
        <v>47272.727272727272</v>
      </c>
      <c r="P325" s="5">
        <f>+N325-O325</f>
        <v>4727.2727272727279</v>
      </c>
      <c r="Q325" s="5">
        <f>+N325</f>
        <v>52000</v>
      </c>
      <c r="R325" s="72" t="s">
        <v>50</v>
      </c>
    </row>
    <row r="326" spans="2:19" ht="24" customHeight="1" x14ac:dyDescent="0.4">
      <c r="B326" s="8" t="s">
        <v>26</v>
      </c>
      <c r="C326" s="8" t="s">
        <v>27</v>
      </c>
      <c r="D326" s="15" t="s">
        <v>23</v>
      </c>
      <c r="H326" s="4">
        <v>262</v>
      </c>
      <c r="I326" s="21" t="s">
        <v>345</v>
      </c>
      <c r="J326" s="4">
        <v>12.22</v>
      </c>
      <c r="K326" s="35" t="s">
        <v>315</v>
      </c>
      <c r="L326" s="5">
        <v>25</v>
      </c>
      <c r="M326" s="5">
        <v>6000</v>
      </c>
      <c r="N326" s="8">
        <f>+M326*L326</f>
        <v>150000</v>
      </c>
      <c r="Q326" s="5">
        <f>+N326</f>
        <v>150000</v>
      </c>
    </row>
    <row r="327" spans="2:19" ht="24" customHeight="1" x14ac:dyDescent="0.4"/>
    <row r="328" spans="2:19" ht="24" customHeight="1" x14ac:dyDescent="0.4">
      <c r="B328" s="8" t="s">
        <v>26</v>
      </c>
      <c r="C328" s="8" t="s">
        <v>27</v>
      </c>
      <c r="D328" s="15" t="s">
        <v>23</v>
      </c>
      <c r="H328" s="4">
        <v>251</v>
      </c>
      <c r="I328" s="22" t="s">
        <v>295</v>
      </c>
      <c r="J328" s="4">
        <v>11.24</v>
      </c>
      <c r="K328" s="7" t="s">
        <v>268</v>
      </c>
      <c r="L328" s="5">
        <f>15*2</f>
        <v>30</v>
      </c>
      <c r="M328" s="68">
        <v>6000</v>
      </c>
      <c r="N328" s="8">
        <f>+M328*L328</f>
        <v>180000</v>
      </c>
      <c r="O328" s="5">
        <f>+N328/1.1</f>
        <v>163636.36363636362</v>
      </c>
      <c r="P328" s="5">
        <f>+N328-O328</f>
        <v>16363.636363636382</v>
      </c>
      <c r="Q328" s="5">
        <f>+N328</f>
        <v>180000</v>
      </c>
      <c r="R328" s="7" t="s">
        <v>296</v>
      </c>
    </row>
    <row r="329" spans="2:19" ht="24" customHeight="1" x14ac:dyDescent="0.4"/>
    <row r="330" spans="2:19" ht="24" customHeight="1" x14ac:dyDescent="0.4">
      <c r="B330" s="8" t="s">
        <v>26</v>
      </c>
      <c r="C330" s="8" t="s">
        <v>27</v>
      </c>
      <c r="D330" s="15" t="s">
        <v>23</v>
      </c>
      <c r="H330" s="4">
        <v>729</v>
      </c>
      <c r="I330" s="22" t="s">
        <v>109</v>
      </c>
      <c r="J330" s="4">
        <v>12.22</v>
      </c>
      <c r="K330" s="45" t="s">
        <v>313</v>
      </c>
      <c r="L330" s="5">
        <v>10</v>
      </c>
      <c r="M330" s="68">
        <v>5000</v>
      </c>
      <c r="N330" s="8">
        <f>+M330*L330</f>
        <v>50000</v>
      </c>
      <c r="O330" s="5">
        <f>+N330/1.1</f>
        <v>45454.545454545449</v>
      </c>
      <c r="P330" s="5">
        <f>+N330-O330</f>
        <v>4545.4545454545514</v>
      </c>
      <c r="Q330" s="5">
        <f>+N330</f>
        <v>50000</v>
      </c>
    </row>
    <row r="331" spans="2:19" ht="24" customHeight="1" x14ac:dyDescent="0.4">
      <c r="B331" s="8" t="s">
        <v>26</v>
      </c>
      <c r="C331" s="8" t="s">
        <v>27</v>
      </c>
      <c r="D331" s="15" t="s">
        <v>23</v>
      </c>
      <c r="H331" s="4">
        <v>1325</v>
      </c>
      <c r="I331" s="22" t="s">
        <v>82</v>
      </c>
      <c r="J331" s="4">
        <v>12.23</v>
      </c>
      <c r="K331" s="46" t="s">
        <v>365</v>
      </c>
      <c r="L331" s="5">
        <v>24</v>
      </c>
      <c r="M331" s="68">
        <v>10000</v>
      </c>
      <c r="N331" s="8">
        <f>+M331*L331</f>
        <v>240000</v>
      </c>
      <c r="O331" s="5">
        <f>+N331/1.1</f>
        <v>218181.81818181818</v>
      </c>
      <c r="P331" s="5">
        <f>+N331-O331</f>
        <v>21818.181818181823</v>
      </c>
      <c r="Q331" s="5">
        <f>+N331</f>
        <v>240000</v>
      </c>
      <c r="R331" s="4" t="s">
        <v>83</v>
      </c>
    </row>
    <row r="332" spans="2:19" ht="24" customHeight="1" x14ac:dyDescent="0.4">
      <c r="B332" s="8" t="s">
        <v>26</v>
      </c>
      <c r="C332" s="8" t="s">
        <v>27</v>
      </c>
      <c r="D332" s="15" t="s">
        <v>23</v>
      </c>
      <c r="H332" s="4">
        <v>1324</v>
      </c>
      <c r="I332" s="21" t="s">
        <v>96</v>
      </c>
      <c r="J332" s="4">
        <v>12.23</v>
      </c>
      <c r="K332" s="46" t="s">
        <v>365</v>
      </c>
      <c r="L332" s="5">
        <v>20</v>
      </c>
      <c r="M332" s="68">
        <v>10000</v>
      </c>
      <c r="N332" s="8">
        <f>+M332*L332</f>
        <v>200000</v>
      </c>
      <c r="O332" s="5">
        <f>+N332/1.1</f>
        <v>181818.18181818179</v>
      </c>
      <c r="P332" s="5">
        <f>+N332-O332</f>
        <v>18181.818181818206</v>
      </c>
      <c r="Q332" s="5">
        <f>+N332</f>
        <v>200000</v>
      </c>
      <c r="R332" s="7" t="s">
        <v>97</v>
      </c>
    </row>
    <row r="333" spans="2:19" ht="24" customHeight="1" x14ac:dyDescent="0.4">
      <c r="B333" s="8" t="s">
        <v>26</v>
      </c>
      <c r="C333" s="8" t="s">
        <v>27</v>
      </c>
      <c r="D333" s="15" t="s">
        <v>23</v>
      </c>
      <c r="H333" s="4">
        <v>248</v>
      </c>
      <c r="I333" s="22" t="s">
        <v>289</v>
      </c>
      <c r="J333" s="4">
        <v>12.23</v>
      </c>
      <c r="K333" s="4" t="s">
        <v>366</v>
      </c>
      <c r="L333" s="5">
        <v>30</v>
      </c>
      <c r="M333" s="68">
        <v>1500</v>
      </c>
      <c r="N333" s="8">
        <f>+M333*L333</f>
        <v>45000</v>
      </c>
      <c r="O333" s="5">
        <f>+N333/1.1</f>
        <v>40909.090909090904</v>
      </c>
      <c r="P333" s="5">
        <f>+N333-O333</f>
        <v>4090.9090909090955</v>
      </c>
      <c r="Q333" s="5">
        <f>+N333</f>
        <v>45000</v>
      </c>
      <c r="R333" s="7" t="s">
        <v>234</v>
      </c>
    </row>
    <row r="334" spans="2:19" ht="24" customHeight="1" x14ac:dyDescent="0.4">
      <c r="B334" s="8" t="s">
        <v>26</v>
      </c>
      <c r="C334" s="8" t="s">
        <v>27</v>
      </c>
      <c r="D334" s="15" t="s">
        <v>23</v>
      </c>
      <c r="H334" s="4">
        <v>1025</v>
      </c>
      <c r="I334" s="21" t="s">
        <v>320</v>
      </c>
      <c r="J334" s="4">
        <v>12.27</v>
      </c>
      <c r="K334" s="47" t="s">
        <v>367</v>
      </c>
      <c r="L334" s="56">
        <f>160+10</f>
        <v>170</v>
      </c>
      <c r="M334" s="68">
        <v>5000</v>
      </c>
      <c r="N334" s="8">
        <f>+M334*L334</f>
        <v>850000</v>
      </c>
      <c r="O334" s="5">
        <f>+N334/1.1</f>
        <v>772727.27272727271</v>
      </c>
      <c r="P334" s="5">
        <f>+N334-O334</f>
        <v>77272.727272727294</v>
      </c>
      <c r="Q334" s="5">
        <f>+N334</f>
        <v>850000</v>
      </c>
      <c r="R334" s="68" t="s">
        <v>322</v>
      </c>
    </row>
    <row r="335" spans="2:19" ht="24" customHeight="1" x14ac:dyDescent="0.4">
      <c r="B335" s="8" t="s">
        <v>26</v>
      </c>
      <c r="C335" s="8" t="s">
        <v>27</v>
      </c>
      <c r="D335" s="16" t="s">
        <v>28</v>
      </c>
      <c r="H335" s="4">
        <v>148</v>
      </c>
      <c r="I335" s="21" t="s">
        <v>115</v>
      </c>
      <c r="J335" s="4">
        <v>12.27</v>
      </c>
      <c r="K335" s="4" t="s">
        <v>368</v>
      </c>
      <c r="L335" s="5">
        <v>1</v>
      </c>
      <c r="M335" s="68">
        <f>12000+3000</f>
        <v>15000</v>
      </c>
      <c r="N335" s="8">
        <f>+M335*L335</f>
        <v>15000</v>
      </c>
      <c r="Q335" s="5">
        <f>+N335</f>
        <v>15000</v>
      </c>
      <c r="S335" s="7" t="s">
        <v>117</v>
      </c>
    </row>
    <row r="336" spans="2:19" ht="24" customHeight="1" x14ac:dyDescent="0.4">
      <c r="B336" s="8" t="s">
        <v>26</v>
      </c>
      <c r="C336" s="8" t="s">
        <v>27</v>
      </c>
      <c r="D336" s="15" t="s">
        <v>23</v>
      </c>
      <c r="H336" s="4">
        <v>1489</v>
      </c>
      <c r="I336" s="21" t="s">
        <v>369</v>
      </c>
      <c r="J336" s="4">
        <v>12.27</v>
      </c>
      <c r="K336" s="4" t="s">
        <v>367</v>
      </c>
      <c r="L336" s="5">
        <v>1</v>
      </c>
      <c r="M336" s="68">
        <v>6000</v>
      </c>
      <c r="N336" s="8">
        <f>+M336*L336</f>
        <v>6000</v>
      </c>
      <c r="O336" s="5">
        <f>+N336/1.1</f>
        <v>5454.545454545454</v>
      </c>
      <c r="P336" s="5">
        <f>+N336-O336</f>
        <v>545.45454545454595</v>
      </c>
      <c r="Q336" s="5">
        <f>+N336</f>
        <v>6000</v>
      </c>
      <c r="S336" s="4" t="s">
        <v>370</v>
      </c>
    </row>
    <row r="337" spans="2:19" ht="24" customHeight="1" x14ac:dyDescent="0.4">
      <c r="B337" s="8" t="s">
        <v>26</v>
      </c>
      <c r="C337" s="8" t="s">
        <v>27</v>
      </c>
      <c r="D337" s="15" t="s">
        <v>23</v>
      </c>
      <c r="H337" s="4">
        <v>571</v>
      </c>
      <c r="I337" s="21" t="s">
        <v>363</v>
      </c>
      <c r="J337" s="4">
        <v>12.28</v>
      </c>
      <c r="K337" s="4" t="s">
        <v>371</v>
      </c>
      <c r="L337" s="5">
        <v>42</v>
      </c>
      <c r="M337" s="68">
        <v>5000</v>
      </c>
      <c r="N337" s="8">
        <f>+M337*L337</f>
        <v>210000</v>
      </c>
      <c r="O337" s="5">
        <f>+N337/1.1</f>
        <v>190909.09090909088</v>
      </c>
      <c r="P337" s="5">
        <f>+N337-O337</f>
        <v>19090.909090909117</v>
      </c>
      <c r="Q337" s="5">
        <f>+N337</f>
        <v>210000</v>
      </c>
      <c r="S337" s="5" t="s">
        <v>81</v>
      </c>
    </row>
    <row r="338" spans="2:19" ht="24" customHeight="1" x14ac:dyDescent="0.4">
      <c r="B338" s="8" t="s">
        <v>26</v>
      </c>
      <c r="C338" s="8" t="s">
        <v>27</v>
      </c>
      <c r="D338" s="15" t="s">
        <v>23</v>
      </c>
      <c r="H338" s="4">
        <v>571</v>
      </c>
      <c r="I338" s="21" t="s">
        <v>363</v>
      </c>
      <c r="J338" s="4">
        <v>12.28</v>
      </c>
      <c r="K338" s="3" t="s">
        <v>372</v>
      </c>
      <c r="L338" s="5">
        <f>30+6</f>
        <v>36</v>
      </c>
      <c r="M338" s="71">
        <v>5000</v>
      </c>
      <c r="N338" s="8">
        <f>+M338*L338</f>
        <v>180000</v>
      </c>
      <c r="O338" s="5">
        <f>+N338/1.1</f>
        <v>163636.36363636362</v>
      </c>
      <c r="P338" s="5">
        <f>+N338-O338</f>
        <v>16363.636363636382</v>
      </c>
      <c r="Q338" s="5">
        <f>+N338</f>
        <v>180000</v>
      </c>
      <c r="S338" s="5" t="s">
        <v>81</v>
      </c>
    </row>
    <row r="339" spans="2:19" ht="24" customHeight="1" x14ac:dyDescent="0.4">
      <c r="B339" s="8" t="s">
        <v>26</v>
      </c>
      <c r="C339" s="8" t="s">
        <v>27</v>
      </c>
      <c r="D339" s="15" t="s">
        <v>23</v>
      </c>
      <c r="H339" s="4">
        <v>571</v>
      </c>
      <c r="I339" s="21" t="s">
        <v>363</v>
      </c>
      <c r="J339" s="4">
        <v>12.28</v>
      </c>
      <c r="K339" s="3" t="s">
        <v>373</v>
      </c>
      <c r="L339" s="5">
        <v>64</v>
      </c>
      <c r="M339" s="71">
        <v>5000</v>
      </c>
      <c r="N339" s="8">
        <f>+M339*L339</f>
        <v>320000</v>
      </c>
      <c r="O339" s="5">
        <f>+N339/1.1</f>
        <v>290909.09090909088</v>
      </c>
      <c r="P339" s="5">
        <f>+N339-O339</f>
        <v>29090.909090909117</v>
      </c>
      <c r="Q339" s="5">
        <f>+N339</f>
        <v>320000</v>
      </c>
      <c r="S339" s="5" t="s">
        <v>81</v>
      </c>
    </row>
    <row r="340" spans="2:19" ht="24" customHeight="1" x14ac:dyDescent="0.4">
      <c r="B340" s="8" t="s">
        <v>26</v>
      </c>
      <c r="C340" s="8" t="s">
        <v>27</v>
      </c>
      <c r="D340" s="15" t="s">
        <v>23</v>
      </c>
      <c r="H340" s="4">
        <v>782</v>
      </c>
      <c r="I340" s="21" t="s">
        <v>197</v>
      </c>
      <c r="J340" s="4">
        <v>12.28</v>
      </c>
      <c r="K340" s="4" t="s">
        <v>374</v>
      </c>
      <c r="L340" s="5">
        <v>30</v>
      </c>
      <c r="M340" s="68">
        <v>9000</v>
      </c>
      <c r="N340" s="8">
        <f>+M340*L340</f>
        <v>270000</v>
      </c>
      <c r="O340" s="5">
        <f>+N340/1.1</f>
        <v>245454.54545454544</v>
      </c>
      <c r="P340" s="5">
        <f>+N340-O340</f>
        <v>24545.454545454559</v>
      </c>
      <c r="Q340" s="5">
        <f>+N340</f>
        <v>270000</v>
      </c>
      <c r="S340" s="4" t="s">
        <v>199</v>
      </c>
    </row>
    <row r="341" spans="2:19" ht="24" customHeight="1" x14ac:dyDescent="0.4">
      <c r="B341" s="8" t="s">
        <v>26</v>
      </c>
      <c r="C341" s="8" t="s">
        <v>27</v>
      </c>
      <c r="D341" s="16" t="s">
        <v>28</v>
      </c>
      <c r="H341" s="4">
        <v>602</v>
      </c>
      <c r="I341" s="21" t="s">
        <v>375</v>
      </c>
      <c r="J341" s="4">
        <v>12.28</v>
      </c>
      <c r="K341" s="4" t="s">
        <v>376</v>
      </c>
      <c r="L341" s="5">
        <v>1</v>
      </c>
      <c r="M341" s="68">
        <f>20000+3000</f>
        <v>23000</v>
      </c>
      <c r="N341" s="8">
        <f>+M341*L341</f>
        <v>23000</v>
      </c>
      <c r="Q341" s="5">
        <f>+N341</f>
        <v>23000</v>
      </c>
      <c r="S341" s="7" t="s">
        <v>377</v>
      </c>
    </row>
    <row r="342" spans="2:19" ht="24" customHeight="1" x14ac:dyDescent="0.4">
      <c r="B342" s="8" t="s">
        <v>26</v>
      </c>
      <c r="C342" s="8" t="s">
        <v>27</v>
      </c>
      <c r="D342" s="15" t="s">
        <v>23</v>
      </c>
      <c r="H342" s="4">
        <v>607</v>
      </c>
      <c r="I342" s="21" t="s">
        <v>256</v>
      </c>
      <c r="J342" s="4">
        <v>12.28</v>
      </c>
      <c r="K342" s="3" t="s">
        <v>378</v>
      </c>
      <c r="L342" s="5">
        <v>13</v>
      </c>
      <c r="M342" s="68">
        <f>5000+3000</f>
        <v>8000</v>
      </c>
      <c r="N342" s="8">
        <f>+M342*L342</f>
        <v>104000</v>
      </c>
      <c r="O342" s="5">
        <f>+N342/1.1</f>
        <v>94545.454545454544</v>
      </c>
      <c r="P342" s="5">
        <f>+N342-O342</f>
        <v>9454.5454545454559</v>
      </c>
      <c r="Q342" s="5">
        <f>+N342</f>
        <v>104000</v>
      </c>
      <c r="S342" s="4" t="s">
        <v>280</v>
      </c>
    </row>
    <row r="343" spans="2:19" ht="24" customHeight="1" x14ac:dyDescent="0.4">
      <c r="B343" s="8" t="s">
        <v>26</v>
      </c>
      <c r="C343" s="8" t="s">
        <v>27</v>
      </c>
      <c r="D343" s="15" t="s">
        <v>23</v>
      </c>
      <c r="H343" s="4">
        <v>2634</v>
      </c>
      <c r="I343" s="22" t="s">
        <v>119</v>
      </c>
      <c r="J343" s="4">
        <v>12.28</v>
      </c>
      <c r="K343" s="3" t="s">
        <v>379</v>
      </c>
      <c r="L343" s="5">
        <v>23</v>
      </c>
      <c r="M343" s="68">
        <f>5000+3000</f>
        <v>8000</v>
      </c>
      <c r="N343" s="8">
        <f>+M343*L343</f>
        <v>184000</v>
      </c>
      <c r="O343" s="5">
        <f>+N343/1.1</f>
        <v>167272.72727272726</v>
      </c>
      <c r="P343" s="5">
        <f>+N343-O343</f>
        <v>16727.272727272735</v>
      </c>
      <c r="Q343" s="5">
        <f>+N343</f>
        <v>184000</v>
      </c>
      <c r="S343" s="4" t="s">
        <v>121</v>
      </c>
    </row>
    <row r="344" spans="2:19" ht="24" customHeight="1" x14ac:dyDescent="0.4">
      <c r="B344" s="8" t="s">
        <v>26</v>
      </c>
      <c r="C344" s="8" t="s">
        <v>27</v>
      </c>
      <c r="D344" s="16" t="s">
        <v>28</v>
      </c>
      <c r="H344" s="4">
        <v>1025</v>
      </c>
      <c r="I344" s="21" t="s">
        <v>320</v>
      </c>
      <c r="J344" s="4">
        <v>12.29</v>
      </c>
      <c r="K344" s="3" t="s">
        <v>380</v>
      </c>
      <c r="L344" s="5">
        <v>3</v>
      </c>
      <c r="M344" s="68">
        <f>20000+3000</f>
        <v>23000</v>
      </c>
      <c r="N344" s="8">
        <f>+M344*L344</f>
        <v>69000</v>
      </c>
      <c r="Q344" s="5">
        <f>+N344</f>
        <v>69000</v>
      </c>
      <c r="S344" s="7" t="s">
        <v>322</v>
      </c>
    </row>
    <row r="345" spans="2:19" ht="24" customHeight="1" x14ac:dyDescent="0.4"/>
    <row r="346" spans="2:19" ht="24" customHeight="1" x14ac:dyDescent="0.4">
      <c r="B346" s="7" t="s">
        <v>381</v>
      </c>
      <c r="C346" s="8" t="s">
        <v>27</v>
      </c>
      <c r="D346" s="15" t="s">
        <v>23</v>
      </c>
      <c r="H346" s="4">
        <v>606</v>
      </c>
      <c r="I346" s="21" t="s">
        <v>382</v>
      </c>
      <c r="J346" s="4">
        <v>12.24</v>
      </c>
      <c r="K346" s="48" t="s">
        <v>113</v>
      </c>
      <c r="L346" s="5">
        <v>35</v>
      </c>
      <c r="M346" s="68">
        <v>12000</v>
      </c>
      <c r="N346" s="8">
        <f>+M346*L346</f>
        <v>420000</v>
      </c>
      <c r="O346" s="5">
        <f>+N346/1.1</f>
        <v>381818.18181818177</v>
      </c>
      <c r="P346" s="5">
        <f>+N346-O346</f>
        <v>38181.818181818235</v>
      </c>
      <c r="Q346" s="5">
        <f>+N346</f>
        <v>420000</v>
      </c>
    </row>
    <row r="347" spans="2:19" ht="24" customHeight="1" x14ac:dyDescent="0.4"/>
    <row r="348" spans="2:19" ht="24" customHeight="1" x14ac:dyDescent="0.4">
      <c r="B348" s="8" t="s">
        <v>26</v>
      </c>
      <c r="C348" s="8" t="s">
        <v>27</v>
      </c>
      <c r="D348" s="16" t="s">
        <v>28</v>
      </c>
      <c r="H348" s="4">
        <v>782</v>
      </c>
      <c r="I348" s="21" t="s">
        <v>197</v>
      </c>
      <c r="J348" s="4">
        <v>1.04</v>
      </c>
      <c r="K348" s="49" t="s">
        <v>383</v>
      </c>
      <c r="L348" s="63">
        <v>77</v>
      </c>
      <c r="M348" s="68">
        <v>6000</v>
      </c>
      <c r="N348" s="8">
        <f>+M348*L348</f>
        <v>462000</v>
      </c>
      <c r="Q348" s="5">
        <f>+N348</f>
        <v>462000</v>
      </c>
      <c r="S348" s="4" t="s">
        <v>199</v>
      </c>
    </row>
    <row r="349" spans="2:19" ht="24" customHeight="1" x14ac:dyDescent="0.4">
      <c r="B349" s="8" t="s">
        <v>26</v>
      </c>
      <c r="C349" s="8" t="s">
        <v>27</v>
      </c>
      <c r="D349" s="16" t="s">
        <v>28</v>
      </c>
      <c r="H349" s="4">
        <v>148</v>
      </c>
      <c r="I349" s="21" t="s">
        <v>115</v>
      </c>
      <c r="J349" s="4">
        <v>1.04</v>
      </c>
      <c r="K349" s="32" t="s">
        <v>384</v>
      </c>
      <c r="L349" s="63">
        <v>1</v>
      </c>
      <c r="M349" s="68">
        <f>12000+3000</f>
        <v>15000</v>
      </c>
      <c r="N349" s="8">
        <f>+M349*L349</f>
        <v>15000</v>
      </c>
      <c r="Q349" s="5">
        <f>+N349</f>
        <v>15000</v>
      </c>
      <c r="R349" s="4" t="s">
        <v>58</v>
      </c>
      <c r="S349" s="7" t="s">
        <v>117</v>
      </c>
    </row>
    <row r="350" spans="2:19" ht="24" customHeight="1" x14ac:dyDescent="0.4">
      <c r="B350" s="8" t="s">
        <v>26</v>
      </c>
      <c r="C350" s="8" t="s">
        <v>27</v>
      </c>
      <c r="D350" s="15" t="s">
        <v>23</v>
      </c>
      <c r="H350" s="4">
        <v>1025</v>
      </c>
      <c r="I350" s="21" t="s">
        <v>320</v>
      </c>
      <c r="J350" s="4">
        <v>1.04</v>
      </c>
      <c r="K350" s="4" t="s">
        <v>385</v>
      </c>
      <c r="L350" s="56">
        <v>21</v>
      </c>
      <c r="M350" s="68">
        <f>6000+3000</f>
        <v>9000</v>
      </c>
      <c r="N350" s="8">
        <f>+M350*L350</f>
        <v>189000</v>
      </c>
      <c r="O350" s="5">
        <f>+N350/1.1</f>
        <v>171818.18181818179</v>
      </c>
      <c r="P350" s="5">
        <f>+N350-O350</f>
        <v>17181.818181818206</v>
      </c>
      <c r="Q350" s="5">
        <f>+N350</f>
        <v>189000</v>
      </c>
      <c r="R350" s="40" t="s">
        <v>50</v>
      </c>
      <c r="S350" s="7" t="s">
        <v>322</v>
      </c>
    </row>
    <row r="351" spans="2:19" ht="24" customHeight="1" x14ac:dyDescent="0.4">
      <c r="B351" s="8" t="s">
        <v>26</v>
      </c>
      <c r="C351" s="8" t="s">
        <v>27</v>
      </c>
      <c r="D351" s="15" t="s">
        <v>23</v>
      </c>
      <c r="H351" s="4">
        <v>1025</v>
      </c>
      <c r="I351" s="21" t="s">
        <v>320</v>
      </c>
      <c r="J351" s="4">
        <v>1.04</v>
      </c>
      <c r="K351" s="32" t="s">
        <v>386</v>
      </c>
      <c r="L351" s="56">
        <v>11</v>
      </c>
      <c r="M351" s="68">
        <v>10000</v>
      </c>
      <c r="N351" s="8">
        <f>+M351*L351</f>
        <v>110000</v>
      </c>
      <c r="O351" s="5">
        <f>+N351/1.1</f>
        <v>99999.999999999985</v>
      </c>
      <c r="P351" s="5">
        <f>+N351-O351</f>
        <v>10000.000000000015</v>
      </c>
      <c r="Q351" s="5">
        <f>+N351</f>
        <v>110000</v>
      </c>
      <c r="S351" s="7" t="s">
        <v>322</v>
      </c>
    </row>
    <row r="352" spans="2:19" ht="24" customHeight="1" x14ac:dyDescent="0.4"/>
    <row r="353" spans="2:19" ht="24" customHeight="1" x14ac:dyDescent="0.4">
      <c r="B353" s="8" t="s">
        <v>26</v>
      </c>
      <c r="C353" s="8" t="s">
        <v>27</v>
      </c>
      <c r="D353" s="16" t="s">
        <v>28</v>
      </c>
      <c r="H353" s="4">
        <v>550</v>
      </c>
      <c r="I353" s="21" t="s">
        <v>48</v>
      </c>
      <c r="J353" s="4">
        <v>1.05</v>
      </c>
      <c r="K353" s="32" t="s">
        <v>387</v>
      </c>
      <c r="L353" s="32">
        <v>1</v>
      </c>
      <c r="M353" s="68">
        <f>12000+3000</f>
        <v>15000</v>
      </c>
      <c r="N353" s="8">
        <f>+M353*L353</f>
        <v>15000</v>
      </c>
      <c r="Q353" s="5">
        <f>+N353</f>
        <v>15000</v>
      </c>
      <c r="R353" s="4" t="s">
        <v>58</v>
      </c>
      <c r="S353" s="7" t="s">
        <v>51</v>
      </c>
    </row>
    <row r="354" spans="2:19" ht="24" customHeight="1" x14ac:dyDescent="0.4">
      <c r="B354" s="8" t="s">
        <v>26</v>
      </c>
      <c r="C354" s="8" t="s">
        <v>27</v>
      </c>
      <c r="D354" s="16" t="s">
        <v>28</v>
      </c>
      <c r="H354" s="4">
        <v>1325</v>
      </c>
      <c r="I354" s="22" t="s">
        <v>82</v>
      </c>
      <c r="J354" s="4">
        <v>1.05</v>
      </c>
      <c r="K354" s="50" t="s">
        <v>388</v>
      </c>
      <c r="L354" s="32">
        <v>1</v>
      </c>
      <c r="M354" s="71">
        <v>38000</v>
      </c>
      <c r="N354" s="8">
        <f>+M354*L354</f>
        <v>38000</v>
      </c>
      <c r="Q354" s="5">
        <f>+N354</f>
        <v>38000</v>
      </c>
      <c r="R354" s="4" t="s">
        <v>58</v>
      </c>
      <c r="S354" s="4" t="s">
        <v>83</v>
      </c>
    </row>
    <row r="355" spans="2:19" ht="24" customHeight="1" x14ac:dyDescent="0.4">
      <c r="B355" s="8" t="s">
        <v>26</v>
      </c>
      <c r="C355" s="8" t="s">
        <v>27</v>
      </c>
      <c r="D355" s="15" t="s">
        <v>23</v>
      </c>
      <c r="H355" s="4">
        <v>719</v>
      </c>
      <c r="I355" s="21" t="s">
        <v>389</v>
      </c>
      <c r="J355" s="4">
        <v>1.06</v>
      </c>
      <c r="K355" s="32" t="s">
        <v>198</v>
      </c>
      <c r="L355" s="56">
        <v>26</v>
      </c>
      <c r="M355" s="68">
        <v>9000</v>
      </c>
      <c r="N355" s="8">
        <f>+M355*L355</f>
        <v>234000</v>
      </c>
      <c r="O355" s="5">
        <f>+N355/1.1</f>
        <v>212727.27272727271</v>
      </c>
      <c r="P355" s="5">
        <f>+N355-O355</f>
        <v>21272.727272727294</v>
      </c>
      <c r="Q355" s="5">
        <f>+N355</f>
        <v>234000</v>
      </c>
      <c r="S355" s="4" t="s">
        <v>390</v>
      </c>
    </row>
    <row r="356" spans="2:19" ht="24" customHeight="1" x14ac:dyDescent="0.4">
      <c r="B356" s="8" t="s">
        <v>26</v>
      </c>
      <c r="C356" s="8" t="s">
        <v>27</v>
      </c>
      <c r="D356" s="15" t="s">
        <v>23</v>
      </c>
      <c r="H356" s="4">
        <v>1025</v>
      </c>
      <c r="I356" s="21" t="s">
        <v>320</v>
      </c>
      <c r="J356" s="4">
        <v>1.06</v>
      </c>
      <c r="K356" s="32" t="s">
        <v>391</v>
      </c>
      <c r="L356" s="56">
        <v>11</v>
      </c>
      <c r="M356" s="68">
        <v>10000</v>
      </c>
      <c r="N356" s="8">
        <f>+M356*L356</f>
        <v>110000</v>
      </c>
      <c r="O356" s="5">
        <f>+N356/1.1</f>
        <v>99999.999999999985</v>
      </c>
      <c r="P356" s="5">
        <f>+N356-O356</f>
        <v>10000.000000000015</v>
      </c>
      <c r="Q356" s="5">
        <f>+N356</f>
        <v>110000</v>
      </c>
      <c r="S356" s="7" t="s">
        <v>322</v>
      </c>
    </row>
    <row r="357" spans="2:19" ht="24" customHeight="1" x14ac:dyDescent="0.4">
      <c r="B357" s="8" t="s">
        <v>26</v>
      </c>
      <c r="C357" s="8" t="s">
        <v>27</v>
      </c>
      <c r="D357" s="16" t="s">
        <v>28</v>
      </c>
      <c r="H357" s="4">
        <v>930</v>
      </c>
      <c r="I357" s="21" t="s">
        <v>392</v>
      </c>
      <c r="J357" s="4">
        <v>1.06</v>
      </c>
      <c r="K357" s="8" t="s">
        <v>393</v>
      </c>
      <c r="L357" s="63">
        <v>1</v>
      </c>
      <c r="M357" s="68">
        <f>20000+3000</f>
        <v>23000</v>
      </c>
      <c r="N357" s="8">
        <f>+M357*L357</f>
        <v>23000</v>
      </c>
      <c r="Q357" s="5">
        <f>+N357</f>
        <v>23000</v>
      </c>
      <c r="R357" s="40" t="s">
        <v>58</v>
      </c>
      <c r="S357" s="7" t="s">
        <v>394</v>
      </c>
    </row>
    <row r="358" spans="2:19" ht="24" customHeight="1" x14ac:dyDescent="0.4">
      <c r="B358" s="8" t="s">
        <v>26</v>
      </c>
      <c r="C358" s="8" t="s">
        <v>27</v>
      </c>
      <c r="D358" s="15" t="s">
        <v>23</v>
      </c>
      <c r="H358" s="4">
        <v>2899</v>
      </c>
      <c r="I358" s="23" t="s">
        <v>395</v>
      </c>
      <c r="J358" s="4">
        <v>1.07</v>
      </c>
      <c r="K358" s="51" t="s">
        <v>396</v>
      </c>
      <c r="L358" s="56">
        <f>3+4</f>
        <v>7</v>
      </c>
      <c r="M358" s="69">
        <f>38000-6000</f>
        <v>32000</v>
      </c>
      <c r="N358" s="8">
        <f>+M358*L358</f>
        <v>224000</v>
      </c>
      <c r="O358" s="5">
        <f>+N358/1.1</f>
        <v>203636.36363636362</v>
      </c>
      <c r="P358" s="5">
        <f>+N358-O358</f>
        <v>20363.636363636382</v>
      </c>
      <c r="Q358" s="5">
        <f>+N358</f>
        <v>224000</v>
      </c>
      <c r="R358" s="79" t="s">
        <v>397</v>
      </c>
      <c r="S358" s="7" t="s">
        <v>398</v>
      </c>
    </row>
    <row r="359" spans="2:19" ht="24" customHeight="1" x14ac:dyDescent="0.4">
      <c r="B359" s="8" t="s">
        <v>26</v>
      </c>
      <c r="C359" s="8" t="s">
        <v>27</v>
      </c>
      <c r="D359" s="15" t="s">
        <v>23</v>
      </c>
      <c r="H359" s="4">
        <v>629</v>
      </c>
      <c r="I359" s="23" t="s">
        <v>399</v>
      </c>
      <c r="J359" s="4">
        <v>1.07</v>
      </c>
      <c r="K359" s="51" t="s">
        <v>396</v>
      </c>
      <c r="L359" s="56">
        <v>3</v>
      </c>
      <c r="M359" s="69">
        <f>38000-6000</f>
        <v>32000</v>
      </c>
      <c r="N359" s="8">
        <f>+M359*L359</f>
        <v>96000</v>
      </c>
      <c r="O359" s="5">
        <f>+N359/1.1</f>
        <v>87272.727272727265</v>
      </c>
      <c r="P359" s="5">
        <f>+N359-O359</f>
        <v>8727.2727272727352</v>
      </c>
      <c r="Q359" s="5">
        <f>+N359</f>
        <v>96000</v>
      </c>
      <c r="R359" s="79" t="s">
        <v>397</v>
      </c>
      <c r="S359" s="4" t="s">
        <v>400</v>
      </c>
    </row>
    <row r="360" spans="2:19" ht="24" customHeight="1" x14ac:dyDescent="0.4">
      <c r="B360" s="8" t="s">
        <v>26</v>
      </c>
      <c r="C360" s="8" t="s">
        <v>27</v>
      </c>
      <c r="D360" s="15" t="s">
        <v>23</v>
      </c>
      <c r="H360" s="4">
        <v>279</v>
      </c>
      <c r="I360" s="24" t="s">
        <v>401</v>
      </c>
      <c r="J360" s="4">
        <v>1.07</v>
      </c>
      <c r="K360" s="51" t="s">
        <v>396</v>
      </c>
      <c r="L360" s="56">
        <v>3</v>
      </c>
      <c r="M360" s="69">
        <f>38000-6000</f>
        <v>32000</v>
      </c>
      <c r="N360" s="8">
        <f>+M360*L360</f>
        <v>96000</v>
      </c>
      <c r="O360" s="5">
        <f>+N360/1.1</f>
        <v>87272.727272727265</v>
      </c>
      <c r="P360" s="5">
        <f>+N360-O360</f>
        <v>8727.2727272727352</v>
      </c>
      <c r="Q360" s="5">
        <f>+N360</f>
        <v>96000</v>
      </c>
      <c r="R360" s="79" t="s">
        <v>397</v>
      </c>
      <c r="S360" s="4" t="s">
        <v>402</v>
      </c>
    </row>
    <row r="361" spans="2:19" ht="24" customHeight="1" x14ac:dyDescent="0.4">
      <c r="B361" s="8" t="s">
        <v>26</v>
      </c>
      <c r="C361" s="8" t="s">
        <v>27</v>
      </c>
      <c r="D361" s="16" t="s">
        <v>28</v>
      </c>
      <c r="H361" s="4">
        <v>1025</v>
      </c>
      <c r="I361" s="21" t="s">
        <v>320</v>
      </c>
      <c r="J361" s="4">
        <v>1.07</v>
      </c>
      <c r="K361" s="32" t="s">
        <v>403</v>
      </c>
      <c r="L361" s="32">
        <v>1</v>
      </c>
      <c r="M361" s="68">
        <f>12000+3000</f>
        <v>15000</v>
      </c>
      <c r="N361" s="8">
        <f>+M361*L361</f>
        <v>15000</v>
      </c>
      <c r="Q361" s="5">
        <f>+N361</f>
        <v>15000</v>
      </c>
      <c r="R361" s="4" t="s">
        <v>58</v>
      </c>
      <c r="S361" s="7" t="s">
        <v>322</v>
      </c>
    </row>
    <row r="362" spans="2:19" ht="24" customHeight="1" x14ac:dyDescent="0.4">
      <c r="B362" s="8" t="s">
        <v>26</v>
      </c>
      <c r="C362" s="8" t="s">
        <v>27</v>
      </c>
      <c r="D362" s="16" t="s">
        <v>28</v>
      </c>
      <c r="H362" s="4">
        <v>607</v>
      </c>
      <c r="I362" s="21" t="s">
        <v>256</v>
      </c>
      <c r="J362" s="4">
        <v>1.07</v>
      </c>
      <c r="K362" s="49" t="s">
        <v>404</v>
      </c>
      <c r="L362" s="63">
        <v>10</v>
      </c>
      <c r="M362" s="68">
        <f>6000+3000</f>
        <v>9000</v>
      </c>
      <c r="N362" s="8">
        <f>+M362*L362</f>
        <v>90000</v>
      </c>
      <c r="Q362" s="5">
        <f>+N362</f>
        <v>90000</v>
      </c>
      <c r="R362" s="40" t="s">
        <v>50</v>
      </c>
      <c r="S362" s="4" t="s">
        <v>280</v>
      </c>
    </row>
    <row r="363" spans="2:19" ht="24" customHeight="1" x14ac:dyDescent="0.4">
      <c r="B363" s="8" t="s">
        <v>26</v>
      </c>
      <c r="C363" s="8" t="s">
        <v>27</v>
      </c>
      <c r="D363" s="16" t="s">
        <v>28</v>
      </c>
      <c r="H363" s="4">
        <v>1331</v>
      </c>
      <c r="I363" s="21" t="s">
        <v>332</v>
      </c>
      <c r="J363" s="4">
        <v>1.07</v>
      </c>
      <c r="K363" s="49" t="s">
        <v>405</v>
      </c>
      <c r="L363" s="63">
        <v>16</v>
      </c>
      <c r="M363" s="68">
        <f>6000+3000</f>
        <v>9000</v>
      </c>
      <c r="N363" s="8">
        <f>+M363*L363</f>
        <v>144000</v>
      </c>
      <c r="Q363" s="5">
        <f>+N363</f>
        <v>144000</v>
      </c>
      <c r="R363" s="40" t="s">
        <v>50</v>
      </c>
      <c r="S363" s="4" t="s">
        <v>334</v>
      </c>
    </row>
    <row r="364" spans="2:19" ht="24" customHeight="1" x14ac:dyDescent="0.4">
      <c r="B364" s="8" t="s">
        <v>26</v>
      </c>
      <c r="C364" s="8" t="s">
        <v>27</v>
      </c>
      <c r="D364" s="16" t="s">
        <v>28</v>
      </c>
      <c r="H364" s="4">
        <v>2155</v>
      </c>
      <c r="I364" s="21" t="s">
        <v>406</v>
      </c>
      <c r="J364" s="4">
        <v>1.07</v>
      </c>
      <c r="K364" s="32" t="s">
        <v>407</v>
      </c>
      <c r="L364" s="63">
        <v>1</v>
      </c>
      <c r="M364" s="68">
        <f>12000+3000</f>
        <v>15000</v>
      </c>
      <c r="N364" s="8">
        <f>+M364*L364</f>
        <v>15000</v>
      </c>
      <c r="Q364" s="5">
        <f>+N364</f>
        <v>15000</v>
      </c>
      <c r="R364" s="4" t="s">
        <v>58</v>
      </c>
      <c r="S364" s="4" t="s">
        <v>102</v>
      </c>
    </row>
    <row r="365" spans="2:19" ht="24" customHeight="1" x14ac:dyDescent="0.4">
      <c r="B365" s="8" t="s">
        <v>381</v>
      </c>
      <c r="C365" s="8" t="s">
        <v>27</v>
      </c>
      <c r="D365" s="15" t="s">
        <v>23</v>
      </c>
      <c r="H365" s="4">
        <v>606</v>
      </c>
      <c r="I365" s="21" t="s">
        <v>382</v>
      </c>
      <c r="J365" s="4">
        <v>1.1000000000000001</v>
      </c>
      <c r="K365" s="36" t="s">
        <v>98</v>
      </c>
      <c r="L365" s="56">
        <v>35</v>
      </c>
      <c r="M365" s="68">
        <v>10000</v>
      </c>
      <c r="N365" s="8">
        <f>+M365*L365</f>
        <v>350000</v>
      </c>
      <c r="O365" s="5">
        <f>+N365/1.1</f>
        <v>318181.81818181818</v>
      </c>
      <c r="P365" s="5">
        <f>+N365-O365</f>
        <v>31818.181818181823</v>
      </c>
      <c r="Q365" s="5">
        <f>+N365</f>
        <v>350000</v>
      </c>
      <c r="S365" s="7" t="s">
        <v>394</v>
      </c>
    </row>
    <row r="366" spans="2:19" ht="24" customHeight="1" x14ac:dyDescent="0.4">
      <c r="B366" s="8" t="s">
        <v>26</v>
      </c>
      <c r="C366" s="8" t="s">
        <v>27</v>
      </c>
      <c r="D366" s="16" t="s">
        <v>28</v>
      </c>
      <c r="H366" s="4">
        <v>729</v>
      </c>
      <c r="I366" s="22" t="s">
        <v>109</v>
      </c>
      <c r="J366" s="4">
        <v>1.1000000000000001</v>
      </c>
      <c r="K366" s="4" t="s">
        <v>186</v>
      </c>
      <c r="L366" s="32">
        <f>6+4</f>
        <v>10</v>
      </c>
      <c r="M366" s="68">
        <v>70000</v>
      </c>
      <c r="N366" s="8">
        <f>+M366*L366</f>
        <v>700000</v>
      </c>
      <c r="Q366" s="5">
        <f>+N366</f>
        <v>700000</v>
      </c>
      <c r="S366" s="4" t="s">
        <v>110</v>
      </c>
    </row>
    <row r="367" spans="2:19" ht="24" customHeight="1" x14ac:dyDescent="0.4">
      <c r="B367" s="8" t="s">
        <v>26</v>
      </c>
      <c r="C367" s="8" t="s">
        <v>27</v>
      </c>
      <c r="D367" s="16" t="s">
        <v>28</v>
      </c>
      <c r="H367" s="4">
        <v>2155</v>
      </c>
      <c r="I367" s="21" t="s">
        <v>406</v>
      </c>
      <c r="J367" s="4">
        <v>1.1000000000000001</v>
      </c>
      <c r="K367" s="32" t="s">
        <v>408</v>
      </c>
      <c r="L367" s="63">
        <v>1</v>
      </c>
      <c r="M367" s="68">
        <f>12000+3000</f>
        <v>15000</v>
      </c>
      <c r="N367" s="8">
        <f>+M367*L367</f>
        <v>15000</v>
      </c>
      <c r="Q367" s="5">
        <f>+N367</f>
        <v>15000</v>
      </c>
      <c r="R367" s="4" t="s">
        <v>58</v>
      </c>
      <c r="S367" s="4" t="s">
        <v>102</v>
      </c>
    </row>
    <row r="368" spans="2:19" ht="24" customHeight="1" x14ac:dyDescent="0.4">
      <c r="B368" s="8" t="s">
        <v>26</v>
      </c>
      <c r="C368" s="8" t="s">
        <v>27</v>
      </c>
      <c r="D368" s="16" t="s">
        <v>28</v>
      </c>
      <c r="H368" s="4">
        <v>2634</v>
      </c>
      <c r="I368" s="22" t="s">
        <v>119</v>
      </c>
      <c r="J368" s="4">
        <v>1.1000000000000001</v>
      </c>
      <c r="K368" s="49" t="s">
        <v>409</v>
      </c>
      <c r="L368" s="63">
        <v>14</v>
      </c>
      <c r="M368" s="68">
        <f>6000+3000</f>
        <v>9000</v>
      </c>
      <c r="N368" s="8">
        <f>+M368*L368</f>
        <v>126000</v>
      </c>
      <c r="Q368" s="5">
        <f>+N368</f>
        <v>126000</v>
      </c>
      <c r="R368" s="40" t="s">
        <v>50</v>
      </c>
      <c r="S368" s="4" t="s">
        <v>121</v>
      </c>
    </row>
    <row r="369" spans="2:19" ht="24" customHeight="1" x14ac:dyDescent="0.4">
      <c r="B369" s="8" t="s">
        <v>26</v>
      </c>
      <c r="C369" s="8" t="s">
        <v>27</v>
      </c>
      <c r="D369" s="16" t="s">
        <v>28</v>
      </c>
      <c r="H369" s="4">
        <v>930</v>
      </c>
      <c r="I369" s="21" t="s">
        <v>392</v>
      </c>
      <c r="J369" s="4">
        <v>1.1000000000000001</v>
      </c>
      <c r="K369" s="8" t="s">
        <v>410</v>
      </c>
      <c r="L369" s="63">
        <v>1</v>
      </c>
      <c r="M369" s="68">
        <f>20000+3000</f>
        <v>23000</v>
      </c>
      <c r="N369" s="8">
        <f>+M369*L369</f>
        <v>23000</v>
      </c>
      <c r="Q369" s="5">
        <f>+N369</f>
        <v>23000</v>
      </c>
      <c r="R369" s="40" t="s">
        <v>58</v>
      </c>
      <c r="S369" s="7" t="s">
        <v>394</v>
      </c>
    </row>
    <row r="370" spans="2:19" ht="24" customHeight="1" x14ac:dyDescent="0.4">
      <c r="B370" s="8" t="s">
        <v>26</v>
      </c>
      <c r="C370" s="8" t="s">
        <v>27</v>
      </c>
      <c r="D370" s="15" t="s">
        <v>23</v>
      </c>
      <c r="H370" s="4">
        <v>279</v>
      </c>
      <c r="I370" s="24" t="s">
        <v>401</v>
      </c>
      <c r="J370" s="4">
        <v>1.1100000000000001</v>
      </c>
      <c r="K370" s="32" t="s">
        <v>113</v>
      </c>
      <c r="L370" s="56">
        <v>27</v>
      </c>
      <c r="M370" s="68">
        <v>6000</v>
      </c>
      <c r="N370" s="8">
        <f>+M370*L370</f>
        <v>162000</v>
      </c>
      <c r="O370" s="5">
        <f>+N370/1.1</f>
        <v>147272.72727272726</v>
      </c>
      <c r="P370" s="5">
        <f>+N370-O370</f>
        <v>14727.272727272735</v>
      </c>
      <c r="Q370" s="5">
        <f>+N370</f>
        <v>162000</v>
      </c>
      <c r="S370" s="4" t="s">
        <v>402</v>
      </c>
    </row>
    <row r="371" spans="2:19" ht="24" customHeight="1" x14ac:dyDescent="0.4">
      <c r="B371" s="8" t="s">
        <v>26</v>
      </c>
      <c r="C371" s="8" t="s">
        <v>27</v>
      </c>
      <c r="D371" s="15" t="s">
        <v>23</v>
      </c>
      <c r="H371" s="4">
        <v>629</v>
      </c>
      <c r="I371" s="23" t="s">
        <v>399</v>
      </c>
      <c r="J371" s="4">
        <v>1.1100000000000001</v>
      </c>
      <c r="K371" s="32" t="s">
        <v>113</v>
      </c>
      <c r="L371" s="56">
        <v>30</v>
      </c>
      <c r="M371" s="68">
        <v>6000</v>
      </c>
      <c r="N371" s="8">
        <f>+M371*L371</f>
        <v>180000</v>
      </c>
      <c r="O371" s="5">
        <f>+N371/1.1</f>
        <v>163636.36363636362</v>
      </c>
      <c r="P371" s="5">
        <f>+N371-O371</f>
        <v>16363.636363636382</v>
      </c>
      <c r="Q371" s="5">
        <f>+N371</f>
        <v>180000</v>
      </c>
      <c r="S371" s="4" t="s">
        <v>400</v>
      </c>
    </row>
    <row r="372" spans="2:19" ht="24" customHeight="1" x14ac:dyDescent="0.4">
      <c r="B372" s="8" t="s">
        <v>26</v>
      </c>
      <c r="C372" s="8" t="s">
        <v>27</v>
      </c>
      <c r="D372" s="16" t="s">
        <v>28</v>
      </c>
      <c r="H372" s="4">
        <v>602</v>
      </c>
      <c r="I372" s="21" t="s">
        <v>375</v>
      </c>
      <c r="J372" s="4">
        <v>1.1100000000000001</v>
      </c>
      <c r="K372" s="8" t="s">
        <v>411</v>
      </c>
      <c r="L372" s="63">
        <v>1</v>
      </c>
      <c r="M372" s="68">
        <f>20000+3000</f>
        <v>23000</v>
      </c>
      <c r="N372" s="8">
        <f>+M372*L372</f>
        <v>23000</v>
      </c>
      <c r="Q372" s="5">
        <f>+N372</f>
        <v>23000</v>
      </c>
      <c r="R372" s="40" t="s">
        <v>58</v>
      </c>
      <c r="S372" s="7" t="s">
        <v>377</v>
      </c>
    </row>
    <row r="373" spans="2:19" ht="24" customHeight="1" x14ac:dyDescent="0.4">
      <c r="B373" s="8" t="s">
        <v>26</v>
      </c>
      <c r="C373" s="8" t="s">
        <v>27</v>
      </c>
      <c r="D373" s="16" t="s">
        <v>28</v>
      </c>
      <c r="H373" s="4">
        <v>550</v>
      </c>
      <c r="I373" s="21" t="s">
        <v>48</v>
      </c>
      <c r="J373" s="4">
        <v>1.1100000000000001</v>
      </c>
      <c r="K373" s="32" t="s">
        <v>412</v>
      </c>
      <c r="L373" s="32">
        <v>1</v>
      </c>
      <c r="M373" s="68">
        <f>12000+3000</f>
        <v>15000</v>
      </c>
      <c r="N373" s="8">
        <f>+M373*L373</f>
        <v>15000</v>
      </c>
      <c r="Q373" s="5">
        <f>+N373</f>
        <v>15000</v>
      </c>
      <c r="R373" s="4" t="s">
        <v>58</v>
      </c>
      <c r="S373" s="7" t="s">
        <v>51</v>
      </c>
    </row>
    <row r="374" spans="2:19" ht="24" customHeight="1" x14ac:dyDescent="0.4"/>
    <row r="375" spans="2:19" ht="24" customHeight="1" x14ac:dyDescent="0.4">
      <c r="B375" s="8" t="s">
        <v>26</v>
      </c>
      <c r="C375" s="8" t="s">
        <v>27</v>
      </c>
      <c r="D375" s="16" t="s">
        <v>28</v>
      </c>
      <c r="H375" s="4">
        <v>930</v>
      </c>
      <c r="I375" s="21" t="s">
        <v>392</v>
      </c>
      <c r="J375" s="4">
        <v>1.1200000000000001</v>
      </c>
      <c r="K375" s="8" t="s">
        <v>413</v>
      </c>
      <c r="L375" s="63">
        <v>2</v>
      </c>
      <c r="M375" s="68">
        <f>20000+3000</f>
        <v>23000</v>
      </c>
      <c r="N375" s="8">
        <f>+M375*L375</f>
        <v>46000</v>
      </c>
      <c r="Q375" s="5">
        <f>+N375</f>
        <v>46000</v>
      </c>
      <c r="R375" s="40" t="s">
        <v>58</v>
      </c>
      <c r="S375" s="7" t="s">
        <v>394</v>
      </c>
    </row>
    <row r="376" spans="2:19" ht="24" customHeight="1" x14ac:dyDescent="0.4">
      <c r="B376" s="8" t="s">
        <v>26</v>
      </c>
      <c r="C376" s="8" t="s">
        <v>27</v>
      </c>
      <c r="D376" s="16" t="s">
        <v>28</v>
      </c>
      <c r="H376" s="4">
        <v>540</v>
      </c>
      <c r="I376" s="21" t="s">
        <v>414</v>
      </c>
      <c r="J376" s="4">
        <v>1.1200000000000001</v>
      </c>
      <c r="K376" s="32" t="s">
        <v>415</v>
      </c>
      <c r="L376" s="63">
        <v>1</v>
      </c>
      <c r="M376" s="68">
        <f>12000+3000</f>
        <v>15000</v>
      </c>
      <c r="N376" s="8">
        <f>+M376*L376</f>
        <v>15000</v>
      </c>
      <c r="Q376" s="5">
        <f>+N376</f>
        <v>15000</v>
      </c>
      <c r="R376" s="4" t="s">
        <v>58</v>
      </c>
      <c r="S376" s="7" t="s">
        <v>416</v>
      </c>
    </row>
    <row r="377" spans="2:19" ht="24" customHeight="1" x14ac:dyDescent="0.4">
      <c r="B377" s="8" t="s">
        <v>26</v>
      </c>
      <c r="C377" s="8" t="s">
        <v>27</v>
      </c>
      <c r="D377" s="16" t="s">
        <v>28</v>
      </c>
      <c r="H377" s="4">
        <v>2155</v>
      </c>
      <c r="I377" s="21" t="s">
        <v>406</v>
      </c>
      <c r="J377" s="4">
        <v>1.1200000000000001</v>
      </c>
      <c r="K377" s="32" t="s">
        <v>417</v>
      </c>
      <c r="L377" s="63">
        <v>1</v>
      </c>
      <c r="M377" s="68">
        <f>12000+3000</f>
        <v>15000</v>
      </c>
      <c r="N377" s="8">
        <f>+M377*L377</f>
        <v>15000</v>
      </c>
      <c r="Q377" s="5">
        <f>+N377</f>
        <v>15000</v>
      </c>
      <c r="R377" s="4" t="s">
        <v>58</v>
      </c>
      <c r="S377" s="4" t="s">
        <v>102</v>
      </c>
    </row>
    <row r="378" spans="2:19" ht="24" customHeight="1" x14ac:dyDescent="0.4">
      <c r="B378" s="8" t="s">
        <v>26</v>
      </c>
      <c r="C378" s="8" t="s">
        <v>27</v>
      </c>
      <c r="D378" s="16" t="s">
        <v>28</v>
      </c>
      <c r="H378" s="4">
        <v>2634</v>
      </c>
      <c r="I378" s="22" t="s">
        <v>119</v>
      </c>
      <c r="J378" s="4">
        <v>1.1200000000000001</v>
      </c>
      <c r="K378" s="49" t="s">
        <v>418</v>
      </c>
      <c r="L378" s="63">
        <v>2</v>
      </c>
      <c r="M378" s="68">
        <f>6000+3000</f>
        <v>9000</v>
      </c>
      <c r="N378" s="8">
        <f>+M378*L378</f>
        <v>18000</v>
      </c>
      <c r="Q378" s="5">
        <f>+N378</f>
        <v>18000</v>
      </c>
      <c r="R378" s="40" t="s">
        <v>50</v>
      </c>
      <c r="S378" s="4" t="s">
        <v>121</v>
      </c>
    </row>
    <row r="379" spans="2:19" ht="24" customHeight="1" x14ac:dyDescent="0.4"/>
    <row r="380" spans="2:19" ht="24" customHeight="1" x14ac:dyDescent="0.4">
      <c r="B380" s="8" t="s">
        <v>26</v>
      </c>
      <c r="C380" s="8" t="s">
        <v>27</v>
      </c>
      <c r="D380" s="16" t="s">
        <v>28</v>
      </c>
      <c r="H380" s="4">
        <v>550</v>
      </c>
      <c r="I380" s="21" t="s">
        <v>48</v>
      </c>
      <c r="J380" s="4">
        <v>1.1299999999999999</v>
      </c>
      <c r="K380" s="32" t="s">
        <v>419</v>
      </c>
      <c r="L380" s="56">
        <v>1</v>
      </c>
      <c r="M380" s="68">
        <v>25000</v>
      </c>
      <c r="N380" s="8">
        <f>+M380*L380</f>
        <v>25000</v>
      </c>
      <c r="Q380" s="5">
        <f>+N380</f>
        <v>25000</v>
      </c>
      <c r="S380" s="7" t="s">
        <v>51</v>
      </c>
    </row>
    <row r="381" spans="2:19" ht="24" customHeight="1" x14ac:dyDescent="0.4">
      <c r="B381" s="8" t="s">
        <v>26</v>
      </c>
      <c r="C381" s="8" t="s">
        <v>27</v>
      </c>
      <c r="D381" s="16" t="s">
        <v>28</v>
      </c>
      <c r="H381" s="4">
        <v>930</v>
      </c>
      <c r="I381" s="21" t="s">
        <v>392</v>
      </c>
      <c r="J381" s="4">
        <v>1.1299999999999999</v>
      </c>
      <c r="K381" s="8" t="s">
        <v>420</v>
      </c>
      <c r="L381" s="63">
        <v>1</v>
      </c>
      <c r="M381" s="68">
        <f>20000+3000</f>
        <v>23000</v>
      </c>
      <c r="N381" s="8">
        <f>+M381*L381</f>
        <v>23000</v>
      </c>
      <c r="Q381" s="5">
        <f>+N381</f>
        <v>23000</v>
      </c>
      <c r="R381" s="40" t="s">
        <v>58</v>
      </c>
      <c r="S381" s="7" t="s">
        <v>394</v>
      </c>
    </row>
    <row r="382" spans="2:19" ht="24" customHeight="1" x14ac:dyDescent="0.4">
      <c r="B382" s="8" t="s">
        <v>26</v>
      </c>
      <c r="C382" s="8" t="s">
        <v>27</v>
      </c>
      <c r="D382" s="15" t="s">
        <v>23</v>
      </c>
      <c r="H382" s="4">
        <v>605</v>
      </c>
      <c r="I382" s="21" t="s">
        <v>177</v>
      </c>
      <c r="J382" s="4">
        <v>1.1299999999999999</v>
      </c>
      <c r="K382" s="45" t="s">
        <v>421</v>
      </c>
      <c r="L382" s="63">
        <v>12</v>
      </c>
      <c r="M382" s="68">
        <f>5000+3000</f>
        <v>8000</v>
      </c>
      <c r="N382" s="8">
        <f>+M382*L382</f>
        <v>96000</v>
      </c>
      <c r="O382" s="5">
        <f>+N382/1.1</f>
        <v>87272.727272727265</v>
      </c>
      <c r="P382" s="5">
        <f>+N382-O382</f>
        <v>8727.2727272727352</v>
      </c>
      <c r="Q382" s="5">
        <f>+N382</f>
        <v>96000</v>
      </c>
      <c r="R382" s="72" t="s">
        <v>50</v>
      </c>
      <c r="S382" s="4" t="s">
        <v>179</v>
      </c>
    </row>
    <row r="383" spans="2:19" ht="24" customHeight="1" x14ac:dyDescent="0.4">
      <c r="B383" s="8" t="s">
        <v>26</v>
      </c>
      <c r="C383" s="8" t="s">
        <v>27</v>
      </c>
      <c r="D383" s="15" t="s">
        <v>23</v>
      </c>
      <c r="H383" s="4">
        <v>1324</v>
      </c>
      <c r="I383" s="21" t="s">
        <v>96</v>
      </c>
      <c r="J383" s="4">
        <v>1.1299999999999999</v>
      </c>
      <c r="K383" s="36" t="s">
        <v>422</v>
      </c>
      <c r="L383" s="63">
        <v>7</v>
      </c>
      <c r="M383" s="68">
        <f>10000+3000</f>
        <v>13000</v>
      </c>
      <c r="N383" s="8">
        <f>+M383*L383</f>
        <v>91000</v>
      </c>
      <c r="O383" s="5">
        <f>+N383/1.1</f>
        <v>82727.272727272721</v>
      </c>
      <c r="P383" s="5">
        <f>+N383-O383</f>
        <v>8272.7272727272793</v>
      </c>
      <c r="Q383" s="5">
        <f>+N383</f>
        <v>91000</v>
      </c>
      <c r="R383" s="72" t="s">
        <v>50</v>
      </c>
      <c r="S383" s="7" t="s">
        <v>97</v>
      </c>
    </row>
    <row r="384" spans="2:19" ht="24" customHeight="1" x14ac:dyDescent="0.4">
      <c r="B384" s="8" t="s">
        <v>26</v>
      </c>
      <c r="C384" s="8" t="s">
        <v>27</v>
      </c>
      <c r="D384" s="15" t="s">
        <v>23</v>
      </c>
      <c r="H384" s="4">
        <v>2634</v>
      </c>
      <c r="I384" s="22" t="s">
        <v>119</v>
      </c>
      <c r="J384" s="4">
        <v>1.1299999999999999</v>
      </c>
      <c r="K384" s="32" t="s">
        <v>423</v>
      </c>
      <c r="L384" s="63">
        <v>23</v>
      </c>
      <c r="M384" s="68">
        <f>6000+3000</f>
        <v>9000</v>
      </c>
      <c r="N384" s="8">
        <f>+M384*L384</f>
        <v>207000</v>
      </c>
      <c r="O384" s="5">
        <f>+N384/1.1</f>
        <v>188181.81818181818</v>
      </c>
      <c r="P384" s="5">
        <f>+N384-O384</f>
        <v>18818.181818181823</v>
      </c>
      <c r="Q384" s="5">
        <f>+N384</f>
        <v>207000</v>
      </c>
      <c r="R384" s="72" t="s">
        <v>50</v>
      </c>
      <c r="S384" s="4" t="s">
        <v>121</v>
      </c>
    </row>
    <row r="385" spans="2:19" ht="24" customHeight="1" x14ac:dyDescent="0.4"/>
    <row r="386" spans="2:19" ht="24" customHeight="1" x14ac:dyDescent="0.4">
      <c r="B386" s="8" t="s">
        <v>26</v>
      </c>
      <c r="C386" s="8" t="s">
        <v>27</v>
      </c>
      <c r="D386" s="16" t="s">
        <v>28</v>
      </c>
      <c r="H386" s="4">
        <v>930</v>
      </c>
      <c r="I386" s="21" t="s">
        <v>392</v>
      </c>
      <c r="J386" s="4">
        <v>1.1399999999999999</v>
      </c>
      <c r="K386" s="8" t="s">
        <v>424</v>
      </c>
      <c r="L386" s="63">
        <v>1</v>
      </c>
      <c r="M386" s="68">
        <f>20000+3000</f>
        <v>23000</v>
      </c>
      <c r="N386" s="8">
        <f>+M386*L386</f>
        <v>23000</v>
      </c>
      <c r="Q386" s="5">
        <f>+N386</f>
        <v>23000</v>
      </c>
      <c r="R386" s="40" t="s">
        <v>58</v>
      </c>
      <c r="S386" s="7" t="s">
        <v>394</v>
      </c>
    </row>
    <row r="387" spans="2:19" ht="24" customHeight="1" x14ac:dyDescent="0.4">
      <c r="B387" s="8" t="s">
        <v>26</v>
      </c>
      <c r="C387" s="8" t="s">
        <v>27</v>
      </c>
      <c r="D387" s="16" t="s">
        <v>28</v>
      </c>
      <c r="H387" s="4">
        <v>930</v>
      </c>
      <c r="I387" s="21" t="s">
        <v>392</v>
      </c>
      <c r="J387" s="4">
        <v>1.1399999999999999</v>
      </c>
      <c r="K387" s="8" t="s">
        <v>425</v>
      </c>
      <c r="L387" s="63">
        <v>1</v>
      </c>
      <c r="M387" s="68">
        <f>20000+3000</f>
        <v>23000</v>
      </c>
      <c r="N387" s="8">
        <f>+M387*L387</f>
        <v>23000</v>
      </c>
      <c r="Q387" s="5">
        <f>+N387</f>
        <v>23000</v>
      </c>
      <c r="R387" s="40" t="s">
        <v>58</v>
      </c>
      <c r="S387" s="7" t="s">
        <v>394</v>
      </c>
    </row>
    <row r="388" spans="2:19" ht="24" customHeight="1" x14ac:dyDescent="0.4">
      <c r="B388" s="8" t="s">
        <v>26</v>
      </c>
      <c r="C388" s="8" t="s">
        <v>27</v>
      </c>
      <c r="D388" s="16" t="s">
        <v>28</v>
      </c>
      <c r="H388" s="4">
        <v>1025</v>
      </c>
      <c r="I388" s="21" t="s">
        <v>320</v>
      </c>
      <c r="J388" s="4">
        <v>1.1399999999999999</v>
      </c>
      <c r="K388" s="32" t="s">
        <v>426</v>
      </c>
      <c r="L388" s="32">
        <v>1</v>
      </c>
      <c r="M388" s="68">
        <f>12000+3000</f>
        <v>15000</v>
      </c>
      <c r="N388" s="8">
        <f>+M388*L388</f>
        <v>15000</v>
      </c>
      <c r="Q388" s="5">
        <f>+N388</f>
        <v>15000</v>
      </c>
      <c r="R388" s="4" t="s">
        <v>58</v>
      </c>
      <c r="S388" s="7" t="s">
        <v>322</v>
      </c>
    </row>
    <row r="389" spans="2:19" ht="24" customHeight="1" x14ac:dyDescent="0.4">
      <c r="B389" s="8" t="s">
        <v>26</v>
      </c>
      <c r="C389" s="8" t="s">
        <v>27</v>
      </c>
      <c r="D389" s="16" t="s">
        <v>28</v>
      </c>
      <c r="H389" s="4">
        <v>2155</v>
      </c>
      <c r="I389" s="21" t="s">
        <v>406</v>
      </c>
      <c r="J389" s="4">
        <v>1.1399999999999999</v>
      </c>
      <c r="K389" s="32" t="s">
        <v>427</v>
      </c>
      <c r="L389" s="63">
        <v>1</v>
      </c>
      <c r="M389" s="68">
        <f>12000+3000</f>
        <v>15000</v>
      </c>
      <c r="N389" s="8">
        <f>+M389*L389</f>
        <v>15000</v>
      </c>
      <c r="Q389" s="5">
        <f>+N389</f>
        <v>15000</v>
      </c>
      <c r="R389" s="4" t="s">
        <v>58</v>
      </c>
      <c r="S389" s="4" t="s">
        <v>102</v>
      </c>
    </row>
    <row r="390" spans="2:19" ht="24" customHeight="1" x14ac:dyDescent="0.4">
      <c r="B390" s="8" t="s">
        <v>26</v>
      </c>
      <c r="C390" s="8" t="s">
        <v>27</v>
      </c>
      <c r="D390" s="15" t="s">
        <v>23</v>
      </c>
      <c r="H390" s="4">
        <v>1324</v>
      </c>
      <c r="I390" s="21" t="s">
        <v>96</v>
      </c>
      <c r="J390" s="4">
        <v>1.1399999999999999</v>
      </c>
      <c r="K390" s="36" t="s">
        <v>428</v>
      </c>
      <c r="L390" s="63">
        <v>4</v>
      </c>
      <c r="M390" s="68">
        <f>10000+3000</f>
        <v>13000</v>
      </c>
      <c r="N390" s="8">
        <f>+M390*L390</f>
        <v>52000</v>
      </c>
      <c r="O390" s="5">
        <f>+N390/1.1</f>
        <v>47272.727272727272</v>
      </c>
      <c r="P390" s="5">
        <f>+N390-O390</f>
        <v>4727.2727272727279</v>
      </c>
      <c r="Q390" s="5">
        <f>+N390</f>
        <v>52000</v>
      </c>
      <c r="R390" s="72" t="s">
        <v>50</v>
      </c>
      <c r="S390" s="7" t="s">
        <v>97</v>
      </c>
    </row>
    <row r="391" spans="2:19" ht="24" customHeight="1" x14ac:dyDescent="0.4">
      <c r="B391" s="8" t="s">
        <v>26</v>
      </c>
      <c r="C391" s="8" t="s">
        <v>27</v>
      </c>
      <c r="D391" s="15" t="s">
        <v>23</v>
      </c>
      <c r="H391" s="4">
        <v>571</v>
      </c>
      <c r="I391" s="21" t="s">
        <v>363</v>
      </c>
      <c r="J391" s="4">
        <v>1.1399999999999999</v>
      </c>
      <c r="K391" s="32" t="s">
        <v>429</v>
      </c>
      <c r="L391" s="63">
        <v>6</v>
      </c>
      <c r="M391" s="68">
        <f>10000+3000</f>
        <v>13000</v>
      </c>
      <c r="N391" s="8">
        <f>+M391*L391</f>
        <v>78000</v>
      </c>
      <c r="O391" s="5">
        <f>+N391/1.1</f>
        <v>70909.090909090897</v>
      </c>
      <c r="P391" s="5">
        <f>+N391-O391</f>
        <v>7090.9090909091028</v>
      </c>
      <c r="Q391" s="5">
        <f>+N391</f>
        <v>78000</v>
      </c>
      <c r="R391" s="72" t="s">
        <v>50</v>
      </c>
      <c r="S391" s="5" t="s">
        <v>81</v>
      </c>
    </row>
    <row r="392" spans="2:19" ht="24" customHeight="1" x14ac:dyDescent="0.4">
      <c r="B392" s="8" t="s">
        <v>26</v>
      </c>
      <c r="C392" s="8" t="s">
        <v>27</v>
      </c>
      <c r="D392" s="16" t="s">
        <v>28</v>
      </c>
      <c r="H392" s="4">
        <v>1325</v>
      </c>
      <c r="I392" s="22" t="s">
        <v>82</v>
      </c>
      <c r="J392" s="4">
        <v>1.1399999999999999</v>
      </c>
      <c r="K392" s="52" t="s">
        <v>430</v>
      </c>
      <c r="L392" s="63">
        <v>2</v>
      </c>
      <c r="M392" s="68">
        <f>30000+4000</f>
        <v>34000</v>
      </c>
      <c r="N392" s="8">
        <f>+M392*L392</f>
        <v>68000</v>
      </c>
      <c r="Q392" s="5">
        <f>+N392</f>
        <v>68000</v>
      </c>
      <c r="R392" s="40" t="s">
        <v>50</v>
      </c>
      <c r="S392" s="4" t="s">
        <v>83</v>
      </c>
    </row>
    <row r="393" spans="2:19" ht="24" customHeight="1" x14ac:dyDescent="0.4">
      <c r="B393" s="8" t="s">
        <v>26</v>
      </c>
      <c r="C393" s="8" t="s">
        <v>27</v>
      </c>
      <c r="D393" s="15" t="s">
        <v>23</v>
      </c>
      <c r="H393" s="4">
        <v>2634</v>
      </c>
      <c r="I393" s="22" t="s">
        <v>119</v>
      </c>
      <c r="J393" s="4">
        <v>1.1399999999999999</v>
      </c>
      <c r="K393" s="32" t="s">
        <v>431</v>
      </c>
      <c r="L393" s="63">
        <v>10</v>
      </c>
      <c r="M393" s="68">
        <f>6000+3000</f>
        <v>9000</v>
      </c>
      <c r="N393" s="8">
        <f>+M393*L393</f>
        <v>90000</v>
      </c>
      <c r="O393" s="5">
        <f>+N393/1.1</f>
        <v>81818.181818181809</v>
      </c>
      <c r="P393" s="5">
        <f>+N393-O393</f>
        <v>8181.8181818181911</v>
      </c>
      <c r="Q393" s="5">
        <f>+N393</f>
        <v>90000</v>
      </c>
      <c r="R393" s="72" t="s">
        <v>50</v>
      </c>
      <c r="S393" s="4" t="s">
        <v>121</v>
      </c>
    </row>
    <row r="394" spans="2:19" ht="24" customHeight="1" x14ac:dyDescent="0.4">
      <c r="B394" s="8" t="s">
        <v>26</v>
      </c>
      <c r="C394" s="8" t="s">
        <v>27</v>
      </c>
      <c r="D394" s="15" t="s">
        <v>23</v>
      </c>
      <c r="H394" s="4">
        <v>1331</v>
      </c>
      <c r="I394" s="21" t="s">
        <v>332</v>
      </c>
      <c r="J394" s="4">
        <v>1.1399999999999999</v>
      </c>
      <c r="K394" s="4" t="s">
        <v>432</v>
      </c>
      <c r="L394" s="56">
        <v>18</v>
      </c>
      <c r="M394" s="68">
        <f>6000+3000</f>
        <v>9000</v>
      </c>
      <c r="N394" s="8">
        <f>+M394*L394</f>
        <v>162000</v>
      </c>
      <c r="O394" s="5">
        <f>+N394/1.1</f>
        <v>147272.72727272726</v>
      </c>
      <c r="P394" s="5">
        <f>+N394-O394</f>
        <v>14727.272727272735</v>
      </c>
      <c r="Q394" s="5">
        <f>+N394</f>
        <v>162000</v>
      </c>
      <c r="R394" s="72" t="s">
        <v>50</v>
      </c>
      <c r="S394" s="4" t="s">
        <v>334</v>
      </c>
    </row>
    <row r="395" spans="2:19" ht="24" customHeight="1" x14ac:dyDescent="0.4">
      <c r="B395" s="8" t="s">
        <v>26</v>
      </c>
      <c r="C395" s="8" t="s">
        <v>27</v>
      </c>
      <c r="D395" s="15" t="s">
        <v>23</v>
      </c>
      <c r="H395" s="4">
        <v>1025</v>
      </c>
      <c r="I395" s="21" t="s">
        <v>320</v>
      </c>
      <c r="J395" s="4">
        <v>1.1499999999999999</v>
      </c>
      <c r="K395" s="51" t="s">
        <v>433</v>
      </c>
      <c r="L395" s="56">
        <f>160+10+20+10</f>
        <v>200</v>
      </c>
      <c r="M395" s="68">
        <v>5000</v>
      </c>
      <c r="N395" s="8">
        <f>+M395*L395</f>
        <v>1000000</v>
      </c>
      <c r="O395" s="5">
        <f>+N395/1.1</f>
        <v>909090.90909090906</v>
      </c>
      <c r="P395" s="5">
        <f>+N395-O395</f>
        <v>90909.090909090941</v>
      </c>
      <c r="Q395" s="5">
        <f>+N395</f>
        <v>1000000</v>
      </c>
      <c r="S395" s="7" t="s">
        <v>322</v>
      </c>
    </row>
    <row r="396" spans="2:19" ht="24" customHeight="1" x14ac:dyDescent="0.4">
      <c r="B396" s="8" t="s">
        <v>26</v>
      </c>
      <c r="C396" s="8" t="s">
        <v>27</v>
      </c>
      <c r="D396" s="15" t="s">
        <v>23</v>
      </c>
      <c r="H396" s="4">
        <v>2899</v>
      </c>
      <c r="I396" s="23" t="s">
        <v>395</v>
      </c>
      <c r="J396" s="4">
        <v>1.17</v>
      </c>
      <c r="K396" s="51" t="s">
        <v>396</v>
      </c>
      <c r="L396" s="56">
        <f>9+1+5</f>
        <v>15</v>
      </c>
      <c r="M396" s="69">
        <f>38000-6000</f>
        <v>32000</v>
      </c>
      <c r="N396" s="8">
        <f>+M396*L396</f>
        <v>480000</v>
      </c>
      <c r="O396" s="5">
        <f>+N396/1.1</f>
        <v>436363.63636363635</v>
      </c>
      <c r="P396" s="5">
        <f>+N396-O396</f>
        <v>43636.363636363647</v>
      </c>
      <c r="Q396" s="5">
        <f>+N396</f>
        <v>480000</v>
      </c>
      <c r="R396" s="72" t="s">
        <v>397</v>
      </c>
      <c r="S396" s="7" t="s">
        <v>398</v>
      </c>
    </row>
    <row r="397" spans="2:19" ht="24" customHeight="1" x14ac:dyDescent="0.4">
      <c r="B397" s="8" t="s">
        <v>26</v>
      </c>
      <c r="C397" s="8" t="s">
        <v>27</v>
      </c>
      <c r="D397" s="15" t="s">
        <v>23</v>
      </c>
      <c r="H397" s="4">
        <v>629</v>
      </c>
      <c r="I397" s="23" t="s">
        <v>399</v>
      </c>
      <c r="J397" s="4">
        <v>1.17</v>
      </c>
      <c r="K397" s="51" t="s">
        <v>396</v>
      </c>
      <c r="L397" s="56">
        <v>19</v>
      </c>
      <c r="M397" s="69">
        <f>38000-6000</f>
        <v>32000</v>
      </c>
      <c r="N397" s="8">
        <f>+M397*L397</f>
        <v>608000</v>
      </c>
      <c r="O397" s="5">
        <f>+N397/1.1</f>
        <v>552727.27272727271</v>
      </c>
      <c r="P397" s="5">
        <f>+N397-O397</f>
        <v>55272.727272727294</v>
      </c>
      <c r="Q397" s="5">
        <f>+N397</f>
        <v>608000</v>
      </c>
      <c r="R397" s="72" t="s">
        <v>397</v>
      </c>
      <c r="S397" s="4" t="s">
        <v>400</v>
      </c>
    </row>
    <row r="398" spans="2:19" ht="24" customHeight="1" x14ac:dyDescent="0.4">
      <c r="B398" s="8" t="s">
        <v>26</v>
      </c>
      <c r="C398" s="8" t="s">
        <v>27</v>
      </c>
      <c r="D398" s="15" t="s">
        <v>23</v>
      </c>
      <c r="H398" s="4">
        <v>279</v>
      </c>
      <c r="I398" s="24" t="s">
        <v>401</v>
      </c>
      <c r="J398" s="4">
        <v>1.17</v>
      </c>
      <c r="K398" s="51" t="s">
        <v>396</v>
      </c>
      <c r="L398" s="56">
        <v>11</v>
      </c>
      <c r="M398" s="69">
        <f>38000-6000</f>
        <v>32000</v>
      </c>
      <c r="N398" s="8">
        <f>+M398*L398</f>
        <v>352000</v>
      </c>
      <c r="O398" s="5">
        <f>+N398/1.1</f>
        <v>320000</v>
      </c>
      <c r="P398" s="5">
        <f>+N398-O398</f>
        <v>32000</v>
      </c>
      <c r="Q398" s="5">
        <f>+N398</f>
        <v>352000</v>
      </c>
      <c r="R398" s="72" t="s">
        <v>397</v>
      </c>
      <c r="S398" s="4" t="s">
        <v>402</v>
      </c>
    </row>
    <row r="399" spans="2:19" ht="24" customHeight="1" x14ac:dyDescent="0.4">
      <c r="B399" s="8" t="s">
        <v>26</v>
      </c>
      <c r="C399" s="8" t="s">
        <v>27</v>
      </c>
      <c r="D399" s="16" t="s">
        <v>28</v>
      </c>
      <c r="H399" s="4">
        <v>602</v>
      </c>
      <c r="I399" s="21" t="s">
        <v>375</v>
      </c>
      <c r="J399" s="4">
        <v>1.17</v>
      </c>
      <c r="K399" s="8" t="s">
        <v>434</v>
      </c>
      <c r="L399" s="63">
        <v>1</v>
      </c>
      <c r="M399" s="68">
        <f>20000+3000</f>
        <v>23000</v>
      </c>
      <c r="N399" s="8">
        <f>+M399*L399</f>
        <v>23000</v>
      </c>
      <c r="Q399" s="5">
        <f>+N399</f>
        <v>23000</v>
      </c>
      <c r="R399" s="40" t="s">
        <v>58</v>
      </c>
      <c r="S399" s="7" t="s">
        <v>377</v>
      </c>
    </row>
    <row r="400" spans="2:19" ht="24" customHeight="1" x14ac:dyDescent="0.4">
      <c r="B400" s="8" t="s">
        <v>26</v>
      </c>
      <c r="C400" s="8" t="s">
        <v>27</v>
      </c>
      <c r="D400" s="16" t="s">
        <v>28</v>
      </c>
      <c r="H400" s="4">
        <v>540</v>
      </c>
      <c r="I400" s="21" t="s">
        <v>414</v>
      </c>
      <c r="J400" s="4">
        <v>1.17</v>
      </c>
      <c r="K400" s="32" t="s">
        <v>435</v>
      </c>
      <c r="L400" s="63">
        <v>1</v>
      </c>
      <c r="M400" s="68">
        <f>12000+3000</f>
        <v>15000</v>
      </c>
      <c r="N400" s="8">
        <f>+M400*L400</f>
        <v>15000</v>
      </c>
      <c r="Q400" s="5">
        <f>+N400</f>
        <v>15000</v>
      </c>
      <c r="R400" s="4" t="s">
        <v>58</v>
      </c>
      <c r="S400" s="7" t="s">
        <v>416</v>
      </c>
    </row>
    <row r="401" spans="2:19" ht="24" customHeight="1" x14ac:dyDescent="0.4">
      <c r="B401" s="8" t="s">
        <v>26</v>
      </c>
      <c r="C401" s="8" t="s">
        <v>27</v>
      </c>
      <c r="D401" s="16" t="s">
        <v>28</v>
      </c>
      <c r="H401" s="4">
        <v>2155</v>
      </c>
      <c r="I401" s="21" t="s">
        <v>406</v>
      </c>
      <c r="J401" s="4">
        <v>1.17</v>
      </c>
      <c r="K401" s="32" t="s">
        <v>436</v>
      </c>
      <c r="L401" s="63">
        <v>1</v>
      </c>
      <c r="M401" s="68">
        <f>12000+3000</f>
        <v>15000</v>
      </c>
      <c r="N401" s="8">
        <f>+M401*L401</f>
        <v>15000</v>
      </c>
      <c r="Q401" s="5">
        <f>+N401</f>
        <v>15000</v>
      </c>
      <c r="R401" s="4" t="s">
        <v>58</v>
      </c>
      <c r="S401" s="4" t="s">
        <v>102</v>
      </c>
    </row>
    <row r="402" spans="2:19" ht="24" customHeight="1" x14ac:dyDescent="0.4">
      <c r="B402" s="8" t="s">
        <v>26</v>
      </c>
      <c r="C402" s="8" t="s">
        <v>27</v>
      </c>
      <c r="D402" s="15" t="s">
        <v>23</v>
      </c>
      <c r="H402" s="4">
        <v>1220</v>
      </c>
      <c r="I402" s="22" t="s">
        <v>63</v>
      </c>
      <c r="J402" s="4">
        <v>1.17</v>
      </c>
      <c r="K402" s="53" t="s">
        <v>367</v>
      </c>
      <c r="L402" s="65">
        <v>20</v>
      </c>
      <c r="M402" s="68">
        <f>5000+3000</f>
        <v>8000</v>
      </c>
      <c r="N402" s="8">
        <f>+M402*L402</f>
        <v>160000</v>
      </c>
      <c r="O402" s="5">
        <f>+N402/1.1</f>
        <v>145454.54545454544</v>
      </c>
      <c r="P402" s="5">
        <f>+N402-O402</f>
        <v>14545.454545454559</v>
      </c>
      <c r="Q402" s="5">
        <f>+N402</f>
        <v>160000</v>
      </c>
      <c r="R402" s="72" t="s">
        <v>50</v>
      </c>
      <c r="S402" s="4" t="s">
        <v>65</v>
      </c>
    </row>
    <row r="403" spans="2:19" ht="24" customHeight="1" x14ac:dyDescent="0.4">
      <c r="B403" s="8" t="s">
        <v>26</v>
      </c>
      <c r="C403" s="8" t="s">
        <v>27</v>
      </c>
      <c r="D403" s="16" t="s">
        <v>28</v>
      </c>
      <c r="H403" s="4">
        <v>1325</v>
      </c>
      <c r="I403" s="22" t="s">
        <v>82</v>
      </c>
      <c r="J403" s="4">
        <v>1.17</v>
      </c>
      <c r="K403" s="52" t="s">
        <v>437</v>
      </c>
      <c r="L403" s="63">
        <v>1</v>
      </c>
      <c r="M403" s="68">
        <f>30000+4000</f>
        <v>34000</v>
      </c>
      <c r="N403" s="8">
        <f>+M403*L403</f>
        <v>34000</v>
      </c>
      <c r="Q403" s="5">
        <f>+N403</f>
        <v>34000</v>
      </c>
      <c r="R403" s="40" t="s">
        <v>50</v>
      </c>
      <c r="S403" s="4" t="s">
        <v>83</v>
      </c>
    </row>
    <row r="404" spans="2:19" ht="24" customHeight="1" x14ac:dyDescent="0.4"/>
    <row r="405" spans="2:19" ht="24" customHeight="1" x14ac:dyDescent="0.4">
      <c r="B405" s="7" t="s">
        <v>438</v>
      </c>
      <c r="C405" s="8" t="s">
        <v>27</v>
      </c>
      <c r="D405" s="16" t="s">
        <v>28</v>
      </c>
      <c r="H405" s="4">
        <v>719</v>
      </c>
      <c r="I405" s="22" t="s">
        <v>439</v>
      </c>
      <c r="J405" s="4">
        <v>1.17</v>
      </c>
      <c r="K405" s="4" t="s">
        <v>440</v>
      </c>
      <c r="L405" s="56">
        <v>114</v>
      </c>
      <c r="M405" s="69">
        <f>60000-10000</f>
        <v>50000</v>
      </c>
      <c r="N405" s="8">
        <f>+M405*L405</f>
        <v>5700000</v>
      </c>
      <c r="Q405" s="5">
        <f>+N405</f>
        <v>5700000</v>
      </c>
    </row>
    <row r="406" spans="2:19" ht="24" customHeight="1" x14ac:dyDescent="0.4">
      <c r="B406" s="8" t="s">
        <v>26</v>
      </c>
      <c r="C406" s="8" t="s">
        <v>27</v>
      </c>
      <c r="D406" s="15" t="s">
        <v>23</v>
      </c>
      <c r="H406" s="4">
        <v>1154</v>
      </c>
      <c r="I406" s="22" t="s">
        <v>441</v>
      </c>
      <c r="J406" s="4">
        <v>1.18</v>
      </c>
      <c r="K406" s="4" t="s">
        <v>87</v>
      </c>
      <c r="L406" s="56">
        <f>230+10</f>
        <v>240</v>
      </c>
      <c r="M406" s="69">
        <f>6500-500</f>
        <v>6000</v>
      </c>
      <c r="N406" s="8">
        <f>+M406*L406</f>
        <v>1440000</v>
      </c>
      <c r="O406" s="5">
        <f>+N406/1.1</f>
        <v>1309090.9090909089</v>
      </c>
      <c r="P406" s="5">
        <f>+N406-O406</f>
        <v>130909.09090909106</v>
      </c>
      <c r="Q406" s="5">
        <f>+N406</f>
        <v>1440000</v>
      </c>
      <c r="S406" s="7" t="s">
        <v>442</v>
      </c>
    </row>
    <row r="407" spans="2:19" ht="24" customHeight="1" x14ac:dyDescent="0.4">
      <c r="B407" s="8" t="s">
        <v>26</v>
      </c>
      <c r="C407" s="8" t="s">
        <v>27</v>
      </c>
      <c r="D407" s="15" t="s">
        <v>23</v>
      </c>
      <c r="H407" s="4">
        <v>1154</v>
      </c>
      <c r="I407" s="22" t="s">
        <v>441</v>
      </c>
      <c r="J407" s="4">
        <v>1.18</v>
      </c>
      <c r="K407" s="4" t="s">
        <v>443</v>
      </c>
      <c r="L407" s="56">
        <v>45</v>
      </c>
      <c r="M407" s="68">
        <v>6000</v>
      </c>
      <c r="N407" s="8">
        <f>+M407*L407</f>
        <v>270000</v>
      </c>
      <c r="O407" s="5">
        <f>+N407/1.1</f>
        <v>245454.54545454544</v>
      </c>
      <c r="P407" s="5">
        <f>+N407-O407</f>
        <v>24545.454545454559</v>
      </c>
      <c r="Q407" s="5">
        <f>+N407</f>
        <v>270000</v>
      </c>
      <c r="S407" s="7" t="s">
        <v>442</v>
      </c>
    </row>
    <row r="408" spans="2:19" ht="24" customHeight="1" x14ac:dyDescent="0.4">
      <c r="B408" s="8" t="s">
        <v>26</v>
      </c>
      <c r="C408" s="8" t="s">
        <v>27</v>
      </c>
      <c r="D408" s="15" t="s">
        <v>23</v>
      </c>
      <c r="H408" s="4">
        <v>550</v>
      </c>
      <c r="I408" s="21" t="s">
        <v>48</v>
      </c>
      <c r="J408" s="4">
        <v>1.18</v>
      </c>
      <c r="K408" s="33" t="s">
        <v>444</v>
      </c>
      <c r="L408" s="63">
        <v>1</v>
      </c>
      <c r="M408" s="71">
        <f>10000+12000+3000</f>
        <v>25000</v>
      </c>
      <c r="N408" s="8">
        <f>+M408*L408</f>
        <v>25000</v>
      </c>
      <c r="O408" s="5">
        <f>+N408/1.1</f>
        <v>22727.272727272724</v>
      </c>
      <c r="P408" s="5">
        <f>+N408-O408</f>
        <v>2272.7272727272757</v>
      </c>
      <c r="Q408" s="5">
        <f>+N408</f>
        <v>25000</v>
      </c>
      <c r="R408" s="40" t="s">
        <v>445</v>
      </c>
      <c r="S408" s="7" t="s">
        <v>51</v>
      </c>
    </row>
    <row r="409" spans="2:19" ht="24" customHeight="1" x14ac:dyDescent="0.4">
      <c r="B409" s="8" t="s">
        <v>26</v>
      </c>
      <c r="C409" s="8" t="s">
        <v>27</v>
      </c>
      <c r="D409" s="15" t="s">
        <v>23</v>
      </c>
      <c r="H409" s="4">
        <v>262</v>
      </c>
      <c r="I409" s="21" t="s">
        <v>345</v>
      </c>
      <c r="J409" s="4">
        <v>1.19</v>
      </c>
      <c r="K409" s="35" t="s">
        <v>184</v>
      </c>
      <c r="L409" s="56">
        <v>20</v>
      </c>
      <c r="M409" s="68">
        <v>6000</v>
      </c>
      <c r="N409" s="8">
        <f>+M409*L409</f>
        <v>120000</v>
      </c>
      <c r="O409" s="5">
        <f>+N409/1.1</f>
        <v>109090.90909090909</v>
      </c>
      <c r="P409" s="5">
        <f>+N409-O409</f>
        <v>10909.090909090912</v>
      </c>
      <c r="Q409" s="5">
        <f>+N409</f>
        <v>120000</v>
      </c>
      <c r="S409" s="4" t="s">
        <v>346</v>
      </c>
    </row>
    <row r="410" spans="2:19" ht="24" customHeight="1" x14ac:dyDescent="0.4">
      <c r="B410" s="8" t="s">
        <v>26</v>
      </c>
      <c r="C410" s="8" t="s">
        <v>27</v>
      </c>
      <c r="D410" s="15" t="s">
        <v>23</v>
      </c>
      <c r="H410" s="4">
        <v>786</v>
      </c>
      <c r="I410" s="21" t="s">
        <v>350</v>
      </c>
      <c r="J410" s="4">
        <v>1.19</v>
      </c>
      <c r="K410" s="32" t="s">
        <v>113</v>
      </c>
      <c r="L410" s="63">
        <v>60</v>
      </c>
      <c r="M410" s="68">
        <v>6000</v>
      </c>
      <c r="N410" s="8">
        <f>+M410*L410</f>
        <v>360000</v>
      </c>
      <c r="O410" s="5">
        <f>+N410/1.1</f>
        <v>327272.72727272724</v>
      </c>
      <c r="P410" s="5">
        <f>+N410-O410</f>
        <v>32727.272727272764</v>
      </c>
      <c r="Q410" s="5">
        <f>+N410</f>
        <v>360000</v>
      </c>
      <c r="S410" s="4" t="s">
        <v>446</v>
      </c>
    </row>
    <row r="411" spans="2:19" ht="24" customHeight="1" x14ac:dyDescent="0.4">
      <c r="B411" s="8" t="s">
        <v>26</v>
      </c>
      <c r="C411" s="8" t="s">
        <v>27</v>
      </c>
      <c r="D411" s="15" t="s">
        <v>23</v>
      </c>
      <c r="H411" s="4">
        <v>719</v>
      </c>
      <c r="I411" s="22" t="s">
        <v>439</v>
      </c>
      <c r="J411" s="4">
        <v>1.19</v>
      </c>
      <c r="K411" s="48" t="s">
        <v>113</v>
      </c>
      <c r="L411" s="56">
        <v>95</v>
      </c>
      <c r="M411" s="69">
        <f>12000-2000</f>
        <v>10000</v>
      </c>
      <c r="N411" s="8">
        <f>+M411*L411</f>
        <v>950000</v>
      </c>
      <c r="O411" s="5">
        <f>+N411/1.1</f>
        <v>863636.36363636353</v>
      </c>
      <c r="P411" s="5">
        <f>+N411-O411</f>
        <v>86363.636363636469</v>
      </c>
      <c r="Q411" s="5">
        <f>+N411</f>
        <v>950000</v>
      </c>
      <c r="R411" s="80" t="s">
        <v>447</v>
      </c>
      <c r="S411" s="4" t="s">
        <v>448</v>
      </c>
    </row>
    <row r="412" spans="2:19" ht="24" customHeight="1" x14ac:dyDescent="0.4">
      <c r="B412" s="8" t="s">
        <v>26</v>
      </c>
      <c r="C412" s="8" t="s">
        <v>27</v>
      </c>
      <c r="D412" s="16" t="s">
        <v>28</v>
      </c>
      <c r="H412" s="4">
        <v>1025</v>
      </c>
      <c r="I412" s="21" t="s">
        <v>320</v>
      </c>
      <c r="J412" s="4">
        <v>1.19</v>
      </c>
      <c r="K412" s="32" t="s">
        <v>449</v>
      </c>
      <c r="L412" s="32">
        <v>1</v>
      </c>
      <c r="M412" s="68">
        <f>12000+3000</f>
        <v>15000</v>
      </c>
      <c r="N412" s="8">
        <f>+M412*L412</f>
        <v>15000</v>
      </c>
      <c r="Q412" s="5">
        <f>+N412</f>
        <v>15000</v>
      </c>
      <c r="R412" s="4" t="s">
        <v>58</v>
      </c>
      <c r="S412" s="7" t="s">
        <v>322</v>
      </c>
    </row>
    <row r="413" spans="2:19" ht="24" customHeight="1" x14ac:dyDescent="0.4"/>
    <row r="414" spans="2:19" ht="24" customHeight="1" x14ac:dyDescent="0.4">
      <c r="B414" s="8" t="s">
        <v>85</v>
      </c>
      <c r="C414" s="8" t="s">
        <v>27</v>
      </c>
      <c r="D414" s="16" t="s">
        <v>28</v>
      </c>
      <c r="H414" s="4">
        <v>692</v>
      </c>
      <c r="I414" s="7" t="s">
        <v>86</v>
      </c>
      <c r="J414" s="4">
        <v>1.19</v>
      </c>
      <c r="K414" s="8" t="s">
        <v>450</v>
      </c>
      <c r="L414" s="5">
        <v>79</v>
      </c>
      <c r="M414" s="68">
        <v>70000</v>
      </c>
      <c r="N414" s="8">
        <f>+M414*L414</f>
        <v>5530000</v>
      </c>
      <c r="Q414" s="5">
        <f>+N414</f>
        <v>5530000</v>
      </c>
    </row>
    <row r="415" spans="2:19" ht="24" customHeight="1" x14ac:dyDescent="0.4"/>
    <row r="416" spans="2:19" ht="24" customHeight="1" x14ac:dyDescent="0.4">
      <c r="B416" s="8" t="s">
        <v>26</v>
      </c>
      <c r="C416" s="8" t="s">
        <v>27</v>
      </c>
      <c r="D416" s="16" t="s">
        <v>28</v>
      </c>
      <c r="H416" s="4">
        <v>550</v>
      </c>
      <c r="I416" s="21" t="s">
        <v>48</v>
      </c>
      <c r="J416" s="4">
        <v>1.2</v>
      </c>
      <c r="K416" s="52" t="s">
        <v>451</v>
      </c>
      <c r="L416" s="56">
        <v>4</v>
      </c>
      <c r="M416" s="71">
        <f>100000+5000</f>
        <v>105000</v>
      </c>
      <c r="N416" s="8">
        <f>+M416*L416</f>
        <v>420000</v>
      </c>
      <c r="Q416" s="5">
        <f>+N416</f>
        <v>420000</v>
      </c>
      <c r="R416" s="76" t="s">
        <v>452</v>
      </c>
      <c r="S416" s="7" t="s">
        <v>51</v>
      </c>
    </row>
    <row r="417" spans="2:19" ht="24" customHeight="1" x14ac:dyDescent="0.4">
      <c r="B417" s="8" t="s">
        <v>26</v>
      </c>
      <c r="C417" s="8" t="s">
        <v>27</v>
      </c>
      <c r="D417" s="16" t="s">
        <v>28</v>
      </c>
      <c r="H417" s="4">
        <v>550</v>
      </c>
      <c r="I417" s="21" t="s">
        <v>48</v>
      </c>
      <c r="J417" s="4">
        <v>1.2</v>
      </c>
      <c r="K417" s="4" t="s">
        <v>453</v>
      </c>
      <c r="L417" s="56">
        <v>2</v>
      </c>
      <c r="M417" s="71">
        <f>70000+5000</f>
        <v>75000</v>
      </c>
      <c r="N417" s="8">
        <f>+M417*L417</f>
        <v>150000</v>
      </c>
      <c r="Q417" s="5">
        <f>+N417</f>
        <v>150000</v>
      </c>
      <c r="R417" s="76" t="s">
        <v>452</v>
      </c>
      <c r="S417" s="7" t="s">
        <v>51</v>
      </c>
    </row>
    <row r="418" spans="2:19" ht="24" customHeight="1" x14ac:dyDescent="0.4">
      <c r="B418" s="8" t="s">
        <v>26</v>
      </c>
      <c r="C418" s="8" t="s">
        <v>27</v>
      </c>
      <c r="D418" s="16" t="s">
        <v>28</v>
      </c>
      <c r="H418" s="4">
        <v>1325</v>
      </c>
      <c r="I418" s="22" t="s">
        <v>82</v>
      </c>
      <c r="J418" s="4">
        <v>1.2</v>
      </c>
      <c r="K418" s="52" t="s">
        <v>454</v>
      </c>
      <c r="L418" s="63">
        <v>17</v>
      </c>
      <c r="M418" s="68">
        <f>30000+4000</f>
        <v>34000</v>
      </c>
      <c r="N418" s="8">
        <f>+M418*L418</f>
        <v>578000</v>
      </c>
      <c r="Q418" s="5">
        <f>+N418</f>
        <v>578000</v>
      </c>
      <c r="R418" s="72" t="s">
        <v>455</v>
      </c>
      <c r="S418" s="4" t="s">
        <v>83</v>
      </c>
    </row>
    <row r="419" spans="2:19" ht="24" customHeight="1" x14ac:dyDescent="0.4">
      <c r="B419" s="8" t="s">
        <v>26</v>
      </c>
      <c r="C419" s="8" t="s">
        <v>27</v>
      </c>
      <c r="D419" s="16" t="s">
        <v>28</v>
      </c>
      <c r="H419" s="4">
        <v>1324</v>
      </c>
      <c r="I419" s="21" t="s">
        <v>96</v>
      </c>
      <c r="J419" s="4">
        <v>1.2</v>
      </c>
      <c r="K419" s="37" t="s">
        <v>456</v>
      </c>
      <c r="L419" s="63">
        <v>17</v>
      </c>
      <c r="M419" s="68">
        <f>30000+4000</f>
        <v>34000</v>
      </c>
      <c r="N419" s="8">
        <f>+M419*L419</f>
        <v>578000</v>
      </c>
      <c r="Q419" s="5">
        <f>+N419</f>
        <v>578000</v>
      </c>
      <c r="R419" s="72" t="s">
        <v>455</v>
      </c>
      <c r="S419" s="7" t="s">
        <v>97</v>
      </c>
    </row>
    <row r="420" spans="2:19" ht="24" customHeight="1" x14ac:dyDescent="0.4">
      <c r="B420" s="8" t="s">
        <v>26</v>
      </c>
      <c r="C420" s="8" t="s">
        <v>27</v>
      </c>
      <c r="D420" s="15" t="s">
        <v>23</v>
      </c>
      <c r="H420" s="4">
        <v>607</v>
      </c>
      <c r="I420" s="21" t="s">
        <v>256</v>
      </c>
      <c r="J420" s="4">
        <v>1.2</v>
      </c>
      <c r="K420" s="32" t="s">
        <v>457</v>
      </c>
      <c r="L420" s="63">
        <v>21</v>
      </c>
      <c r="M420" s="68">
        <f>6000+3000</f>
        <v>9000</v>
      </c>
      <c r="N420" s="8">
        <f>+M420*L420</f>
        <v>189000</v>
      </c>
      <c r="O420" s="5">
        <f>+N420/1.1</f>
        <v>171818.18181818179</v>
      </c>
      <c r="P420" s="5">
        <f>+N420-O420</f>
        <v>17181.818181818206</v>
      </c>
      <c r="Q420" s="5">
        <f>+N420</f>
        <v>189000</v>
      </c>
      <c r="R420" s="72" t="s">
        <v>50</v>
      </c>
      <c r="S420" s="4" t="s">
        <v>280</v>
      </c>
    </row>
    <row r="421" spans="2:19" ht="24" customHeight="1" x14ac:dyDescent="0.4">
      <c r="B421" s="8" t="s">
        <v>26</v>
      </c>
      <c r="C421" s="8" t="s">
        <v>27</v>
      </c>
      <c r="D421" s="15" t="s">
        <v>23</v>
      </c>
      <c r="H421" s="4">
        <v>2634</v>
      </c>
      <c r="I421" s="22" t="s">
        <v>119</v>
      </c>
      <c r="J421" s="4">
        <v>1.2</v>
      </c>
      <c r="K421" s="51" t="s">
        <v>458</v>
      </c>
      <c r="L421" s="63">
        <v>14</v>
      </c>
      <c r="M421" s="68">
        <f>5000+3000</f>
        <v>8000</v>
      </c>
      <c r="N421" s="8">
        <f>+M421*L421</f>
        <v>112000</v>
      </c>
      <c r="O421" s="5">
        <f>+N421/1.1</f>
        <v>101818.18181818181</v>
      </c>
      <c r="P421" s="5">
        <f>+N421-O421</f>
        <v>10181.818181818191</v>
      </c>
      <c r="Q421" s="5">
        <f>+N421</f>
        <v>112000</v>
      </c>
      <c r="R421" s="40" t="s">
        <v>50</v>
      </c>
      <c r="S421" s="4" t="s">
        <v>121</v>
      </c>
    </row>
    <row r="422" spans="2:19" ht="24" customHeight="1" x14ac:dyDescent="0.4">
      <c r="B422" s="8" t="s">
        <v>26</v>
      </c>
      <c r="C422" s="8" t="s">
        <v>27</v>
      </c>
      <c r="D422" s="15" t="s">
        <v>23</v>
      </c>
      <c r="H422" s="4">
        <v>571</v>
      </c>
      <c r="I422" s="21" t="s">
        <v>363</v>
      </c>
      <c r="J422" s="4">
        <v>1.2</v>
      </c>
      <c r="K422" s="33" t="s">
        <v>459</v>
      </c>
      <c r="L422" s="63">
        <v>5</v>
      </c>
      <c r="M422" s="68">
        <f>10000+12000+3000</f>
        <v>25000</v>
      </c>
      <c r="N422" s="8">
        <f>+M422*L422</f>
        <v>125000</v>
      </c>
      <c r="O422" s="5">
        <f>+N422/1.1</f>
        <v>113636.36363636363</v>
      </c>
      <c r="P422" s="5">
        <f>+N422-O422</f>
        <v>11363.636363636368</v>
      </c>
      <c r="Q422" s="5">
        <f>+N422</f>
        <v>125000</v>
      </c>
      <c r="R422" s="72" t="s">
        <v>50</v>
      </c>
      <c r="S422" s="5" t="s">
        <v>81</v>
      </c>
    </row>
    <row r="423" spans="2:19" ht="24" customHeight="1" x14ac:dyDescent="0.4">
      <c r="B423" s="8" t="s">
        <v>26</v>
      </c>
      <c r="C423" s="8" t="s">
        <v>27</v>
      </c>
      <c r="D423" s="15" t="s">
        <v>23</v>
      </c>
      <c r="H423" s="4">
        <v>571</v>
      </c>
      <c r="I423" s="21" t="s">
        <v>363</v>
      </c>
      <c r="J423" s="4">
        <v>1.2</v>
      </c>
      <c r="K423" s="42" t="s">
        <v>460</v>
      </c>
      <c r="L423" s="63">
        <v>5</v>
      </c>
      <c r="M423" s="71">
        <f>12000+3000</f>
        <v>15000</v>
      </c>
      <c r="N423" s="8">
        <f>+M423*L423</f>
        <v>75000</v>
      </c>
      <c r="O423" s="5">
        <f>+N423/1.1</f>
        <v>68181.818181818177</v>
      </c>
      <c r="P423" s="5">
        <f>+N423-O423</f>
        <v>6818.1818181818235</v>
      </c>
      <c r="Q423" s="5">
        <f>+N423</f>
        <v>75000</v>
      </c>
      <c r="R423" s="40" t="s">
        <v>461</v>
      </c>
      <c r="S423" s="5" t="s">
        <v>81</v>
      </c>
    </row>
    <row r="424" spans="2:19" ht="24" customHeight="1" x14ac:dyDescent="0.4"/>
    <row r="425" spans="2:19" ht="24" customHeight="1" x14ac:dyDescent="0.4">
      <c r="B425" s="7" t="s">
        <v>26</v>
      </c>
      <c r="C425" s="7" t="s">
        <v>27</v>
      </c>
      <c r="D425" s="4" t="s">
        <v>23</v>
      </c>
      <c r="H425" s="4">
        <v>571</v>
      </c>
      <c r="I425" s="21" t="s">
        <v>363</v>
      </c>
      <c r="J425" s="4">
        <v>1.21</v>
      </c>
      <c r="K425" s="42" t="s">
        <v>462</v>
      </c>
      <c r="L425" s="63">
        <v>5</v>
      </c>
      <c r="M425" s="71">
        <f>12000+3000</f>
        <v>15000</v>
      </c>
      <c r="N425" s="8">
        <f>+M425*L425</f>
        <v>75000</v>
      </c>
      <c r="O425" s="5">
        <f>+N425/1.1</f>
        <v>68181.818181818177</v>
      </c>
      <c r="P425" s="5">
        <f>+N425-O425</f>
        <v>6818.1818181818235</v>
      </c>
      <c r="Q425" s="5">
        <f>+N425</f>
        <v>75000</v>
      </c>
      <c r="R425" s="40" t="s">
        <v>461</v>
      </c>
      <c r="S425" s="5" t="s">
        <v>81</v>
      </c>
    </row>
    <row r="426" spans="2:19" ht="24" customHeight="1" x14ac:dyDescent="0.4">
      <c r="B426" s="7" t="s">
        <v>26</v>
      </c>
      <c r="C426" s="7" t="s">
        <v>27</v>
      </c>
      <c r="D426" s="4" t="s">
        <v>23</v>
      </c>
      <c r="H426" s="4">
        <v>1025</v>
      </c>
      <c r="I426" s="21" t="s">
        <v>320</v>
      </c>
      <c r="J426" s="4">
        <v>1.21</v>
      </c>
      <c r="K426" s="42" t="s">
        <v>463</v>
      </c>
      <c r="L426" s="32">
        <v>6</v>
      </c>
      <c r="M426" s="71">
        <f>12000+3000</f>
        <v>15000</v>
      </c>
      <c r="N426" s="8">
        <f>+M426*L426</f>
        <v>90000</v>
      </c>
      <c r="O426" s="5">
        <f>+N426/1.1</f>
        <v>81818.181818181809</v>
      </c>
      <c r="P426" s="5">
        <f>+N426-O426</f>
        <v>8181.8181818181911</v>
      </c>
      <c r="Q426" s="5">
        <f>+N426</f>
        <v>90000</v>
      </c>
      <c r="R426" s="76" t="s">
        <v>50</v>
      </c>
      <c r="S426" s="7" t="s">
        <v>322</v>
      </c>
    </row>
    <row r="427" spans="2:19" ht="24" customHeight="1" x14ac:dyDescent="0.4">
      <c r="B427" s="7" t="s">
        <v>26</v>
      </c>
      <c r="C427" s="7" t="s">
        <v>27</v>
      </c>
      <c r="D427" s="4" t="s">
        <v>23</v>
      </c>
      <c r="H427" s="4">
        <v>629</v>
      </c>
      <c r="I427" s="23" t="s">
        <v>399</v>
      </c>
      <c r="J427" s="4">
        <v>1.21</v>
      </c>
      <c r="K427" s="45" t="s">
        <v>313</v>
      </c>
      <c r="L427" s="56">
        <v>40</v>
      </c>
      <c r="M427" s="71">
        <v>5000</v>
      </c>
      <c r="N427" s="8">
        <f>+M427*L427</f>
        <v>200000</v>
      </c>
      <c r="O427" s="5">
        <f>+N427/1.1</f>
        <v>181818.18181818179</v>
      </c>
      <c r="P427" s="5">
        <f>+N427-O427</f>
        <v>18181.818181818206</v>
      </c>
      <c r="Q427" s="5">
        <f>+N427</f>
        <v>200000</v>
      </c>
      <c r="S427" s="4" t="s">
        <v>400</v>
      </c>
    </row>
    <row r="428" spans="2:19" ht="24" customHeight="1" x14ac:dyDescent="0.4"/>
    <row r="429" spans="2:19" ht="24" customHeight="1" x14ac:dyDescent="0.4">
      <c r="B429" s="7" t="s">
        <v>26</v>
      </c>
      <c r="C429" s="7" t="s">
        <v>27</v>
      </c>
      <c r="D429" s="4" t="s">
        <v>23</v>
      </c>
      <c r="H429" s="4">
        <v>279</v>
      </c>
      <c r="I429" s="24" t="s">
        <v>401</v>
      </c>
      <c r="J429" s="4">
        <v>1.24</v>
      </c>
      <c r="K429" s="51" t="s">
        <v>396</v>
      </c>
      <c r="L429" s="56">
        <v>12</v>
      </c>
      <c r="M429" s="69">
        <f>38000-6000</f>
        <v>32000</v>
      </c>
      <c r="N429" s="8">
        <f>+M429*L429</f>
        <v>384000</v>
      </c>
      <c r="O429" s="5">
        <f>+N429/1.1</f>
        <v>349090.90909090906</v>
      </c>
      <c r="P429" s="5">
        <f>+N429-O429</f>
        <v>34909.090909090941</v>
      </c>
      <c r="Q429" s="5">
        <f>+N429</f>
        <v>384000</v>
      </c>
      <c r="S429" s="4" t="s">
        <v>402</v>
      </c>
    </row>
    <row r="430" spans="2:19" ht="24" customHeight="1" x14ac:dyDescent="0.4">
      <c r="B430" s="7" t="s">
        <v>26</v>
      </c>
      <c r="C430" s="7" t="s">
        <v>27</v>
      </c>
      <c r="D430" s="4" t="s">
        <v>23</v>
      </c>
      <c r="H430" s="4">
        <v>729</v>
      </c>
      <c r="I430" s="22" t="s">
        <v>109</v>
      </c>
      <c r="J430" s="4">
        <v>1.24</v>
      </c>
      <c r="K430" s="51" t="s">
        <v>433</v>
      </c>
      <c r="L430" s="56">
        <v>90</v>
      </c>
      <c r="M430" s="68">
        <v>5000</v>
      </c>
      <c r="N430" s="8">
        <f>+M430*L430</f>
        <v>450000</v>
      </c>
      <c r="O430" s="5">
        <f>+N430/1.1</f>
        <v>409090.90909090906</v>
      </c>
      <c r="P430" s="5">
        <f>+N430-O430</f>
        <v>40909.090909090941</v>
      </c>
      <c r="Q430" s="5">
        <f>+N430</f>
        <v>450000</v>
      </c>
      <c r="S430" s="4" t="s">
        <v>110</v>
      </c>
    </row>
    <row r="431" spans="2:19" ht="24" customHeight="1" x14ac:dyDescent="0.4">
      <c r="B431" s="8" t="s">
        <v>26</v>
      </c>
      <c r="C431" s="8" t="s">
        <v>27</v>
      </c>
      <c r="D431" s="16" t="s">
        <v>28</v>
      </c>
      <c r="H431" s="4">
        <v>540</v>
      </c>
      <c r="I431" s="21" t="s">
        <v>414</v>
      </c>
      <c r="J431" s="4">
        <v>1.24</v>
      </c>
      <c r="K431" s="32" t="s">
        <v>464</v>
      </c>
      <c r="L431" s="63">
        <v>2</v>
      </c>
      <c r="M431" s="68">
        <f>12000+3000</f>
        <v>15000</v>
      </c>
      <c r="N431" s="8">
        <f>+M431*L431</f>
        <v>30000</v>
      </c>
      <c r="Q431" s="5">
        <f>+N431</f>
        <v>30000</v>
      </c>
      <c r="R431" s="4" t="s">
        <v>58</v>
      </c>
      <c r="S431" s="7" t="s">
        <v>416</v>
      </c>
    </row>
    <row r="432" spans="2:19" ht="24" customHeight="1" x14ac:dyDescent="0.4"/>
    <row r="433" spans="2:19" ht="24" customHeight="1" x14ac:dyDescent="0.4">
      <c r="B433" s="8" t="s">
        <v>26</v>
      </c>
      <c r="C433" s="8" t="s">
        <v>27</v>
      </c>
      <c r="D433" s="16" t="s">
        <v>28</v>
      </c>
      <c r="H433" s="4">
        <v>148</v>
      </c>
      <c r="I433" s="21" t="s">
        <v>115</v>
      </c>
      <c r="J433" s="4">
        <v>1.25</v>
      </c>
      <c r="K433" s="32" t="s">
        <v>465</v>
      </c>
      <c r="L433" s="63">
        <v>2</v>
      </c>
      <c r="M433" s="68">
        <f>12000+3000</f>
        <v>15000</v>
      </c>
      <c r="N433" s="8">
        <f>+M433*L433</f>
        <v>30000</v>
      </c>
      <c r="Q433" s="5">
        <f>+N433</f>
        <v>30000</v>
      </c>
      <c r="R433" s="4" t="s">
        <v>58</v>
      </c>
      <c r="S433" s="7" t="s">
        <v>117</v>
      </c>
    </row>
    <row r="434" spans="2:19" ht="24" customHeight="1" x14ac:dyDescent="0.4">
      <c r="B434" s="8" t="s">
        <v>26</v>
      </c>
      <c r="C434" s="8" t="s">
        <v>27</v>
      </c>
      <c r="D434" s="16" t="s">
        <v>28</v>
      </c>
      <c r="H434" s="4">
        <v>540</v>
      </c>
      <c r="I434" s="21" t="s">
        <v>414</v>
      </c>
      <c r="J434" s="4">
        <v>1.25</v>
      </c>
      <c r="K434" s="32" t="s">
        <v>466</v>
      </c>
      <c r="L434" s="63">
        <v>1</v>
      </c>
      <c r="M434" s="68">
        <f>12000+3000</f>
        <v>15000</v>
      </c>
      <c r="N434" s="8">
        <f>+M434*L434</f>
        <v>15000</v>
      </c>
      <c r="Q434" s="5">
        <f>+N434</f>
        <v>15000</v>
      </c>
      <c r="R434" s="4" t="s">
        <v>58</v>
      </c>
      <c r="S434" s="7" t="s">
        <v>416</v>
      </c>
    </row>
    <row r="435" spans="2:19" ht="24" customHeight="1" x14ac:dyDescent="0.4">
      <c r="B435" s="8" t="s">
        <v>26</v>
      </c>
      <c r="C435" s="8" t="s">
        <v>27</v>
      </c>
      <c r="D435" s="16" t="s">
        <v>28</v>
      </c>
      <c r="H435" s="4">
        <v>1325</v>
      </c>
      <c r="I435" s="22" t="s">
        <v>82</v>
      </c>
      <c r="J435" s="4">
        <v>1.25</v>
      </c>
      <c r="K435" s="44" t="s">
        <v>467</v>
      </c>
      <c r="L435" s="56">
        <v>2</v>
      </c>
      <c r="M435" s="68">
        <f>45000+4000</f>
        <v>49000</v>
      </c>
      <c r="N435" s="8">
        <f>+M435*L435</f>
        <v>98000</v>
      </c>
      <c r="Q435" s="5">
        <f>+N435</f>
        <v>98000</v>
      </c>
      <c r="R435" s="40" t="s">
        <v>468</v>
      </c>
      <c r="S435" s="4" t="s">
        <v>83</v>
      </c>
    </row>
    <row r="436" spans="2:19" ht="24" customHeight="1" x14ac:dyDescent="0.4">
      <c r="B436" s="8" t="s">
        <v>26</v>
      </c>
      <c r="C436" s="8" t="s">
        <v>27</v>
      </c>
      <c r="D436" s="16" t="s">
        <v>28</v>
      </c>
      <c r="H436" s="4">
        <v>1870</v>
      </c>
      <c r="I436" s="21" t="s">
        <v>90</v>
      </c>
      <c r="J436" s="4">
        <v>1.25</v>
      </c>
      <c r="K436" s="32" t="s">
        <v>469</v>
      </c>
      <c r="L436" s="63">
        <v>1</v>
      </c>
      <c r="M436" s="68">
        <f>12000+3000</f>
        <v>15000</v>
      </c>
      <c r="N436" s="8">
        <f>+M436*L436</f>
        <v>15000</v>
      </c>
      <c r="Q436" s="5">
        <f>+N436</f>
        <v>15000</v>
      </c>
      <c r="R436" s="4" t="s">
        <v>58</v>
      </c>
      <c r="S436" s="4" t="s">
        <v>470</v>
      </c>
    </row>
    <row r="437" spans="2:19" ht="24" customHeight="1" x14ac:dyDescent="0.4"/>
    <row r="438" spans="2:19" ht="24" customHeight="1" x14ac:dyDescent="0.4">
      <c r="B438" s="8" t="s">
        <v>26</v>
      </c>
      <c r="C438" s="8" t="s">
        <v>27</v>
      </c>
      <c r="D438" s="16" t="s">
        <v>28</v>
      </c>
      <c r="H438" s="4">
        <v>540</v>
      </c>
      <c r="I438" s="21" t="s">
        <v>414</v>
      </c>
      <c r="J438" s="4">
        <v>1.26</v>
      </c>
      <c r="K438" s="32" t="s">
        <v>471</v>
      </c>
      <c r="L438" s="63">
        <v>1</v>
      </c>
      <c r="M438" s="68">
        <f>12000+3000</f>
        <v>15000</v>
      </c>
      <c r="N438" s="8">
        <f>+M438*L438</f>
        <v>15000</v>
      </c>
      <c r="Q438" s="5">
        <f>+N438</f>
        <v>15000</v>
      </c>
      <c r="R438" s="4" t="s">
        <v>58</v>
      </c>
      <c r="S438" s="7" t="s">
        <v>416</v>
      </c>
    </row>
    <row r="439" spans="2:19" ht="24" customHeight="1" x14ac:dyDescent="0.4"/>
    <row r="440" spans="2:19" ht="24" customHeight="1" x14ac:dyDescent="0.4">
      <c r="B440" s="8" t="s">
        <v>26</v>
      </c>
      <c r="C440" s="8" t="s">
        <v>27</v>
      </c>
      <c r="D440" s="16" t="s">
        <v>28</v>
      </c>
      <c r="H440" s="4">
        <v>729</v>
      </c>
      <c r="I440" s="22" t="s">
        <v>109</v>
      </c>
      <c r="J440" s="4">
        <v>1.28</v>
      </c>
      <c r="K440" s="4" t="s">
        <v>111</v>
      </c>
      <c r="L440" s="32">
        <f>6+1</f>
        <v>7</v>
      </c>
      <c r="M440" s="68">
        <v>70000</v>
      </c>
      <c r="N440" s="8">
        <f>+M440*L440</f>
        <v>490000</v>
      </c>
      <c r="Q440" s="5">
        <f>+N440</f>
        <v>490000</v>
      </c>
      <c r="S440" s="4" t="s">
        <v>110</v>
      </c>
    </row>
    <row r="441" spans="2:19" ht="24" customHeight="1" x14ac:dyDescent="0.4">
      <c r="B441" s="8" t="s">
        <v>26</v>
      </c>
      <c r="C441" s="8" t="s">
        <v>27</v>
      </c>
      <c r="D441" s="16" t="s">
        <v>28</v>
      </c>
      <c r="H441" s="4">
        <v>532</v>
      </c>
      <c r="I441" s="21" t="s">
        <v>129</v>
      </c>
      <c r="J441" s="4">
        <v>1.28</v>
      </c>
      <c r="K441" s="54" t="s">
        <v>472</v>
      </c>
      <c r="L441" s="56">
        <f>50+50</f>
        <v>100</v>
      </c>
      <c r="M441" s="68">
        <v>5000</v>
      </c>
      <c r="N441" s="8">
        <f>+M441*L441</f>
        <v>500000</v>
      </c>
      <c r="Q441" s="5">
        <f>+N441</f>
        <v>500000</v>
      </c>
      <c r="S441" s="4" t="s">
        <v>131</v>
      </c>
    </row>
    <row r="442" spans="2:19" ht="24" customHeight="1" x14ac:dyDescent="0.4"/>
    <row r="443" spans="2:19" ht="24" customHeight="1" x14ac:dyDescent="0.4">
      <c r="B443" s="7" t="s">
        <v>157</v>
      </c>
      <c r="C443" s="8" t="s">
        <v>27</v>
      </c>
      <c r="D443" s="16" t="s">
        <v>28</v>
      </c>
      <c r="H443" s="4">
        <v>209</v>
      </c>
      <c r="I443" s="21" t="s">
        <v>158</v>
      </c>
      <c r="J443" s="4">
        <v>2.0299999999999998</v>
      </c>
      <c r="K443" s="4" t="s">
        <v>473</v>
      </c>
      <c r="L443" s="56">
        <v>2</v>
      </c>
      <c r="M443" s="68">
        <v>50000</v>
      </c>
      <c r="N443" s="8">
        <f>+M443*L443</f>
        <v>100000</v>
      </c>
      <c r="Q443" s="5">
        <f>+N443</f>
        <v>100000</v>
      </c>
      <c r="S443" s="4" t="s">
        <v>474</v>
      </c>
    </row>
    <row r="444" spans="2:19" ht="24" customHeight="1" x14ac:dyDescent="0.4">
      <c r="B444" s="7" t="s">
        <v>157</v>
      </c>
      <c r="C444" s="8" t="s">
        <v>27</v>
      </c>
      <c r="D444" s="16" t="s">
        <v>28</v>
      </c>
      <c r="H444" s="4">
        <v>209</v>
      </c>
      <c r="I444" s="21" t="s">
        <v>158</v>
      </c>
      <c r="J444" s="4">
        <v>2.0299999999999998</v>
      </c>
      <c r="K444" s="55" t="s">
        <v>475</v>
      </c>
      <c r="L444" s="56">
        <v>110</v>
      </c>
      <c r="M444" s="68">
        <v>1300</v>
      </c>
      <c r="N444" s="8">
        <f>+M444*L444</f>
        <v>143000</v>
      </c>
      <c r="Q444" s="5">
        <f>+N444</f>
        <v>143000</v>
      </c>
      <c r="S444" s="4" t="s">
        <v>474</v>
      </c>
    </row>
    <row r="445" spans="2:19" ht="24" customHeight="1" x14ac:dyDescent="0.4">
      <c r="B445" s="8" t="s">
        <v>26</v>
      </c>
      <c r="C445" s="8" t="s">
        <v>27</v>
      </c>
      <c r="D445" s="16" t="s">
        <v>28</v>
      </c>
      <c r="H445" s="4">
        <v>550</v>
      </c>
      <c r="I445" s="21" t="s">
        <v>48</v>
      </c>
      <c r="J445" s="4">
        <v>2.0299999999999998</v>
      </c>
      <c r="K445" s="32" t="s">
        <v>476</v>
      </c>
      <c r="L445" s="32">
        <v>1</v>
      </c>
      <c r="M445" s="68">
        <f>12000+3000</f>
        <v>15000</v>
      </c>
      <c r="N445" s="8">
        <f>+M445*L445</f>
        <v>15000</v>
      </c>
      <c r="Q445" s="5">
        <f>+N445</f>
        <v>15000</v>
      </c>
      <c r="R445" s="4" t="s">
        <v>58</v>
      </c>
      <c r="S445" s="7" t="s">
        <v>51</v>
      </c>
    </row>
    <row r="446" spans="2:19" ht="24" customHeight="1" x14ac:dyDescent="0.4">
      <c r="B446" s="8" t="s">
        <v>26</v>
      </c>
      <c r="C446" s="8" t="s">
        <v>27</v>
      </c>
      <c r="D446" s="16" t="s">
        <v>28</v>
      </c>
      <c r="H446" s="4">
        <v>148</v>
      </c>
      <c r="I446" s="21" t="s">
        <v>115</v>
      </c>
      <c r="J446" s="4">
        <v>2.0299999999999998</v>
      </c>
      <c r="K446" s="32" t="s">
        <v>477</v>
      </c>
      <c r="L446" s="63">
        <v>1</v>
      </c>
      <c r="M446" s="68">
        <f>12000+3000</f>
        <v>15000</v>
      </c>
      <c r="N446" s="8">
        <f>+M446*L446</f>
        <v>15000</v>
      </c>
      <c r="Q446" s="5">
        <f>+N446</f>
        <v>15000</v>
      </c>
      <c r="R446" s="4" t="s">
        <v>58</v>
      </c>
      <c r="S446" s="7" t="s">
        <v>117</v>
      </c>
    </row>
    <row r="447" spans="2:19" ht="24" customHeight="1" x14ac:dyDescent="0.4">
      <c r="B447" s="8" t="s">
        <v>26</v>
      </c>
      <c r="C447" s="8" t="s">
        <v>27</v>
      </c>
      <c r="D447" s="16" t="s">
        <v>28</v>
      </c>
      <c r="H447" s="4">
        <v>930</v>
      </c>
      <c r="I447" s="21" t="s">
        <v>392</v>
      </c>
      <c r="J447" s="4">
        <v>2.0299999999999998</v>
      </c>
      <c r="K447" s="8" t="s">
        <v>478</v>
      </c>
      <c r="L447" s="63">
        <v>1</v>
      </c>
      <c r="M447" s="68">
        <f>20000+3000</f>
        <v>23000</v>
      </c>
      <c r="N447" s="8">
        <f>+M447*L447</f>
        <v>23000</v>
      </c>
      <c r="Q447" s="5">
        <f>+N447</f>
        <v>23000</v>
      </c>
      <c r="R447" s="40" t="s">
        <v>58</v>
      </c>
      <c r="S447" s="7" t="s">
        <v>394</v>
      </c>
    </row>
    <row r="448" spans="2:19" ht="24" customHeight="1" x14ac:dyDescent="0.4">
      <c r="B448" s="8" t="s">
        <v>26</v>
      </c>
      <c r="C448" s="8" t="s">
        <v>27</v>
      </c>
      <c r="D448" s="16" t="s">
        <v>28</v>
      </c>
      <c r="H448" s="4">
        <v>1324</v>
      </c>
      <c r="I448" s="21" t="s">
        <v>96</v>
      </c>
      <c r="J448" s="4">
        <v>2.0299999999999998</v>
      </c>
      <c r="K448" s="56" t="s">
        <v>479</v>
      </c>
      <c r="L448" s="32">
        <v>1</v>
      </c>
      <c r="M448" s="68">
        <f>20000+3000</f>
        <v>23000</v>
      </c>
      <c r="N448" s="8">
        <f>+M448*L448</f>
        <v>23000</v>
      </c>
      <c r="Q448" s="5">
        <f>+N448</f>
        <v>23000</v>
      </c>
      <c r="R448" s="4" t="s">
        <v>58</v>
      </c>
      <c r="S448" s="7" t="s">
        <v>97</v>
      </c>
    </row>
    <row r="449" spans="2:19" ht="24" customHeight="1" x14ac:dyDescent="0.4"/>
    <row r="450" spans="2:19" ht="24" customHeight="1" x14ac:dyDescent="0.4">
      <c r="B450" s="8" t="s">
        <v>26</v>
      </c>
      <c r="C450" s="8" t="s">
        <v>27</v>
      </c>
      <c r="D450" s="16" t="s">
        <v>28</v>
      </c>
      <c r="H450" s="4">
        <v>159</v>
      </c>
      <c r="I450" s="21" t="s">
        <v>235</v>
      </c>
      <c r="J450" s="4">
        <v>2.0499999999999998</v>
      </c>
      <c r="K450" s="54" t="s">
        <v>472</v>
      </c>
      <c r="L450" s="56">
        <v>70</v>
      </c>
      <c r="M450" s="68">
        <v>5000</v>
      </c>
      <c r="N450" s="8">
        <f>+M450*L450</f>
        <v>350000</v>
      </c>
      <c r="Q450" s="5">
        <f>+N450</f>
        <v>350000</v>
      </c>
      <c r="S450" s="7" t="s">
        <v>236</v>
      </c>
    </row>
    <row r="451" spans="2:19" ht="24" customHeight="1" x14ac:dyDescent="0.4">
      <c r="B451" s="8" t="s">
        <v>26</v>
      </c>
      <c r="C451" s="8" t="s">
        <v>27</v>
      </c>
      <c r="D451" s="16" t="s">
        <v>28</v>
      </c>
      <c r="H451" s="4">
        <v>156</v>
      </c>
      <c r="I451" s="21" t="s">
        <v>480</v>
      </c>
      <c r="J451" s="4">
        <v>2.0499999999999998</v>
      </c>
      <c r="K451" s="54" t="s">
        <v>472</v>
      </c>
      <c r="L451" s="56">
        <v>70</v>
      </c>
      <c r="M451" s="68">
        <v>5000</v>
      </c>
      <c r="N451" s="8">
        <f>+M451*L451</f>
        <v>350000</v>
      </c>
      <c r="Q451" s="5">
        <f>+N451</f>
        <v>350000</v>
      </c>
      <c r="S451" s="7" t="s">
        <v>481</v>
      </c>
    </row>
    <row r="452" spans="2:19" ht="24" customHeight="1" x14ac:dyDescent="0.4">
      <c r="B452" s="8" t="s">
        <v>26</v>
      </c>
      <c r="C452" s="8" t="s">
        <v>27</v>
      </c>
      <c r="D452" s="16" t="s">
        <v>28</v>
      </c>
      <c r="H452" s="4">
        <v>161</v>
      </c>
      <c r="I452" s="21" t="s">
        <v>358</v>
      </c>
      <c r="J452" s="4">
        <v>2.0499999999999998</v>
      </c>
      <c r="K452" s="54" t="s">
        <v>472</v>
      </c>
      <c r="L452" s="56">
        <v>80</v>
      </c>
      <c r="M452" s="68">
        <v>5000</v>
      </c>
      <c r="N452" s="8">
        <f>+M452*L452</f>
        <v>400000</v>
      </c>
      <c r="Q452" s="5">
        <f>+N452</f>
        <v>400000</v>
      </c>
      <c r="S452" s="7" t="s">
        <v>359</v>
      </c>
    </row>
    <row r="453" spans="2:19" ht="24" customHeight="1" x14ac:dyDescent="0.4"/>
    <row r="454" spans="2:19" ht="24" customHeight="1" x14ac:dyDescent="0.4">
      <c r="B454" s="8" t="s">
        <v>26</v>
      </c>
      <c r="C454" s="8" t="s">
        <v>27</v>
      </c>
      <c r="D454" s="16" t="s">
        <v>28</v>
      </c>
      <c r="H454" s="4">
        <v>786</v>
      </c>
      <c r="I454" s="21" t="s">
        <v>350</v>
      </c>
      <c r="J454" s="4">
        <v>2.0699999999999998</v>
      </c>
      <c r="K454" s="33" t="s">
        <v>482</v>
      </c>
      <c r="L454" s="56">
        <v>80</v>
      </c>
      <c r="M454" s="68">
        <v>3500</v>
      </c>
      <c r="N454" s="8">
        <f>+M454*L454</f>
        <v>280000</v>
      </c>
      <c r="Q454" s="5">
        <f>+N454</f>
        <v>280000</v>
      </c>
      <c r="S454" s="4" t="s">
        <v>483</v>
      </c>
    </row>
    <row r="455" spans="2:19" ht="24" customHeight="1" x14ac:dyDescent="0.4">
      <c r="B455" s="7" t="s">
        <v>26</v>
      </c>
      <c r="C455" s="7" t="s">
        <v>27</v>
      </c>
      <c r="D455" s="4" t="s">
        <v>23</v>
      </c>
      <c r="H455" s="4">
        <v>786</v>
      </c>
      <c r="I455" s="21" t="s">
        <v>350</v>
      </c>
      <c r="J455" s="4">
        <v>2.0699999999999998</v>
      </c>
      <c r="K455" s="4" t="s">
        <v>304</v>
      </c>
      <c r="L455" s="56">
        <v>80</v>
      </c>
      <c r="M455" s="68">
        <v>6000</v>
      </c>
      <c r="N455" s="8">
        <f>+M455*L455</f>
        <v>480000</v>
      </c>
      <c r="O455" s="5">
        <f>+N455/1.1</f>
        <v>436363.63636363635</v>
      </c>
      <c r="P455" s="5">
        <f>+N455-O455</f>
        <v>43636.363636363647</v>
      </c>
      <c r="Q455" s="5">
        <f>+N455</f>
        <v>480000</v>
      </c>
      <c r="S455" s="4" t="s">
        <v>483</v>
      </c>
    </row>
    <row r="456" spans="2:19" ht="24" customHeight="1" x14ac:dyDescent="0.4">
      <c r="B456" s="8" t="s">
        <v>26</v>
      </c>
      <c r="C456" s="8" t="s">
        <v>27</v>
      </c>
      <c r="D456" s="16" t="s">
        <v>28</v>
      </c>
      <c r="H456" s="4">
        <v>438</v>
      </c>
      <c r="I456" s="21" t="s">
        <v>484</v>
      </c>
      <c r="J456" s="4">
        <v>2.0699999999999998</v>
      </c>
      <c r="K456" s="54" t="s">
        <v>472</v>
      </c>
      <c r="L456" s="56">
        <f>60+5</f>
        <v>65</v>
      </c>
      <c r="M456" s="68">
        <v>5000</v>
      </c>
      <c r="N456" s="8">
        <f>+M456*L456</f>
        <v>325000</v>
      </c>
      <c r="Q456" s="5">
        <f>+N456</f>
        <v>325000</v>
      </c>
      <c r="R456" s="81" t="s">
        <v>485</v>
      </c>
      <c r="S456" s="4" t="s">
        <v>486</v>
      </c>
    </row>
    <row r="457" spans="2:19" ht="24" customHeight="1" x14ac:dyDescent="0.4">
      <c r="B457" s="8" t="s">
        <v>26</v>
      </c>
      <c r="C457" s="8" t="s">
        <v>27</v>
      </c>
      <c r="D457" s="16" t="s">
        <v>28</v>
      </c>
      <c r="H457" s="4">
        <v>532</v>
      </c>
      <c r="I457" s="21" t="s">
        <v>129</v>
      </c>
      <c r="J457" s="4">
        <v>2.0699999999999998</v>
      </c>
      <c r="K457" s="54" t="s">
        <v>472</v>
      </c>
      <c r="L457" s="56">
        <f>10+13</f>
        <v>23</v>
      </c>
      <c r="M457" s="68">
        <v>5000</v>
      </c>
      <c r="N457" s="8">
        <f>+M457*L457</f>
        <v>115000</v>
      </c>
      <c r="Q457" s="5">
        <f>+N457</f>
        <v>115000</v>
      </c>
      <c r="S457" s="4" t="s">
        <v>131</v>
      </c>
    </row>
    <row r="458" spans="2:19" ht="24" customHeight="1" x14ac:dyDescent="0.4">
      <c r="B458" s="8" t="s">
        <v>26</v>
      </c>
      <c r="C458" s="8" t="s">
        <v>27</v>
      </c>
      <c r="D458" s="16" t="s">
        <v>28</v>
      </c>
      <c r="H458" s="4">
        <v>550</v>
      </c>
      <c r="I458" s="21" t="s">
        <v>48</v>
      </c>
      <c r="J458" s="4">
        <v>2.0699999999999998</v>
      </c>
      <c r="K458" s="54" t="s">
        <v>472</v>
      </c>
      <c r="L458" s="56">
        <v>80</v>
      </c>
      <c r="M458" s="68">
        <v>5000</v>
      </c>
      <c r="N458" s="8">
        <f>+M458*L458</f>
        <v>400000</v>
      </c>
      <c r="Q458" s="5">
        <f>+N458</f>
        <v>400000</v>
      </c>
      <c r="S458" s="7" t="s">
        <v>51</v>
      </c>
    </row>
    <row r="459" spans="2:19" ht="24" customHeight="1" x14ac:dyDescent="0.4">
      <c r="B459" s="7" t="s">
        <v>26</v>
      </c>
      <c r="C459" s="7" t="s">
        <v>27</v>
      </c>
      <c r="D459" s="4" t="s">
        <v>23</v>
      </c>
      <c r="H459" s="4">
        <v>246</v>
      </c>
      <c r="I459" s="22" t="s">
        <v>209</v>
      </c>
      <c r="J459" s="4">
        <v>2.0699999999999998</v>
      </c>
      <c r="K459" s="57" t="s">
        <v>184</v>
      </c>
      <c r="L459" s="63">
        <f>921-521+521</f>
        <v>921</v>
      </c>
      <c r="M459" s="68">
        <v>6000</v>
      </c>
      <c r="N459" s="8">
        <f>+M459*L459</f>
        <v>5526000</v>
      </c>
      <c r="O459" s="5">
        <f>+N459/1.1</f>
        <v>5023636.3636363633</v>
      </c>
      <c r="P459" s="5">
        <f>+N459-O459</f>
        <v>502363.6363636367</v>
      </c>
      <c r="Q459" s="5">
        <f>+N459</f>
        <v>5526000</v>
      </c>
      <c r="S459" s="7" t="s">
        <v>210</v>
      </c>
    </row>
    <row r="460" spans="2:19" ht="24" customHeight="1" x14ac:dyDescent="0.4">
      <c r="B460" s="8" t="s">
        <v>26</v>
      </c>
      <c r="C460" s="8" t="s">
        <v>27</v>
      </c>
      <c r="D460" s="16" t="s">
        <v>28</v>
      </c>
      <c r="H460" s="4">
        <v>629</v>
      </c>
      <c r="I460" s="23" t="s">
        <v>399</v>
      </c>
      <c r="J460" s="4">
        <v>2.0699999999999998</v>
      </c>
      <c r="K460" s="54" t="s">
        <v>472</v>
      </c>
      <c r="L460" s="65">
        <v>220</v>
      </c>
      <c r="M460" s="68">
        <v>5000</v>
      </c>
      <c r="N460" s="8">
        <f>+M460*L460</f>
        <v>1100000</v>
      </c>
      <c r="Q460" s="5">
        <f>+N460</f>
        <v>1100000</v>
      </c>
      <c r="S460" s="4" t="s">
        <v>400</v>
      </c>
    </row>
    <row r="461" spans="2:19" ht="24" customHeight="1" x14ac:dyDescent="0.4">
      <c r="B461" s="8" t="s">
        <v>26</v>
      </c>
      <c r="C461" s="8" t="s">
        <v>27</v>
      </c>
      <c r="D461" s="16" t="s">
        <v>28</v>
      </c>
      <c r="H461" s="4">
        <v>279</v>
      </c>
      <c r="I461" s="24" t="s">
        <v>401</v>
      </c>
      <c r="J461" s="4">
        <v>2.0699999999999998</v>
      </c>
      <c r="K461" s="54" t="s">
        <v>472</v>
      </c>
      <c r="L461" s="65">
        <v>132</v>
      </c>
      <c r="M461" s="68">
        <v>5000</v>
      </c>
      <c r="N461" s="8">
        <f>+M461*L461</f>
        <v>660000</v>
      </c>
      <c r="Q461" s="5">
        <f>+N461</f>
        <v>660000</v>
      </c>
      <c r="S461" s="4" t="s">
        <v>402</v>
      </c>
    </row>
    <row r="462" spans="2:19" ht="24" customHeight="1" x14ac:dyDescent="0.4">
      <c r="B462" s="8" t="s">
        <v>26</v>
      </c>
      <c r="C462" s="8" t="s">
        <v>27</v>
      </c>
      <c r="D462" s="16" t="s">
        <v>28</v>
      </c>
      <c r="H462" s="4">
        <v>1324</v>
      </c>
      <c r="I462" s="21" t="s">
        <v>96</v>
      </c>
      <c r="J462" s="4">
        <v>2.0699999999999998</v>
      </c>
      <c r="K462" s="56" t="s">
        <v>487</v>
      </c>
      <c r="L462" s="32">
        <v>1</v>
      </c>
      <c r="M462" s="68">
        <f>20000+3000</f>
        <v>23000</v>
      </c>
      <c r="N462" s="8">
        <f>+M462*L462</f>
        <v>23000</v>
      </c>
      <c r="Q462" s="5">
        <f>+N462</f>
        <v>23000</v>
      </c>
      <c r="R462" s="4" t="s">
        <v>58</v>
      </c>
      <c r="S462" s="7" t="s">
        <v>97</v>
      </c>
    </row>
    <row r="463" spans="2:19" ht="24" customHeight="1" x14ac:dyDescent="0.4"/>
    <row r="464" spans="2:19" ht="24" customHeight="1" x14ac:dyDescent="0.4">
      <c r="B464" s="8" t="s">
        <v>26</v>
      </c>
      <c r="C464" s="8" t="s">
        <v>27</v>
      </c>
      <c r="D464" s="15" t="s">
        <v>23</v>
      </c>
      <c r="H464" s="4">
        <v>246</v>
      </c>
      <c r="I464" s="22" t="s">
        <v>209</v>
      </c>
      <c r="J464" s="4">
        <v>2.08</v>
      </c>
      <c r="K464" s="57" t="s">
        <v>184</v>
      </c>
      <c r="L464" s="5">
        <f>1131-921</f>
        <v>210</v>
      </c>
      <c r="M464" s="68">
        <v>6000</v>
      </c>
      <c r="N464" s="8">
        <f>+M464*L464</f>
        <v>1260000</v>
      </c>
      <c r="O464" s="5">
        <f>+N464/1.1</f>
        <v>1145454.5454545454</v>
      </c>
      <c r="P464" s="5">
        <f>+N464-O464</f>
        <v>114545.45454545459</v>
      </c>
      <c r="Q464" s="5">
        <f>+N464</f>
        <v>1260000</v>
      </c>
      <c r="S464" s="7" t="s">
        <v>210</v>
      </c>
    </row>
    <row r="465" spans="2:19" ht="24" customHeight="1" x14ac:dyDescent="0.4">
      <c r="B465" s="8" t="s">
        <v>26</v>
      </c>
      <c r="C465" s="8" t="s">
        <v>27</v>
      </c>
      <c r="D465" s="16" t="s">
        <v>28</v>
      </c>
      <c r="H465" s="4">
        <v>1566</v>
      </c>
      <c r="I465" s="21" t="s">
        <v>488</v>
      </c>
      <c r="J465" s="4">
        <v>2.08</v>
      </c>
      <c r="K465" s="4" t="s">
        <v>473</v>
      </c>
      <c r="L465" s="5">
        <v>2</v>
      </c>
      <c r="M465" s="68">
        <v>50000</v>
      </c>
      <c r="N465" s="8">
        <f>+M465*L465</f>
        <v>100000</v>
      </c>
      <c r="Q465" s="5">
        <f>+N465</f>
        <v>100000</v>
      </c>
      <c r="S465" s="4" t="s">
        <v>489</v>
      </c>
    </row>
    <row r="466" spans="2:19" ht="24" customHeight="1" x14ac:dyDescent="0.4">
      <c r="B466" s="8" t="s">
        <v>26</v>
      </c>
      <c r="C466" s="8" t="s">
        <v>27</v>
      </c>
      <c r="D466" s="16" t="s">
        <v>28</v>
      </c>
      <c r="H466" s="4">
        <v>571</v>
      </c>
      <c r="I466" s="21" t="s">
        <v>363</v>
      </c>
      <c r="J466" s="4">
        <v>2.08</v>
      </c>
      <c r="K466" s="58" t="s">
        <v>472</v>
      </c>
      <c r="L466" s="5">
        <v>21</v>
      </c>
      <c r="M466" s="68">
        <v>10000</v>
      </c>
      <c r="N466" s="8">
        <f>+M466*L466</f>
        <v>210000</v>
      </c>
      <c r="Q466" s="5">
        <f>+N466</f>
        <v>210000</v>
      </c>
      <c r="S466" s="5" t="s">
        <v>81</v>
      </c>
    </row>
    <row r="467" spans="2:19" ht="24" customHeight="1" x14ac:dyDescent="0.4">
      <c r="B467" s="8" t="s">
        <v>26</v>
      </c>
      <c r="C467" s="8" t="s">
        <v>27</v>
      </c>
      <c r="D467" s="16" t="s">
        <v>28</v>
      </c>
      <c r="H467" s="4">
        <v>571</v>
      </c>
      <c r="I467" s="21" t="s">
        <v>363</v>
      </c>
      <c r="J467" s="4">
        <v>2.08</v>
      </c>
      <c r="K467" s="54" t="s">
        <v>472</v>
      </c>
      <c r="L467" s="5">
        <v>48</v>
      </c>
      <c r="M467" s="68">
        <v>5000</v>
      </c>
      <c r="N467" s="8">
        <f>+M467*L467</f>
        <v>240000</v>
      </c>
      <c r="Q467" s="5">
        <f>+N467</f>
        <v>240000</v>
      </c>
      <c r="S467" s="5" t="s">
        <v>81</v>
      </c>
    </row>
    <row r="468" spans="2:19" ht="24" customHeight="1" x14ac:dyDescent="0.4">
      <c r="B468" s="8" t="s">
        <v>26</v>
      </c>
      <c r="C468" s="8" t="s">
        <v>27</v>
      </c>
      <c r="D468" s="16" t="s">
        <v>28</v>
      </c>
      <c r="H468" s="4">
        <v>2155</v>
      </c>
      <c r="I468" s="21" t="s">
        <v>406</v>
      </c>
      <c r="J468" s="4">
        <v>2.08</v>
      </c>
      <c r="K468" s="32" t="s">
        <v>490</v>
      </c>
      <c r="L468" s="5">
        <v>2</v>
      </c>
      <c r="M468" s="68">
        <f>12000+3000</f>
        <v>15000</v>
      </c>
      <c r="N468" s="8">
        <f>+M468*L468</f>
        <v>30000</v>
      </c>
      <c r="Q468" s="5">
        <f>+N468</f>
        <v>30000</v>
      </c>
      <c r="S468" s="4" t="s">
        <v>102</v>
      </c>
    </row>
    <row r="469" spans="2:19" ht="24" customHeight="1" x14ac:dyDescent="0.4"/>
    <row r="470" spans="2:19" ht="24" customHeight="1" x14ac:dyDescent="0.4">
      <c r="B470" s="8" t="s">
        <v>26</v>
      </c>
      <c r="C470" s="8" t="s">
        <v>27</v>
      </c>
      <c r="D470" s="15" t="s">
        <v>23</v>
      </c>
      <c r="H470" s="4">
        <v>1025</v>
      </c>
      <c r="I470" s="21" t="s">
        <v>320</v>
      </c>
      <c r="J470" s="4">
        <v>2.09</v>
      </c>
      <c r="K470" s="32" t="s">
        <v>391</v>
      </c>
      <c r="L470" s="5">
        <f>25+5</f>
        <v>30</v>
      </c>
      <c r="M470" s="68">
        <v>10000</v>
      </c>
      <c r="N470" s="8">
        <f>+M470*L470</f>
        <v>300000</v>
      </c>
      <c r="O470" s="5">
        <f>+N470/1.1</f>
        <v>272727.27272727271</v>
      </c>
      <c r="P470" s="5">
        <f>+N470-O470</f>
        <v>27272.727272727294</v>
      </c>
      <c r="Q470" s="5">
        <f>+N470</f>
        <v>300000</v>
      </c>
      <c r="S470" s="7" t="s">
        <v>322</v>
      </c>
    </row>
    <row r="471" spans="2:19" ht="24" customHeight="1" x14ac:dyDescent="0.4">
      <c r="B471" s="8" t="s">
        <v>26</v>
      </c>
      <c r="C471" s="8" t="s">
        <v>27</v>
      </c>
      <c r="D471" s="15" t="s">
        <v>23</v>
      </c>
      <c r="H471" s="4">
        <v>1025</v>
      </c>
      <c r="I471" s="21" t="s">
        <v>320</v>
      </c>
      <c r="J471" s="4">
        <v>2.09</v>
      </c>
      <c r="K471" s="4" t="s">
        <v>491</v>
      </c>
      <c r="L471" s="5">
        <v>45</v>
      </c>
      <c r="M471" s="68">
        <v>5500</v>
      </c>
      <c r="N471" s="8">
        <f>+M471*L471</f>
        <v>247500</v>
      </c>
      <c r="O471" s="5">
        <f>+N471/1.1</f>
        <v>224999.99999999997</v>
      </c>
      <c r="P471" s="5">
        <f>+N471-O471</f>
        <v>22500.000000000029</v>
      </c>
      <c r="Q471" s="5">
        <f>+N471</f>
        <v>247500</v>
      </c>
      <c r="S471" s="7" t="s">
        <v>322</v>
      </c>
    </row>
    <row r="472" spans="2:19" ht="24" customHeight="1" x14ac:dyDescent="0.4">
      <c r="B472" s="8" t="s">
        <v>26</v>
      </c>
      <c r="C472" s="8" t="s">
        <v>27</v>
      </c>
      <c r="D472" s="15" t="s">
        <v>23</v>
      </c>
      <c r="H472" s="4">
        <v>1025</v>
      </c>
      <c r="I472" s="21" t="s">
        <v>320</v>
      </c>
      <c r="J472" s="4">
        <v>2.09</v>
      </c>
      <c r="K472" s="60" t="s">
        <v>492</v>
      </c>
      <c r="L472" s="5">
        <f>10+10</f>
        <v>20</v>
      </c>
      <c r="M472" s="68">
        <v>5000</v>
      </c>
      <c r="N472" s="8">
        <f>+M472*L472</f>
        <v>100000</v>
      </c>
      <c r="O472" s="5">
        <f>+N472/1.1</f>
        <v>90909.090909090897</v>
      </c>
      <c r="P472" s="5">
        <f>+N472-O472</f>
        <v>9090.9090909091028</v>
      </c>
      <c r="Q472" s="5">
        <f>+N472</f>
        <v>100000</v>
      </c>
      <c r="S472" s="7" t="s">
        <v>322</v>
      </c>
    </row>
    <row r="473" spans="2:19" ht="24" customHeight="1" x14ac:dyDescent="0.4">
      <c r="B473" s="8" t="s">
        <v>26</v>
      </c>
      <c r="C473" s="8" t="s">
        <v>27</v>
      </c>
      <c r="D473" s="15" t="s">
        <v>23</v>
      </c>
      <c r="H473" s="4">
        <v>150</v>
      </c>
      <c r="I473" s="21" t="s">
        <v>93</v>
      </c>
      <c r="J473" s="4">
        <v>2.09</v>
      </c>
      <c r="K473" s="33" t="s">
        <v>482</v>
      </c>
      <c r="L473" s="5">
        <v>30</v>
      </c>
      <c r="M473" s="68">
        <v>3500</v>
      </c>
      <c r="N473" s="8">
        <f>+M473*L473</f>
        <v>105000</v>
      </c>
      <c r="O473" s="5">
        <f>+N473/1.1</f>
        <v>95454.545454545441</v>
      </c>
      <c r="P473" s="5">
        <f>+N473-O473</f>
        <v>9545.4545454545587</v>
      </c>
      <c r="Q473" s="5">
        <f>+N473</f>
        <v>105000</v>
      </c>
      <c r="S473" s="4" t="s">
        <v>341</v>
      </c>
    </row>
    <row r="474" spans="2:19" ht="24" customHeight="1" x14ac:dyDescent="0.4">
      <c r="B474" s="8" t="s">
        <v>26</v>
      </c>
      <c r="C474" s="8" t="s">
        <v>27</v>
      </c>
      <c r="D474" s="16" t="s">
        <v>28</v>
      </c>
      <c r="H474" s="4">
        <v>150</v>
      </c>
      <c r="I474" s="21" t="s">
        <v>93</v>
      </c>
      <c r="J474" s="4">
        <v>2.09</v>
      </c>
      <c r="K474" s="54" t="s">
        <v>472</v>
      </c>
      <c r="L474" s="5">
        <v>30</v>
      </c>
      <c r="M474" s="68">
        <v>5000</v>
      </c>
      <c r="N474" s="8">
        <f>+M474*L474</f>
        <v>150000</v>
      </c>
      <c r="Q474" s="5">
        <f>+N474</f>
        <v>150000</v>
      </c>
      <c r="S474" s="4" t="s">
        <v>341</v>
      </c>
    </row>
    <row r="475" spans="2:19" ht="24" customHeight="1" x14ac:dyDescent="0.4">
      <c r="B475" s="8" t="s">
        <v>26</v>
      </c>
      <c r="C475" s="8" t="s">
        <v>27</v>
      </c>
      <c r="D475" s="15" t="s">
        <v>23</v>
      </c>
      <c r="H475" s="4">
        <v>150</v>
      </c>
      <c r="I475" s="21" t="s">
        <v>93</v>
      </c>
      <c r="J475" s="4">
        <v>2.09</v>
      </c>
      <c r="K475" s="32" t="s">
        <v>198</v>
      </c>
      <c r="L475" s="5">
        <v>10</v>
      </c>
      <c r="M475" s="68">
        <v>10000</v>
      </c>
      <c r="N475" s="8">
        <f>+M475*L475</f>
        <v>100000</v>
      </c>
      <c r="O475" s="5">
        <f>+N475/1.1</f>
        <v>90909.090909090897</v>
      </c>
      <c r="P475" s="5">
        <f>+N475-O475</f>
        <v>9090.9090909091028</v>
      </c>
      <c r="Q475" s="5">
        <f>+N475</f>
        <v>100000</v>
      </c>
      <c r="S475" s="4" t="s">
        <v>341</v>
      </c>
    </row>
    <row r="476" spans="2:19" ht="24" customHeight="1" x14ac:dyDescent="0.4">
      <c r="B476" s="8" t="s">
        <v>26</v>
      </c>
      <c r="C476" s="8" t="s">
        <v>27</v>
      </c>
      <c r="D476" s="15" t="s">
        <v>23</v>
      </c>
      <c r="H476" s="4">
        <v>150</v>
      </c>
      <c r="I476" s="21" t="s">
        <v>93</v>
      </c>
      <c r="J476" s="4">
        <v>2.09</v>
      </c>
      <c r="K476" s="4" t="s">
        <v>493</v>
      </c>
      <c r="L476" s="5">
        <v>50</v>
      </c>
      <c r="M476" s="68">
        <v>1200</v>
      </c>
      <c r="N476" s="8">
        <f>+M476*L476</f>
        <v>60000</v>
      </c>
      <c r="O476" s="5">
        <f>+N476/1.1</f>
        <v>54545.454545454544</v>
      </c>
      <c r="P476" s="5">
        <f>+N476-O476</f>
        <v>5454.5454545454559</v>
      </c>
      <c r="Q476" s="5">
        <f>+N476</f>
        <v>60000</v>
      </c>
      <c r="S476" s="4" t="s">
        <v>341</v>
      </c>
    </row>
    <row r="477" spans="2:19" ht="24" customHeight="1" x14ac:dyDescent="0.4">
      <c r="B477" s="8" t="s">
        <v>26</v>
      </c>
      <c r="C477" s="8" t="s">
        <v>27</v>
      </c>
      <c r="D477" s="15" t="s">
        <v>23</v>
      </c>
      <c r="H477" s="4">
        <v>150</v>
      </c>
      <c r="I477" s="21" t="s">
        <v>93</v>
      </c>
      <c r="J477" s="4">
        <v>2.09</v>
      </c>
      <c r="K477" s="4" t="s">
        <v>494</v>
      </c>
      <c r="L477" s="5">
        <v>100</v>
      </c>
      <c r="M477" s="68">
        <v>1000</v>
      </c>
      <c r="N477" s="8">
        <f>+M477*L477</f>
        <v>100000</v>
      </c>
      <c r="O477" s="5">
        <f>+N477/1.1</f>
        <v>90909.090909090897</v>
      </c>
      <c r="P477" s="5">
        <f>+N477-O477</f>
        <v>9090.9090909091028</v>
      </c>
      <c r="Q477" s="5">
        <f>+N477</f>
        <v>100000</v>
      </c>
      <c r="S477" s="4" t="s">
        <v>341</v>
      </c>
    </row>
    <row r="478" spans="2:19" ht="24" customHeight="1" x14ac:dyDescent="0.4">
      <c r="B478" s="8" t="s">
        <v>26</v>
      </c>
      <c r="C478" s="8" t="s">
        <v>27</v>
      </c>
      <c r="D478" s="15" t="s">
        <v>23</v>
      </c>
      <c r="H478" s="4">
        <v>150</v>
      </c>
      <c r="I478" s="21" t="s">
        <v>93</v>
      </c>
      <c r="J478" s="4">
        <v>2.09</v>
      </c>
      <c r="K478" s="29" t="s">
        <v>495</v>
      </c>
      <c r="L478" s="5">
        <v>20</v>
      </c>
      <c r="M478" s="68">
        <v>5500</v>
      </c>
      <c r="N478" s="8">
        <f>+M478*L478</f>
        <v>110000</v>
      </c>
      <c r="O478" s="5">
        <f>+N478/1.1</f>
        <v>99999.999999999985</v>
      </c>
      <c r="P478" s="5">
        <f>+N478-O478</f>
        <v>10000.000000000015</v>
      </c>
      <c r="Q478" s="5">
        <f>+N478</f>
        <v>110000</v>
      </c>
      <c r="S478" s="4" t="s">
        <v>341</v>
      </c>
    </row>
    <row r="479" spans="2:19" ht="24" customHeight="1" x14ac:dyDescent="0.4">
      <c r="B479" s="8" t="s">
        <v>26</v>
      </c>
      <c r="C479" s="8" t="s">
        <v>27</v>
      </c>
      <c r="D479" s="15" t="s">
        <v>23</v>
      </c>
      <c r="H479" s="4">
        <v>246</v>
      </c>
      <c r="I479" s="22" t="s">
        <v>209</v>
      </c>
      <c r="J479" s="4">
        <v>2.09</v>
      </c>
      <c r="K479" s="57" t="s">
        <v>184</v>
      </c>
      <c r="L479" s="5">
        <f>270+55-5</f>
        <v>320</v>
      </c>
      <c r="M479" s="68">
        <v>6000</v>
      </c>
      <c r="N479" s="8">
        <f>+M479*L479</f>
        <v>1920000</v>
      </c>
      <c r="O479" s="5">
        <f>+N479/1.1</f>
        <v>1745454.5454545454</v>
      </c>
      <c r="P479" s="5">
        <f>+N479-O479</f>
        <v>174545.45454545459</v>
      </c>
      <c r="Q479" s="5">
        <f>+N479</f>
        <v>1920000</v>
      </c>
      <c r="S479" s="7" t="s">
        <v>210</v>
      </c>
    </row>
    <row r="480" spans="2:19" ht="24" customHeight="1" x14ac:dyDescent="0.4">
      <c r="B480" s="8" t="s">
        <v>26</v>
      </c>
      <c r="C480" s="8" t="s">
        <v>27</v>
      </c>
      <c r="D480" s="15" t="s">
        <v>23</v>
      </c>
      <c r="H480" s="4">
        <v>247</v>
      </c>
      <c r="I480" s="22" t="s">
        <v>252</v>
      </c>
      <c r="J480" s="4">
        <v>2.09</v>
      </c>
      <c r="K480" s="32" t="s">
        <v>198</v>
      </c>
      <c r="L480" s="5">
        <v>10</v>
      </c>
      <c r="M480" s="68">
        <v>10000</v>
      </c>
      <c r="N480" s="8">
        <f>+M480*L480</f>
        <v>100000</v>
      </c>
      <c r="O480" s="5">
        <f>+N480/1.1</f>
        <v>90909.090909090897</v>
      </c>
      <c r="P480" s="5">
        <f>+N480-O480</f>
        <v>9090.9090909091028</v>
      </c>
      <c r="Q480" s="5">
        <f>+N480</f>
        <v>100000</v>
      </c>
      <c r="R480" s="81" t="s">
        <v>496</v>
      </c>
      <c r="S480" s="7" t="s">
        <v>210</v>
      </c>
    </row>
    <row r="481" spans="2:19" ht="24" customHeight="1" x14ac:dyDescent="0.4">
      <c r="B481" s="8" t="s">
        <v>26</v>
      </c>
      <c r="C481" s="8" t="s">
        <v>27</v>
      </c>
      <c r="D481" s="16" t="s">
        <v>28</v>
      </c>
      <c r="H481" s="4">
        <v>550</v>
      </c>
      <c r="I481" s="21" t="s">
        <v>48</v>
      </c>
      <c r="J481" s="4">
        <v>2.09</v>
      </c>
      <c r="K481" s="32" t="s">
        <v>497</v>
      </c>
      <c r="L481" s="5">
        <v>1</v>
      </c>
      <c r="M481" s="68">
        <f>12000+3000</f>
        <v>15000</v>
      </c>
      <c r="N481" s="8">
        <f>+M481*L481</f>
        <v>15000</v>
      </c>
      <c r="Q481" s="5">
        <f>+N481</f>
        <v>15000</v>
      </c>
      <c r="R481" s="4" t="s">
        <v>58</v>
      </c>
      <c r="S481" s="7" t="s">
        <v>51</v>
      </c>
    </row>
    <row r="482" spans="2:19" ht="24" customHeight="1" x14ac:dyDescent="0.4">
      <c r="B482" s="8" t="s">
        <v>26</v>
      </c>
      <c r="C482" s="8" t="s">
        <v>27</v>
      </c>
      <c r="D482" s="16" t="s">
        <v>28</v>
      </c>
      <c r="H482" s="4">
        <v>148</v>
      </c>
      <c r="I482" s="21" t="s">
        <v>115</v>
      </c>
      <c r="J482" s="4">
        <v>2.09</v>
      </c>
      <c r="K482" s="32" t="s">
        <v>498</v>
      </c>
      <c r="L482" s="5">
        <v>1</v>
      </c>
      <c r="M482" s="68">
        <f>12000+3000</f>
        <v>15000</v>
      </c>
      <c r="N482" s="8">
        <f>+M482*L482</f>
        <v>15000</v>
      </c>
      <c r="Q482" s="5">
        <f>+N482</f>
        <v>15000</v>
      </c>
      <c r="R482" s="4" t="s">
        <v>58</v>
      </c>
      <c r="S482" s="7" t="s">
        <v>117</v>
      </c>
    </row>
    <row r="483" spans="2:19" ht="24" customHeight="1" x14ac:dyDescent="0.4">
      <c r="B483" s="8" t="s">
        <v>26</v>
      </c>
      <c r="C483" s="8" t="s">
        <v>27</v>
      </c>
      <c r="D483" s="16" t="s">
        <v>28</v>
      </c>
      <c r="H483" s="4">
        <v>1324</v>
      </c>
      <c r="I483" s="21" t="s">
        <v>96</v>
      </c>
      <c r="J483" s="4">
        <v>2.09</v>
      </c>
      <c r="K483" s="61" t="s">
        <v>499</v>
      </c>
      <c r="L483" s="5">
        <v>1</v>
      </c>
      <c r="M483" s="68">
        <f>20000+3000</f>
        <v>23000</v>
      </c>
      <c r="N483" s="8">
        <f>+M483*L483</f>
        <v>23000</v>
      </c>
      <c r="Q483" s="5">
        <f>+N483</f>
        <v>23000</v>
      </c>
      <c r="R483" s="4" t="s">
        <v>58</v>
      </c>
      <c r="S483" s="7" t="s">
        <v>97</v>
      </c>
    </row>
    <row r="484" spans="2:19" ht="24" customHeight="1" x14ac:dyDescent="0.4">
      <c r="B484" s="8" t="s">
        <v>26</v>
      </c>
      <c r="C484" s="8" t="s">
        <v>27</v>
      </c>
      <c r="D484" s="15" t="s">
        <v>23</v>
      </c>
      <c r="H484" s="4">
        <v>1402</v>
      </c>
      <c r="I484" s="21" t="s">
        <v>500</v>
      </c>
      <c r="J484" s="4">
        <v>2.09</v>
      </c>
      <c r="K484" s="7" t="s">
        <v>501</v>
      </c>
      <c r="L484" s="5">
        <v>20</v>
      </c>
      <c r="M484" s="69">
        <f>7000+3000</f>
        <v>10000</v>
      </c>
      <c r="N484" s="8">
        <f>+M484*L484</f>
        <v>200000</v>
      </c>
      <c r="O484" s="5">
        <f>+N484/1.1</f>
        <v>181818.18181818179</v>
      </c>
      <c r="P484" s="5">
        <f>+N484-O484</f>
        <v>18181.818181818206</v>
      </c>
      <c r="Q484" s="5">
        <f>+N484</f>
        <v>200000</v>
      </c>
      <c r="R484" s="4" t="s">
        <v>50</v>
      </c>
      <c r="S484" s="7" t="s">
        <v>502</v>
      </c>
    </row>
    <row r="485" spans="2:19" ht="24" customHeight="1" x14ac:dyDescent="0.4">
      <c r="B485" s="8" t="s">
        <v>26</v>
      </c>
      <c r="C485" s="8" t="s">
        <v>27</v>
      </c>
      <c r="D485" s="15" t="s">
        <v>23</v>
      </c>
      <c r="H485" s="4">
        <v>1356</v>
      </c>
      <c r="I485" s="21" t="s">
        <v>335</v>
      </c>
      <c r="J485" s="4">
        <v>2.09</v>
      </c>
      <c r="K485" s="7" t="s">
        <v>503</v>
      </c>
      <c r="L485" s="5">
        <v>20</v>
      </c>
      <c r="M485" s="69">
        <f>7000+3000</f>
        <v>10000</v>
      </c>
      <c r="N485" s="8">
        <f>+M485*L485</f>
        <v>200000</v>
      </c>
      <c r="O485" s="5">
        <f>+N485/1.1</f>
        <v>181818.18181818179</v>
      </c>
      <c r="P485" s="5">
        <f>+N485-O485</f>
        <v>18181.818181818206</v>
      </c>
      <c r="Q485" s="5">
        <f>+N485</f>
        <v>200000</v>
      </c>
      <c r="R485" s="4" t="s">
        <v>50</v>
      </c>
      <c r="S485" s="7" t="s">
        <v>337</v>
      </c>
    </row>
    <row r="486" spans="2:19" ht="24" customHeight="1" x14ac:dyDescent="0.4">
      <c r="B486" s="8" t="s">
        <v>26</v>
      </c>
      <c r="C486" s="8" t="s">
        <v>27</v>
      </c>
      <c r="D486" s="15" t="s">
        <v>23</v>
      </c>
      <c r="H486" s="4">
        <v>1394</v>
      </c>
      <c r="I486" s="22" t="s">
        <v>504</v>
      </c>
      <c r="J486" s="4">
        <v>2.09</v>
      </c>
      <c r="K486" s="7" t="s">
        <v>505</v>
      </c>
      <c r="L486" s="5">
        <v>21</v>
      </c>
      <c r="M486" s="69">
        <f>7000+3000</f>
        <v>10000</v>
      </c>
      <c r="N486" s="8">
        <f>+M486*L486</f>
        <v>210000</v>
      </c>
      <c r="O486" s="5">
        <f>+N486/1.1</f>
        <v>190909.09090909088</v>
      </c>
      <c r="P486" s="5">
        <f>+N486-O486</f>
        <v>19090.909090909117</v>
      </c>
      <c r="Q486" s="5">
        <f>+N486</f>
        <v>210000</v>
      </c>
      <c r="R486" s="4" t="s">
        <v>50</v>
      </c>
      <c r="S486" s="4" t="s">
        <v>506</v>
      </c>
    </row>
    <row r="487" spans="2:19" ht="24" customHeight="1" x14ac:dyDescent="0.4">
      <c r="B487" s="8" t="s">
        <v>26</v>
      </c>
      <c r="C487" s="8" t="s">
        <v>27</v>
      </c>
      <c r="D487" s="15" t="s">
        <v>23</v>
      </c>
      <c r="H487" s="4">
        <v>1358</v>
      </c>
      <c r="I487" s="21" t="s">
        <v>507</v>
      </c>
      <c r="J487" s="4">
        <v>2.09</v>
      </c>
      <c r="K487" s="7" t="s">
        <v>508</v>
      </c>
      <c r="L487" s="5">
        <v>19</v>
      </c>
      <c r="M487" s="69">
        <f>7000+3000</f>
        <v>10000</v>
      </c>
      <c r="N487" s="8">
        <f>+M487*L487</f>
        <v>190000</v>
      </c>
      <c r="O487" s="5">
        <f>+N487/1.1</f>
        <v>172727.27272727271</v>
      </c>
      <c r="P487" s="5">
        <f>+N487-O487</f>
        <v>17272.727272727294</v>
      </c>
      <c r="Q487" s="5">
        <f>+N487</f>
        <v>190000</v>
      </c>
      <c r="R487" s="4" t="s">
        <v>50</v>
      </c>
      <c r="S487" s="4" t="s">
        <v>509</v>
      </c>
    </row>
    <row r="488" spans="2:19" ht="24" customHeight="1" x14ac:dyDescent="0.4">
      <c r="B488" s="8" t="s">
        <v>26</v>
      </c>
      <c r="C488" s="8" t="s">
        <v>27</v>
      </c>
      <c r="D488" s="15" t="s">
        <v>23</v>
      </c>
      <c r="H488" s="4">
        <v>1331</v>
      </c>
      <c r="I488" s="21" t="s">
        <v>332</v>
      </c>
      <c r="J488" s="4">
        <v>2.09</v>
      </c>
      <c r="K488" s="7" t="s">
        <v>510</v>
      </c>
      <c r="L488" s="5">
        <v>20</v>
      </c>
      <c r="M488" s="69">
        <f>7000+3000</f>
        <v>10000</v>
      </c>
      <c r="N488" s="8">
        <f>+M488*L488</f>
        <v>200000</v>
      </c>
      <c r="O488" s="5">
        <f>+N488/1.1</f>
        <v>181818.18181818179</v>
      </c>
      <c r="P488" s="5">
        <f>+N488-O488</f>
        <v>18181.818181818206</v>
      </c>
      <c r="Q488" s="5">
        <f>+N488</f>
        <v>200000</v>
      </c>
      <c r="R488" s="4" t="s">
        <v>50</v>
      </c>
      <c r="S488" s="4" t="s">
        <v>334</v>
      </c>
    </row>
    <row r="489" spans="2:19" ht="24" customHeight="1" x14ac:dyDescent="0.4">
      <c r="B489" s="8" t="s">
        <v>26</v>
      </c>
      <c r="C489" s="8" t="s">
        <v>27</v>
      </c>
      <c r="D489" s="15" t="s">
        <v>23</v>
      </c>
      <c r="H489" s="4">
        <v>1380</v>
      </c>
      <c r="I489" s="22" t="s">
        <v>511</v>
      </c>
      <c r="J489" s="4">
        <v>2.09</v>
      </c>
      <c r="K489" s="7" t="s">
        <v>512</v>
      </c>
      <c r="L489" s="5">
        <v>10</v>
      </c>
      <c r="M489" s="69">
        <f>7000+3000</f>
        <v>10000</v>
      </c>
      <c r="N489" s="8">
        <f>+M489*L489</f>
        <v>100000</v>
      </c>
      <c r="O489" s="5">
        <f>+N489/1.1</f>
        <v>90909.090909090897</v>
      </c>
      <c r="P489" s="5">
        <f>+N489-O489</f>
        <v>9090.9090909091028</v>
      </c>
      <c r="Q489" s="5">
        <f>+N489</f>
        <v>100000</v>
      </c>
      <c r="R489" s="4" t="s">
        <v>50</v>
      </c>
      <c r="S489" s="7" t="s">
        <v>513</v>
      </c>
    </row>
    <row r="490" spans="2:19" ht="24" customHeight="1" x14ac:dyDescent="0.4">
      <c r="B490" s="8" t="s">
        <v>26</v>
      </c>
      <c r="C490" s="8" t="s">
        <v>27</v>
      </c>
      <c r="D490" s="15" t="s">
        <v>23</v>
      </c>
      <c r="H490" s="4">
        <v>1379</v>
      </c>
      <c r="I490" s="21" t="s">
        <v>514</v>
      </c>
      <c r="J490" s="4">
        <v>2.09</v>
      </c>
      <c r="K490" s="7" t="s">
        <v>515</v>
      </c>
      <c r="L490" s="5">
        <v>20</v>
      </c>
      <c r="M490" s="69">
        <f>7000+3000</f>
        <v>10000</v>
      </c>
      <c r="N490" s="8">
        <f>+M490*L490</f>
        <v>200000</v>
      </c>
      <c r="O490" s="5">
        <f>+N490/1.1</f>
        <v>181818.18181818179</v>
      </c>
      <c r="P490" s="5">
        <f>+N490-O490</f>
        <v>18181.818181818206</v>
      </c>
      <c r="Q490" s="5">
        <f>+N490</f>
        <v>200000</v>
      </c>
      <c r="R490" s="4" t="s">
        <v>50</v>
      </c>
      <c r="S490" s="4" t="s">
        <v>516</v>
      </c>
    </row>
    <row r="491" spans="2:19" ht="24" customHeight="1" x14ac:dyDescent="0.4"/>
    <row r="492" spans="2:19" ht="24" customHeight="1" x14ac:dyDescent="0.4">
      <c r="B492" s="8" t="s">
        <v>26</v>
      </c>
      <c r="C492" s="8" t="s">
        <v>27</v>
      </c>
      <c r="D492" s="16" t="s">
        <v>28</v>
      </c>
      <c r="H492" s="4">
        <v>1566</v>
      </c>
      <c r="I492" s="21" t="s">
        <v>488</v>
      </c>
      <c r="J492" s="4">
        <v>2.1</v>
      </c>
      <c r="K492" s="4" t="s">
        <v>473</v>
      </c>
      <c r="L492" s="5">
        <v>1</v>
      </c>
      <c r="M492" s="68">
        <v>50000</v>
      </c>
      <c r="N492" s="8">
        <f>+M492*L492</f>
        <v>50000</v>
      </c>
      <c r="Q492" s="5">
        <f>+N492</f>
        <v>50000</v>
      </c>
      <c r="S492" s="4" t="s">
        <v>489</v>
      </c>
    </row>
    <row r="493" spans="2:19" ht="24" customHeight="1" x14ac:dyDescent="0.4">
      <c r="B493" s="8" t="s">
        <v>26</v>
      </c>
      <c r="C493" s="8" t="s">
        <v>27</v>
      </c>
      <c r="D493" s="15" t="s">
        <v>23</v>
      </c>
      <c r="H493" s="4">
        <v>1566</v>
      </c>
      <c r="I493" s="21" t="s">
        <v>488</v>
      </c>
      <c r="J493" s="4">
        <v>2.1</v>
      </c>
      <c r="K493" s="55" t="s">
        <v>475</v>
      </c>
      <c r="L493" s="5">
        <v>50</v>
      </c>
      <c r="M493" s="68">
        <v>1300</v>
      </c>
      <c r="N493" s="8">
        <f>+M493*L493</f>
        <v>65000</v>
      </c>
      <c r="O493" s="5">
        <f>+N493/1.1</f>
        <v>59090.909090909088</v>
      </c>
      <c r="P493" s="5">
        <f>+N493-O493</f>
        <v>5909.0909090909117</v>
      </c>
      <c r="Q493" s="5">
        <f>+N493</f>
        <v>65000</v>
      </c>
      <c r="S493" s="4" t="s">
        <v>489</v>
      </c>
    </row>
    <row r="494" spans="2:19" ht="24" customHeight="1" x14ac:dyDescent="0.4">
      <c r="B494" s="8" t="s">
        <v>26</v>
      </c>
      <c r="C494" s="8" t="s">
        <v>27</v>
      </c>
      <c r="D494" s="15" t="s">
        <v>23</v>
      </c>
      <c r="H494" s="4">
        <v>550</v>
      </c>
      <c r="I494" s="21" t="s">
        <v>48</v>
      </c>
      <c r="J494" s="4">
        <v>2.1</v>
      </c>
      <c r="K494" s="29" t="s">
        <v>517</v>
      </c>
      <c r="L494" s="5">
        <v>7</v>
      </c>
      <c r="M494" s="68">
        <f>18000+4000</f>
        <v>22000</v>
      </c>
      <c r="N494" s="8">
        <f>+M494*L494</f>
        <v>154000</v>
      </c>
      <c r="O494" s="5">
        <f>+N494/1.1</f>
        <v>140000</v>
      </c>
      <c r="P494" s="5">
        <f>+N494-O494</f>
        <v>14000</v>
      </c>
      <c r="Q494" s="5">
        <f>+N494</f>
        <v>154000</v>
      </c>
      <c r="R494" s="4" t="s">
        <v>455</v>
      </c>
      <c r="S494" s="7" t="s">
        <v>51</v>
      </c>
    </row>
    <row r="495" spans="2:19" ht="24" customHeight="1" x14ac:dyDescent="0.4">
      <c r="B495" s="8" t="s">
        <v>26</v>
      </c>
      <c r="C495" s="8" t="s">
        <v>27</v>
      </c>
      <c r="D495" s="16" t="s">
        <v>28</v>
      </c>
      <c r="H495" s="4">
        <v>550</v>
      </c>
      <c r="I495" s="21" t="s">
        <v>48</v>
      </c>
      <c r="J495" s="4">
        <v>2.1</v>
      </c>
      <c r="K495" s="42" t="s">
        <v>518</v>
      </c>
      <c r="L495" s="5">
        <v>1</v>
      </c>
      <c r="M495" s="68">
        <f>18000+4000</f>
        <v>22000</v>
      </c>
      <c r="N495" s="8">
        <f>+M495*L495</f>
        <v>22000</v>
      </c>
      <c r="Q495" s="5">
        <f>+N495</f>
        <v>22000</v>
      </c>
      <c r="R495" s="4" t="s">
        <v>455</v>
      </c>
      <c r="S495" s="7" t="s">
        <v>51</v>
      </c>
    </row>
    <row r="496" spans="2:19" ht="24" customHeight="1" x14ac:dyDescent="0.4"/>
    <row r="497" spans="2:19" ht="24" customHeight="1" x14ac:dyDescent="0.4">
      <c r="B497" s="8" t="s">
        <v>26</v>
      </c>
      <c r="C497" s="8" t="s">
        <v>27</v>
      </c>
      <c r="D497" s="16" t="s">
        <v>28</v>
      </c>
      <c r="H497" s="4">
        <v>1324</v>
      </c>
      <c r="I497" s="21" t="s">
        <v>96</v>
      </c>
      <c r="J497" s="4">
        <v>2.11</v>
      </c>
      <c r="K497" s="61" t="s">
        <v>519</v>
      </c>
      <c r="L497" s="5">
        <v>1</v>
      </c>
      <c r="M497" s="68">
        <f>20000+3000</f>
        <v>23000</v>
      </c>
      <c r="N497" s="8">
        <f>+M497*L497</f>
        <v>23000</v>
      </c>
      <c r="Q497" s="5">
        <f>+N497</f>
        <v>23000</v>
      </c>
      <c r="R497" s="4" t="s">
        <v>58</v>
      </c>
      <c r="S497" s="7" t="s">
        <v>97</v>
      </c>
    </row>
    <row r="498" spans="2:19" ht="24" customHeight="1" x14ac:dyDescent="0.4">
      <c r="B498" s="8" t="s">
        <v>26</v>
      </c>
      <c r="C498" s="8" t="s">
        <v>27</v>
      </c>
      <c r="D498" s="16" t="s">
        <v>28</v>
      </c>
      <c r="H498" s="4">
        <v>1325</v>
      </c>
      <c r="I498" s="22" t="s">
        <v>82</v>
      </c>
      <c r="J498" s="4">
        <v>2.11</v>
      </c>
      <c r="K498" s="44" t="s">
        <v>520</v>
      </c>
      <c r="L498" s="5">
        <v>1</v>
      </c>
      <c r="M498" s="68">
        <v>40000</v>
      </c>
      <c r="N498" s="8">
        <f>+M498*L498</f>
        <v>40000</v>
      </c>
      <c r="Q498" s="5">
        <f>+N498</f>
        <v>40000</v>
      </c>
      <c r="R498" s="7" t="s">
        <v>521</v>
      </c>
      <c r="S498" s="4" t="s">
        <v>83</v>
      </c>
    </row>
    <row r="499" spans="2:19" ht="24" customHeight="1" x14ac:dyDescent="0.4"/>
    <row r="500" spans="2:19" ht="24" customHeight="1" x14ac:dyDescent="0.4">
      <c r="B500" s="8" t="s">
        <v>26</v>
      </c>
      <c r="C500" s="8" t="s">
        <v>27</v>
      </c>
      <c r="D500" s="16" t="s">
        <v>28</v>
      </c>
      <c r="H500" s="4">
        <v>1566</v>
      </c>
      <c r="I500" s="21" t="s">
        <v>488</v>
      </c>
      <c r="J500" s="4">
        <v>2.12</v>
      </c>
      <c r="K500" s="4" t="s">
        <v>473</v>
      </c>
      <c r="L500" s="5">
        <v>1</v>
      </c>
      <c r="M500" s="68">
        <v>50000</v>
      </c>
      <c r="N500" s="8">
        <f>+M500*L500</f>
        <v>50000</v>
      </c>
      <c r="Q500" s="5">
        <f>+N500</f>
        <v>50000</v>
      </c>
      <c r="S500" s="4" t="s">
        <v>489</v>
      </c>
    </row>
    <row r="501" spans="2:19" ht="24" customHeight="1" x14ac:dyDescent="0.4">
      <c r="H501" s="4">
        <v>1324</v>
      </c>
      <c r="I501" s="21" t="s">
        <v>96</v>
      </c>
      <c r="J501" s="4">
        <v>2.12</v>
      </c>
      <c r="K501" s="61" t="s">
        <v>522</v>
      </c>
      <c r="L501" s="5">
        <v>1</v>
      </c>
      <c r="M501" s="68">
        <f>20000+3000</f>
        <v>23000</v>
      </c>
      <c r="N501" s="8">
        <f>+M501*L501</f>
        <v>23000</v>
      </c>
      <c r="Q501" s="5">
        <f>+N501</f>
        <v>23000</v>
      </c>
      <c r="R501" s="4" t="s">
        <v>58</v>
      </c>
      <c r="S501" s="7" t="s">
        <v>97</v>
      </c>
    </row>
    <row r="502" spans="2:19" ht="24" customHeight="1" x14ac:dyDescent="0.4"/>
    <row r="503" spans="2:19" ht="24" customHeight="1" x14ac:dyDescent="0.4">
      <c r="B503" s="8" t="s">
        <v>26</v>
      </c>
      <c r="C503" s="8" t="s">
        <v>27</v>
      </c>
      <c r="D503" s="15" t="s">
        <v>23</v>
      </c>
      <c r="H503" s="4">
        <v>692</v>
      </c>
      <c r="I503" s="21" t="s">
        <v>86</v>
      </c>
      <c r="J503" s="4">
        <v>2.14</v>
      </c>
      <c r="K503" s="57" t="s">
        <v>184</v>
      </c>
      <c r="L503" s="5">
        <v>289</v>
      </c>
      <c r="M503" s="68">
        <v>6000</v>
      </c>
      <c r="N503" s="8">
        <f>+M503*L503</f>
        <v>1734000</v>
      </c>
      <c r="O503" s="5">
        <f>+N503/1.1</f>
        <v>1576363.6363636362</v>
      </c>
      <c r="P503" s="5">
        <f>+N503-O503</f>
        <v>157636.36363636376</v>
      </c>
      <c r="Q503" s="5">
        <f>+N503</f>
        <v>1734000</v>
      </c>
      <c r="S503" s="4" t="s">
        <v>523</v>
      </c>
    </row>
    <row r="504" spans="2:19" ht="24" customHeight="1" x14ac:dyDescent="0.4">
      <c r="B504" s="8" t="s">
        <v>26</v>
      </c>
      <c r="C504" s="8" t="s">
        <v>27</v>
      </c>
      <c r="D504" s="16" t="s">
        <v>28</v>
      </c>
      <c r="H504" s="4">
        <v>1324</v>
      </c>
      <c r="I504" s="21" t="s">
        <v>96</v>
      </c>
      <c r="J504" s="4">
        <v>2.14</v>
      </c>
      <c r="K504" s="4" t="s">
        <v>524</v>
      </c>
      <c r="L504" s="5">
        <v>10</v>
      </c>
      <c r="M504" s="68">
        <f>10000+4000</f>
        <v>14000</v>
      </c>
      <c r="N504" s="8">
        <f>+M504*L504</f>
        <v>140000</v>
      </c>
      <c r="Q504" s="5">
        <f>+N504</f>
        <v>140000</v>
      </c>
      <c r="R504" s="7" t="s">
        <v>455</v>
      </c>
      <c r="S504" s="7" t="s">
        <v>97</v>
      </c>
    </row>
    <row r="505" spans="2:19" ht="24" customHeight="1" x14ac:dyDescent="0.4">
      <c r="B505" s="8" t="s">
        <v>26</v>
      </c>
      <c r="C505" s="8" t="s">
        <v>27</v>
      </c>
      <c r="D505" s="15" t="s">
        <v>23</v>
      </c>
      <c r="H505" s="4">
        <v>782</v>
      </c>
      <c r="I505" s="21" t="s">
        <v>197</v>
      </c>
      <c r="J505" s="4">
        <v>2.14</v>
      </c>
      <c r="K505" s="32" t="s">
        <v>198</v>
      </c>
      <c r="L505" s="5">
        <v>10</v>
      </c>
      <c r="M505" s="71">
        <v>10000</v>
      </c>
      <c r="N505" s="8">
        <f>+M505*L505</f>
        <v>100000</v>
      </c>
      <c r="O505" s="5">
        <f>+N505/1.1</f>
        <v>90909.090909090897</v>
      </c>
      <c r="P505" s="5">
        <f>+N505-O505</f>
        <v>9090.9090909091028</v>
      </c>
      <c r="Q505" s="5">
        <f>+N505</f>
        <v>100000</v>
      </c>
      <c r="R505" s="78" t="s">
        <v>282</v>
      </c>
      <c r="S505" s="4" t="s">
        <v>199</v>
      </c>
    </row>
    <row r="506" spans="2:19" ht="24" customHeight="1" x14ac:dyDescent="0.4"/>
    <row r="507" spans="2:19" ht="24" customHeight="1" x14ac:dyDescent="0.4">
      <c r="B507" s="8" t="s">
        <v>26</v>
      </c>
      <c r="C507" s="8" t="s">
        <v>27</v>
      </c>
      <c r="D507" s="15" t="s">
        <v>23</v>
      </c>
      <c r="H507" s="4">
        <v>692</v>
      </c>
      <c r="I507" s="21" t="s">
        <v>86</v>
      </c>
      <c r="J507" s="4">
        <v>2.15</v>
      </c>
      <c r="K507" s="57" t="s">
        <v>184</v>
      </c>
      <c r="L507" s="5">
        <v>1064</v>
      </c>
      <c r="M507" s="68">
        <v>6000</v>
      </c>
      <c r="N507" s="8">
        <f>+M507*L507</f>
        <v>6384000</v>
      </c>
      <c r="O507" s="5">
        <f>+N507/1.1</f>
        <v>5803636.3636363633</v>
      </c>
      <c r="P507" s="5">
        <f>+N507-O507</f>
        <v>580363.6363636367</v>
      </c>
      <c r="Q507" s="5">
        <f>+N507</f>
        <v>6384000</v>
      </c>
      <c r="S507" s="4" t="s">
        <v>523</v>
      </c>
    </row>
    <row r="508" spans="2:19" ht="24" customHeight="1" x14ac:dyDescent="0.4">
      <c r="B508" s="8" t="s">
        <v>26</v>
      </c>
      <c r="C508" s="8" t="s">
        <v>27</v>
      </c>
      <c r="D508" s="15" t="s">
        <v>23</v>
      </c>
      <c r="H508" s="4">
        <v>1379</v>
      </c>
      <c r="I508" s="21" t="s">
        <v>514</v>
      </c>
      <c r="J508" s="4">
        <v>2.15</v>
      </c>
      <c r="K508" s="7" t="s">
        <v>525</v>
      </c>
      <c r="L508" s="5">
        <v>-1</v>
      </c>
      <c r="M508" s="74">
        <f>7000+3000</f>
        <v>10000</v>
      </c>
      <c r="N508" s="8">
        <f>+M508*L508</f>
        <v>-10000</v>
      </c>
      <c r="O508" s="5">
        <f>+N508/1.1</f>
        <v>-9090.9090909090901</v>
      </c>
      <c r="P508" s="5">
        <f>+N508-O508</f>
        <v>-909.09090909090992</v>
      </c>
      <c r="Q508" s="5">
        <f>+N508</f>
        <v>-10000</v>
      </c>
      <c r="R508" s="4" t="s">
        <v>50</v>
      </c>
      <c r="S508" s="4" t="s">
        <v>516</v>
      </c>
    </row>
    <row r="509" spans="2:19" ht="24" customHeight="1" x14ac:dyDescent="0.4">
      <c r="B509" s="8" t="s">
        <v>26</v>
      </c>
      <c r="C509" s="8" t="s">
        <v>27</v>
      </c>
      <c r="D509" s="15" t="s">
        <v>23</v>
      </c>
      <c r="H509" s="4">
        <v>1379</v>
      </c>
      <c r="I509" s="21" t="s">
        <v>514</v>
      </c>
      <c r="J509" s="4">
        <v>2.15</v>
      </c>
      <c r="K509" s="7" t="s">
        <v>526</v>
      </c>
      <c r="L509" s="5">
        <v>1</v>
      </c>
      <c r="M509" s="68">
        <v>3000</v>
      </c>
      <c r="N509" s="8">
        <f>+M509*L509</f>
        <v>3000</v>
      </c>
      <c r="O509" s="5">
        <f>+N509/1.1</f>
        <v>2727.272727272727</v>
      </c>
      <c r="P509" s="5">
        <f>+N509-O509</f>
        <v>272.72727272727298</v>
      </c>
      <c r="Q509" s="5">
        <f>+N509</f>
        <v>3000</v>
      </c>
      <c r="S509" s="4" t="s">
        <v>516</v>
      </c>
    </row>
    <row r="510" spans="2:19" ht="24" customHeight="1" x14ac:dyDescent="0.4">
      <c r="B510" s="8" t="s">
        <v>26</v>
      </c>
      <c r="C510" s="8" t="s">
        <v>27</v>
      </c>
      <c r="D510" s="16" t="s">
        <v>28</v>
      </c>
      <c r="H510" s="4">
        <v>1870</v>
      </c>
      <c r="I510" s="21" t="s">
        <v>90</v>
      </c>
      <c r="J510" s="4">
        <v>2.15</v>
      </c>
      <c r="K510" s="32" t="s">
        <v>527</v>
      </c>
      <c r="L510" s="5">
        <v>1</v>
      </c>
      <c r="M510" s="68">
        <f>12000+3000</f>
        <v>15000</v>
      </c>
      <c r="N510" s="8">
        <f>+M510*L510</f>
        <v>15000</v>
      </c>
      <c r="Q510" s="5">
        <f>+N510</f>
        <v>15000</v>
      </c>
      <c r="R510" s="4" t="s">
        <v>58</v>
      </c>
      <c r="S510" s="4" t="s">
        <v>470</v>
      </c>
    </row>
    <row r="511" spans="2:19" ht="24" customHeight="1" x14ac:dyDescent="0.4">
      <c r="B511" s="8" t="s">
        <v>26</v>
      </c>
      <c r="C511" s="8" t="s">
        <v>27</v>
      </c>
      <c r="D511" s="16" t="s">
        <v>28</v>
      </c>
      <c r="H511" s="4">
        <v>532</v>
      </c>
      <c r="I511" s="21" t="s">
        <v>129</v>
      </c>
      <c r="J511" s="4">
        <v>2.15</v>
      </c>
      <c r="K511" s="32" t="s">
        <v>528</v>
      </c>
      <c r="L511" s="5">
        <v>1</v>
      </c>
      <c r="M511" s="68">
        <f>12000+3000</f>
        <v>15000</v>
      </c>
      <c r="N511" s="8">
        <f>+M511*L511</f>
        <v>15000</v>
      </c>
      <c r="Q511" s="5">
        <f>+N511</f>
        <v>15000</v>
      </c>
      <c r="R511" s="4" t="s">
        <v>58</v>
      </c>
      <c r="S511" s="7" t="s">
        <v>131</v>
      </c>
    </row>
    <row r="512" spans="2:19" ht="24" customHeight="1" x14ac:dyDescent="0.4">
      <c r="B512" s="8" t="s">
        <v>26</v>
      </c>
      <c r="C512" s="8" t="s">
        <v>27</v>
      </c>
      <c r="D512" s="16" t="s">
        <v>28</v>
      </c>
      <c r="H512" s="4">
        <v>532</v>
      </c>
      <c r="I512" s="21" t="s">
        <v>129</v>
      </c>
      <c r="J512" s="4">
        <v>2.15</v>
      </c>
      <c r="K512" s="32" t="s">
        <v>529</v>
      </c>
      <c r="L512" s="5">
        <v>1</v>
      </c>
      <c r="M512" s="68">
        <f>12000+3000</f>
        <v>15000</v>
      </c>
      <c r="N512" s="8">
        <f>+M512*L512</f>
        <v>15000</v>
      </c>
      <c r="Q512" s="5">
        <f>+N512</f>
        <v>15000</v>
      </c>
      <c r="R512" s="4" t="s">
        <v>58</v>
      </c>
      <c r="S512" s="7" t="s">
        <v>131</v>
      </c>
    </row>
    <row r="513" spans="2:19" ht="24" customHeight="1" x14ac:dyDescent="0.4">
      <c r="B513" s="8" t="s">
        <v>26</v>
      </c>
      <c r="C513" s="8" t="s">
        <v>27</v>
      </c>
      <c r="D513" s="16" t="s">
        <v>28</v>
      </c>
      <c r="H513" s="4">
        <v>262</v>
      </c>
      <c r="I513" s="21" t="s">
        <v>345</v>
      </c>
      <c r="J513" s="4">
        <v>2.15</v>
      </c>
      <c r="K513" s="4" t="s">
        <v>530</v>
      </c>
      <c r="L513" s="5">
        <v>12</v>
      </c>
      <c r="M513" s="68">
        <f>5000+3000</f>
        <v>8000</v>
      </c>
      <c r="N513" s="8">
        <f>+M513*L513</f>
        <v>96000</v>
      </c>
      <c r="Q513" s="5">
        <f>+N513</f>
        <v>96000</v>
      </c>
      <c r="R513" s="7" t="s">
        <v>50</v>
      </c>
      <c r="S513" s="4" t="s">
        <v>346</v>
      </c>
    </row>
    <row r="514" spans="2:19" ht="24" customHeight="1" x14ac:dyDescent="0.4"/>
    <row r="515" spans="2:19" ht="24" customHeight="1" x14ac:dyDescent="0.4">
      <c r="B515" s="8" t="s">
        <v>26</v>
      </c>
      <c r="C515" s="8" t="s">
        <v>27</v>
      </c>
      <c r="D515" s="16" t="s">
        <v>28</v>
      </c>
      <c r="H515" s="4">
        <v>262</v>
      </c>
      <c r="I515" s="21" t="s">
        <v>345</v>
      </c>
      <c r="J515" s="4">
        <v>2.16</v>
      </c>
      <c r="K515" s="36" t="s">
        <v>531</v>
      </c>
      <c r="L515" s="5">
        <v>1</v>
      </c>
      <c r="M515" s="68">
        <v>5000</v>
      </c>
      <c r="N515" s="8">
        <f>+M515*L515</f>
        <v>5000</v>
      </c>
      <c r="Q515" s="5">
        <f>+N515</f>
        <v>5000</v>
      </c>
      <c r="S515" s="4" t="s">
        <v>346</v>
      </c>
    </row>
    <row r="516" spans="2:19" ht="24" customHeight="1" x14ac:dyDescent="0.4">
      <c r="H516" s="4">
        <v>262</v>
      </c>
      <c r="I516" s="21" t="s">
        <v>345</v>
      </c>
      <c r="J516" s="4">
        <v>2.16</v>
      </c>
      <c r="K516" s="49" t="s">
        <v>383</v>
      </c>
      <c r="L516" s="5">
        <v>5</v>
      </c>
      <c r="M516" s="68">
        <v>12000</v>
      </c>
      <c r="N516" s="8">
        <f>+M516*L516</f>
        <v>60000</v>
      </c>
      <c r="Q516" s="5">
        <f>+N516</f>
        <v>60000</v>
      </c>
      <c r="S516" s="4" t="s">
        <v>346</v>
      </c>
    </row>
    <row r="517" spans="2:19" ht="24" customHeight="1" x14ac:dyDescent="0.4">
      <c r="B517" s="8" t="s">
        <v>26</v>
      </c>
      <c r="C517" s="8" t="s">
        <v>27</v>
      </c>
      <c r="D517" s="16" t="s">
        <v>28</v>
      </c>
      <c r="H517" s="4">
        <v>1025</v>
      </c>
      <c r="I517" s="21" t="s">
        <v>320</v>
      </c>
      <c r="J517" s="4">
        <v>2.16</v>
      </c>
      <c r="K517" s="32" t="s">
        <v>391</v>
      </c>
      <c r="L517" s="5">
        <v>5</v>
      </c>
      <c r="M517" s="68">
        <v>10000</v>
      </c>
      <c r="N517" s="8">
        <f>+M517*L517</f>
        <v>50000</v>
      </c>
      <c r="Q517" s="5">
        <f>+N517</f>
        <v>50000</v>
      </c>
      <c r="S517" s="7" t="s">
        <v>322</v>
      </c>
    </row>
    <row r="518" spans="2:19" ht="24" customHeight="1" x14ac:dyDescent="0.4">
      <c r="B518" s="8" t="s">
        <v>26</v>
      </c>
      <c r="C518" s="8" t="s">
        <v>27</v>
      </c>
      <c r="D518" s="16" t="s">
        <v>28</v>
      </c>
      <c r="H518" s="4">
        <v>262</v>
      </c>
      <c r="I518" s="21" t="s">
        <v>345</v>
      </c>
      <c r="J518" s="4">
        <v>2.16</v>
      </c>
      <c r="K518" s="36" t="s">
        <v>531</v>
      </c>
      <c r="L518" s="5">
        <v>22</v>
      </c>
      <c r="M518" s="68">
        <v>5000</v>
      </c>
      <c r="N518" s="8">
        <f>+M518*L518</f>
        <v>110000</v>
      </c>
      <c r="Q518" s="5">
        <f>+N518</f>
        <v>110000</v>
      </c>
      <c r="S518" s="4" t="s">
        <v>346</v>
      </c>
    </row>
    <row r="519" spans="2:19" ht="24" customHeight="1" x14ac:dyDescent="0.4">
      <c r="B519" s="8" t="s">
        <v>26</v>
      </c>
      <c r="C519" s="8" t="s">
        <v>27</v>
      </c>
      <c r="D519" s="16" t="s">
        <v>28</v>
      </c>
      <c r="H519" s="4">
        <v>262</v>
      </c>
      <c r="I519" s="21" t="s">
        <v>345</v>
      </c>
      <c r="J519" s="4">
        <v>2.16</v>
      </c>
      <c r="K519" s="36" t="s">
        <v>532</v>
      </c>
      <c r="L519" s="5">
        <v>5</v>
      </c>
      <c r="M519" s="68">
        <f>5000+3000</f>
        <v>8000</v>
      </c>
      <c r="N519" s="8">
        <f>+M519*L519</f>
        <v>40000</v>
      </c>
      <c r="Q519" s="5">
        <f>+N519</f>
        <v>40000</v>
      </c>
      <c r="R519" s="7" t="s">
        <v>50</v>
      </c>
      <c r="S519" s="4" t="s">
        <v>346</v>
      </c>
    </row>
    <row r="520" spans="2:19" ht="24" customHeight="1" x14ac:dyDescent="0.4"/>
    <row r="521" spans="2:19" ht="24" customHeight="1" x14ac:dyDescent="0.4">
      <c r="B521" s="8" t="s">
        <v>26</v>
      </c>
      <c r="C521" s="8" t="s">
        <v>27</v>
      </c>
      <c r="D521" s="16" t="s">
        <v>28</v>
      </c>
      <c r="H521" s="4">
        <v>608</v>
      </c>
      <c r="I521" s="21" t="s">
        <v>533</v>
      </c>
      <c r="J521" s="4">
        <v>2.17</v>
      </c>
      <c r="K521" s="36" t="s">
        <v>531</v>
      </c>
      <c r="L521" s="56">
        <v>50</v>
      </c>
      <c r="M521" s="68">
        <v>5000</v>
      </c>
      <c r="N521" s="8">
        <f>+M521*L521</f>
        <v>250000</v>
      </c>
      <c r="Q521" s="5">
        <f>+N521</f>
        <v>250000</v>
      </c>
      <c r="R521" s="82" t="s">
        <v>534</v>
      </c>
      <c r="S521" s="4" t="s">
        <v>535</v>
      </c>
    </row>
    <row r="522" spans="2:19" ht="24" customHeight="1" x14ac:dyDescent="0.4">
      <c r="B522" s="8" t="s">
        <v>26</v>
      </c>
      <c r="C522" s="8" t="s">
        <v>27</v>
      </c>
      <c r="D522" s="16" t="s">
        <v>28</v>
      </c>
      <c r="H522" s="4">
        <v>1019</v>
      </c>
      <c r="I522" s="21" t="s">
        <v>536</v>
      </c>
      <c r="J522" s="4">
        <v>2.17</v>
      </c>
      <c r="K522" s="36" t="s">
        <v>531</v>
      </c>
      <c r="L522" s="56">
        <v>30</v>
      </c>
      <c r="M522" s="68">
        <v>5000</v>
      </c>
      <c r="N522" s="8">
        <f>+M522*L522</f>
        <v>150000</v>
      </c>
      <c r="Q522" s="5">
        <f>+N522</f>
        <v>150000</v>
      </c>
      <c r="R522" s="82" t="s">
        <v>534</v>
      </c>
      <c r="S522" s="4" t="s">
        <v>537</v>
      </c>
    </row>
    <row r="523" spans="2:19" ht="24" customHeight="1" x14ac:dyDescent="0.4">
      <c r="B523" s="8" t="s">
        <v>26</v>
      </c>
      <c r="C523" s="8" t="s">
        <v>27</v>
      </c>
      <c r="D523" s="16" t="s">
        <v>28</v>
      </c>
      <c r="H523" s="4">
        <v>607</v>
      </c>
      <c r="I523" s="21" t="s">
        <v>256</v>
      </c>
      <c r="J523" s="4">
        <v>2.17</v>
      </c>
      <c r="K523" s="36" t="s">
        <v>531</v>
      </c>
      <c r="L523" s="56">
        <v>50</v>
      </c>
      <c r="M523" s="68">
        <v>5000</v>
      </c>
      <c r="N523" s="8">
        <f>+M523*L523</f>
        <v>250000</v>
      </c>
      <c r="Q523" s="5">
        <f>+N523</f>
        <v>250000</v>
      </c>
      <c r="R523" s="82" t="s">
        <v>534</v>
      </c>
      <c r="S523" s="4" t="s">
        <v>280</v>
      </c>
    </row>
    <row r="524" spans="2:19" ht="24" customHeight="1" x14ac:dyDescent="0.4">
      <c r="B524" s="8" t="s">
        <v>26</v>
      </c>
      <c r="C524" s="8" t="s">
        <v>27</v>
      </c>
      <c r="D524" s="15" t="s">
        <v>23</v>
      </c>
      <c r="H524" s="4">
        <v>1324</v>
      </c>
      <c r="I524" s="21" t="s">
        <v>96</v>
      </c>
      <c r="J524" s="4">
        <v>2.17</v>
      </c>
      <c r="K524" s="4" t="s">
        <v>538</v>
      </c>
      <c r="L524" s="63">
        <v>20</v>
      </c>
      <c r="M524" s="71">
        <v>6000</v>
      </c>
      <c r="N524" s="8">
        <f>+M524*L524</f>
        <v>120000</v>
      </c>
      <c r="O524" s="5">
        <f>+N524/1.1</f>
        <v>109090.90909090909</v>
      </c>
      <c r="P524" s="5">
        <f>+N524-O524</f>
        <v>10909.090909090912</v>
      </c>
      <c r="Q524" s="5">
        <f>+N524</f>
        <v>120000</v>
      </c>
      <c r="S524" s="7" t="s">
        <v>97</v>
      </c>
    </row>
    <row r="525" spans="2:19" ht="24" customHeight="1" x14ac:dyDescent="0.4">
      <c r="B525" s="8" t="s">
        <v>26</v>
      </c>
      <c r="C525" s="8" t="s">
        <v>27</v>
      </c>
      <c r="D525" s="15" t="s">
        <v>23</v>
      </c>
      <c r="H525" s="4">
        <v>1325</v>
      </c>
      <c r="I525" s="22" t="s">
        <v>82</v>
      </c>
      <c r="J525" s="4">
        <v>2.17</v>
      </c>
      <c r="K525" s="4" t="s">
        <v>538</v>
      </c>
      <c r="L525" s="63">
        <v>20</v>
      </c>
      <c r="M525" s="71">
        <v>6000</v>
      </c>
      <c r="N525" s="8">
        <f>+M525*L525</f>
        <v>120000</v>
      </c>
      <c r="O525" s="5">
        <f>+N525/1.1</f>
        <v>109090.90909090909</v>
      </c>
      <c r="P525" s="5">
        <f>+N525-O525</f>
        <v>10909.090909090912</v>
      </c>
      <c r="Q525" s="5">
        <f>+N525</f>
        <v>120000</v>
      </c>
      <c r="S525" s="4" t="s">
        <v>83</v>
      </c>
    </row>
    <row r="526" spans="2:19" ht="24" customHeight="1" x14ac:dyDescent="0.4">
      <c r="B526" s="8" t="s">
        <v>26</v>
      </c>
      <c r="C526" s="8" t="s">
        <v>27</v>
      </c>
      <c r="D526" s="16" t="s">
        <v>28</v>
      </c>
      <c r="H526" s="4">
        <v>148</v>
      </c>
      <c r="I526" s="21" t="s">
        <v>115</v>
      </c>
      <c r="J526" s="4">
        <v>2.17</v>
      </c>
      <c r="K526" s="32" t="s">
        <v>539</v>
      </c>
      <c r="L526" s="63">
        <v>1</v>
      </c>
      <c r="M526" s="68">
        <f>12000+3000</f>
        <v>15000</v>
      </c>
      <c r="N526" s="8">
        <f>+M526*L526</f>
        <v>15000</v>
      </c>
      <c r="Q526" s="5">
        <f>+N526</f>
        <v>15000</v>
      </c>
      <c r="R526" s="4" t="s">
        <v>58</v>
      </c>
      <c r="S526" s="7" t="s">
        <v>117</v>
      </c>
    </row>
    <row r="527" spans="2:19" ht="24" customHeight="1" x14ac:dyDescent="0.4">
      <c r="B527" s="8" t="s">
        <v>26</v>
      </c>
      <c r="C527" s="8" t="s">
        <v>27</v>
      </c>
      <c r="D527" s="16" t="s">
        <v>28</v>
      </c>
      <c r="H527" s="4">
        <v>2634</v>
      </c>
      <c r="I527" s="22" t="s">
        <v>119</v>
      </c>
      <c r="J527" s="4">
        <v>2.17</v>
      </c>
      <c r="K527" s="49" t="s">
        <v>540</v>
      </c>
      <c r="L527" s="56">
        <v>20</v>
      </c>
      <c r="M527" s="68">
        <f>6000+3000</f>
        <v>9000</v>
      </c>
      <c r="N527" s="8">
        <f>+M527*L527</f>
        <v>180000</v>
      </c>
      <c r="Q527" s="5">
        <f>+N527</f>
        <v>180000</v>
      </c>
      <c r="R527" s="7" t="s">
        <v>50</v>
      </c>
      <c r="S527" s="4" t="s">
        <v>121</v>
      </c>
    </row>
    <row r="528" spans="2:19" ht="24" customHeight="1" x14ac:dyDescent="0.4"/>
    <row r="529" spans="2:19" ht="24" customHeight="1" x14ac:dyDescent="0.4">
      <c r="B529" s="8" t="s">
        <v>26</v>
      </c>
      <c r="C529" s="8" t="s">
        <v>27</v>
      </c>
      <c r="D529" s="16" t="s">
        <v>28</v>
      </c>
      <c r="H529" s="4">
        <v>608</v>
      </c>
      <c r="I529" s="21" t="s">
        <v>533</v>
      </c>
      <c r="J529" s="4">
        <v>2.1800000000000002</v>
      </c>
      <c r="K529" s="36" t="s">
        <v>531</v>
      </c>
      <c r="L529" s="65">
        <v>50</v>
      </c>
      <c r="M529" s="68">
        <v>5000</v>
      </c>
      <c r="N529" s="8">
        <f>+M529*L529</f>
        <v>250000</v>
      </c>
      <c r="Q529" s="5">
        <f>+N529</f>
        <v>250000</v>
      </c>
      <c r="R529" s="82" t="s">
        <v>534</v>
      </c>
      <c r="S529" s="4" t="s">
        <v>535</v>
      </c>
    </row>
    <row r="530" spans="2:19" ht="24" customHeight="1" x14ac:dyDescent="0.4">
      <c r="B530" s="8" t="s">
        <v>26</v>
      </c>
      <c r="C530" s="8" t="s">
        <v>27</v>
      </c>
      <c r="D530" s="16" t="s">
        <v>28</v>
      </c>
      <c r="H530" s="4">
        <v>1019</v>
      </c>
      <c r="I530" s="21" t="s">
        <v>536</v>
      </c>
      <c r="J530" s="4">
        <v>2.1800000000000002</v>
      </c>
      <c r="K530" s="36" t="s">
        <v>531</v>
      </c>
      <c r="L530" s="65">
        <v>30</v>
      </c>
      <c r="M530" s="68">
        <v>5000</v>
      </c>
      <c r="N530" s="8">
        <f>+M530*L530</f>
        <v>150000</v>
      </c>
      <c r="Q530" s="5">
        <f>+N530</f>
        <v>150000</v>
      </c>
      <c r="R530" s="82" t="s">
        <v>534</v>
      </c>
      <c r="S530" s="4" t="s">
        <v>537</v>
      </c>
    </row>
    <row r="531" spans="2:19" ht="24" customHeight="1" x14ac:dyDescent="0.4">
      <c r="B531" s="8" t="s">
        <v>26</v>
      </c>
      <c r="C531" s="8" t="s">
        <v>27</v>
      </c>
      <c r="D531" s="16" t="s">
        <v>28</v>
      </c>
      <c r="H531" s="4">
        <v>607</v>
      </c>
      <c r="I531" s="21" t="s">
        <v>256</v>
      </c>
      <c r="J531" s="4">
        <v>2.1800000000000002</v>
      </c>
      <c r="K531" s="36" t="s">
        <v>531</v>
      </c>
      <c r="L531" s="65">
        <v>50</v>
      </c>
      <c r="M531" s="68">
        <v>5000</v>
      </c>
      <c r="N531" s="8">
        <f>+M531*L531</f>
        <v>250000</v>
      </c>
      <c r="Q531" s="5">
        <f>+N531</f>
        <v>250000</v>
      </c>
      <c r="R531" s="82" t="s">
        <v>534</v>
      </c>
      <c r="S531" s="4" t="s">
        <v>280</v>
      </c>
    </row>
    <row r="532" spans="2:19" ht="24" customHeight="1" x14ac:dyDescent="0.4">
      <c r="B532" s="8" t="s">
        <v>26</v>
      </c>
      <c r="C532" s="8" t="s">
        <v>27</v>
      </c>
      <c r="D532" s="15" t="s">
        <v>23</v>
      </c>
      <c r="H532" s="4">
        <v>1324</v>
      </c>
      <c r="I532" s="21" t="s">
        <v>96</v>
      </c>
      <c r="J532" s="4">
        <v>2.1800000000000002</v>
      </c>
      <c r="K532" s="4" t="s">
        <v>538</v>
      </c>
      <c r="L532" s="63">
        <v>14</v>
      </c>
      <c r="M532" s="71">
        <v>6000</v>
      </c>
      <c r="N532" s="8">
        <f>+M532*L532</f>
        <v>84000</v>
      </c>
      <c r="O532" s="5">
        <f>+N532/1.1</f>
        <v>76363.636363636353</v>
      </c>
      <c r="P532" s="5">
        <f>+N532-O532</f>
        <v>7636.3636363636469</v>
      </c>
      <c r="Q532" s="5">
        <f>+N532</f>
        <v>84000</v>
      </c>
      <c r="S532" s="7" t="s">
        <v>97</v>
      </c>
    </row>
    <row r="533" spans="2:19" ht="24" customHeight="1" x14ac:dyDescent="0.4">
      <c r="B533" s="8" t="s">
        <v>541</v>
      </c>
      <c r="C533" s="8" t="s">
        <v>27</v>
      </c>
      <c r="D533" s="16" t="s">
        <v>28</v>
      </c>
      <c r="H533" s="4">
        <v>1160</v>
      </c>
      <c r="I533" s="27" t="s">
        <v>542</v>
      </c>
      <c r="J533" s="4">
        <v>2.1800000000000002</v>
      </c>
      <c r="K533" s="4" t="s">
        <v>440</v>
      </c>
      <c r="L533" s="56">
        <v>117</v>
      </c>
      <c r="M533" s="69">
        <f>60000-10000</f>
        <v>50000</v>
      </c>
      <c r="N533" s="8">
        <f>+M533*L533</f>
        <v>5850000</v>
      </c>
      <c r="Q533" s="5">
        <f>+N533</f>
        <v>5850000</v>
      </c>
      <c r="R533" s="83" t="s">
        <v>543</v>
      </c>
    </row>
    <row r="534" spans="2:19" ht="24" customHeight="1" x14ac:dyDescent="0.4"/>
    <row r="535" spans="2:19" ht="24" customHeight="1" x14ac:dyDescent="0.4">
      <c r="B535" s="8" t="s">
        <v>26</v>
      </c>
      <c r="C535" s="8" t="s">
        <v>27</v>
      </c>
      <c r="D535" s="15" t="s">
        <v>23</v>
      </c>
      <c r="H535" s="4">
        <v>786</v>
      </c>
      <c r="I535" s="21" t="s">
        <v>350</v>
      </c>
      <c r="J535" s="4">
        <v>2.21</v>
      </c>
      <c r="K535" s="4" t="s">
        <v>538</v>
      </c>
      <c r="L535" s="56">
        <v>90</v>
      </c>
      <c r="M535" s="68">
        <v>6000</v>
      </c>
      <c r="N535" s="8">
        <f>+M535*L535</f>
        <v>540000</v>
      </c>
      <c r="O535" s="5">
        <f>+N535/1.1</f>
        <v>490909.09090909088</v>
      </c>
      <c r="P535" s="5">
        <f>+N535-O535</f>
        <v>49090.909090909117</v>
      </c>
      <c r="Q535" s="5">
        <f>+N535</f>
        <v>540000</v>
      </c>
      <c r="S535" s="4" t="s">
        <v>544</v>
      </c>
    </row>
    <row r="536" spans="2:19" ht="24" customHeight="1" x14ac:dyDescent="0.4">
      <c r="B536" s="8" t="s">
        <v>26</v>
      </c>
      <c r="C536" s="8" t="s">
        <v>27</v>
      </c>
      <c r="D536" s="16" t="s">
        <v>28</v>
      </c>
      <c r="H536" s="4">
        <v>602</v>
      </c>
      <c r="I536" s="21" t="s">
        <v>375</v>
      </c>
      <c r="J536" s="4">
        <v>2.21</v>
      </c>
      <c r="K536" s="8" t="s">
        <v>545</v>
      </c>
      <c r="L536" s="63">
        <v>1</v>
      </c>
      <c r="M536" s="68">
        <f>20000+3000</f>
        <v>23000</v>
      </c>
      <c r="N536" s="8">
        <f>+M536*L536</f>
        <v>23000</v>
      </c>
      <c r="Q536" s="5">
        <f>+N536</f>
        <v>23000</v>
      </c>
      <c r="R536" s="40" t="s">
        <v>58</v>
      </c>
      <c r="S536" s="7" t="s">
        <v>377</v>
      </c>
    </row>
    <row r="537" spans="2:19" ht="24" customHeight="1" x14ac:dyDescent="0.4">
      <c r="B537" s="8" t="s">
        <v>26</v>
      </c>
      <c r="C537" s="8" t="s">
        <v>27</v>
      </c>
      <c r="D537" s="16" t="s">
        <v>28</v>
      </c>
      <c r="H537" s="4">
        <v>148</v>
      </c>
      <c r="I537" s="21" t="s">
        <v>115</v>
      </c>
      <c r="J537" s="4">
        <v>2.21</v>
      </c>
      <c r="K537" s="32" t="s">
        <v>546</v>
      </c>
      <c r="L537" s="63">
        <v>1</v>
      </c>
      <c r="M537" s="68">
        <f>12000+3000</f>
        <v>15000</v>
      </c>
      <c r="N537" s="8">
        <f>+M537*L537</f>
        <v>15000</v>
      </c>
      <c r="Q537" s="5">
        <f>+N537</f>
        <v>15000</v>
      </c>
      <c r="R537" s="4" t="s">
        <v>58</v>
      </c>
      <c r="S537" s="7" t="s">
        <v>117</v>
      </c>
    </row>
    <row r="538" spans="2:19" ht="24" customHeight="1" x14ac:dyDescent="0.4">
      <c r="B538" s="8" t="s">
        <v>26</v>
      </c>
      <c r="C538" s="8" t="s">
        <v>27</v>
      </c>
      <c r="D538" s="16" t="s">
        <v>28</v>
      </c>
      <c r="H538" s="4">
        <v>1870</v>
      </c>
      <c r="I538" s="21" t="s">
        <v>90</v>
      </c>
      <c r="J538" s="4">
        <v>2.21</v>
      </c>
      <c r="K538" s="32" t="s">
        <v>547</v>
      </c>
      <c r="L538" s="63">
        <v>1</v>
      </c>
      <c r="M538" s="68">
        <f>12000+3000</f>
        <v>15000</v>
      </c>
      <c r="N538" s="8">
        <f>+M538*L538</f>
        <v>15000</v>
      </c>
      <c r="Q538" s="5">
        <f>+N538</f>
        <v>15000</v>
      </c>
      <c r="R538" s="4" t="s">
        <v>58</v>
      </c>
      <c r="S538" s="7" t="s">
        <v>470</v>
      </c>
    </row>
    <row r="539" spans="2:19" ht="24" customHeight="1" x14ac:dyDescent="0.4">
      <c r="B539" s="8" t="s">
        <v>26</v>
      </c>
      <c r="C539" s="8" t="s">
        <v>27</v>
      </c>
      <c r="D539" s="16" t="s">
        <v>28</v>
      </c>
      <c r="H539" s="4">
        <v>605</v>
      </c>
      <c r="I539" s="21" t="s">
        <v>177</v>
      </c>
      <c r="J539" s="4">
        <v>2.21</v>
      </c>
      <c r="K539" s="49" t="s">
        <v>548</v>
      </c>
      <c r="L539" s="56">
        <v>7</v>
      </c>
      <c r="M539" s="68">
        <f>6000+4000</f>
        <v>10000</v>
      </c>
      <c r="N539" s="8">
        <f>+M539*L539</f>
        <v>70000</v>
      </c>
      <c r="Q539" s="5">
        <f>+N539</f>
        <v>70000</v>
      </c>
      <c r="R539" s="40" t="s">
        <v>455</v>
      </c>
      <c r="S539" s="4" t="s">
        <v>179</v>
      </c>
    </row>
    <row r="540" spans="2:19" ht="24" customHeight="1" x14ac:dyDescent="0.4">
      <c r="B540" s="8" t="s">
        <v>26</v>
      </c>
      <c r="C540" s="8" t="s">
        <v>27</v>
      </c>
      <c r="D540" s="16" t="s">
        <v>28</v>
      </c>
      <c r="H540" s="4">
        <v>1025</v>
      </c>
      <c r="I540" s="21" t="s">
        <v>320</v>
      </c>
      <c r="J540" s="4">
        <v>2.21</v>
      </c>
      <c r="K540" s="32" t="s">
        <v>549</v>
      </c>
      <c r="L540" s="32">
        <v>1</v>
      </c>
      <c r="M540" s="68">
        <f>12000+3000</f>
        <v>15000</v>
      </c>
      <c r="N540" s="8">
        <f>+M540*L540</f>
        <v>15000</v>
      </c>
      <c r="Q540" s="5">
        <f>+N540</f>
        <v>15000</v>
      </c>
      <c r="R540" s="4" t="s">
        <v>58</v>
      </c>
      <c r="S540" s="7" t="s">
        <v>322</v>
      </c>
    </row>
    <row r="541" spans="2:19" ht="24" customHeight="1" x14ac:dyDescent="0.4"/>
    <row r="542" spans="2:19" ht="24" customHeight="1" x14ac:dyDescent="0.4">
      <c r="B542" s="8" t="s">
        <v>26</v>
      </c>
      <c r="C542" s="8" t="s">
        <v>27</v>
      </c>
      <c r="D542" s="16" t="s">
        <v>28</v>
      </c>
      <c r="H542" s="4">
        <v>262</v>
      </c>
      <c r="I542" s="21" t="s">
        <v>345</v>
      </c>
      <c r="J542" s="4">
        <v>2.2200000000000002</v>
      </c>
      <c r="K542" s="4" t="s">
        <v>531</v>
      </c>
      <c r="L542" s="56">
        <v>10</v>
      </c>
      <c r="M542" s="68">
        <v>5000</v>
      </c>
      <c r="N542" s="8">
        <f>+M542*L542</f>
        <v>50000</v>
      </c>
      <c r="Q542" s="5">
        <f>+N542</f>
        <v>50000</v>
      </c>
      <c r="S542" s="4" t="s">
        <v>346</v>
      </c>
    </row>
    <row r="543" spans="2:19" ht="24" customHeight="1" x14ac:dyDescent="0.4">
      <c r="B543" s="8" t="s">
        <v>26</v>
      </c>
      <c r="C543" s="8" t="s">
        <v>27</v>
      </c>
      <c r="D543" s="16" t="s">
        <v>28</v>
      </c>
      <c r="H543" s="4">
        <v>782</v>
      </c>
      <c r="I543" s="21" t="s">
        <v>197</v>
      </c>
      <c r="J543" s="4">
        <v>2.2200000000000002</v>
      </c>
      <c r="K543" s="49" t="s">
        <v>383</v>
      </c>
      <c r="L543" s="56">
        <v>22</v>
      </c>
      <c r="M543" s="68">
        <v>6000</v>
      </c>
      <c r="N543" s="8">
        <f>+M543*L543</f>
        <v>132000</v>
      </c>
      <c r="Q543" s="5">
        <f>+N543</f>
        <v>132000</v>
      </c>
      <c r="S543" s="4" t="s">
        <v>199</v>
      </c>
    </row>
    <row r="544" spans="2:19" ht="24" customHeight="1" x14ac:dyDescent="0.4">
      <c r="B544" s="8" t="s">
        <v>26</v>
      </c>
      <c r="C544" s="8" t="s">
        <v>27</v>
      </c>
      <c r="D544" s="16" t="s">
        <v>28</v>
      </c>
      <c r="H544" s="4">
        <v>532</v>
      </c>
      <c r="I544" s="21" t="s">
        <v>129</v>
      </c>
      <c r="J544" s="4">
        <v>2.2200000000000002</v>
      </c>
      <c r="K544" s="32" t="s">
        <v>550</v>
      </c>
      <c r="L544" s="63">
        <v>1</v>
      </c>
      <c r="M544" s="68">
        <f>12000+3000</f>
        <v>15000</v>
      </c>
      <c r="N544" s="8">
        <f>+M544*L544</f>
        <v>15000</v>
      </c>
      <c r="Q544" s="5">
        <f>+N544</f>
        <v>15000</v>
      </c>
      <c r="R544" s="4" t="s">
        <v>58</v>
      </c>
      <c r="S544" s="7" t="s">
        <v>131</v>
      </c>
    </row>
    <row r="545" spans="2:19" ht="24" customHeight="1" x14ac:dyDescent="0.4">
      <c r="B545" s="8" t="s">
        <v>26</v>
      </c>
      <c r="C545" s="8" t="s">
        <v>27</v>
      </c>
      <c r="D545" s="16" t="s">
        <v>28</v>
      </c>
      <c r="H545" s="4">
        <v>602</v>
      </c>
      <c r="I545" s="21" t="s">
        <v>375</v>
      </c>
      <c r="J545" s="4">
        <v>2.2200000000000002</v>
      </c>
      <c r="K545" s="8" t="s">
        <v>551</v>
      </c>
      <c r="L545" s="63">
        <v>1</v>
      </c>
      <c r="M545" s="68">
        <f>20000+3000</f>
        <v>23000</v>
      </c>
      <c r="N545" s="8">
        <f>+M545*L545</f>
        <v>23000</v>
      </c>
      <c r="Q545" s="5">
        <f>+N545</f>
        <v>23000</v>
      </c>
      <c r="R545" s="40" t="s">
        <v>58</v>
      </c>
      <c r="S545" s="7" t="s">
        <v>377</v>
      </c>
    </row>
    <row r="546" spans="2:19" ht="24" customHeight="1" x14ac:dyDescent="0.4">
      <c r="B546" s="8" t="s">
        <v>26</v>
      </c>
      <c r="C546" s="8" t="s">
        <v>27</v>
      </c>
      <c r="D546" s="15" t="s">
        <v>23</v>
      </c>
      <c r="H546" s="4">
        <v>1633</v>
      </c>
      <c r="I546" s="21" t="s">
        <v>552</v>
      </c>
      <c r="J546" s="4">
        <v>2.2200000000000002</v>
      </c>
      <c r="K546" s="57" t="s">
        <v>184</v>
      </c>
      <c r="L546" s="63">
        <v>30</v>
      </c>
      <c r="M546" s="68">
        <v>6000</v>
      </c>
      <c r="N546" s="8">
        <f>+M546*L546</f>
        <v>180000</v>
      </c>
      <c r="O546" s="5">
        <f>+N546/1.1</f>
        <v>163636.36363636362</v>
      </c>
      <c r="P546" s="5">
        <f>+N546-O546</f>
        <v>16363.636363636382</v>
      </c>
      <c r="Q546" s="5">
        <f>+N546</f>
        <v>180000</v>
      </c>
      <c r="S546" s="7" t="s">
        <v>553</v>
      </c>
    </row>
    <row r="547" spans="2:19" ht="24" customHeight="1" x14ac:dyDescent="0.4"/>
    <row r="548" spans="2:19" ht="24" customHeight="1" x14ac:dyDescent="0.4">
      <c r="B548" s="8" t="s">
        <v>26</v>
      </c>
      <c r="C548" s="8" t="s">
        <v>27</v>
      </c>
      <c r="D548" s="16" t="s">
        <v>28</v>
      </c>
      <c r="H548" s="4">
        <v>532</v>
      </c>
      <c r="I548" s="21" t="s">
        <v>129</v>
      </c>
      <c r="J548" s="4">
        <v>2.23</v>
      </c>
      <c r="K548" s="4" t="s">
        <v>531</v>
      </c>
      <c r="L548" s="56">
        <v>35</v>
      </c>
      <c r="M548" s="68">
        <v>5000</v>
      </c>
      <c r="N548" s="8">
        <f>+M548*L548</f>
        <v>175000</v>
      </c>
      <c r="Q548" s="5">
        <f>+N548</f>
        <v>175000</v>
      </c>
      <c r="S548" s="4" t="s">
        <v>131</v>
      </c>
    </row>
    <row r="549" spans="2:19" ht="24" customHeight="1" x14ac:dyDescent="0.4">
      <c r="B549" s="8" t="s">
        <v>26</v>
      </c>
      <c r="C549" s="8" t="s">
        <v>27</v>
      </c>
      <c r="D549" s="16" t="s">
        <v>28</v>
      </c>
      <c r="H549" s="4">
        <v>148</v>
      </c>
      <c r="I549" s="21" t="s">
        <v>115</v>
      </c>
      <c r="J549" s="4">
        <v>2.23</v>
      </c>
      <c r="K549" s="32" t="s">
        <v>554</v>
      </c>
      <c r="L549" s="63">
        <v>1</v>
      </c>
      <c r="M549" s="68">
        <f>12000+3000</f>
        <v>15000</v>
      </c>
      <c r="N549" s="8">
        <f>+M549*L549</f>
        <v>15000</v>
      </c>
      <c r="Q549" s="5">
        <f>+N549</f>
        <v>15000</v>
      </c>
      <c r="R549" s="4" t="s">
        <v>58</v>
      </c>
      <c r="S549" s="7" t="s">
        <v>117</v>
      </c>
    </row>
    <row r="550" spans="2:19" ht="24" customHeight="1" x14ac:dyDescent="0.4">
      <c r="B550" s="8" t="s">
        <v>26</v>
      </c>
      <c r="C550" s="8" t="s">
        <v>27</v>
      </c>
      <c r="D550" s="16" t="s">
        <v>28</v>
      </c>
      <c r="H550" s="4">
        <v>148</v>
      </c>
      <c r="I550" s="21" t="s">
        <v>115</v>
      </c>
      <c r="J550" s="4">
        <v>2.23</v>
      </c>
      <c r="K550" s="32" t="s">
        <v>555</v>
      </c>
      <c r="L550" s="63">
        <v>1</v>
      </c>
      <c r="M550" s="68">
        <f>12000+3000</f>
        <v>15000</v>
      </c>
      <c r="N550" s="8">
        <f>+M550*L550</f>
        <v>15000</v>
      </c>
      <c r="Q550" s="5">
        <f>+N550</f>
        <v>15000</v>
      </c>
      <c r="R550" s="4" t="s">
        <v>58</v>
      </c>
      <c r="S550" s="7" t="s">
        <v>117</v>
      </c>
    </row>
    <row r="551" spans="2:19" ht="24" customHeight="1" x14ac:dyDescent="0.4">
      <c r="B551" s="8" t="s">
        <v>26</v>
      </c>
      <c r="C551" s="8" t="s">
        <v>27</v>
      </c>
      <c r="D551" s="16" t="s">
        <v>28</v>
      </c>
      <c r="H551" s="4">
        <v>1025</v>
      </c>
      <c r="I551" s="21" t="s">
        <v>320</v>
      </c>
      <c r="J551" s="4">
        <v>2.23</v>
      </c>
      <c r="K551" s="32" t="s">
        <v>556</v>
      </c>
      <c r="L551" s="32">
        <v>1</v>
      </c>
      <c r="M551" s="68">
        <f>12000+3000</f>
        <v>15000</v>
      </c>
      <c r="N551" s="8">
        <f>+M551*L551</f>
        <v>15000</v>
      </c>
      <c r="Q551" s="5">
        <f>+N551</f>
        <v>15000</v>
      </c>
      <c r="R551" s="4" t="s">
        <v>58</v>
      </c>
      <c r="S551" s="7" t="s">
        <v>322</v>
      </c>
    </row>
    <row r="552" spans="2:19" ht="24" customHeight="1" x14ac:dyDescent="0.4">
      <c r="B552" s="8" t="s">
        <v>26</v>
      </c>
      <c r="C552" s="8" t="s">
        <v>27</v>
      </c>
      <c r="D552" s="15" t="s">
        <v>23</v>
      </c>
      <c r="H552" s="4">
        <v>1633</v>
      </c>
      <c r="I552" s="21" t="s">
        <v>552</v>
      </c>
      <c r="J552" s="4">
        <v>2.23</v>
      </c>
      <c r="K552" s="57" t="s">
        <v>184</v>
      </c>
      <c r="L552" s="63">
        <v>30</v>
      </c>
      <c r="M552" s="68">
        <v>6000</v>
      </c>
      <c r="N552" s="8">
        <f>+M552*L552</f>
        <v>180000</v>
      </c>
      <c r="Q552" s="5">
        <f>+N552</f>
        <v>180000</v>
      </c>
      <c r="S552" s="7" t="s">
        <v>553</v>
      </c>
    </row>
    <row r="553" spans="2:19" ht="24" customHeight="1" x14ac:dyDescent="0.4">
      <c r="B553" s="8" t="s">
        <v>26</v>
      </c>
      <c r="C553" s="8" t="s">
        <v>27</v>
      </c>
      <c r="D553" s="16" t="s">
        <v>28</v>
      </c>
      <c r="H553" s="4">
        <v>1325</v>
      </c>
      <c r="I553" s="22" t="s">
        <v>82</v>
      </c>
      <c r="J553" s="4">
        <v>2.23</v>
      </c>
      <c r="K553" s="44" t="s">
        <v>557</v>
      </c>
      <c r="L553" s="32">
        <v>2</v>
      </c>
      <c r="M553" s="68">
        <f>40000+4000</f>
        <v>44000</v>
      </c>
      <c r="N553" s="8">
        <f>+M553*L553</f>
        <v>88000</v>
      </c>
      <c r="O553" s="5">
        <f>+N553/1.1</f>
        <v>80000</v>
      </c>
      <c r="P553" s="5">
        <f>+N553-O553</f>
        <v>8000</v>
      </c>
      <c r="Q553" s="5">
        <f>+N553</f>
        <v>88000</v>
      </c>
      <c r="R553" s="7" t="s">
        <v>455</v>
      </c>
      <c r="S553" s="4" t="s">
        <v>83</v>
      </c>
    </row>
    <row r="554" spans="2:19" ht="24" customHeight="1" x14ac:dyDescent="0.4">
      <c r="H554" s="4">
        <v>247</v>
      </c>
      <c r="I554" s="22" t="s">
        <v>252</v>
      </c>
      <c r="J554" s="4">
        <v>2.23</v>
      </c>
      <c r="K554" s="32" t="s">
        <v>374</v>
      </c>
      <c r="L554" s="56">
        <v>20</v>
      </c>
      <c r="M554" s="68">
        <v>10000</v>
      </c>
      <c r="N554" s="8">
        <f>+M554*L554</f>
        <v>200000</v>
      </c>
      <c r="Q554" s="5">
        <f>+N554</f>
        <v>200000</v>
      </c>
      <c r="S554" s="7" t="s">
        <v>558</v>
      </c>
    </row>
    <row r="555" spans="2:19" ht="24" customHeight="1" x14ac:dyDescent="0.4"/>
    <row r="556" spans="2:19" ht="24" customHeight="1" x14ac:dyDescent="0.4">
      <c r="B556" s="8" t="s">
        <v>26</v>
      </c>
      <c r="C556" s="8" t="s">
        <v>27</v>
      </c>
      <c r="D556" s="16" t="s">
        <v>28</v>
      </c>
      <c r="H556" s="4">
        <v>182</v>
      </c>
      <c r="I556" s="21" t="s">
        <v>247</v>
      </c>
      <c r="J556" s="4">
        <v>2.2400000000000002</v>
      </c>
      <c r="K556" s="4" t="s">
        <v>531</v>
      </c>
      <c r="L556" s="65">
        <v>260</v>
      </c>
      <c r="M556" s="68">
        <v>5000</v>
      </c>
      <c r="N556" s="8">
        <f>+M556*L556</f>
        <v>1300000</v>
      </c>
      <c r="Q556" s="5">
        <f>+N556</f>
        <v>1300000</v>
      </c>
      <c r="S556" s="4" t="s">
        <v>249</v>
      </c>
    </row>
    <row r="557" spans="2:19" ht="24" customHeight="1" x14ac:dyDescent="0.4">
      <c r="B557" s="8" t="s">
        <v>26</v>
      </c>
      <c r="C557" s="8" t="s">
        <v>27</v>
      </c>
      <c r="D557" s="16" t="s">
        <v>28</v>
      </c>
      <c r="H557" s="4">
        <v>262</v>
      </c>
      <c r="I557" s="21" t="s">
        <v>345</v>
      </c>
      <c r="J557" s="4">
        <v>2.2400000000000002</v>
      </c>
      <c r="K557" s="4" t="s">
        <v>531</v>
      </c>
      <c r="L557" s="56">
        <f>14+10</f>
        <v>24</v>
      </c>
      <c r="M557" s="68">
        <v>5000</v>
      </c>
      <c r="N557" s="8">
        <f>+M557*L557</f>
        <v>120000</v>
      </c>
      <c r="Q557" s="5">
        <f>+N557</f>
        <v>120000</v>
      </c>
      <c r="S557" s="4" t="s">
        <v>346</v>
      </c>
    </row>
    <row r="558" spans="2:19" ht="24" customHeight="1" x14ac:dyDescent="0.4">
      <c r="B558" s="8" t="s">
        <v>26</v>
      </c>
      <c r="C558" s="8" t="s">
        <v>27</v>
      </c>
      <c r="D558" s="16" t="s">
        <v>28</v>
      </c>
      <c r="H558" s="4">
        <v>148</v>
      </c>
      <c r="I558" s="21" t="s">
        <v>115</v>
      </c>
      <c r="J558" s="4">
        <v>2.2400000000000002</v>
      </c>
      <c r="K558" s="32" t="s">
        <v>559</v>
      </c>
      <c r="L558" s="63">
        <v>1</v>
      </c>
      <c r="M558" s="68">
        <f>12000+3000</f>
        <v>15000</v>
      </c>
      <c r="N558" s="8">
        <f>+M558*L558</f>
        <v>15000</v>
      </c>
      <c r="Q558" s="5">
        <f>+N558</f>
        <v>15000</v>
      </c>
      <c r="R558" s="4" t="s">
        <v>58</v>
      </c>
      <c r="S558" s="7" t="s">
        <v>117</v>
      </c>
    </row>
    <row r="559" spans="2:19" ht="24" customHeight="1" x14ac:dyDescent="0.4">
      <c r="B559" s="8" t="s">
        <v>26</v>
      </c>
      <c r="C559" s="8" t="s">
        <v>27</v>
      </c>
      <c r="D559" s="15" t="s">
        <v>23</v>
      </c>
      <c r="H559" s="4">
        <v>247</v>
      </c>
      <c r="I559" s="22" t="s">
        <v>252</v>
      </c>
      <c r="J559" s="4">
        <v>2.2400000000000002</v>
      </c>
      <c r="K559" s="32" t="s">
        <v>198</v>
      </c>
      <c r="L559" s="56">
        <v>10</v>
      </c>
      <c r="M559" s="68">
        <v>10000</v>
      </c>
      <c r="N559" s="8">
        <f>+M559*L559</f>
        <v>100000</v>
      </c>
      <c r="O559" s="5">
        <f>+N559/1.1</f>
        <v>90909.090909090897</v>
      </c>
      <c r="P559" s="5">
        <f>+N559-O559</f>
        <v>9090.9090909091028</v>
      </c>
      <c r="Q559" s="5">
        <f>+N559</f>
        <v>100000</v>
      </c>
      <c r="R559" s="7" t="s">
        <v>560</v>
      </c>
      <c r="S559" s="7" t="s">
        <v>558</v>
      </c>
    </row>
    <row r="560" spans="2:19" ht="24" customHeight="1" x14ac:dyDescent="0.4">
      <c r="B560" s="8" t="s">
        <v>26</v>
      </c>
      <c r="C560" s="8" t="s">
        <v>27</v>
      </c>
      <c r="D560" s="16" t="s">
        <v>28</v>
      </c>
      <c r="H560" s="4">
        <v>550</v>
      </c>
      <c r="I560" s="21" t="s">
        <v>48</v>
      </c>
      <c r="J560" s="4">
        <v>2.2400000000000002</v>
      </c>
      <c r="K560" s="4" t="s">
        <v>561</v>
      </c>
      <c r="L560" s="56">
        <v>12</v>
      </c>
      <c r="M560" s="68">
        <f>5000+3000</f>
        <v>8000</v>
      </c>
      <c r="N560" s="8">
        <f>+M560*L560</f>
        <v>96000</v>
      </c>
      <c r="Q560" s="5">
        <f>+N560</f>
        <v>96000</v>
      </c>
      <c r="R560" s="4" t="s">
        <v>50</v>
      </c>
      <c r="S560" s="7" t="s">
        <v>51</v>
      </c>
    </row>
    <row r="561" spans="2:19" ht="24" customHeight="1" x14ac:dyDescent="0.4">
      <c r="B561" s="8" t="s">
        <v>26</v>
      </c>
      <c r="C561" s="8" t="s">
        <v>27</v>
      </c>
      <c r="D561" s="16" t="s">
        <v>28</v>
      </c>
      <c r="H561" s="4">
        <v>540</v>
      </c>
      <c r="I561" s="21" t="s">
        <v>414</v>
      </c>
      <c r="J561" s="4">
        <v>2.2400000000000002</v>
      </c>
      <c r="K561" s="4" t="s">
        <v>531</v>
      </c>
      <c r="L561" s="56">
        <v>100</v>
      </c>
      <c r="M561" s="68">
        <v>5000</v>
      </c>
      <c r="N561" s="8">
        <f>+M561*L561</f>
        <v>500000</v>
      </c>
      <c r="Q561" s="5">
        <f>+N561</f>
        <v>500000</v>
      </c>
      <c r="S561" s="7" t="s">
        <v>416</v>
      </c>
    </row>
    <row r="562" spans="2:19" ht="24" customHeight="1" x14ac:dyDescent="0.4"/>
    <row r="563" spans="2:19" ht="24" customHeight="1" x14ac:dyDescent="0.4">
      <c r="B563" s="8" t="s">
        <v>26</v>
      </c>
      <c r="C563" s="8" t="s">
        <v>27</v>
      </c>
      <c r="D563" s="16" t="s">
        <v>28</v>
      </c>
      <c r="H563" s="4">
        <v>182</v>
      </c>
      <c r="I563" s="21" t="s">
        <v>247</v>
      </c>
      <c r="J563" s="4">
        <v>2.25</v>
      </c>
      <c r="K563" s="4" t="s">
        <v>531</v>
      </c>
      <c r="L563" s="63">
        <f>20+10+10</f>
        <v>40</v>
      </c>
      <c r="M563" s="68">
        <v>5000</v>
      </c>
      <c r="N563" s="8">
        <f>+M563*L563</f>
        <v>200000</v>
      </c>
      <c r="Q563" s="5">
        <f>+N563</f>
        <v>200000</v>
      </c>
      <c r="S563" s="4" t="s">
        <v>249</v>
      </c>
    </row>
    <row r="564" spans="2:19" ht="24" customHeight="1" x14ac:dyDescent="0.4">
      <c r="B564" s="8" t="s">
        <v>26</v>
      </c>
      <c r="C564" s="8" t="s">
        <v>27</v>
      </c>
      <c r="D564" s="16" t="s">
        <v>28</v>
      </c>
      <c r="H564" s="4">
        <v>148</v>
      </c>
      <c r="I564" s="21" t="s">
        <v>115</v>
      </c>
      <c r="J564" s="4">
        <v>2.25</v>
      </c>
      <c r="K564" s="32" t="s">
        <v>562</v>
      </c>
      <c r="L564" s="63">
        <v>1</v>
      </c>
      <c r="M564" s="68">
        <f>12000+3000</f>
        <v>15000</v>
      </c>
      <c r="N564" s="8">
        <f>+M564*L564</f>
        <v>15000</v>
      </c>
      <c r="Q564" s="5">
        <f>+N564</f>
        <v>15000</v>
      </c>
      <c r="R564" s="4" t="s">
        <v>58</v>
      </c>
      <c r="S564" s="7" t="s">
        <v>117</v>
      </c>
    </row>
    <row r="565" spans="2:19" ht="24" customHeight="1" x14ac:dyDescent="0.4">
      <c r="B565" s="8" t="s">
        <v>26</v>
      </c>
      <c r="C565" s="8" t="s">
        <v>27</v>
      </c>
      <c r="D565" s="16" t="s">
        <v>28</v>
      </c>
      <c r="H565" s="4">
        <v>1325</v>
      </c>
      <c r="I565" s="22" t="s">
        <v>82</v>
      </c>
      <c r="J565" s="4">
        <v>2.25</v>
      </c>
      <c r="K565" s="52" t="s">
        <v>563</v>
      </c>
      <c r="L565" s="56">
        <v>11</v>
      </c>
      <c r="M565" s="68">
        <f>30000+4000</f>
        <v>34000</v>
      </c>
      <c r="N565" s="8">
        <f>+M565*L565</f>
        <v>374000</v>
      </c>
      <c r="Q565" s="5">
        <f>+N565</f>
        <v>374000</v>
      </c>
      <c r="R565" s="7" t="s">
        <v>455</v>
      </c>
      <c r="S565" s="4" t="s">
        <v>83</v>
      </c>
    </row>
    <row r="566" spans="2:19" ht="24" customHeight="1" x14ac:dyDescent="0.4">
      <c r="B566" s="8" t="s">
        <v>26</v>
      </c>
      <c r="C566" s="8" t="s">
        <v>27</v>
      </c>
      <c r="D566" s="15" t="s">
        <v>23</v>
      </c>
      <c r="H566" s="4">
        <v>782</v>
      </c>
      <c r="I566" s="21" t="s">
        <v>197</v>
      </c>
      <c r="J566" s="4">
        <v>2.25</v>
      </c>
      <c r="K566" s="32" t="s">
        <v>198</v>
      </c>
      <c r="L566" s="56">
        <v>10</v>
      </c>
      <c r="M566" s="68">
        <v>10000</v>
      </c>
      <c r="N566" s="8">
        <f>+M566*L566</f>
        <v>100000</v>
      </c>
      <c r="O566" s="5">
        <f>+N566/1.1</f>
        <v>90909.090909090897</v>
      </c>
      <c r="P566" s="5">
        <f>+N566-O566</f>
        <v>9090.9090909091028</v>
      </c>
      <c r="Q566" s="5">
        <f>+N566</f>
        <v>100000</v>
      </c>
      <c r="S566" s="4" t="s">
        <v>199</v>
      </c>
    </row>
    <row r="567" spans="2:19" ht="24" customHeight="1" x14ac:dyDescent="0.4">
      <c r="B567" s="8" t="s">
        <v>26</v>
      </c>
      <c r="C567" s="8" t="s">
        <v>27</v>
      </c>
      <c r="D567" s="16" t="s">
        <v>28</v>
      </c>
      <c r="H567" s="4">
        <v>1324</v>
      </c>
      <c r="I567" s="21" t="s">
        <v>96</v>
      </c>
      <c r="J567" s="4">
        <v>2.25</v>
      </c>
      <c r="K567" s="52" t="s">
        <v>564</v>
      </c>
      <c r="L567" s="56">
        <v>8</v>
      </c>
      <c r="M567" s="68">
        <f>30000+4000</f>
        <v>34000</v>
      </c>
      <c r="N567" s="8">
        <f>+M567*L567</f>
        <v>272000</v>
      </c>
      <c r="Q567" s="5">
        <f>+N567</f>
        <v>272000</v>
      </c>
      <c r="R567" s="7" t="s">
        <v>455</v>
      </c>
      <c r="S567" s="7" t="s">
        <v>97</v>
      </c>
    </row>
    <row r="568" spans="2:19" ht="24" customHeight="1" x14ac:dyDescent="0.4"/>
    <row r="569" spans="2:19" ht="24" customHeight="1" x14ac:dyDescent="0.4">
      <c r="B569" s="8" t="s">
        <v>26</v>
      </c>
      <c r="C569" s="8" t="s">
        <v>27</v>
      </c>
      <c r="D569" s="16" t="s">
        <v>28</v>
      </c>
      <c r="H569" s="4">
        <v>550</v>
      </c>
      <c r="I569" s="21" t="s">
        <v>48</v>
      </c>
      <c r="J569" s="4">
        <v>2.2599999999999998</v>
      </c>
      <c r="K569" s="32" t="s">
        <v>565</v>
      </c>
      <c r="L569" s="32">
        <v>1</v>
      </c>
      <c r="M569" s="68">
        <f>12000+3000</f>
        <v>15000</v>
      </c>
      <c r="N569" s="8">
        <f>+M569*L569</f>
        <v>15000</v>
      </c>
      <c r="Q569" s="5">
        <f>+N569</f>
        <v>15000</v>
      </c>
      <c r="R569" s="4" t="s">
        <v>58</v>
      </c>
      <c r="S569" s="7" t="s">
        <v>51</v>
      </c>
    </row>
    <row r="570" spans="2:19" ht="24" customHeight="1" x14ac:dyDescent="0.4">
      <c r="B570" s="8" t="s">
        <v>26</v>
      </c>
      <c r="C570" s="8" t="s">
        <v>27</v>
      </c>
      <c r="D570" s="16" t="s">
        <v>28</v>
      </c>
      <c r="H570" s="4">
        <v>1325</v>
      </c>
      <c r="I570" s="22" t="s">
        <v>82</v>
      </c>
      <c r="J570" s="4">
        <v>2.2599999999999998</v>
      </c>
      <c r="K570" s="32" t="s">
        <v>566</v>
      </c>
      <c r="L570" s="63">
        <v>1</v>
      </c>
      <c r="M570" s="68">
        <f>20000+3000</f>
        <v>23000</v>
      </c>
      <c r="N570" s="8">
        <f>+M570*L570</f>
        <v>23000</v>
      </c>
      <c r="Q570" s="5">
        <f>+N570</f>
        <v>23000</v>
      </c>
      <c r="R570" s="40" t="s">
        <v>58</v>
      </c>
      <c r="S570" s="4" t="s">
        <v>83</v>
      </c>
    </row>
    <row r="571" spans="2:19" ht="24" customHeight="1" x14ac:dyDescent="0.4"/>
    <row r="572" spans="2:19" ht="24" customHeight="1" x14ac:dyDescent="0.4">
      <c r="B572" s="8" t="s">
        <v>26</v>
      </c>
      <c r="C572" s="8" t="s">
        <v>27</v>
      </c>
      <c r="D572" s="16" t="s">
        <v>28</v>
      </c>
      <c r="H572" s="4">
        <v>729</v>
      </c>
      <c r="I572" s="22" t="s">
        <v>109</v>
      </c>
      <c r="J572" s="4">
        <v>2.2799999999999998</v>
      </c>
      <c r="K572" s="4" t="s">
        <v>531</v>
      </c>
      <c r="L572" s="56">
        <v>102</v>
      </c>
      <c r="M572" s="68">
        <v>5000</v>
      </c>
      <c r="N572" s="8">
        <f>+M572*L572</f>
        <v>510000</v>
      </c>
      <c r="Q572" s="5">
        <f>+N572</f>
        <v>510000</v>
      </c>
      <c r="S572" s="4" t="s">
        <v>110</v>
      </c>
    </row>
    <row r="573" spans="2:19" ht="24" customHeight="1" x14ac:dyDescent="0.4">
      <c r="B573" s="8" t="s">
        <v>26</v>
      </c>
      <c r="C573" s="8" t="s">
        <v>27</v>
      </c>
      <c r="D573" s="16" t="s">
        <v>28</v>
      </c>
      <c r="H573" s="4">
        <v>550</v>
      </c>
      <c r="I573" s="21" t="s">
        <v>48</v>
      </c>
      <c r="J573" s="4">
        <v>2.2799999999999998</v>
      </c>
      <c r="K573" s="32" t="s">
        <v>567</v>
      </c>
      <c r="L573" s="32">
        <v>1</v>
      </c>
      <c r="M573" s="68">
        <f>12000+3000</f>
        <v>15000</v>
      </c>
      <c r="N573" s="8">
        <f>+M573*L573</f>
        <v>15000</v>
      </c>
      <c r="Q573" s="5">
        <f>+N573</f>
        <v>15000</v>
      </c>
      <c r="R573" s="4" t="s">
        <v>58</v>
      </c>
      <c r="S573" s="7" t="s">
        <v>51</v>
      </c>
    </row>
    <row r="574" spans="2:19" ht="24" customHeight="1" x14ac:dyDescent="0.4"/>
    <row r="575" spans="2:19" ht="24" customHeight="1" x14ac:dyDescent="0.4">
      <c r="B575" s="4" t="s">
        <v>568</v>
      </c>
      <c r="C575" s="8" t="s">
        <v>27</v>
      </c>
      <c r="D575" s="16" t="s">
        <v>28</v>
      </c>
      <c r="H575" s="4">
        <v>1027</v>
      </c>
      <c r="I575" s="21" t="s">
        <v>569</v>
      </c>
      <c r="J575" s="4">
        <v>3.02</v>
      </c>
      <c r="K575" s="4" t="s">
        <v>111</v>
      </c>
      <c r="L575" s="56">
        <v>1</v>
      </c>
      <c r="M575" s="68">
        <v>105000</v>
      </c>
      <c r="N575" s="8">
        <f>+M575*L575</f>
        <v>105000</v>
      </c>
      <c r="Q575" s="5">
        <f>+N575</f>
        <v>105000</v>
      </c>
      <c r="S575" s="21" t="s">
        <v>569</v>
      </c>
    </row>
    <row r="576" spans="2:19" ht="24" customHeight="1" x14ac:dyDescent="0.4">
      <c r="B576" s="4" t="s">
        <v>568</v>
      </c>
      <c r="C576" s="8" t="s">
        <v>27</v>
      </c>
      <c r="D576" s="16" t="s">
        <v>28</v>
      </c>
      <c r="H576" s="4">
        <v>1027</v>
      </c>
      <c r="I576" s="21" t="s">
        <v>569</v>
      </c>
      <c r="J576" s="4">
        <v>3.02</v>
      </c>
      <c r="K576" s="4" t="s">
        <v>570</v>
      </c>
      <c r="L576" s="56">
        <v>2</v>
      </c>
      <c r="M576" s="68">
        <v>50000</v>
      </c>
      <c r="N576" s="8">
        <f>+M576*L576</f>
        <v>100000</v>
      </c>
      <c r="Q576" s="5">
        <f>+N576</f>
        <v>100000</v>
      </c>
      <c r="S576" s="21" t="s">
        <v>569</v>
      </c>
    </row>
    <row r="577" spans="2:19" ht="24" customHeight="1" x14ac:dyDescent="0.4">
      <c r="B577" s="4" t="s">
        <v>568</v>
      </c>
      <c r="C577" s="8" t="s">
        <v>27</v>
      </c>
      <c r="D577" s="15" t="s">
        <v>23</v>
      </c>
      <c r="H577" s="4">
        <v>1027</v>
      </c>
      <c r="I577" s="21" t="s">
        <v>569</v>
      </c>
      <c r="J577" s="4">
        <v>3.02</v>
      </c>
      <c r="K577" s="7" t="s">
        <v>571</v>
      </c>
      <c r="L577" s="56">
        <v>3</v>
      </c>
      <c r="M577" s="68">
        <v>30000</v>
      </c>
      <c r="N577" s="8">
        <f>+M577*L577</f>
        <v>90000</v>
      </c>
      <c r="O577" s="5">
        <f>+N577/1.1</f>
        <v>81818.181818181809</v>
      </c>
      <c r="P577" s="5">
        <f>+N577-O577</f>
        <v>8181.8181818181911</v>
      </c>
      <c r="Q577" s="5">
        <f>+N577</f>
        <v>90000</v>
      </c>
      <c r="S577" s="21" t="s">
        <v>569</v>
      </c>
    </row>
    <row r="578" spans="2:19" ht="24" customHeight="1" x14ac:dyDescent="0.4">
      <c r="B578" s="4" t="s">
        <v>568</v>
      </c>
      <c r="C578" s="8" t="s">
        <v>27</v>
      </c>
      <c r="D578" s="15" t="s">
        <v>23</v>
      </c>
      <c r="H578" s="4">
        <v>1027</v>
      </c>
      <c r="I578" s="21" t="s">
        <v>569</v>
      </c>
      <c r="J578" s="4">
        <v>3.02</v>
      </c>
      <c r="K578" s="32" t="s">
        <v>198</v>
      </c>
      <c r="L578" s="56">
        <v>4</v>
      </c>
      <c r="M578" s="68">
        <v>10000</v>
      </c>
      <c r="N578" s="8">
        <f>+M578*L578</f>
        <v>40000</v>
      </c>
      <c r="O578" s="5">
        <f>+N578/1.1</f>
        <v>36363.63636363636</v>
      </c>
      <c r="P578" s="5">
        <f>+N578-O578</f>
        <v>3636.3636363636397</v>
      </c>
      <c r="Q578" s="5">
        <f>+N578</f>
        <v>40000</v>
      </c>
      <c r="S578" s="21" t="s">
        <v>569</v>
      </c>
    </row>
    <row r="579" spans="2:19" ht="24" customHeight="1" x14ac:dyDescent="0.4">
      <c r="B579" s="4" t="s">
        <v>568</v>
      </c>
      <c r="C579" s="8" t="s">
        <v>27</v>
      </c>
      <c r="D579" s="16" t="s">
        <v>28</v>
      </c>
      <c r="H579" s="4">
        <v>1027</v>
      </c>
      <c r="I579" s="21" t="s">
        <v>569</v>
      </c>
      <c r="J579" s="4">
        <v>3.02</v>
      </c>
      <c r="K579" s="4" t="s">
        <v>531</v>
      </c>
      <c r="L579" s="66">
        <f>80+10-5</f>
        <v>85</v>
      </c>
      <c r="M579" s="68">
        <v>5000</v>
      </c>
      <c r="N579" s="8">
        <f>+M579*L579</f>
        <v>425000</v>
      </c>
      <c r="Q579" s="5">
        <f>+N579</f>
        <v>425000</v>
      </c>
      <c r="S579" s="21" t="s">
        <v>569</v>
      </c>
    </row>
    <row r="580" spans="2:19" ht="24" customHeight="1" x14ac:dyDescent="0.4">
      <c r="B580" s="8" t="s">
        <v>26</v>
      </c>
      <c r="C580" s="8" t="s">
        <v>27</v>
      </c>
      <c r="D580" s="16" t="s">
        <v>28</v>
      </c>
      <c r="H580" s="4">
        <v>1325</v>
      </c>
      <c r="I580" s="22" t="s">
        <v>82</v>
      </c>
      <c r="J580" s="4">
        <v>3.02</v>
      </c>
      <c r="K580" s="52" t="s">
        <v>572</v>
      </c>
      <c r="L580" s="56">
        <v>1</v>
      </c>
      <c r="M580" s="68">
        <f>30000+4000</f>
        <v>34000</v>
      </c>
      <c r="N580" s="8">
        <f>+M580*L580</f>
        <v>34000</v>
      </c>
      <c r="Q580" s="5">
        <f>+N580</f>
        <v>34000</v>
      </c>
      <c r="R580" s="7" t="s">
        <v>455</v>
      </c>
      <c r="S580" s="4" t="s">
        <v>83</v>
      </c>
    </row>
    <row r="581" spans="2:19" ht="24" customHeight="1" x14ac:dyDescent="0.4">
      <c r="B581" s="8" t="s">
        <v>26</v>
      </c>
      <c r="C581" s="8" t="s">
        <v>27</v>
      </c>
      <c r="D581" s="16" t="s">
        <v>28</v>
      </c>
      <c r="H581" s="4">
        <v>1324</v>
      </c>
      <c r="I581" s="21" t="s">
        <v>96</v>
      </c>
      <c r="J581" s="4">
        <v>3.02</v>
      </c>
      <c r="K581" s="52" t="s">
        <v>573</v>
      </c>
      <c r="L581" s="56">
        <v>6</v>
      </c>
      <c r="M581" s="68">
        <f>30000+4000</f>
        <v>34000</v>
      </c>
      <c r="N581" s="8">
        <f>+M581*L581</f>
        <v>204000</v>
      </c>
      <c r="Q581" s="5">
        <f>+N581</f>
        <v>204000</v>
      </c>
      <c r="R581" s="7" t="s">
        <v>455</v>
      </c>
      <c r="S581" s="7" t="s">
        <v>97</v>
      </c>
    </row>
    <row r="582" spans="2:19" ht="24" customHeight="1" x14ac:dyDescent="0.4"/>
    <row r="583" spans="2:19" ht="24" customHeight="1" x14ac:dyDescent="0.4">
      <c r="B583" s="8" t="s">
        <v>26</v>
      </c>
      <c r="C583" s="8" t="s">
        <v>27</v>
      </c>
      <c r="D583" s="16" t="s">
        <v>28</v>
      </c>
      <c r="H583" s="4">
        <v>1325</v>
      </c>
      <c r="I583" s="22" t="s">
        <v>82</v>
      </c>
      <c r="J583" s="4">
        <v>3.04</v>
      </c>
      <c r="K583" s="37" t="s">
        <v>574</v>
      </c>
      <c r="L583" s="56">
        <v>1</v>
      </c>
      <c r="M583" s="68">
        <f>38000+4000</f>
        <v>42000</v>
      </c>
      <c r="N583" s="8">
        <f>+M583*L583</f>
        <v>42000</v>
      </c>
      <c r="Q583" s="5">
        <f>+N583</f>
        <v>42000</v>
      </c>
      <c r="R583" s="40" t="s">
        <v>455</v>
      </c>
      <c r="S583" s="4" t="s">
        <v>83</v>
      </c>
    </row>
    <row r="584" spans="2:19" ht="24" customHeight="1" x14ac:dyDescent="0.4">
      <c r="B584" s="8" t="s">
        <v>26</v>
      </c>
      <c r="C584" s="8" t="s">
        <v>27</v>
      </c>
      <c r="D584" s="16" t="s">
        <v>28</v>
      </c>
      <c r="H584" s="4">
        <v>182</v>
      </c>
      <c r="I584" s="21" t="s">
        <v>247</v>
      </c>
      <c r="J584" s="4">
        <v>3.04</v>
      </c>
      <c r="K584" s="52" t="s">
        <v>575</v>
      </c>
      <c r="L584" s="56">
        <v>2</v>
      </c>
      <c r="M584" s="68">
        <f>30000+4000</f>
        <v>34000</v>
      </c>
      <c r="N584" s="8">
        <f>+M584*L584</f>
        <v>68000</v>
      </c>
      <c r="Q584" s="5">
        <f>+N584</f>
        <v>68000</v>
      </c>
      <c r="R584" s="7" t="s">
        <v>455</v>
      </c>
      <c r="S584" s="4" t="s">
        <v>249</v>
      </c>
    </row>
    <row r="585" spans="2:19" ht="24" customHeight="1" x14ac:dyDescent="0.4"/>
    <row r="586" spans="2:19" ht="24" customHeight="1" x14ac:dyDescent="0.4">
      <c r="B586" s="8" t="s">
        <v>26</v>
      </c>
      <c r="C586" s="8" t="s">
        <v>27</v>
      </c>
      <c r="D586" s="16" t="s">
        <v>28</v>
      </c>
      <c r="H586" s="4">
        <v>540</v>
      </c>
      <c r="I586" s="21" t="s">
        <v>414</v>
      </c>
      <c r="J586" s="4">
        <v>3.05</v>
      </c>
      <c r="K586" s="32" t="s">
        <v>576</v>
      </c>
      <c r="L586" s="63">
        <v>1</v>
      </c>
      <c r="M586" s="68">
        <f>12000+3000</f>
        <v>15000</v>
      </c>
      <c r="N586" s="8">
        <f>+M586*L586</f>
        <v>15000</v>
      </c>
      <c r="Q586" s="5">
        <f>+N586</f>
        <v>15000</v>
      </c>
      <c r="R586" s="4" t="s">
        <v>58</v>
      </c>
      <c r="S586" s="7" t="s">
        <v>416</v>
      </c>
    </row>
    <row r="587" spans="2:19" ht="24" customHeight="1" x14ac:dyDescent="0.4">
      <c r="B587" s="8" t="s">
        <v>26</v>
      </c>
      <c r="C587" s="8" t="s">
        <v>27</v>
      </c>
      <c r="D587" s="16" t="s">
        <v>28</v>
      </c>
      <c r="H587" s="4">
        <v>1025</v>
      </c>
      <c r="I587" s="21" t="s">
        <v>320</v>
      </c>
      <c r="J587" s="4">
        <v>3.05</v>
      </c>
      <c r="K587" s="32" t="s">
        <v>577</v>
      </c>
      <c r="L587" s="32">
        <v>1</v>
      </c>
      <c r="M587" s="68">
        <f>12000+3000</f>
        <v>15000</v>
      </c>
      <c r="N587" s="8">
        <f>+M587*L587</f>
        <v>15000</v>
      </c>
      <c r="Q587" s="5">
        <f>+N587</f>
        <v>15000</v>
      </c>
      <c r="R587" s="4" t="s">
        <v>58</v>
      </c>
      <c r="S587" s="7" t="s">
        <v>322</v>
      </c>
    </row>
    <row r="588" spans="2:19" ht="24" customHeight="1" x14ac:dyDescent="0.4"/>
    <row r="589" spans="2:19" ht="24" customHeight="1" x14ac:dyDescent="0.4">
      <c r="B589" s="8" t="s">
        <v>26</v>
      </c>
      <c r="C589" s="8" t="s">
        <v>27</v>
      </c>
      <c r="D589" s="16" t="s">
        <v>28</v>
      </c>
      <c r="H589" s="4">
        <v>550</v>
      </c>
      <c r="I589" s="21" t="s">
        <v>48</v>
      </c>
      <c r="J589" s="4">
        <v>3.07</v>
      </c>
      <c r="K589" s="4" t="s">
        <v>531</v>
      </c>
      <c r="L589" s="32">
        <v>100</v>
      </c>
      <c r="M589" s="68">
        <v>5000</v>
      </c>
      <c r="N589" s="8">
        <f>+M589*L589</f>
        <v>500000</v>
      </c>
      <c r="Q589" s="5">
        <f>+N589</f>
        <v>500000</v>
      </c>
      <c r="S589" s="7" t="s">
        <v>51</v>
      </c>
    </row>
    <row r="590" spans="2:19" ht="24" customHeight="1" x14ac:dyDescent="0.4">
      <c r="B590" s="8" t="s">
        <v>26</v>
      </c>
      <c r="C590" s="8" t="s">
        <v>27</v>
      </c>
      <c r="D590" s="16" t="s">
        <v>28</v>
      </c>
      <c r="H590" s="4">
        <v>1870</v>
      </c>
      <c r="I590" s="21" t="s">
        <v>90</v>
      </c>
      <c r="J590" s="4">
        <v>3.07</v>
      </c>
      <c r="K590" s="4" t="s">
        <v>531</v>
      </c>
      <c r="L590" s="32">
        <v>20</v>
      </c>
      <c r="M590" s="68">
        <v>5000</v>
      </c>
      <c r="N590" s="8">
        <f>+M590*L590</f>
        <v>100000</v>
      </c>
      <c r="Q590" s="5">
        <f>+N590</f>
        <v>100000</v>
      </c>
      <c r="S590" s="4" t="s">
        <v>470</v>
      </c>
    </row>
    <row r="591" spans="2:19" ht="24" customHeight="1" x14ac:dyDescent="0.4">
      <c r="B591" s="8" t="s">
        <v>26</v>
      </c>
      <c r="C591" s="8" t="s">
        <v>27</v>
      </c>
      <c r="D591" s="16" t="s">
        <v>28</v>
      </c>
      <c r="H591" s="4">
        <v>1025</v>
      </c>
      <c r="I591" s="21" t="s">
        <v>320</v>
      </c>
      <c r="J591" s="4">
        <v>3.07</v>
      </c>
      <c r="K591" s="4" t="s">
        <v>578</v>
      </c>
      <c r="L591" s="56">
        <f>35+14</f>
        <v>49</v>
      </c>
      <c r="M591" s="68">
        <v>7000</v>
      </c>
      <c r="N591" s="8">
        <f>+M591*L591</f>
        <v>343000</v>
      </c>
      <c r="Q591" s="5">
        <f>+N591</f>
        <v>343000</v>
      </c>
      <c r="S591" s="7" t="s">
        <v>322</v>
      </c>
    </row>
    <row r="592" spans="2:19" ht="24" customHeight="1" x14ac:dyDescent="0.4">
      <c r="B592" s="8" t="s">
        <v>26</v>
      </c>
      <c r="C592" s="8" t="s">
        <v>27</v>
      </c>
      <c r="D592" s="16" t="s">
        <v>28</v>
      </c>
      <c r="I592" s="21" t="s">
        <v>579</v>
      </c>
      <c r="J592" s="4">
        <v>3.07</v>
      </c>
      <c r="K592" s="4" t="s">
        <v>304</v>
      </c>
      <c r="L592" s="63">
        <f>83+5</f>
        <v>88</v>
      </c>
      <c r="M592" s="68">
        <v>6000</v>
      </c>
      <c r="N592" s="8">
        <f>+M592*L592</f>
        <v>528000</v>
      </c>
      <c r="Q592" s="5">
        <f>+N592</f>
        <v>528000</v>
      </c>
      <c r="R592" s="84" t="s">
        <v>580</v>
      </c>
      <c r="S592" s="7" t="s">
        <v>581</v>
      </c>
    </row>
    <row r="593" spans="2:19" ht="24" customHeight="1" x14ac:dyDescent="0.4">
      <c r="B593" s="8" t="s">
        <v>26</v>
      </c>
      <c r="C593" s="8" t="s">
        <v>27</v>
      </c>
      <c r="D593" s="16" t="s">
        <v>28</v>
      </c>
      <c r="I593" s="21" t="s">
        <v>582</v>
      </c>
      <c r="J593" s="4">
        <v>3.07</v>
      </c>
      <c r="K593" s="4" t="s">
        <v>304</v>
      </c>
      <c r="L593" s="63">
        <v>45</v>
      </c>
      <c r="M593" s="68">
        <v>6000</v>
      </c>
      <c r="N593" s="8">
        <f>+M593*L593</f>
        <v>270000</v>
      </c>
      <c r="Q593" s="5">
        <f>+N593</f>
        <v>270000</v>
      </c>
      <c r="R593" s="84" t="s">
        <v>580</v>
      </c>
      <c r="S593" s="7" t="s">
        <v>583</v>
      </c>
    </row>
    <row r="594" spans="2:19" ht="24" customHeight="1" x14ac:dyDescent="0.4">
      <c r="B594" s="8" t="s">
        <v>26</v>
      </c>
      <c r="C594" s="8" t="s">
        <v>27</v>
      </c>
      <c r="D594" s="16" t="s">
        <v>28</v>
      </c>
      <c r="H594" s="4">
        <v>1870</v>
      </c>
      <c r="I594" s="21" t="s">
        <v>90</v>
      </c>
      <c r="J594" s="4">
        <v>3.07</v>
      </c>
      <c r="K594" s="32" t="s">
        <v>584</v>
      </c>
      <c r="L594" s="63">
        <v>1</v>
      </c>
      <c r="M594" s="68">
        <f>12000+3000</f>
        <v>15000</v>
      </c>
      <c r="N594" s="8">
        <f>+M594*L594</f>
        <v>15000</v>
      </c>
      <c r="Q594" s="5">
        <f>+N594</f>
        <v>15000</v>
      </c>
      <c r="R594" s="4" t="s">
        <v>58</v>
      </c>
      <c r="S594" s="7" t="s">
        <v>470</v>
      </c>
    </row>
    <row r="595" spans="2:19" ht="24" customHeight="1" x14ac:dyDescent="0.4">
      <c r="B595" s="8" t="s">
        <v>26</v>
      </c>
      <c r="C595" s="8" t="s">
        <v>27</v>
      </c>
      <c r="D595" s="16" t="s">
        <v>28</v>
      </c>
      <c r="H595" s="4">
        <v>148</v>
      </c>
      <c r="I595" s="21" t="s">
        <v>115</v>
      </c>
      <c r="J595" s="4">
        <v>3.07</v>
      </c>
      <c r="K595" s="32" t="s">
        <v>585</v>
      </c>
      <c r="L595" s="63">
        <v>1</v>
      </c>
      <c r="M595" s="68">
        <f>12000+3000</f>
        <v>15000</v>
      </c>
      <c r="N595" s="8">
        <f>+M595*L595</f>
        <v>15000</v>
      </c>
      <c r="Q595" s="5">
        <f>+N595</f>
        <v>15000</v>
      </c>
      <c r="R595" s="4" t="s">
        <v>58</v>
      </c>
      <c r="S595" s="7" t="s">
        <v>117</v>
      </c>
    </row>
    <row r="596" spans="2:19" ht="24" customHeight="1" x14ac:dyDescent="0.4"/>
    <row r="597" spans="2:19" ht="24" customHeight="1" x14ac:dyDescent="0.4">
      <c r="H597" s="4">
        <v>262</v>
      </c>
      <c r="I597" s="21" t="s">
        <v>345</v>
      </c>
      <c r="J597" s="4">
        <v>3.08</v>
      </c>
      <c r="K597" s="25" t="s">
        <v>586</v>
      </c>
      <c r="L597" s="56">
        <v>7</v>
      </c>
      <c r="M597" s="68">
        <v>12000</v>
      </c>
      <c r="N597" s="8">
        <f>+M597*L597</f>
        <v>84000</v>
      </c>
      <c r="O597" s="5">
        <f>+N597/1.1</f>
        <v>76363.636363636353</v>
      </c>
      <c r="P597" s="5">
        <f>+N597-O597</f>
        <v>7636.3636363636469</v>
      </c>
      <c r="Q597" s="5">
        <f>+N597</f>
        <v>84000</v>
      </c>
      <c r="S597" s="4" t="s">
        <v>346</v>
      </c>
    </row>
    <row r="598" spans="2:19" ht="24" customHeight="1" x14ac:dyDescent="0.4">
      <c r="H598" s="4">
        <v>262</v>
      </c>
      <c r="I598" s="21" t="s">
        <v>345</v>
      </c>
      <c r="J598" s="4">
        <v>3.08</v>
      </c>
      <c r="K598" s="25" t="s">
        <v>587</v>
      </c>
      <c r="L598" s="56">
        <v>7</v>
      </c>
      <c r="M598" s="68">
        <v>12000</v>
      </c>
      <c r="N598" s="8">
        <f>+M598*L598</f>
        <v>84000</v>
      </c>
      <c r="O598" s="5">
        <f>+N598/1.1</f>
        <v>76363.636363636353</v>
      </c>
      <c r="P598" s="5">
        <f>+N598-O598</f>
        <v>7636.3636363636469</v>
      </c>
      <c r="Q598" s="5">
        <f>+N598</f>
        <v>84000</v>
      </c>
      <c r="S598" s="4" t="s">
        <v>346</v>
      </c>
    </row>
    <row r="599" spans="2:19" ht="24" customHeight="1" x14ac:dyDescent="0.4">
      <c r="B599" s="8" t="s">
        <v>26</v>
      </c>
      <c r="C599" s="8" t="s">
        <v>27</v>
      </c>
      <c r="D599" s="16" t="s">
        <v>28</v>
      </c>
      <c r="H599" s="4">
        <v>262</v>
      </c>
      <c r="I599" s="21" t="s">
        <v>345</v>
      </c>
      <c r="J599" s="4">
        <v>3.08</v>
      </c>
      <c r="K599" s="8" t="s">
        <v>180</v>
      </c>
      <c r="L599" s="56">
        <v>12</v>
      </c>
      <c r="M599" s="68">
        <v>5500</v>
      </c>
      <c r="N599" s="8">
        <f>+M599*L599</f>
        <v>66000</v>
      </c>
      <c r="Q599" s="5">
        <f>+N599</f>
        <v>66000</v>
      </c>
      <c r="S599" s="4" t="s">
        <v>346</v>
      </c>
    </row>
    <row r="600" spans="2:19" ht="24" customHeight="1" x14ac:dyDescent="0.4">
      <c r="B600" s="8" t="s">
        <v>26</v>
      </c>
      <c r="C600" s="8" t="s">
        <v>27</v>
      </c>
      <c r="D600" s="16" t="s">
        <v>28</v>
      </c>
      <c r="H600" s="4">
        <v>1324</v>
      </c>
      <c r="I600" s="21" t="s">
        <v>96</v>
      </c>
      <c r="J600" s="4">
        <v>3.08</v>
      </c>
      <c r="K600" s="61" t="s">
        <v>588</v>
      </c>
      <c r="L600" s="32">
        <v>1</v>
      </c>
      <c r="M600" s="68">
        <f>20000+3000</f>
        <v>23000</v>
      </c>
      <c r="N600" s="8">
        <f>+M600*L600</f>
        <v>23000</v>
      </c>
      <c r="Q600" s="5">
        <f>+N600</f>
        <v>23000</v>
      </c>
      <c r="R600" s="4" t="s">
        <v>58</v>
      </c>
      <c r="S600" s="7" t="s">
        <v>97</v>
      </c>
    </row>
    <row r="601" spans="2:19" ht="24" customHeight="1" x14ac:dyDescent="0.4">
      <c r="B601" s="8" t="s">
        <v>26</v>
      </c>
      <c r="C601" s="8" t="s">
        <v>27</v>
      </c>
      <c r="D601" s="16" t="s">
        <v>28</v>
      </c>
      <c r="H601" s="4">
        <v>930</v>
      </c>
      <c r="I601" s="21" t="s">
        <v>392</v>
      </c>
      <c r="J601" s="4">
        <v>3.08</v>
      </c>
      <c r="K601" s="8" t="s">
        <v>589</v>
      </c>
      <c r="L601" s="63">
        <v>1</v>
      </c>
      <c r="M601" s="68">
        <f>20000+3000</f>
        <v>23000</v>
      </c>
      <c r="N601" s="8">
        <f>+M601*L601</f>
        <v>23000</v>
      </c>
      <c r="Q601" s="5">
        <f>+N601</f>
        <v>23000</v>
      </c>
      <c r="R601" s="40" t="s">
        <v>58</v>
      </c>
      <c r="S601" s="7" t="s">
        <v>394</v>
      </c>
    </row>
    <row r="602" spans="2:19" ht="24" customHeight="1" x14ac:dyDescent="0.4">
      <c r="B602" s="8" t="s">
        <v>26</v>
      </c>
      <c r="C602" s="8" t="s">
        <v>27</v>
      </c>
      <c r="D602" s="15" t="s">
        <v>23</v>
      </c>
      <c r="H602" s="4">
        <v>669</v>
      </c>
      <c r="I602" s="21" t="s">
        <v>590</v>
      </c>
      <c r="J602" s="4">
        <v>3.08</v>
      </c>
      <c r="K602" s="4" t="s">
        <v>304</v>
      </c>
      <c r="L602" s="56">
        <f>20+10</f>
        <v>30</v>
      </c>
      <c r="M602" s="68">
        <v>6000</v>
      </c>
      <c r="N602" s="8">
        <f>+M602*L602</f>
        <v>180000</v>
      </c>
      <c r="O602" s="5">
        <f>+N602/1.1</f>
        <v>163636.36363636362</v>
      </c>
      <c r="P602" s="5">
        <f>+N602-O602</f>
        <v>16363.636363636382</v>
      </c>
      <c r="Q602" s="5">
        <f>+N602</f>
        <v>180000</v>
      </c>
      <c r="S602" s="7" t="s">
        <v>583</v>
      </c>
    </row>
    <row r="603" spans="2:19" ht="24" customHeight="1" x14ac:dyDescent="0.4">
      <c r="B603" s="8" t="s">
        <v>26</v>
      </c>
      <c r="C603" s="8" t="s">
        <v>27</v>
      </c>
      <c r="D603" s="16" t="s">
        <v>28</v>
      </c>
      <c r="H603" s="4">
        <v>664</v>
      </c>
      <c r="I603" s="21" t="s">
        <v>591</v>
      </c>
      <c r="J603" s="4">
        <v>3.08</v>
      </c>
      <c r="K603" s="7" t="s">
        <v>592</v>
      </c>
      <c r="L603" s="56">
        <v>2</v>
      </c>
      <c r="M603" s="68">
        <v>10000</v>
      </c>
      <c r="N603" s="8">
        <f>+M603*L603</f>
        <v>20000</v>
      </c>
      <c r="Q603" s="5">
        <f>+N603</f>
        <v>20000</v>
      </c>
      <c r="R603" s="78" t="s">
        <v>282</v>
      </c>
      <c r="S603" s="7" t="s">
        <v>581</v>
      </c>
    </row>
    <row r="604" spans="2:19" ht="24" customHeight="1" x14ac:dyDescent="0.4">
      <c r="B604" s="8" t="s">
        <v>26</v>
      </c>
      <c r="C604" s="8" t="s">
        <v>27</v>
      </c>
      <c r="D604" s="16" t="s">
        <v>28</v>
      </c>
      <c r="H604" s="4">
        <v>540</v>
      </c>
      <c r="I604" s="21" t="s">
        <v>414</v>
      </c>
      <c r="J604" s="4">
        <v>3.08</v>
      </c>
      <c r="K604" s="32" t="s">
        <v>593</v>
      </c>
      <c r="L604" s="63">
        <v>1</v>
      </c>
      <c r="M604" s="68">
        <f>12000+3000</f>
        <v>15000</v>
      </c>
      <c r="N604" s="8">
        <f>+M604*L604</f>
        <v>15000</v>
      </c>
      <c r="Q604" s="5">
        <f>+N604</f>
        <v>15000</v>
      </c>
      <c r="R604" s="4" t="s">
        <v>58</v>
      </c>
      <c r="S604" s="7" t="s">
        <v>416</v>
      </c>
    </row>
    <row r="605" spans="2:19" ht="24" customHeight="1" x14ac:dyDescent="0.4">
      <c r="B605" s="8" t="s">
        <v>26</v>
      </c>
      <c r="C605" s="8" t="s">
        <v>27</v>
      </c>
      <c r="D605" s="16" t="s">
        <v>28</v>
      </c>
      <c r="H605" s="4">
        <v>1025</v>
      </c>
      <c r="I605" s="21" t="s">
        <v>320</v>
      </c>
      <c r="J605" s="4">
        <v>3.08</v>
      </c>
      <c r="K605" s="32" t="s">
        <v>594</v>
      </c>
      <c r="L605" s="32">
        <v>1</v>
      </c>
      <c r="M605" s="68">
        <f>12000+3000</f>
        <v>15000</v>
      </c>
      <c r="N605" s="8">
        <f>+M605*L605</f>
        <v>15000</v>
      </c>
      <c r="Q605" s="5">
        <f>+N605</f>
        <v>15000</v>
      </c>
      <c r="R605" s="4" t="s">
        <v>58</v>
      </c>
      <c r="S605" s="7" t="s">
        <v>322</v>
      </c>
    </row>
    <row r="606" spans="2:19" ht="24" customHeight="1" x14ac:dyDescent="0.4">
      <c r="B606" s="8" t="s">
        <v>26</v>
      </c>
      <c r="C606" s="8" t="s">
        <v>27</v>
      </c>
      <c r="D606" s="16" t="s">
        <v>28</v>
      </c>
      <c r="H606" s="4">
        <v>1025</v>
      </c>
      <c r="I606" s="21" t="s">
        <v>320</v>
      </c>
      <c r="J606" s="4">
        <v>3.08</v>
      </c>
      <c r="K606" s="32" t="s">
        <v>595</v>
      </c>
      <c r="L606" s="32">
        <v>1</v>
      </c>
      <c r="M606" s="68">
        <f>12000+3000</f>
        <v>15000</v>
      </c>
      <c r="N606" s="8">
        <f>+M606*L606</f>
        <v>15000</v>
      </c>
      <c r="Q606" s="5">
        <f>+N606</f>
        <v>15000</v>
      </c>
      <c r="R606" s="4" t="s">
        <v>58</v>
      </c>
      <c r="S606" s="7" t="s">
        <v>322</v>
      </c>
    </row>
    <row r="607" spans="2:19" ht="24" customHeight="1" x14ac:dyDescent="0.4"/>
    <row r="608" spans="2:19" ht="24" customHeight="1" x14ac:dyDescent="0.4">
      <c r="B608" s="8" t="s">
        <v>26</v>
      </c>
      <c r="C608" s="8" t="s">
        <v>27</v>
      </c>
      <c r="D608" s="16" t="s">
        <v>28</v>
      </c>
      <c r="H608" s="4">
        <v>1325</v>
      </c>
      <c r="I608" s="22" t="s">
        <v>82</v>
      </c>
      <c r="J608" s="4">
        <v>3.1</v>
      </c>
      <c r="K608" s="8" t="s">
        <v>596</v>
      </c>
      <c r="L608" s="63">
        <v>1</v>
      </c>
      <c r="M608" s="68">
        <f>20000+3000</f>
        <v>23000</v>
      </c>
      <c r="N608" s="8">
        <f>+M608*L608</f>
        <v>23000</v>
      </c>
      <c r="Q608" s="5">
        <f>+N608</f>
        <v>23000</v>
      </c>
      <c r="R608" s="40" t="s">
        <v>58</v>
      </c>
      <c r="S608" s="4" t="s">
        <v>83</v>
      </c>
    </row>
    <row r="609" spans="2:19" ht="24" customHeight="1" x14ac:dyDescent="0.4">
      <c r="B609" s="8" t="s">
        <v>26</v>
      </c>
      <c r="C609" s="8" t="s">
        <v>27</v>
      </c>
      <c r="D609" s="16" t="s">
        <v>28</v>
      </c>
      <c r="H609" s="4">
        <v>602</v>
      </c>
      <c r="I609" s="21" t="s">
        <v>375</v>
      </c>
      <c r="J609" s="4">
        <v>3.1</v>
      </c>
      <c r="K609" s="8" t="s">
        <v>597</v>
      </c>
      <c r="L609" s="63">
        <v>1</v>
      </c>
      <c r="M609" s="68">
        <f>20000+3000</f>
        <v>23000</v>
      </c>
      <c r="N609" s="8">
        <f>+M609*L609</f>
        <v>23000</v>
      </c>
      <c r="Q609" s="5">
        <f>+N609</f>
        <v>23000</v>
      </c>
      <c r="R609" s="40" t="s">
        <v>58</v>
      </c>
      <c r="S609" s="7" t="s">
        <v>377</v>
      </c>
    </row>
    <row r="610" spans="2:19" ht="24" customHeight="1" x14ac:dyDescent="0.4">
      <c r="B610" s="8" t="s">
        <v>26</v>
      </c>
      <c r="C610" s="8" t="s">
        <v>27</v>
      </c>
      <c r="D610" s="16" t="s">
        <v>28</v>
      </c>
      <c r="H610" s="4">
        <v>148</v>
      </c>
      <c r="I610" s="21" t="s">
        <v>115</v>
      </c>
      <c r="J610" s="4">
        <v>3.1</v>
      </c>
      <c r="K610" s="32" t="s">
        <v>598</v>
      </c>
      <c r="L610" s="63">
        <v>1</v>
      </c>
      <c r="M610" s="68">
        <f>12000+3000</f>
        <v>15000</v>
      </c>
      <c r="N610" s="8">
        <f>+M610*L610</f>
        <v>15000</v>
      </c>
      <c r="Q610" s="5">
        <f>+N610</f>
        <v>15000</v>
      </c>
      <c r="R610" s="4" t="s">
        <v>58</v>
      </c>
      <c r="S610" s="7" t="s">
        <v>117</v>
      </c>
    </row>
    <row r="611" spans="2:19" ht="24" customHeight="1" x14ac:dyDescent="0.4">
      <c r="B611" s="8" t="s">
        <v>26</v>
      </c>
      <c r="C611" s="8" t="s">
        <v>27</v>
      </c>
      <c r="D611" s="16" t="s">
        <v>28</v>
      </c>
      <c r="H611" s="4">
        <v>1870</v>
      </c>
      <c r="I611" s="21" t="s">
        <v>90</v>
      </c>
      <c r="J611" s="4">
        <v>3.1</v>
      </c>
      <c r="K611" s="32" t="s">
        <v>599</v>
      </c>
      <c r="L611" s="63">
        <v>1</v>
      </c>
      <c r="M611" s="68">
        <f>12000+3000</f>
        <v>15000</v>
      </c>
      <c r="N611" s="8">
        <f>+M611*L611</f>
        <v>15000</v>
      </c>
      <c r="Q611" s="5">
        <f>+N611</f>
        <v>15000</v>
      </c>
      <c r="R611" s="4" t="s">
        <v>58</v>
      </c>
      <c r="S611" s="7" t="s">
        <v>470</v>
      </c>
    </row>
    <row r="612" spans="2:19" ht="24" customHeight="1" x14ac:dyDescent="0.4">
      <c r="B612" s="8" t="s">
        <v>26</v>
      </c>
      <c r="C612" s="8" t="s">
        <v>27</v>
      </c>
      <c r="D612" s="16" t="s">
        <v>28</v>
      </c>
      <c r="H612" s="4">
        <v>1871</v>
      </c>
      <c r="I612" s="21" t="s">
        <v>90</v>
      </c>
      <c r="J612" s="4">
        <v>3.1</v>
      </c>
      <c r="K612" s="32" t="s">
        <v>600</v>
      </c>
      <c r="L612" s="63">
        <v>1</v>
      </c>
      <c r="M612" s="68">
        <f>12000+3000</f>
        <v>15000</v>
      </c>
      <c r="N612" s="8">
        <f>+M612*L612</f>
        <v>15000</v>
      </c>
      <c r="Q612" s="5">
        <f>+N612</f>
        <v>15000</v>
      </c>
      <c r="R612" s="4" t="s">
        <v>58</v>
      </c>
      <c r="S612" s="7" t="s">
        <v>470</v>
      </c>
    </row>
    <row r="613" spans="2:19" ht="24" customHeight="1" x14ac:dyDescent="0.4">
      <c r="B613" s="8" t="s">
        <v>26</v>
      </c>
      <c r="C613" s="8" t="s">
        <v>27</v>
      </c>
      <c r="D613" s="15" t="s">
        <v>23</v>
      </c>
      <c r="H613" s="4">
        <v>550</v>
      </c>
      <c r="I613" s="21" t="s">
        <v>48</v>
      </c>
      <c r="J613" s="4">
        <v>3.1</v>
      </c>
      <c r="K613" s="4" t="s">
        <v>601</v>
      </c>
      <c r="L613" s="63">
        <v>17</v>
      </c>
      <c r="M613" s="68">
        <f>6000+3000</f>
        <v>9000</v>
      </c>
      <c r="N613" s="8">
        <f>+M613*L613</f>
        <v>153000</v>
      </c>
      <c r="O613" s="5">
        <f>+N613/1.1</f>
        <v>139090.90909090909</v>
      </c>
      <c r="P613" s="5">
        <f>+N613-O613</f>
        <v>13909.090909090912</v>
      </c>
      <c r="Q613" s="5">
        <f>+N613</f>
        <v>153000</v>
      </c>
      <c r="R613" s="40" t="s">
        <v>50</v>
      </c>
      <c r="S613" s="7" t="s">
        <v>51</v>
      </c>
    </row>
    <row r="614" spans="2:19" ht="24" customHeight="1" x14ac:dyDescent="0.4">
      <c r="B614" s="8" t="s">
        <v>26</v>
      </c>
      <c r="C614" s="8" t="s">
        <v>27</v>
      </c>
      <c r="D614" s="16" t="s">
        <v>28</v>
      </c>
      <c r="H614" s="4">
        <v>262</v>
      </c>
      <c r="I614" s="21" t="s">
        <v>345</v>
      </c>
      <c r="J614" s="4">
        <v>3.1</v>
      </c>
      <c r="K614" s="6" t="s">
        <v>602</v>
      </c>
      <c r="L614" s="63">
        <v>4</v>
      </c>
      <c r="M614" s="68">
        <f>30000+5000</f>
        <v>35000</v>
      </c>
      <c r="N614" s="8">
        <f>+M614*L614</f>
        <v>140000</v>
      </c>
      <c r="Q614" s="5">
        <f>+N614</f>
        <v>140000</v>
      </c>
      <c r="R614" s="40" t="s">
        <v>452</v>
      </c>
      <c r="S614" s="4" t="s">
        <v>346</v>
      </c>
    </row>
    <row r="615" spans="2:19" ht="24" customHeight="1" x14ac:dyDescent="0.4"/>
    <row r="616" spans="2:19" ht="24" customHeight="1" x14ac:dyDescent="0.4">
      <c r="B616" s="8" t="s">
        <v>26</v>
      </c>
      <c r="C616" s="8" t="s">
        <v>27</v>
      </c>
      <c r="D616" s="15" t="s">
        <v>23</v>
      </c>
      <c r="H616" s="4">
        <v>842</v>
      </c>
      <c r="I616" s="22" t="s">
        <v>603</v>
      </c>
      <c r="J616" s="4">
        <v>3.11</v>
      </c>
      <c r="K616" s="4" t="s">
        <v>300</v>
      </c>
      <c r="L616" s="56">
        <v>10</v>
      </c>
      <c r="M616" s="68">
        <v>19000</v>
      </c>
      <c r="N616" s="8">
        <f>+M616*L616</f>
        <v>190000</v>
      </c>
      <c r="O616" s="5">
        <f>+N616/1.1</f>
        <v>172727.27272727271</v>
      </c>
      <c r="P616" s="5">
        <f>+N616-O616</f>
        <v>17272.727272727294</v>
      </c>
      <c r="Q616" s="5">
        <f>+N616</f>
        <v>190000</v>
      </c>
      <c r="S616" s="7" t="s">
        <v>604</v>
      </c>
    </row>
    <row r="617" spans="2:19" ht="24" customHeight="1" x14ac:dyDescent="0.4">
      <c r="B617" s="8" t="s">
        <v>26</v>
      </c>
      <c r="C617" s="8" t="s">
        <v>27</v>
      </c>
      <c r="D617" s="15" t="s">
        <v>23</v>
      </c>
      <c r="H617" s="4">
        <v>550</v>
      </c>
      <c r="I617" s="21" t="s">
        <v>48</v>
      </c>
      <c r="J617" s="4">
        <v>3.11</v>
      </c>
      <c r="K617" s="4" t="s">
        <v>605</v>
      </c>
      <c r="L617" s="67">
        <v>-1</v>
      </c>
      <c r="M617" s="68">
        <f>6000+3000</f>
        <v>9000</v>
      </c>
      <c r="N617" s="8">
        <f>+M617*L617</f>
        <v>-9000</v>
      </c>
      <c r="O617" s="5">
        <f>+N617/1.1</f>
        <v>-8181.8181818181811</v>
      </c>
      <c r="P617" s="5">
        <f>+N617-O617</f>
        <v>-818.18181818181893</v>
      </c>
      <c r="Q617" s="5">
        <f>+N617</f>
        <v>-9000</v>
      </c>
      <c r="R617" s="85" t="s">
        <v>606</v>
      </c>
      <c r="S617" s="7" t="s">
        <v>51</v>
      </c>
    </row>
    <row r="618" spans="2:19" ht="24" customHeight="1" x14ac:dyDescent="0.4">
      <c r="B618" s="8" t="s">
        <v>26</v>
      </c>
      <c r="C618" s="8" t="s">
        <v>27</v>
      </c>
      <c r="D618" s="16" t="s">
        <v>28</v>
      </c>
      <c r="H618" s="4">
        <v>602</v>
      </c>
      <c r="I618" s="21" t="s">
        <v>375</v>
      </c>
      <c r="J618" s="4">
        <v>3.11</v>
      </c>
      <c r="K618" s="8" t="s">
        <v>607</v>
      </c>
      <c r="L618" s="63">
        <v>1</v>
      </c>
      <c r="M618" s="68">
        <f>20000+3000</f>
        <v>23000</v>
      </c>
      <c r="N618" s="8">
        <f>+M618*L618</f>
        <v>23000</v>
      </c>
      <c r="Q618" s="5">
        <f>+N618</f>
        <v>23000</v>
      </c>
      <c r="R618" s="40" t="s">
        <v>58</v>
      </c>
      <c r="S618" s="7" t="s">
        <v>377</v>
      </c>
    </row>
    <row r="619" spans="2:19" ht="24" customHeight="1" x14ac:dyDescent="0.4">
      <c r="B619" s="8" t="s">
        <v>26</v>
      </c>
      <c r="C619" s="8" t="s">
        <v>27</v>
      </c>
      <c r="D619" s="16" t="s">
        <v>28</v>
      </c>
      <c r="H619" s="4">
        <v>550</v>
      </c>
      <c r="I619" s="21" t="s">
        <v>48</v>
      </c>
      <c r="J619" s="4">
        <v>3.11</v>
      </c>
      <c r="K619" s="32" t="s">
        <v>608</v>
      </c>
      <c r="L619" s="32">
        <v>1</v>
      </c>
      <c r="M619" s="68">
        <f>12000+3000</f>
        <v>15000</v>
      </c>
      <c r="N619" s="8">
        <f>+M619*L619</f>
        <v>15000</v>
      </c>
      <c r="Q619" s="5">
        <f>+N619</f>
        <v>15000</v>
      </c>
      <c r="R619" s="4" t="s">
        <v>58</v>
      </c>
      <c r="S619" s="7" t="s">
        <v>51</v>
      </c>
    </row>
    <row r="620" spans="2:19" ht="24" customHeight="1" x14ac:dyDescent="0.4">
      <c r="B620" s="8" t="s">
        <v>26</v>
      </c>
      <c r="C620" s="8" t="s">
        <v>27</v>
      </c>
      <c r="D620" s="16" t="s">
        <v>28</v>
      </c>
      <c r="H620" s="4">
        <v>532</v>
      </c>
      <c r="I620" s="21" t="s">
        <v>129</v>
      </c>
      <c r="J620" s="4">
        <v>3.11</v>
      </c>
      <c r="K620" s="32" t="s">
        <v>609</v>
      </c>
      <c r="L620" s="63">
        <v>1</v>
      </c>
      <c r="M620" s="68">
        <f>12000+3000</f>
        <v>15000</v>
      </c>
      <c r="N620" s="8">
        <f>+M620*L620</f>
        <v>15000</v>
      </c>
      <c r="Q620" s="5">
        <f>+N620</f>
        <v>15000</v>
      </c>
      <c r="R620" s="4" t="s">
        <v>58</v>
      </c>
      <c r="S620" s="7" t="s">
        <v>131</v>
      </c>
    </row>
    <row r="621" spans="2:19" ht="24" customHeight="1" x14ac:dyDescent="0.4">
      <c r="B621" s="8" t="s">
        <v>26</v>
      </c>
      <c r="C621" s="8" t="s">
        <v>27</v>
      </c>
      <c r="D621" s="16" t="s">
        <v>28</v>
      </c>
      <c r="H621" s="4">
        <v>532</v>
      </c>
      <c r="I621" s="21" t="s">
        <v>129</v>
      </c>
      <c r="J621" s="4">
        <v>3.11</v>
      </c>
      <c r="K621" s="32" t="s">
        <v>610</v>
      </c>
      <c r="L621" s="63">
        <v>1</v>
      </c>
      <c r="M621" s="68">
        <f>12000+3000</f>
        <v>15000</v>
      </c>
      <c r="N621" s="8">
        <f>+M621*L621</f>
        <v>15000</v>
      </c>
      <c r="Q621" s="5">
        <f>+N621</f>
        <v>15000</v>
      </c>
      <c r="R621" s="4" t="s">
        <v>58</v>
      </c>
      <c r="S621" s="7" t="s">
        <v>131</v>
      </c>
    </row>
    <row r="622" spans="2:19" ht="24" customHeight="1" x14ac:dyDescent="0.4">
      <c r="B622" s="8" t="s">
        <v>26</v>
      </c>
      <c r="C622" s="8" t="s">
        <v>27</v>
      </c>
      <c r="D622" s="15" t="s">
        <v>23</v>
      </c>
      <c r="H622" s="4">
        <v>782</v>
      </c>
      <c r="I622" s="21" t="s">
        <v>197</v>
      </c>
      <c r="J622" s="4">
        <v>3.11</v>
      </c>
      <c r="K622" s="36" t="s">
        <v>611</v>
      </c>
      <c r="L622" s="56">
        <v>140</v>
      </c>
      <c r="M622" s="71">
        <v>6000</v>
      </c>
      <c r="N622" s="8">
        <f>+M622*L622</f>
        <v>840000</v>
      </c>
      <c r="O622" s="5">
        <f>+N622/1.1</f>
        <v>763636.36363636353</v>
      </c>
      <c r="P622" s="5">
        <f>+N622-O622</f>
        <v>76363.636363636469</v>
      </c>
      <c r="Q622" s="5">
        <f>+N622</f>
        <v>840000</v>
      </c>
      <c r="S622" s="28" t="s">
        <v>199</v>
      </c>
    </row>
    <row r="623" spans="2:19" ht="24" customHeight="1" x14ac:dyDescent="0.4"/>
    <row r="624" spans="2:19" ht="24" customHeight="1" x14ac:dyDescent="0.4">
      <c r="B624" s="8" t="s">
        <v>85</v>
      </c>
      <c r="C624" s="8" t="s">
        <v>27</v>
      </c>
      <c r="D624" s="15" t="s">
        <v>23</v>
      </c>
      <c r="H624" s="4">
        <v>692</v>
      </c>
      <c r="I624" s="22" t="s">
        <v>612</v>
      </c>
      <c r="J624" s="4">
        <v>3.15</v>
      </c>
      <c r="K624" s="7" t="s">
        <v>159</v>
      </c>
      <c r="L624" s="65">
        <v>300</v>
      </c>
      <c r="M624" s="69">
        <f>6000-500</f>
        <v>5500</v>
      </c>
      <c r="N624" s="8">
        <f>+M624*L624</f>
        <v>1650000</v>
      </c>
      <c r="O624" s="5">
        <f>+N624/1.1</f>
        <v>1499999.9999999998</v>
      </c>
      <c r="P624" s="5">
        <f>+N624-O624</f>
        <v>150000.00000000023</v>
      </c>
      <c r="Q624" s="5">
        <f>+N624</f>
        <v>1650000</v>
      </c>
      <c r="S624" s="4" t="s">
        <v>523</v>
      </c>
    </row>
    <row r="625" spans="2:19" ht="24" customHeight="1" x14ac:dyDescent="0.4">
      <c r="B625" s="8" t="s">
        <v>85</v>
      </c>
      <c r="C625" s="8" t="s">
        <v>27</v>
      </c>
      <c r="D625" s="15" t="s">
        <v>23</v>
      </c>
      <c r="H625" s="4">
        <v>692</v>
      </c>
      <c r="I625" s="22" t="s">
        <v>612</v>
      </c>
      <c r="J625" s="4">
        <v>3.15</v>
      </c>
      <c r="K625" s="7" t="s">
        <v>159</v>
      </c>
      <c r="L625" s="65">
        <v>340</v>
      </c>
      <c r="M625" s="69">
        <f>6000-500</f>
        <v>5500</v>
      </c>
      <c r="N625" s="8">
        <f>+M625*L625</f>
        <v>1870000</v>
      </c>
      <c r="O625" s="5">
        <f>+N625/1.1</f>
        <v>1699999.9999999998</v>
      </c>
      <c r="P625" s="5">
        <f>+N625-O625</f>
        <v>170000.00000000023</v>
      </c>
      <c r="Q625" s="5">
        <f>+N625</f>
        <v>1870000</v>
      </c>
      <c r="S625" s="4" t="s">
        <v>523</v>
      </c>
    </row>
    <row r="626" spans="2:19" ht="24" customHeight="1" x14ac:dyDescent="0.4"/>
    <row r="627" spans="2:19" ht="24" customHeight="1" x14ac:dyDescent="0.4">
      <c r="B627" s="8" t="s">
        <v>26</v>
      </c>
      <c r="C627" s="8" t="s">
        <v>27</v>
      </c>
      <c r="D627" s="16" t="s">
        <v>28</v>
      </c>
      <c r="H627" s="4">
        <v>1870</v>
      </c>
      <c r="I627" s="21" t="s">
        <v>90</v>
      </c>
      <c r="K627" s="32" t="s">
        <v>613</v>
      </c>
      <c r="L627" s="63">
        <v>1</v>
      </c>
      <c r="M627" s="68">
        <f>12000+3000</f>
        <v>15000</v>
      </c>
      <c r="N627" s="8">
        <f>+M627*L627</f>
        <v>15000</v>
      </c>
      <c r="Q627" s="5">
        <f>+N627</f>
        <v>15000</v>
      </c>
      <c r="R627" s="76" t="s">
        <v>58</v>
      </c>
      <c r="S627" s="7" t="s">
        <v>470</v>
      </c>
    </row>
    <row r="628" spans="2:19" ht="24" customHeight="1" x14ac:dyDescent="0.4">
      <c r="B628" s="8" t="s">
        <v>26</v>
      </c>
      <c r="C628" s="8" t="s">
        <v>27</v>
      </c>
      <c r="D628" s="16" t="s">
        <v>28</v>
      </c>
      <c r="H628" s="4">
        <v>1025</v>
      </c>
      <c r="I628" s="21" t="s">
        <v>320</v>
      </c>
      <c r="K628" s="32" t="s">
        <v>614</v>
      </c>
      <c r="L628" s="32">
        <v>1</v>
      </c>
      <c r="M628" s="68">
        <f>12000+3000</f>
        <v>15000</v>
      </c>
      <c r="N628" s="8">
        <f>+M628*L628</f>
        <v>15000</v>
      </c>
      <c r="Q628" s="5">
        <f>+N628</f>
        <v>15000</v>
      </c>
      <c r="R628" s="4" t="s">
        <v>58</v>
      </c>
      <c r="S628" s="7" t="s">
        <v>322</v>
      </c>
    </row>
    <row r="629" spans="2:19" ht="24" customHeight="1" x14ac:dyDescent="0.4">
      <c r="B629" s="8" t="s">
        <v>26</v>
      </c>
      <c r="C629" s="8" t="s">
        <v>27</v>
      </c>
      <c r="D629" s="16" t="s">
        <v>28</v>
      </c>
      <c r="H629" s="4">
        <v>1870</v>
      </c>
      <c r="I629" s="21" t="s">
        <v>90</v>
      </c>
      <c r="K629" s="32" t="s">
        <v>615</v>
      </c>
      <c r="L629" s="63">
        <v>1</v>
      </c>
      <c r="M629" s="68">
        <f>12000+3000</f>
        <v>15000</v>
      </c>
      <c r="N629" s="8">
        <f>+M629*L629</f>
        <v>15000</v>
      </c>
      <c r="Q629" s="5">
        <f>+N629</f>
        <v>15000</v>
      </c>
      <c r="R629" s="4" t="s">
        <v>58</v>
      </c>
      <c r="S629" s="7" t="s">
        <v>470</v>
      </c>
    </row>
    <row r="630" spans="2:19" ht="24" customHeight="1" x14ac:dyDescent="0.4">
      <c r="B630" s="8" t="s">
        <v>26</v>
      </c>
      <c r="C630" s="8" t="s">
        <v>27</v>
      </c>
      <c r="D630" s="16" t="s">
        <v>28</v>
      </c>
      <c r="H630" s="4">
        <v>602</v>
      </c>
      <c r="I630" s="21" t="s">
        <v>375</v>
      </c>
      <c r="K630" s="8" t="s">
        <v>616</v>
      </c>
      <c r="L630" s="63">
        <v>1</v>
      </c>
      <c r="M630" s="68">
        <v>23000</v>
      </c>
      <c r="N630" s="8">
        <f>+M630*L630</f>
        <v>23000</v>
      </c>
      <c r="Q630" s="5">
        <f>+N630</f>
        <v>23000</v>
      </c>
      <c r="R630" s="40" t="s">
        <v>58</v>
      </c>
      <c r="S630" s="7" t="s">
        <v>377</v>
      </c>
    </row>
    <row r="631" spans="2:19" ht="24" customHeight="1" x14ac:dyDescent="0.4">
      <c r="B631" s="8" t="s">
        <v>26</v>
      </c>
      <c r="C631" s="8" t="s">
        <v>27</v>
      </c>
      <c r="D631" s="16" t="s">
        <v>28</v>
      </c>
      <c r="H631" s="4">
        <v>540</v>
      </c>
      <c r="I631" s="21" t="s">
        <v>414</v>
      </c>
      <c r="K631" s="32" t="s">
        <v>614</v>
      </c>
      <c r="L631" s="63">
        <v>1</v>
      </c>
      <c r="M631" s="68">
        <f>12000+3000</f>
        <v>15000</v>
      </c>
      <c r="N631" s="8">
        <f>+M631*L631</f>
        <v>15000</v>
      </c>
      <c r="Q631" s="5">
        <f>+N631</f>
        <v>15000</v>
      </c>
      <c r="R631" s="4" t="s">
        <v>58</v>
      </c>
      <c r="S631" s="7" t="s">
        <v>416</v>
      </c>
    </row>
    <row r="632" spans="2:19" ht="24" customHeight="1" x14ac:dyDescent="0.4">
      <c r="B632" s="8" t="s">
        <v>26</v>
      </c>
      <c r="C632" s="8" t="s">
        <v>27</v>
      </c>
      <c r="D632" s="16" t="s">
        <v>28</v>
      </c>
      <c r="H632" s="4">
        <v>602</v>
      </c>
      <c r="I632" s="21" t="s">
        <v>375</v>
      </c>
      <c r="K632" s="8" t="s">
        <v>617</v>
      </c>
      <c r="L632" s="63">
        <v>1</v>
      </c>
      <c r="M632" s="68">
        <v>23000</v>
      </c>
      <c r="N632" s="8">
        <f>+M632*L632</f>
        <v>23000</v>
      </c>
      <c r="Q632" s="5">
        <f>+N632</f>
        <v>23000</v>
      </c>
      <c r="R632" s="40" t="s">
        <v>58</v>
      </c>
      <c r="S632" s="7" t="s">
        <v>377</v>
      </c>
    </row>
    <row r="633" spans="2:19" ht="24" customHeight="1" x14ac:dyDescent="0.4">
      <c r="B633" s="8" t="s">
        <v>26</v>
      </c>
      <c r="C633" s="8" t="s">
        <v>27</v>
      </c>
      <c r="D633" s="16" t="s">
        <v>28</v>
      </c>
      <c r="H633" s="4">
        <v>148</v>
      </c>
      <c r="I633" s="21" t="s">
        <v>115</v>
      </c>
      <c r="K633" s="32" t="s">
        <v>618</v>
      </c>
      <c r="L633" s="63">
        <v>1</v>
      </c>
      <c r="M633" s="68">
        <f>12000+3000</f>
        <v>15000</v>
      </c>
      <c r="N633" s="8">
        <f>+M633*L633</f>
        <v>15000</v>
      </c>
      <c r="Q633" s="5">
        <f>+N633</f>
        <v>15000</v>
      </c>
      <c r="R633" s="4" t="s">
        <v>58</v>
      </c>
      <c r="S633" s="7" t="s">
        <v>117</v>
      </c>
    </row>
    <row r="634" spans="2:19" ht="24" customHeight="1" x14ac:dyDescent="0.4">
      <c r="B634" s="8" t="s">
        <v>26</v>
      </c>
      <c r="C634" s="8" t="s">
        <v>27</v>
      </c>
      <c r="D634" s="16" t="s">
        <v>28</v>
      </c>
      <c r="H634" s="4">
        <v>930</v>
      </c>
      <c r="I634" s="21" t="s">
        <v>392</v>
      </c>
      <c r="K634" s="8" t="s">
        <v>619</v>
      </c>
      <c r="L634" s="63">
        <v>1</v>
      </c>
      <c r="M634" s="68">
        <v>23000</v>
      </c>
      <c r="N634" s="8">
        <f>+M634*L634</f>
        <v>23000</v>
      </c>
      <c r="Q634" s="5">
        <f>+N634</f>
        <v>23000</v>
      </c>
      <c r="R634" s="40" t="s">
        <v>58</v>
      </c>
      <c r="S634" s="7" t="s">
        <v>394</v>
      </c>
    </row>
    <row r="635" spans="2:19" ht="24" customHeight="1" x14ac:dyDescent="0.4">
      <c r="B635" s="8" t="s">
        <v>26</v>
      </c>
      <c r="C635" s="8" t="s">
        <v>27</v>
      </c>
      <c r="D635" s="16" t="s">
        <v>28</v>
      </c>
      <c r="H635" s="4">
        <v>532</v>
      </c>
      <c r="I635" s="21" t="s">
        <v>129</v>
      </c>
      <c r="K635" s="32" t="s">
        <v>620</v>
      </c>
      <c r="L635" s="63">
        <v>1</v>
      </c>
      <c r="M635" s="68">
        <f>12000+3000</f>
        <v>15000</v>
      </c>
      <c r="N635" s="8">
        <f>+M635*L635</f>
        <v>15000</v>
      </c>
      <c r="Q635" s="5">
        <f>+N635</f>
        <v>15000</v>
      </c>
      <c r="R635" s="4" t="s">
        <v>58</v>
      </c>
      <c r="S635" s="7" t="s">
        <v>131</v>
      </c>
    </row>
    <row r="636" spans="2:19" ht="24" customHeight="1" x14ac:dyDescent="0.4">
      <c r="B636" s="8" t="s">
        <v>26</v>
      </c>
      <c r="C636" s="8" t="s">
        <v>27</v>
      </c>
      <c r="D636" s="16" t="s">
        <v>28</v>
      </c>
      <c r="H636" s="4">
        <v>532</v>
      </c>
      <c r="I636" s="21" t="s">
        <v>129</v>
      </c>
      <c r="K636" s="32" t="s">
        <v>621</v>
      </c>
      <c r="L636" s="63">
        <v>1</v>
      </c>
      <c r="M636" s="68">
        <f>12000+3000</f>
        <v>15000</v>
      </c>
      <c r="N636" s="8">
        <f>+M636*L636</f>
        <v>15000</v>
      </c>
      <c r="Q636" s="5">
        <f>+N636</f>
        <v>15000</v>
      </c>
      <c r="R636" s="4" t="s">
        <v>58</v>
      </c>
      <c r="S636" s="7" t="s">
        <v>131</v>
      </c>
    </row>
    <row r="637" spans="2:19" ht="24" customHeight="1" x14ac:dyDescent="0.4">
      <c r="B637" s="8" t="s">
        <v>26</v>
      </c>
      <c r="C637" s="8" t="s">
        <v>27</v>
      </c>
      <c r="D637" s="16" t="s">
        <v>28</v>
      </c>
      <c r="H637" s="4">
        <v>148</v>
      </c>
      <c r="I637" s="21" t="s">
        <v>115</v>
      </c>
      <c r="K637" s="32" t="s">
        <v>622</v>
      </c>
      <c r="L637" s="63">
        <v>1</v>
      </c>
      <c r="M637" s="68">
        <f>12000+3000</f>
        <v>15000</v>
      </c>
      <c r="N637" s="8">
        <f>+M637*L637</f>
        <v>15000</v>
      </c>
      <c r="Q637" s="5">
        <f>+N637</f>
        <v>15000</v>
      </c>
      <c r="R637" s="4" t="s">
        <v>58</v>
      </c>
      <c r="S637" s="7" t="s">
        <v>117</v>
      </c>
    </row>
    <row r="638" spans="2:19" ht="24" customHeight="1" x14ac:dyDescent="0.4">
      <c r="B638" s="8" t="s">
        <v>26</v>
      </c>
      <c r="C638" s="8" t="s">
        <v>27</v>
      </c>
      <c r="D638" s="16" t="s">
        <v>28</v>
      </c>
      <c r="H638" s="4">
        <v>550</v>
      </c>
      <c r="I638" s="21" t="s">
        <v>48</v>
      </c>
      <c r="K638" s="32" t="s">
        <v>623</v>
      </c>
      <c r="L638" s="32">
        <v>1</v>
      </c>
      <c r="M638" s="68">
        <f>12000+3000</f>
        <v>15000</v>
      </c>
      <c r="N638" s="8">
        <f>+M638*L638</f>
        <v>15000</v>
      </c>
      <c r="Q638" s="5">
        <f>+N638</f>
        <v>15000</v>
      </c>
      <c r="R638" s="4" t="s">
        <v>58</v>
      </c>
      <c r="S638" s="7" t="s">
        <v>51</v>
      </c>
    </row>
    <row r="639" spans="2:19" ht="24" customHeight="1" x14ac:dyDescent="0.4">
      <c r="B639" s="8" t="s">
        <v>26</v>
      </c>
      <c r="C639" s="8" t="s">
        <v>27</v>
      </c>
      <c r="D639" s="16" t="s">
        <v>28</v>
      </c>
      <c r="H639" s="4">
        <v>1324</v>
      </c>
      <c r="I639" s="21" t="s">
        <v>96</v>
      </c>
      <c r="K639" s="61" t="s">
        <v>624</v>
      </c>
      <c r="L639" s="32">
        <v>1</v>
      </c>
      <c r="M639" s="68">
        <f>20000+3000</f>
        <v>23000</v>
      </c>
      <c r="N639" s="8">
        <f>+M639*L639</f>
        <v>23000</v>
      </c>
      <c r="Q639" s="5">
        <f>+N639</f>
        <v>23000</v>
      </c>
      <c r="R639" s="4" t="s">
        <v>58</v>
      </c>
      <c r="S639" s="7" t="s">
        <v>97</v>
      </c>
    </row>
    <row r="640" spans="2:19" ht="24" customHeight="1" x14ac:dyDescent="0.4">
      <c r="B640" s="8" t="s">
        <v>26</v>
      </c>
      <c r="C640" s="8" t="s">
        <v>27</v>
      </c>
      <c r="D640" s="16" t="s">
        <v>28</v>
      </c>
      <c r="H640" s="4">
        <v>1324</v>
      </c>
      <c r="I640" s="21" t="s">
        <v>96</v>
      </c>
      <c r="K640" s="61" t="s">
        <v>625</v>
      </c>
      <c r="L640" s="32">
        <v>1</v>
      </c>
      <c r="M640" s="68">
        <f>20000+3000</f>
        <v>23000</v>
      </c>
      <c r="N640" s="8">
        <f>+M640*L640</f>
        <v>23000</v>
      </c>
      <c r="Q640" s="5">
        <f>+N640</f>
        <v>23000</v>
      </c>
      <c r="R640" s="4" t="s">
        <v>58</v>
      </c>
      <c r="S640" s="7" t="s">
        <v>97</v>
      </c>
    </row>
    <row r="641" spans="2:19" ht="24" customHeight="1" x14ac:dyDescent="0.4">
      <c r="B641" s="8" t="s">
        <v>26</v>
      </c>
      <c r="C641" s="8" t="s">
        <v>27</v>
      </c>
      <c r="D641" s="16" t="s">
        <v>28</v>
      </c>
      <c r="H641" s="4">
        <v>930</v>
      </c>
      <c r="I641" s="21" t="s">
        <v>392</v>
      </c>
      <c r="K641" s="8" t="s">
        <v>626</v>
      </c>
      <c r="L641" s="63">
        <v>1</v>
      </c>
      <c r="M641" s="68">
        <f>20000+3000</f>
        <v>23000</v>
      </c>
      <c r="N641" s="8">
        <f>+M641*L641</f>
        <v>23000</v>
      </c>
      <c r="Q641" s="5">
        <f>+N641</f>
        <v>23000</v>
      </c>
      <c r="R641" s="40" t="s">
        <v>58</v>
      </c>
      <c r="S641" s="7" t="s">
        <v>394</v>
      </c>
    </row>
    <row r="642" spans="2:19" ht="24" customHeight="1" x14ac:dyDescent="0.4">
      <c r="B642" s="8" t="s">
        <v>26</v>
      </c>
      <c r="C642" s="8" t="s">
        <v>27</v>
      </c>
      <c r="D642" s="16" t="s">
        <v>28</v>
      </c>
      <c r="H642" s="4">
        <v>930</v>
      </c>
      <c r="I642" s="21" t="s">
        <v>392</v>
      </c>
      <c r="K642" s="8" t="s">
        <v>627</v>
      </c>
      <c r="L642" s="63">
        <v>1</v>
      </c>
      <c r="M642" s="68">
        <f>20000+3000</f>
        <v>23000</v>
      </c>
      <c r="N642" s="8">
        <f>+M642*L642</f>
        <v>23000</v>
      </c>
      <c r="Q642" s="5">
        <f>+N642</f>
        <v>23000</v>
      </c>
      <c r="R642" s="40" t="s">
        <v>58</v>
      </c>
      <c r="S642" s="7" t="s">
        <v>394</v>
      </c>
    </row>
    <row r="643" spans="2:19" ht="24" customHeight="1" x14ac:dyDescent="0.4">
      <c r="B643" s="8" t="s">
        <v>26</v>
      </c>
      <c r="C643" s="8" t="s">
        <v>27</v>
      </c>
      <c r="D643" s="16" t="s">
        <v>28</v>
      </c>
      <c r="H643" s="4">
        <v>532</v>
      </c>
      <c r="I643" s="21" t="s">
        <v>129</v>
      </c>
      <c r="K643" s="32" t="s">
        <v>628</v>
      </c>
      <c r="L643" s="63">
        <v>1</v>
      </c>
      <c r="M643" s="68">
        <v>15000</v>
      </c>
      <c r="N643" s="8">
        <f>+M643*L643</f>
        <v>15000</v>
      </c>
      <c r="Q643" s="5">
        <f>+N643</f>
        <v>15000</v>
      </c>
      <c r="R643" s="4" t="s">
        <v>58</v>
      </c>
      <c r="S643" s="7" t="s">
        <v>131</v>
      </c>
    </row>
    <row r="644" spans="2:19" ht="24" customHeight="1" x14ac:dyDescent="0.4">
      <c r="B644" s="8" t="s">
        <v>26</v>
      </c>
      <c r="C644" s="8" t="s">
        <v>27</v>
      </c>
      <c r="D644" s="16" t="s">
        <v>28</v>
      </c>
      <c r="H644" s="4">
        <v>930</v>
      </c>
      <c r="I644" s="21" t="s">
        <v>392</v>
      </c>
      <c r="K644" s="8" t="s">
        <v>629</v>
      </c>
      <c r="L644" s="63">
        <v>1</v>
      </c>
      <c r="M644" s="68">
        <f>20000+3000</f>
        <v>23000</v>
      </c>
      <c r="N644" s="8">
        <f>+M644*L644</f>
        <v>23000</v>
      </c>
      <c r="Q644" s="5">
        <f>+N644</f>
        <v>23000</v>
      </c>
      <c r="R644" s="40" t="s">
        <v>58</v>
      </c>
      <c r="S644" s="7" t="s">
        <v>394</v>
      </c>
    </row>
    <row r="645" spans="2:19" ht="24" customHeight="1" x14ac:dyDescent="0.4">
      <c r="B645" s="8" t="s">
        <v>26</v>
      </c>
      <c r="C645" s="8" t="s">
        <v>27</v>
      </c>
      <c r="D645" s="16" t="s">
        <v>28</v>
      </c>
      <c r="H645" s="4">
        <v>148</v>
      </c>
      <c r="I645" s="21" t="s">
        <v>115</v>
      </c>
      <c r="K645" s="32" t="s">
        <v>630</v>
      </c>
      <c r="L645" s="63">
        <v>1</v>
      </c>
      <c r="M645" s="68">
        <f>12000+3000</f>
        <v>15000</v>
      </c>
      <c r="N645" s="8">
        <f>+M645*L645</f>
        <v>15000</v>
      </c>
      <c r="Q645" s="5">
        <f>+N645</f>
        <v>15000</v>
      </c>
      <c r="R645" s="4" t="s">
        <v>58</v>
      </c>
      <c r="S645" s="7" t="s">
        <v>117</v>
      </c>
    </row>
    <row r="646" spans="2:19" ht="24" customHeight="1" x14ac:dyDescent="0.4">
      <c r="B646" s="8" t="s">
        <v>26</v>
      </c>
      <c r="C646" s="8" t="s">
        <v>27</v>
      </c>
      <c r="D646" s="16" t="s">
        <v>28</v>
      </c>
      <c r="H646" s="4">
        <v>550</v>
      </c>
      <c r="I646" s="21" t="s">
        <v>48</v>
      </c>
      <c r="K646" s="32" t="s">
        <v>631</v>
      </c>
      <c r="L646" s="32">
        <v>1</v>
      </c>
      <c r="M646" s="68">
        <f>12000+3000</f>
        <v>15000</v>
      </c>
      <c r="N646" s="8">
        <f>+M646*L646</f>
        <v>15000</v>
      </c>
      <c r="Q646" s="5">
        <f>+N646</f>
        <v>15000</v>
      </c>
      <c r="R646" s="4" t="s">
        <v>58</v>
      </c>
      <c r="S646" s="7" t="s">
        <v>51</v>
      </c>
    </row>
    <row r="647" spans="2:19" ht="24" customHeight="1" x14ac:dyDescent="0.4"/>
    <row r="648" spans="2:19" ht="24" customHeight="1" x14ac:dyDescent="0.4">
      <c r="B648" s="8" t="s">
        <v>85</v>
      </c>
      <c r="C648" s="8" t="s">
        <v>27</v>
      </c>
      <c r="D648" s="15" t="s">
        <v>23</v>
      </c>
      <c r="H648" s="4">
        <v>692</v>
      </c>
      <c r="I648" s="22" t="s">
        <v>612</v>
      </c>
      <c r="J648" s="4">
        <v>3.16</v>
      </c>
      <c r="K648" s="7" t="s">
        <v>632</v>
      </c>
      <c r="L648" s="65">
        <v>188</v>
      </c>
      <c r="M648" s="69">
        <f>6000-500</f>
        <v>5500</v>
      </c>
      <c r="N648" s="8">
        <f>+M648*L648</f>
        <v>1034000</v>
      </c>
      <c r="O648" s="5">
        <f>+N648/1.1</f>
        <v>939999.99999999988</v>
      </c>
      <c r="P648" s="5">
        <f>+N648-O648</f>
        <v>94000.000000000116</v>
      </c>
      <c r="Q648" s="5">
        <f>+N648</f>
        <v>1034000</v>
      </c>
      <c r="S648" s="4" t="s">
        <v>523</v>
      </c>
    </row>
    <row r="649" spans="2:19" ht="24" customHeight="1" x14ac:dyDescent="0.4">
      <c r="B649" s="8" t="s">
        <v>26</v>
      </c>
      <c r="C649" s="8" t="s">
        <v>27</v>
      </c>
      <c r="D649" s="15" t="s">
        <v>23</v>
      </c>
      <c r="H649" s="4">
        <v>1324</v>
      </c>
      <c r="I649" s="21" t="s">
        <v>96</v>
      </c>
      <c r="J649" s="4">
        <v>3.16</v>
      </c>
      <c r="K649" s="33" t="s">
        <v>633</v>
      </c>
      <c r="L649" s="56">
        <v>1</v>
      </c>
      <c r="M649" s="68">
        <f>10000+12000</f>
        <v>22000</v>
      </c>
      <c r="N649" s="8">
        <f>+M649*L649</f>
        <v>22000</v>
      </c>
      <c r="O649" s="5">
        <f>+N649/1.1</f>
        <v>20000</v>
      </c>
      <c r="P649" s="5">
        <f>+N649-O649</f>
        <v>2000</v>
      </c>
      <c r="Q649" s="5">
        <f>+N649</f>
        <v>22000</v>
      </c>
      <c r="R649" s="40" t="s">
        <v>521</v>
      </c>
      <c r="S649" s="7" t="s">
        <v>97</v>
      </c>
    </row>
    <row r="650" spans="2:19" ht="24" customHeight="1" x14ac:dyDescent="0.4"/>
    <row r="651" spans="2:19" ht="24" customHeight="1" x14ac:dyDescent="0.4">
      <c r="B651" s="8" t="s">
        <v>26</v>
      </c>
      <c r="C651" s="8" t="s">
        <v>27</v>
      </c>
      <c r="D651" s="16" t="s">
        <v>28</v>
      </c>
      <c r="H651" s="4">
        <v>1870</v>
      </c>
      <c r="I651" s="21" t="s">
        <v>90</v>
      </c>
      <c r="J651" s="4">
        <v>3.17</v>
      </c>
      <c r="K651" s="4" t="s">
        <v>531</v>
      </c>
      <c r="L651" s="56">
        <v>20</v>
      </c>
      <c r="M651" s="68">
        <v>5000</v>
      </c>
      <c r="N651" s="8">
        <f>+M651*L651</f>
        <v>100000</v>
      </c>
      <c r="Q651" s="5">
        <f>+N651</f>
        <v>100000</v>
      </c>
      <c r="S651" s="4" t="s">
        <v>470</v>
      </c>
    </row>
    <row r="652" spans="2:19" ht="24" customHeight="1" x14ac:dyDescent="0.4"/>
    <row r="653" spans="2:19" ht="24" customHeight="1" x14ac:dyDescent="0.4">
      <c r="B653" s="8" t="s">
        <v>26</v>
      </c>
      <c r="C653" s="8" t="s">
        <v>27</v>
      </c>
      <c r="D653" s="16" t="s">
        <v>28</v>
      </c>
      <c r="H653" s="4">
        <v>532</v>
      </c>
      <c r="I653" s="21" t="s">
        <v>129</v>
      </c>
      <c r="J653" s="4">
        <v>3.18</v>
      </c>
      <c r="K653" s="32" t="s">
        <v>634</v>
      </c>
      <c r="L653" s="63">
        <v>3</v>
      </c>
      <c r="M653" s="68">
        <f>12000+3000</f>
        <v>15000</v>
      </c>
      <c r="N653" s="8">
        <f>+M653*L653</f>
        <v>45000</v>
      </c>
      <c r="Q653" s="5">
        <f>+N653</f>
        <v>45000</v>
      </c>
      <c r="R653" s="4" t="s">
        <v>58</v>
      </c>
      <c r="S653" s="7" t="s">
        <v>131</v>
      </c>
    </row>
    <row r="654" spans="2:19" ht="24" customHeight="1" x14ac:dyDescent="0.4"/>
    <row r="655" spans="2:19" ht="24" customHeight="1" x14ac:dyDescent="0.4">
      <c r="B655" s="7" t="s">
        <v>157</v>
      </c>
      <c r="C655" s="8" t="s">
        <v>27</v>
      </c>
      <c r="D655" s="15" t="s">
        <v>23</v>
      </c>
      <c r="H655" s="4">
        <v>209</v>
      </c>
      <c r="I655" s="21" t="s">
        <v>158</v>
      </c>
      <c r="J655" s="4">
        <v>3.21</v>
      </c>
      <c r="K655" s="4" t="s">
        <v>304</v>
      </c>
      <c r="L655" s="56">
        <v>120</v>
      </c>
      <c r="M655" s="68">
        <v>6000</v>
      </c>
      <c r="N655" s="8">
        <f>+M655*L655</f>
        <v>720000</v>
      </c>
      <c r="O655" s="5">
        <f>+N655/1.1</f>
        <v>654545.45454545447</v>
      </c>
      <c r="P655" s="5">
        <f>+N655-O655</f>
        <v>65454.545454545529</v>
      </c>
      <c r="Q655" s="5">
        <f>+N655</f>
        <v>720000</v>
      </c>
      <c r="S655" s="4" t="s">
        <v>635</v>
      </c>
    </row>
    <row r="656" spans="2:19" ht="24" customHeight="1" x14ac:dyDescent="0.4">
      <c r="B656" s="8" t="s">
        <v>26</v>
      </c>
      <c r="C656" s="8" t="s">
        <v>27</v>
      </c>
      <c r="D656" s="15" t="s">
        <v>23</v>
      </c>
      <c r="H656" s="4">
        <v>605</v>
      </c>
      <c r="I656" s="21" t="s">
        <v>177</v>
      </c>
      <c r="J656" s="4">
        <v>3.21</v>
      </c>
      <c r="K656" s="7" t="s">
        <v>636</v>
      </c>
      <c r="L656" s="56">
        <v>1</v>
      </c>
      <c r="M656" s="68">
        <v>5000</v>
      </c>
      <c r="N656" s="8">
        <f>+M656*L656</f>
        <v>5000</v>
      </c>
      <c r="O656" s="5">
        <f>+N656/1.1</f>
        <v>4545.454545454545</v>
      </c>
      <c r="P656" s="5">
        <f>+N656-O656</f>
        <v>454.54545454545496</v>
      </c>
      <c r="Q656" s="5">
        <f>+N656</f>
        <v>5000</v>
      </c>
      <c r="S656" s="4" t="s">
        <v>179</v>
      </c>
    </row>
    <row r="657" spans="2:19" ht="24" customHeight="1" x14ac:dyDescent="0.4"/>
    <row r="658" spans="2:19" ht="24" customHeight="1" x14ac:dyDescent="0.4">
      <c r="B658" s="8" t="s">
        <v>26</v>
      </c>
      <c r="C658" s="8" t="s">
        <v>27</v>
      </c>
      <c r="D658" s="16" t="s">
        <v>28</v>
      </c>
      <c r="H658" s="4">
        <v>540</v>
      </c>
      <c r="I658" s="21" t="s">
        <v>414</v>
      </c>
      <c r="J658" s="4">
        <v>3.22</v>
      </c>
      <c r="K658" s="32" t="s">
        <v>637</v>
      </c>
      <c r="L658" s="63">
        <v>1</v>
      </c>
      <c r="M658" s="68">
        <f>12000+3000</f>
        <v>15000</v>
      </c>
      <c r="N658" s="8">
        <f>+M658*L658</f>
        <v>15000</v>
      </c>
      <c r="Q658" s="5">
        <f>+N658</f>
        <v>15000</v>
      </c>
      <c r="R658" s="4" t="s">
        <v>58</v>
      </c>
      <c r="S658" s="7" t="s">
        <v>416</v>
      </c>
    </row>
    <row r="659" spans="2:19" ht="24" customHeight="1" x14ac:dyDescent="0.4">
      <c r="B659" s="8" t="s">
        <v>26</v>
      </c>
      <c r="C659" s="8" t="s">
        <v>27</v>
      </c>
      <c r="D659" s="16" t="s">
        <v>28</v>
      </c>
      <c r="H659" s="4">
        <v>550</v>
      </c>
      <c r="I659" s="21" t="s">
        <v>48</v>
      </c>
      <c r="J659" s="4">
        <v>3.22</v>
      </c>
      <c r="K659" s="52" t="s">
        <v>638</v>
      </c>
      <c r="L659" s="56">
        <v>3</v>
      </c>
      <c r="M659" s="71">
        <f>22000+4000</f>
        <v>26000</v>
      </c>
      <c r="N659" s="8">
        <f>+M659*L659</f>
        <v>78000</v>
      </c>
      <c r="Q659" s="5">
        <f>+N659</f>
        <v>78000</v>
      </c>
      <c r="R659" s="4" t="s">
        <v>455</v>
      </c>
      <c r="S659" s="7" t="s">
        <v>51</v>
      </c>
    </row>
    <row r="660" spans="2:19" ht="24" customHeight="1" x14ac:dyDescent="0.4"/>
    <row r="661" spans="2:19" ht="24" customHeight="1" x14ac:dyDescent="0.4">
      <c r="B661" s="7" t="s">
        <v>639</v>
      </c>
      <c r="C661" s="8" t="s">
        <v>27</v>
      </c>
      <c r="D661" s="15" t="s">
        <v>23</v>
      </c>
      <c r="H661" s="4">
        <v>786</v>
      </c>
      <c r="I661" s="21" t="s">
        <v>350</v>
      </c>
      <c r="J661" s="4">
        <v>3.23</v>
      </c>
      <c r="K661" s="4" t="s">
        <v>304</v>
      </c>
      <c r="L661" s="56">
        <v>45</v>
      </c>
      <c r="M661" s="68">
        <v>6000</v>
      </c>
      <c r="N661" s="8">
        <f>+M661*L661</f>
        <v>270000</v>
      </c>
      <c r="O661" s="5">
        <f>+N661/1.1</f>
        <v>245454.54545454544</v>
      </c>
      <c r="P661" s="5">
        <f>+N661-O661</f>
        <v>24545.454545454559</v>
      </c>
      <c r="Q661" s="5">
        <f>+N661</f>
        <v>270000</v>
      </c>
      <c r="R661" s="86" t="s">
        <v>640</v>
      </c>
      <c r="S661" s="4" t="s">
        <v>446</v>
      </c>
    </row>
    <row r="662" spans="2:19" ht="24" customHeight="1" x14ac:dyDescent="0.4">
      <c r="B662" s="7" t="s">
        <v>639</v>
      </c>
      <c r="C662" s="8" t="s">
        <v>27</v>
      </c>
      <c r="D662" s="15" t="s">
        <v>23</v>
      </c>
      <c r="H662" s="4">
        <v>786</v>
      </c>
      <c r="I662" s="21" t="s">
        <v>350</v>
      </c>
      <c r="J662" s="4">
        <v>3.23</v>
      </c>
      <c r="K662" s="4" t="s">
        <v>641</v>
      </c>
      <c r="L662" s="56">
        <v>45</v>
      </c>
      <c r="M662" s="68">
        <v>6000</v>
      </c>
      <c r="N662" s="8">
        <f>+M662*L662</f>
        <v>270000</v>
      </c>
      <c r="O662" s="5">
        <f>+N662/1.1</f>
        <v>245454.54545454544</v>
      </c>
      <c r="P662" s="5">
        <f>+N662-O662</f>
        <v>24545.454545454559</v>
      </c>
      <c r="Q662" s="5">
        <f>+N662</f>
        <v>270000</v>
      </c>
      <c r="R662" s="86" t="s">
        <v>640</v>
      </c>
      <c r="S662" s="4" t="s">
        <v>446</v>
      </c>
    </row>
    <row r="663" spans="2:19" ht="24" customHeight="1" x14ac:dyDescent="0.4">
      <c r="B663" s="8" t="s">
        <v>26</v>
      </c>
      <c r="C663" s="8" t="s">
        <v>27</v>
      </c>
      <c r="D663" s="16" t="s">
        <v>28</v>
      </c>
      <c r="H663" s="4">
        <v>550</v>
      </c>
      <c r="I663" s="21" t="s">
        <v>48</v>
      </c>
      <c r="J663" s="4">
        <v>3.23</v>
      </c>
      <c r="K663" s="52" t="s">
        <v>642</v>
      </c>
      <c r="L663" s="56">
        <v>3</v>
      </c>
      <c r="M663" s="71">
        <f>22000+4000</f>
        <v>26000</v>
      </c>
      <c r="N663" s="8">
        <f>+M663*L663</f>
        <v>78000</v>
      </c>
      <c r="Q663" s="5">
        <f>+N663</f>
        <v>78000</v>
      </c>
      <c r="R663" s="4" t="s">
        <v>455</v>
      </c>
      <c r="S663" s="7" t="s">
        <v>51</v>
      </c>
    </row>
    <row r="664" spans="2:19" ht="24" customHeight="1" x14ac:dyDescent="0.4">
      <c r="B664" s="8" t="s">
        <v>26</v>
      </c>
      <c r="C664" s="8" t="s">
        <v>27</v>
      </c>
      <c r="D664" s="16" t="s">
        <v>28</v>
      </c>
      <c r="H664" s="4">
        <v>550</v>
      </c>
      <c r="I664" s="21" t="s">
        <v>48</v>
      </c>
      <c r="J664" s="4">
        <v>3.23</v>
      </c>
      <c r="K664" s="52" t="s">
        <v>643</v>
      </c>
      <c r="L664" s="56">
        <v>1</v>
      </c>
      <c r="M664" s="71">
        <f>28000+4000</f>
        <v>32000</v>
      </c>
      <c r="N664" s="8">
        <f>+M664*L664</f>
        <v>32000</v>
      </c>
      <c r="Q664" s="5">
        <f>+N664</f>
        <v>32000</v>
      </c>
      <c r="R664" s="4" t="s">
        <v>521</v>
      </c>
      <c r="S664" s="7" t="s">
        <v>51</v>
      </c>
    </row>
    <row r="665" spans="2:19" ht="24" customHeight="1" x14ac:dyDescent="0.4">
      <c r="B665" s="8" t="s">
        <v>26</v>
      </c>
      <c r="C665" s="8" t="s">
        <v>27</v>
      </c>
      <c r="D665" s="16" t="s">
        <v>28</v>
      </c>
      <c r="H665" s="4">
        <v>2865</v>
      </c>
      <c r="I665" s="22" t="s">
        <v>169</v>
      </c>
      <c r="J665" s="4">
        <v>3.23</v>
      </c>
      <c r="K665" s="52" t="s">
        <v>644</v>
      </c>
      <c r="L665" s="56">
        <v>6</v>
      </c>
      <c r="M665" s="71">
        <f>22000+4000</f>
        <v>26000</v>
      </c>
      <c r="N665" s="8">
        <f>+M665*L665</f>
        <v>156000</v>
      </c>
      <c r="Q665" s="5">
        <f>+N665</f>
        <v>156000</v>
      </c>
      <c r="R665" s="4" t="s">
        <v>455</v>
      </c>
      <c r="S665" s="4" t="s">
        <v>171</v>
      </c>
    </row>
    <row r="666" spans="2:19" ht="24" customHeight="1" x14ac:dyDescent="0.4">
      <c r="B666" s="8" t="s">
        <v>26</v>
      </c>
      <c r="C666" s="8" t="s">
        <v>27</v>
      </c>
      <c r="D666" s="15" t="s">
        <v>23</v>
      </c>
      <c r="H666" s="4">
        <v>605</v>
      </c>
      <c r="I666" s="21" t="s">
        <v>177</v>
      </c>
      <c r="J666" s="4">
        <v>3.23</v>
      </c>
      <c r="K666" s="57" t="s">
        <v>645</v>
      </c>
      <c r="L666" s="56">
        <v>5</v>
      </c>
      <c r="M666" s="68">
        <f>6000+3000</f>
        <v>9000</v>
      </c>
      <c r="N666" s="8">
        <f>+M666*L666</f>
        <v>45000</v>
      </c>
      <c r="O666" s="5">
        <f>+N666/1.1</f>
        <v>40909.090909090904</v>
      </c>
      <c r="P666" s="5">
        <f>+N666-O666</f>
        <v>4090.9090909090955</v>
      </c>
      <c r="Q666" s="5">
        <f>+N666</f>
        <v>45000</v>
      </c>
      <c r="R666" s="40" t="s">
        <v>50</v>
      </c>
      <c r="S666" s="4" t="s">
        <v>179</v>
      </c>
    </row>
    <row r="667" spans="2:19" ht="24" customHeight="1" x14ac:dyDescent="0.4">
      <c r="B667" s="8" t="s">
        <v>26</v>
      </c>
      <c r="C667" s="8" t="s">
        <v>27</v>
      </c>
      <c r="D667" s="16" t="s">
        <v>28</v>
      </c>
      <c r="H667" s="4">
        <v>930</v>
      </c>
      <c r="I667" s="21" t="s">
        <v>392</v>
      </c>
      <c r="J667" s="4">
        <v>3.24</v>
      </c>
      <c r="K667" s="8" t="s">
        <v>627</v>
      </c>
      <c r="L667" s="63">
        <v>1</v>
      </c>
      <c r="M667" s="68">
        <f>20000+3000</f>
        <v>23000</v>
      </c>
      <c r="N667" s="8">
        <f>+M667*L667</f>
        <v>23000</v>
      </c>
      <c r="Q667" s="5">
        <f>+N667</f>
        <v>23000</v>
      </c>
      <c r="S667" s="7" t="s">
        <v>394</v>
      </c>
    </row>
    <row r="668" spans="2:19" ht="24" customHeight="1" x14ac:dyDescent="0.4">
      <c r="B668" s="8" t="s">
        <v>26</v>
      </c>
      <c r="C668" s="8" t="s">
        <v>27</v>
      </c>
      <c r="D668" s="15" t="s">
        <v>23</v>
      </c>
      <c r="H668" s="4">
        <v>876</v>
      </c>
      <c r="I668" s="21" t="s">
        <v>646</v>
      </c>
      <c r="J668" s="4">
        <v>3.24</v>
      </c>
      <c r="K668" s="57" t="s">
        <v>647</v>
      </c>
      <c r="L668" s="56">
        <v>10</v>
      </c>
      <c r="M668" s="69">
        <f>45000+3000</f>
        <v>48000</v>
      </c>
      <c r="N668" s="8">
        <f>+M668*L668</f>
        <v>480000</v>
      </c>
      <c r="O668" s="5">
        <f>+N668/1.1</f>
        <v>436363.63636363635</v>
      </c>
      <c r="P668" s="5">
        <f>+N668-O668</f>
        <v>43636.363636363647</v>
      </c>
      <c r="Q668" s="5">
        <f>+N668</f>
        <v>480000</v>
      </c>
      <c r="S668" s="7" t="s">
        <v>648</v>
      </c>
    </row>
    <row r="669" spans="2:19" ht="24" customHeight="1" x14ac:dyDescent="0.4">
      <c r="B669" s="8" t="s">
        <v>26</v>
      </c>
      <c r="C669" s="8" t="s">
        <v>27</v>
      </c>
      <c r="D669" s="15" t="s">
        <v>23</v>
      </c>
      <c r="H669" s="4">
        <v>247</v>
      </c>
      <c r="I669" s="22" t="s">
        <v>252</v>
      </c>
      <c r="J669" s="4">
        <v>3.24</v>
      </c>
      <c r="K669" s="32" t="s">
        <v>198</v>
      </c>
      <c r="L669" s="56">
        <v>10</v>
      </c>
      <c r="M669" s="71">
        <v>10000</v>
      </c>
      <c r="N669" s="8">
        <f>+M669*L669</f>
        <v>100000</v>
      </c>
      <c r="O669" s="5">
        <f>+N669/1.1</f>
        <v>90909.090909090897</v>
      </c>
      <c r="P669" s="5">
        <f>+N669-O669</f>
        <v>9090.9090909091028</v>
      </c>
      <c r="Q669" s="5">
        <f>+N669</f>
        <v>100000</v>
      </c>
      <c r="S669" s="7" t="s">
        <v>558</v>
      </c>
    </row>
    <row r="670" spans="2:19" ht="24" customHeight="1" x14ac:dyDescent="0.4"/>
    <row r="671" spans="2:19" ht="24" customHeight="1" x14ac:dyDescent="0.4">
      <c r="B671" s="8" t="s">
        <v>26</v>
      </c>
      <c r="C671" s="8" t="s">
        <v>27</v>
      </c>
      <c r="D671" s="15" t="s">
        <v>23</v>
      </c>
      <c r="H671" s="4">
        <v>782</v>
      </c>
      <c r="I671" s="21" t="s">
        <v>197</v>
      </c>
      <c r="J671" s="4">
        <v>3.28</v>
      </c>
      <c r="K671" s="36" t="s">
        <v>649</v>
      </c>
      <c r="L671" s="63">
        <v>200</v>
      </c>
      <c r="M671" s="68">
        <v>6000</v>
      </c>
      <c r="N671" s="8">
        <f>+M671*L671</f>
        <v>1200000</v>
      </c>
      <c r="O671" s="5">
        <f>+N671/1.1</f>
        <v>1090909.0909090908</v>
      </c>
      <c r="P671" s="5">
        <f>+N671-O671</f>
        <v>109090.90909090918</v>
      </c>
      <c r="Q671" s="5">
        <f>+N671</f>
        <v>1200000</v>
      </c>
      <c r="R671" s="87" t="s">
        <v>650</v>
      </c>
      <c r="S671" s="4" t="s">
        <v>199</v>
      </c>
    </row>
    <row r="672" spans="2:19" ht="24" customHeight="1" x14ac:dyDescent="0.4">
      <c r="B672" s="8" t="s">
        <v>26</v>
      </c>
      <c r="C672" s="8" t="s">
        <v>27</v>
      </c>
      <c r="D672" s="16" t="s">
        <v>28</v>
      </c>
      <c r="H672" s="4">
        <v>2899</v>
      </c>
      <c r="I672" s="24" t="s">
        <v>395</v>
      </c>
      <c r="J672" s="4">
        <v>3.28</v>
      </c>
      <c r="K672" s="7" t="s">
        <v>651</v>
      </c>
      <c r="L672" s="56">
        <v>51</v>
      </c>
      <c r="M672" s="69">
        <f>30000-2500</f>
        <v>27500</v>
      </c>
      <c r="N672" s="8">
        <f>+M672*L672</f>
        <v>1402500</v>
      </c>
      <c r="Q672" s="5">
        <f>+N672</f>
        <v>1402500</v>
      </c>
      <c r="R672" s="86">
        <f>27500*2</f>
        <v>55000</v>
      </c>
      <c r="S672" s="7" t="s">
        <v>652</v>
      </c>
    </row>
    <row r="673" spans="2:19" ht="24" customHeight="1" x14ac:dyDescent="0.4">
      <c r="B673" s="8" t="s">
        <v>26</v>
      </c>
      <c r="C673" s="8" t="s">
        <v>27</v>
      </c>
      <c r="D673" s="15" t="s">
        <v>23</v>
      </c>
      <c r="H673" s="4">
        <v>2899</v>
      </c>
      <c r="I673" s="24" t="s">
        <v>395</v>
      </c>
      <c r="J673" s="4">
        <v>3.28</v>
      </c>
      <c r="K673" s="4" t="s">
        <v>653</v>
      </c>
      <c r="L673" s="56">
        <v>72</v>
      </c>
      <c r="M673" s="69">
        <f>16000-1000</f>
        <v>15000</v>
      </c>
      <c r="N673" s="8">
        <f>+M673*L673</f>
        <v>1080000</v>
      </c>
      <c r="O673" s="5">
        <f>+N673/1.1</f>
        <v>981818.18181818177</v>
      </c>
      <c r="P673" s="5">
        <f>+N673-O673</f>
        <v>98181.818181818235</v>
      </c>
      <c r="Q673" s="5">
        <f>+N673</f>
        <v>1080000</v>
      </c>
    </row>
    <row r="674" spans="2:19" ht="24" customHeight="1" x14ac:dyDescent="0.4">
      <c r="B674" s="8" t="s">
        <v>26</v>
      </c>
      <c r="C674" s="8" t="s">
        <v>27</v>
      </c>
      <c r="D674" s="16" t="s">
        <v>28</v>
      </c>
      <c r="H674" s="4">
        <v>550</v>
      </c>
      <c r="I674" s="21" t="s">
        <v>48</v>
      </c>
      <c r="J674" s="4">
        <v>3.28</v>
      </c>
      <c r="K674" s="52" t="s">
        <v>654</v>
      </c>
      <c r="L674" s="32">
        <v>1</v>
      </c>
      <c r="M674" s="68">
        <v>22000</v>
      </c>
      <c r="N674" s="8">
        <f>+M674*L674</f>
        <v>22000</v>
      </c>
      <c r="Q674" s="5">
        <f>+N674</f>
        <v>22000</v>
      </c>
      <c r="R674" s="72" t="s">
        <v>521</v>
      </c>
      <c r="S674" s="7" t="s">
        <v>51</v>
      </c>
    </row>
    <row r="675" spans="2:19" ht="24" customHeight="1" x14ac:dyDescent="0.4">
      <c r="B675" s="8" t="s">
        <v>26</v>
      </c>
      <c r="C675" s="8" t="s">
        <v>27</v>
      </c>
      <c r="D675" s="16" t="s">
        <v>28</v>
      </c>
      <c r="H675" s="4">
        <v>550</v>
      </c>
      <c r="I675" s="21" t="s">
        <v>48</v>
      </c>
      <c r="J675" s="4">
        <v>3.28</v>
      </c>
      <c r="K675" s="52" t="s">
        <v>655</v>
      </c>
      <c r="L675" s="32">
        <v>1</v>
      </c>
      <c r="M675" s="68">
        <v>40000</v>
      </c>
      <c r="N675" s="8">
        <f>+M675*L675</f>
        <v>40000</v>
      </c>
      <c r="Q675" s="5">
        <f>+N675</f>
        <v>40000</v>
      </c>
      <c r="R675" s="72" t="s">
        <v>521</v>
      </c>
      <c r="S675" s="7" t="s">
        <v>51</v>
      </c>
    </row>
    <row r="676" spans="2:19" ht="24" customHeight="1" x14ac:dyDescent="0.4"/>
    <row r="677" spans="2:19" ht="24" customHeight="1" x14ac:dyDescent="0.4">
      <c r="B677" s="8" t="s">
        <v>26</v>
      </c>
      <c r="C677" s="8" t="s">
        <v>27</v>
      </c>
      <c r="D677" s="16" t="s">
        <v>28</v>
      </c>
      <c r="H677" s="4">
        <v>1325</v>
      </c>
      <c r="I677" s="22" t="s">
        <v>82</v>
      </c>
      <c r="J677" s="4">
        <v>3.29</v>
      </c>
      <c r="K677" s="7" t="s">
        <v>531</v>
      </c>
      <c r="L677" s="56">
        <v>30</v>
      </c>
      <c r="M677" s="68">
        <v>6000</v>
      </c>
      <c r="N677" s="8">
        <f>+M677*L677</f>
        <v>180000</v>
      </c>
      <c r="Q677" s="5">
        <f>+N677</f>
        <v>180000</v>
      </c>
      <c r="S677" s="4" t="s">
        <v>83</v>
      </c>
    </row>
    <row r="678" spans="2:19" ht="24" customHeight="1" x14ac:dyDescent="0.4">
      <c r="B678" s="8" t="s">
        <v>26</v>
      </c>
      <c r="C678" s="8" t="s">
        <v>27</v>
      </c>
      <c r="D678" s="16" t="s">
        <v>28</v>
      </c>
      <c r="H678" s="4">
        <v>1870</v>
      </c>
      <c r="I678" s="21" t="s">
        <v>90</v>
      </c>
      <c r="J678" s="4">
        <v>3.29</v>
      </c>
      <c r="K678" s="32" t="s">
        <v>656</v>
      </c>
      <c r="L678" s="63">
        <v>1</v>
      </c>
      <c r="M678" s="68">
        <f>12000+3000</f>
        <v>15000</v>
      </c>
      <c r="N678" s="8">
        <f>+M678*L678</f>
        <v>15000</v>
      </c>
      <c r="Q678" s="5">
        <f>+N678</f>
        <v>15000</v>
      </c>
      <c r="R678" s="4" t="s">
        <v>58</v>
      </c>
      <c r="S678" s="7" t="s">
        <v>470</v>
      </c>
    </row>
    <row r="679" spans="2:19" ht="24" customHeight="1" x14ac:dyDescent="0.4">
      <c r="B679" s="8" t="s">
        <v>26</v>
      </c>
      <c r="C679" s="8" t="s">
        <v>27</v>
      </c>
      <c r="D679" s="16" t="s">
        <v>28</v>
      </c>
      <c r="H679" s="4">
        <v>148</v>
      </c>
      <c r="I679" s="21" t="s">
        <v>115</v>
      </c>
      <c r="J679" s="4">
        <v>3.29</v>
      </c>
      <c r="K679" s="32" t="s">
        <v>657</v>
      </c>
      <c r="L679" s="63">
        <v>1</v>
      </c>
      <c r="M679" s="68">
        <f>12000+3000</f>
        <v>15000</v>
      </c>
      <c r="N679" s="8">
        <f>+M679*L679</f>
        <v>15000</v>
      </c>
      <c r="Q679" s="5">
        <f>+N679</f>
        <v>15000</v>
      </c>
      <c r="R679" s="4" t="s">
        <v>58</v>
      </c>
      <c r="S679" s="7" t="s">
        <v>117</v>
      </c>
    </row>
    <row r="680" spans="2:19" ht="24" customHeight="1" x14ac:dyDescent="0.4">
      <c r="B680" s="8" t="s">
        <v>26</v>
      </c>
      <c r="C680" s="8" t="s">
        <v>27</v>
      </c>
      <c r="D680" s="16" t="s">
        <v>28</v>
      </c>
      <c r="H680" s="4">
        <v>540</v>
      </c>
      <c r="I680" s="21" t="s">
        <v>414</v>
      </c>
      <c r="J680" s="4">
        <v>3.29</v>
      </c>
      <c r="K680" s="32" t="s">
        <v>658</v>
      </c>
      <c r="L680" s="63">
        <v>1</v>
      </c>
      <c r="M680" s="68">
        <v>23000</v>
      </c>
      <c r="N680" s="8">
        <f>+M680*L680</f>
        <v>23000</v>
      </c>
      <c r="Q680" s="5">
        <f>+N680</f>
        <v>23000</v>
      </c>
      <c r="R680" s="4" t="s">
        <v>58</v>
      </c>
      <c r="S680" s="7" t="s">
        <v>416</v>
      </c>
    </row>
    <row r="681" spans="2:19" ht="24" customHeight="1" x14ac:dyDescent="0.4">
      <c r="B681" s="8" t="s">
        <v>26</v>
      </c>
      <c r="C681" s="8" t="s">
        <v>27</v>
      </c>
      <c r="D681" s="16" t="s">
        <v>28</v>
      </c>
      <c r="H681" s="4">
        <v>540</v>
      </c>
      <c r="I681" s="21" t="s">
        <v>414</v>
      </c>
      <c r="J681" s="4">
        <v>3.29</v>
      </c>
      <c r="K681" s="44" t="s">
        <v>659</v>
      </c>
      <c r="L681" s="56">
        <v>1</v>
      </c>
      <c r="M681" s="68">
        <v>27000</v>
      </c>
      <c r="N681" s="8">
        <f>+M681*L681</f>
        <v>27000</v>
      </c>
      <c r="Q681" s="5">
        <f>+N681</f>
        <v>27000</v>
      </c>
      <c r="R681" s="4" t="s">
        <v>521</v>
      </c>
      <c r="S681" s="7" t="s">
        <v>416</v>
      </c>
    </row>
    <row r="682" spans="2:19" ht="24" customHeight="1" x14ac:dyDescent="0.4">
      <c r="B682" s="8" t="s">
        <v>26</v>
      </c>
      <c r="C682" s="8" t="s">
        <v>27</v>
      </c>
      <c r="D682" s="15" t="s">
        <v>23</v>
      </c>
      <c r="H682" s="4">
        <v>571</v>
      </c>
      <c r="I682" s="21" t="s">
        <v>363</v>
      </c>
      <c r="J682" s="4">
        <v>3.29</v>
      </c>
      <c r="K682" s="40" t="s">
        <v>660</v>
      </c>
      <c r="L682" s="32">
        <v>5</v>
      </c>
      <c r="M682" s="68">
        <f>6000+12000+4000</f>
        <v>22000</v>
      </c>
      <c r="N682" s="8">
        <f>+M682*L682</f>
        <v>110000</v>
      </c>
      <c r="O682" s="5">
        <f>+N682/1.1</f>
        <v>99999.999999999985</v>
      </c>
      <c r="P682" s="5">
        <f>+N682-O682</f>
        <v>10000.000000000015</v>
      </c>
      <c r="Q682" s="5">
        <f>+N682</f>
        <v>110000</v>
      </c>
      <c r="R682" s="7" t="s">
        <v>455</v>
      </c>
      <c r="S682" s="5" t="s">
        <v>81</v>
      </c>
    </row>
    <row r="683" spans="2:19" ht="24" customHeight="1" x14ac:dyDescent="0.4"/>
    <row r="684" spans="2:19" ht="24" customHeight="1" x14ac:dyDescent="0.4">
      <c r="B684" s="7" t="s">
        <v>125</v>
      </c>
      <c r="C684" s="8" t="s">
        <v>27</v>
      </c>
      <c r="D684" s="15" t="s">
        <v>23</v>
      </c>
      <c r="H684" s="4">
        <v>1665</v>
      </c>
      <c r="I684" s="22" t="s">
        <v>109</v>
      </c>
      <c r="J684" s="4">
        <v>3.3</v>
      </c>
      <c r="K684" s="4" t="s">
        <v>661</v>
      </c>
      <c r="L684" s="56">
        <v>34</v>
      </c>
      <c r="M684" s="68">
        <v>5000</v>
      </c>
      <c r="N684" s="8">
        <f>+M684*L684</f>
        <v>170000</v>
      </c>
      <c r="O684" s="5">
        <f>+N684/1.1</f>
        <v>154545.45454545453</v>
      </c>
      <c r="P684" s="5">
        <f>+N684-O684</f>
        <v>15454.54545454547</v>
      </c>
      <c r="Q684" s="5">
        <f>+N684</f>
        <v>170000</v>
      </c>
      <c r="R684" s="88" t="s">
        <v>662</v>
      </c>
      <c r="S684" s="4" t="s">
        <v>110</v>
      </c>
    </row>
    <row r="685" spans="2:19" ht="24" customHeight="1" x14ac:dyDescent="0.4">
      <c r="B685" s="7" t="s">
        <v>125</v>
      </c>
      <c r="C685" s="8" t="s">
        <v>27</v>
      </c>
      <c r="D685" s="15" t="s">
        <v>23</v>
      </c>
      <c r="H685" s="4">
        <v>1665</v>
      </c>
      <c r="I685" s="21" t="s">
        <v>663</v>
      </c>
      <c r="J685" s="4">
        <v>3.3</v>
      </c>
      <c r="K685" s="4" t="s">
        <v>661</v>
      </c>
      <c r="L685" s="56">
        <v>64</v>
      </c>
      <c r="M685" s="68">
        <v>5000</v>
      </c>
      <c r="N685" s="8">
        <f>+M685*L685</f>
        <v>320000</v>
      </c>
      <c r="O685" s="5">
        <f>+N685/1.1</f>
        <v>290909.09090909088</v>
      </c>
      <c r="P685" s="5">
        <f>+N685-O685</f>
        <v>29090.909090909117</v>
      </c>
      <c r="Q685" s="5">
        <f>+N685</f>
        <v>320000</v>
      </c>
      <c r="R685" s="88" t="s">
        <v>662</v>
      </c>
      <c r="S685" s="7" t="s">
        <v>664</v>
      </c>
    </row>
    <row r="686" spans="2:19" ht="24" customHeight="1" x14ac:dyDescent="0.4">
      <c r="B686" s="8" t="s">
        <v>26</v>
      </c>
      <c r="C686" s="8" t="s">
        <v>27</v>
      </c>
      <c r="D686" s="16" t="s">
        <v>28</v>
      </c>
      <c r="H686" s="4">
        <v>1324</v>
      </c>
      <c r="I686" s="21" t="s">
        <v>96</v>
      </c>
      <c r="J686" s="4">
        <v>3.3</v>
      </c>
      <c r="K686" s="61" t="s">
        <v>665</v>
      </c>
      <c r="L686" s="32">
        <v>1</v>
      </c>
      <c r="M686" s="68">
        <f>23000+4000</f>
        <v>27000</v>
      </c>
      <c r="N686" s="8">
        <f>+M686*L686</f>
        <v>27000</v>
      </c>
      <c r="Q686" s="5">
        <f>+N686</f>
        <v>27000</v>
      </c>
      <c r="R686" s="4" t="s">
        <v>666</v>
      </c>
      <c r="S686" s="7" t="s">
        <v>97</v>
      </c>
    </row>
    <row r="687" spans="2:19" ht="24" customHeight="1" x14ac:dyDescent="0.4">
      <c r="B687" s="7" t="s">
        <v>125</v>
      </c>
      <c r="C687" s="8" t="s">
        <v>27</v>
      </c>
      <c r="D687" s="15" t="s">
        <v>23</v>
      </c>
      <c r="H687" s="4">
        <v>1665</v>
      </c>
      <c r="I687" s="21" t="s">
        <v>59</v>
      </c>
      <c r="J687" s="4">
        <v>3.3</v>
      </c>
      <c r="K687" s="4" t="s">
        <v>661</v>
      </c>
      <c r="L687" s="56">
        <v>90</v>
      </c>
      <c r="M687" s="68">
        <v>5000</v>
      </c>
      <c r="N687" s="8">
        <f>+M687*L687</f>
        <v>450000</v>
      </c>
      <c r="O687" s="5">
        <f>+N687/1.1</f>
        <v>409090.90909090906</v>
      </c>
      <c r="P687" s="5">
        <f>+N687-O687</f>
        <v>40909.090909090941</v>
      </c>
      <c r="Q687" s="5">
        <f>+N687</f>
        <v>450000</v>
      </c>
      <c r="R687" s="88" t="s">
        <v>662</v>
      </c>
      <c r="S687" s="7" t="s">
        <v>62</v>
      </c>
    </row>
    <row r="688" spans="2:19" ht="24" customHeight="1" x14ac:dyDescent="0.4"/>
    <row r="689" spans="2:19" ht="24" customHeight="1" x14ac:dyDescent="0.4">
      <c r="B689" s="7" t="s">
        <v>125</v>
      </c>
      <c r="C689" s="8" t="s">
        <v>27</v>
      </c>
      <c r="D689" s="15" t="s">
        <v>23</v>
      </c>
      <c r="H689" s="4">
        <v>1665</v>
      </c>
      <c r="I689" s="21" t="s">
        <v>667</v>
      </c>
      <c r="J689" s="4">
        <v>3.31</v>
      </c>
      <c r="K689" s="4" t="s">
        <v>661</v>
      </c>
      <c r="L689" s="56">
        <v>51</v>
      </c>
      <c r="M689" s="68">
        <v>5000</v>
      </c>
      <c r="N689" s="8">
        <f>+M689*L689</f>
        <v>255000</v>
      </c>
      <c r="O689" s="5">
        <f>+N689/1.1</f>
        <v>231818.18181818179</v>
      </c>
      <c r="P689" s="5">
        <f>+N689-O689</f>
        <v>23181.818181818206</v>
      </c>
      <c r="Q689" s="5">
        <f>+N689</f>
        <v>255000</v>
      </c>
      <c r="R689" s="88" t="s">
        <v>662</v>
      </c>
      <c r="S689" s="7" t="s">
        <v>128</v>
      </c>
    </row>
    <row r="690" spans="2:19" ht="24" customHeight="1" x14ac:dyDescent="0.4">
      <c r="B690" s="8" t="s">
        <v>26</v>
      </c>
      <c r="C690" s="8" t="s">
        <v>27</v>
      </c>
      <c r="D690" s="16" t="s">
        <v>28</v>
      </c>
      <c r="H690" s="4">
        <v>1025</v>
      </c>
      <c r="I690" s="21" t="s">
        <v>320</v>
      </c>
      <c r="J690" s="4">
        <v>3.31</v>
      </c>
      <c r="K690" s="32" t="s">
        <v>668</v>
      </c>
      <c r="L690" s="32">
        <v>1</v>
      </c>
      <c r="M690" s="68">
        <f>12000+3000</f>
        <v>15000</v>
      </c>
      <c r="N690" s="8">
        <f>+M690*L690</f>
        <v>15000</v>
      </c>
      <c r="Q690" s="5">
        <f>+N690</f>
        <v>15000</v>
      </c>
      <c r="R690" s="4" t="s">
        <v>58</v>
      </c>
      <c r="S690" s="7" t="s">
        <v>322</v>
      </c>
    </row>
    <row r="691" spans="2:19" ht="24" customHeight="1" x14ac:dyDescent="0.4"/>
    <row r="692" spans="2:19" ht="24" customHeight="1" x14ac:dyDescent="0.4">
      <c r="B692" s="8" t="s">
        <v>26</v>
      </c>
      <c r="C692" s="8" t="s">
        <v>27</v>
      </c>
      <c r="D692" s="16" t="s">
        <v>28</v>
      </c>
      <c r="H692" s="4">
        <v>148</v>
      </c>
      <c r="I692" s="21" t="s">
        <v>115</v>
      </c>
      <c r="J692" s="4">
        <v>4.04</v>
      </c>
      <c r="K692" s="32" t="s">
        <v>669</v>
      </c>
      <c r="L692" s="63">
        <v>1</v>
      </c>
      <c r="M692" s="68">
        <f>12000+3000</f>
        <v>15000</v>
      </c>
      <c r="N692" s="8">
        <f>+M692*L692</f>
        <v>15000</v>
      </c>
      <c r="Q692" s="5">
        <f>+N692</f>
        <v>15000</v>
      </c>
      <c r="R692" s="4" t="s">
        <v>58</v>
      </c>
      <c r="S692" s="7" t="s">
        <v>117</v>
      </c>
    </row>
    <row r="693" spans="2:19" ht="24" customHeight="1" x14ac:dyDescent="0.4">
      <c r="B693" s="8" t="s">
        <v>26</v>
      </c>
      <c r="C693" s="8" t="s">
        <v>27</v>
      </c>
      <c r="D693" s="16" t="s">
        <v>28</v>
      </c>
      <c r="H693" s="4">
        <v>148</v>
      </c>
      <c r="I693" s="21" t="s">
        <v>115</v>
      </c>
      <c r="J693" s="4">
        <v>4.04</v>
      </c>
      <c r="K693" s="32" t="s">
        <v>670</v>
      </c>
      <c r="L693" s="63">
        <v>1</v>
      </c>
      <c r="M693" s="68">
        <f>12000+3000</f>
        <v>15000</v>
      </c>
      <c r="N693" s="8">
        <f>+M693*L693</f>
        <v>15000</v>
      </c>
      <c r="Q693" s="5">
        <f>+N693</f>
        <v>15000</v>
      </c>
      <c r="R693" s="4" t="s">
        <v>58</v>
      </c>
      <c r="S693" s="7" t="s">
        <v>117</v>
      </c>
    </row>
    <row r="694" spans="2:19" ht="24" customHeight="1" x14ac:dyDescent="0.4">
      <c r="B694" s="8" t="s">
        <v>26</v>
      </c>
      <c r="C694" s="8" t="s">
        <v>27</v>
      </c>
      <c r="D694" s="16" t="s">
        <v>28</v>
      </c>
      <c r="H694" s="4">
        <v>262</v>
      </c>
      <c r="I694" s="21" t="s">
        <v>345</v>
      </c>
      <c r="J694" s="4">
        <v>4.04</v>
      </c>
      <c r="K694" s="6" t="s">
        <v>671</v>
      </c>
      <c r="L694" s="56">
        <v>2</v>
      </c>
      <c r="M694" s="68">
        <f>30000+5000</f>
        <v>35000</v>
      </c>
      <c r="N694" s="8">
        <f>+M694*L694</f>
        <v>70000</v>
      </c>
      <c r="Q694" s="5">
        <f>+N694</f>
        <v>70000</v>
      </c>
      <c r="R694" s="40" t="s">
        <v>452</v>
      </c>
      <c r="S694" s="4" t="s">
        <v>346</v>
      </c>
    </row>
    <row r="695" spans="2:19" ht="24" customHeight="1" x14ac:dyDescent="0.4"/>
    <row r="696" spans="2:19" ht="24" customHeight="1" x14ac:dyDescent="0.4">
      <c r="B696" s="8" t="s">
        <v>26</v>
      </c>
      <c r="C696" s="8" t="s">
        <v>27</v>
      </c>
      <c r="D696" s="16" t="s">
        <v>28</v>
      </c>
      <c r="H696" s="4">
        <v>782</v>
      </c>
      <c r="I696" s="21" t="s">
        <v>197</v>
      </c>
      <c r="J696" s="4">
        <v>4.05</v>
      </c>
      <c r="K696" s="29" t="s">
        <v>649</v>
      </c>
      <c r="L696" s="56">
        <v>50</v>
      </c>
      <c r="M696" s="71">
        <f>7000-1000</f>
        <v>6000</v>
      </c>
      <c r="N696" s="8">
        <f>+M696*L696</f>
        <v>300000</v>
      </c>
      <c r="Q696" s="5">
        <f>+N696</f>
        <v>300000</v>
      </c>
      <c r="S696" s="4" t="s">
        <v>199</v>
      </c>
    </row>
    <row r="697" spans="2:19" ht="24" customHeight="1" x14ac:dyDescent="0.4"/>
    <row r="698" spans="2:19" ht="24" customHeight="1" x14ac:dyDescent="0.4">
      <c r="B698" s="8" t="s">
        <v>26</v>
      </c>
      <c r="C698" s="8" t="s">
        <v>27</v>
      </c>
      <c r="D698" s="15" t="s">
        <v>23</v>
      </c>
      <c r="H698" s="4">
        <v>729</v>
      </c>
      <c r="I698" s="22" t="s">
        <v>109</v>
      </c>
      <c r="J698" s="4">
        <v>4.0599999999999996</v>
      </c>
      <c r="K698" s="29" t="s">
        <v>672</v>
      </c>
      <c r="L698" s="56">
        <v>5</v>
      </c>
      <c r="M698" s="68">
        <v>18000</v>
      </c>
      <c r="N698" s="8">
        <f>+M698*L698</f>
        <v>90000</v>
      </c>
      <c r="O698" s="5">
        <f>+N698/1.1</f>
        <v>81818.181818181809</v>
      </c>
      <c r="P698" s="5">
        <f>+N698-O698</f>
        <v>8181.8181818181911</v>
      </c>
      <c r="Q698" s="5">
        <f>+N698</f>
        <v>90000</v>
      </c>
      <c r="S698" s="4" t="s">
        <v>110</v>
      </c>
    </row>
    <row r="699" spans="2:19" ht="24" customHeight="1" x14ac:dyDescent="0.4">
      <c r="B699" s="8" t="s">
        <v>26</v>
      </c>
      <c r="C699" s="8" t="s">
        <v>27</v>
      </c>
      <c r="D699" s="16" t="s">
        <v>28</v>
      </c>
      <c r="H699" s="4">
        <v>262</v>
      </c>
      <c r="I699" s="21" t="s">
        <v>345</v>
      </c>
      <c r="J699" s="4">
        <v>4.0599999999999996</v>
      </c>
      <c r="K699" s="4" t="s">
        <v>531</v>
      </c>
      <c r="L699" s="56">
        <v>30</v>
      </c>
      <c r="M699" s="68">
        <v>7000</v>
      </c>
      <c r="N699" s="8">
        <f>+M699*L699</f>
        <v>210000</v>
      </c>
      <c r="Q699" s="5">
        <f>+N699</f>
        <v>210000</v>
      </c>
      <c r="S699" s="4" t="s">
        <v>346</v>
      </c>
    </row>
    <row r="700" spans="2:19" ht="24" customHeight="1" x14ac:dyDescent="0.4">
      <c r="B700" s="8" t="s">
        <v>26</v>
      </c>
      <c r="C700" s="8" t="s">
        <v>27</v>
      </c>
      <c r="D700" s="16" t="s">
        <v>28</v>
      </c>
      <c r="H700" s="4">
        <v>1325</v>
      </c>
      <c r="I700" s="22" t="s">
        <v>82</v>
      </c>
      <c r="J700" s="4">
        <v>4.0599999999999996</v>
      </c>
      <c r="K700" s="4" t="s">
        <v>531</v>
      </c>
      <c r="L700" s="56">
        <f>20+4</f>
        <v>24</v>
      </c>
      <c r="M700" s="68">
        <v>7000</v>
      </c>
      <c r="N700" s="8">
        <f>+M700*L700</f>
        <v>168000</v>
      </c>
      <c r="Q700" s="5">
        <f>+N700</f>
        <v>168000</v>
      </c>
      <c r="S700" s="4" t="s">
        <v>83</v>
      </c>
    </row>
    <row r="701" spans="2:19" ht="24" customHeight="1" x14ac:dyDescent="0.4">
      <c r="B701" s="8" t="s">
        <v>26</v>
      </c>
      <c r="C701" s="8" t="s">
        <v>27</v>
      </c>
      <c r="D701" s="16" t="s">
        <v>28</v>
      </c>
      <c r="H701" s="4">
        <v>1324</v>
      </c>
      <c r="I701" s="21" t="s">
        <v>96</v>
      </c>
      <c r="J701" s="4">
        <v>4.0599999999999996</v>
      </c>
      <c r="K701" s="4" t="s">
        <v>531</v>
      </c>
      <c r="L701" s="56">
        <v>20</v>
      </c>
      <c r="M701" s="68">
        <v>7000</v>
      </c>
      <c r="N701" s="8">
        <f>+M701*L701</f>
        <v>140000</v>
      </c>
      <c r="Q701" s="5">
        <f>+N701</f>
        <v>140000</v>
      </c>
      <c r="S701" s="7" t="s">
        <v>97</v>
      </c>
    </row>
    <row r="702" spans="2:19" ht="24" customHeight="1" x14ac:dyDescent="0.4">
      <c r="B702" s="8" t="s">
        <v>26</v>
      </c>
      <c r="C702" s="8" t="s">
        <v>27</v>
      </c>
      <c r="D702" s="16" t="s">
        <v>28</v>
      </c>
      <c r="H702" s="4">
        <v>148</v>
      </c>
      <c r="I702" s="21" t="s">
        <v>115</v>
      </c>
      <c r="J702" s="4">
        <v>4.0599999999999996</v>
      </c>
      <c r="K702" s="32" t="s">
        <v>673</v>
      </c>
      <c r="L702" s="63">
        <v>1</v>
      </c>
      <c r="M702" s="68">
        <f>12000+3000</f>
        <v>15000</v>
      </c>
      <c r="N702" s="8">
        <f>+M702*L702</f>
        <v>15000</v>
      </c>
      <c r="Q702" s="5">
        <f>+N702</f>
        <v>15000</v>
      </c>
      <c r="R702" s="4" t="s">
        <v>58</v>
      </c>
      <c r="S702" s="7" t="s">
        <v>117</v>
      </c>
    </row>
    <row r="703" spans="2:19" ht="24" customHeight="1" x14ac:dyDescent="0.4"/>
    <row r="704" spans="2:19" ht="24" customHeight="1" x14ac:dyDescent="0.4">
      <c r="B704" s="8" t="s">
        <v>26</v>
      </c>
      <c r="C704" s="8" t="s">
        <v>27</v>
      </c>
      <c r="D704" s="16" t="s">
        <v>28</v>
      </c>
      <c r="H704" s="4">
        <v>602</v>
      </c>
      <c r="I704" s="21" t="s">
        <v>375</v>
      </c>
      <c r="J704" s="4">
        <v>4.07</v>
      </c>
      <c r="K704" s="8" t="s">
        <v>674</v>
      </c>
      <c r="L704" s="63">
        <v>1</v>
      </c>
      <c r="M704" s="68">
        <f>20000+3000</f>
        <v>23000</v>
      </c>
      <c r="N704" s="8">
        <f>+M704*L704</f>
        <v>23000</v>
      </c>
      <c r="Q704" s="5">
        <f>+N704</f>
        <v>23000</v>
      </c>
      <c r="R704" s="40" t="s">
        <v>58</v>
      </c>
      <c r="S704" s="7" t="s">
        <v>377</v>
      </c>
    </row>
    <row r="705" spans="2:19" ht="24" customHeight="1" x14ac:dyDescent="0.4">
      <c r="B705" s="8" t="s">
        <v>26</v>
      </c>
      <c r="C705" s="8" t="s">
        <v>27</v>
      </c>
      <c r="D705" s="16" t="s">
        <v>28</v>
      </c>
      <c r="H705" s="4">
        <v>2865</v>
      </c>
      <c r="I705" s="22" t="s">
        <v>169</v>
      </c>
      <c r="J705" s="4">
        <v>4.07</v>
      </c>
      <c r="K705" s="52" t="s">
        <v>675</v>
      </c>
      <c r="L705" s="32">
        <v>2</v>
      </c>
      <c r="M705" s="68">
        <f>25000+4000</f>
        <v>29000</v>
      </c>
      <c r="N705" s="8">
        <f>+M705*L705</f>
        <v>58000</v>
      </c>
      <c r="Q705" s="5">
        <f>+N705</f>
        <v>58000</v>
      </c>
      <c r="R705" s="7" t="s">
        <v>455</v>
      </c>
      <c r="S705" s="4" t="s">
        <v>171</v>
      </c>
    </row>
    <row r="706" spans="2:19" ht="24" customHeight="1" x14ac:dyDescent="0.4"/>
    <row r="707" spans="2:19" ht="24" customHeight="1" x14ac:dyDescent="0.4">
      <c r="B707" s="8" t="s">
        <v>676</v>
      </c>
      <c r="C707" s="8" t="s">
        <v>27</v>
      </c>
      <c r="D707" s="15" t="s">
        <v>23</v>
      </c>
      <c r="H707" s="4">
        <v>1123</v>
      </c>
      <c r="I707" s="21" t="s">
        <v>677</v>
      </c>
      <c r="J707" s="4">
        <v>4.08</v>
      </c>
      <c r="K707" s="4" t="s">
        <v>661</v>
      </c>
      <c r="L707" s="56">
        <v>25</v>
      </c>
      <c r="M707" s="68">
        <v>5000</v>
      </c>
      <c r="N707" s="8">
        <f>+M707*L707</f>
        <v>125000</v>
      </c>
      <c r="O707" s="5">
        <f>+N707/1.1</f>
        <v>113636.36363636363</v>
      </c>
      <c r="P707" s="5">
        <f>+N707-O707</f>
        <v>11363.636363636368</v>
      </c>
      <c r="Q707" s="5">
        <f>+N707</f>
        <v>125000</v>
      </c>
      <c r="S707" s="4" t="s">
        <v>678</v>
      </c>
    </row>
    <row r="708" spans="2:19" ht="24" customHeight="1" x14ac:dyDescent="0.4">
      <c r="B708" s="8" t="s">
        <v>676</v>
      </c>
      <c r="C708" s="8" t="s">
        <v>27</v>
      </c>
      <c r="D708" s="15" t="s">
        <v>23</v>
      </c>
      <c r="H708" s="4">
        <v>1123</v>
      </c>
      <c r="I708" s="21" t="s">
        <v>677</v>
      </c>
      <c r="J708" s="4">
        <v>4.08</v>
      </c>
      <c r="K708" s="7" t="s">
        <v>636</v>
      </c>
      <c r="L708" s="56">
        <v>25</v>
      </c>
      <c r="M708" s="68">
        <v>5000</v>
      </c>
      <c r="N708" s="8">
        <f>+M708*L708</f>
        <v>125000</v>
      </c>
      <c r="O708" s="5">
        <f>+N708/1.1</f>
        <v>113636.36363636363</v>
      </c>
      <c r="P708" s="5">
        <f>+N708-O708</f>
        <v>11363.636363636368</v>
      </c>
      <c r="Q708" s="5">
        <f>+N708</f>
        <v>125000</v>
      </c>
      <c r="S708" s="4" t="s">
        <v>678</v>
      </c>
    </row>
    <row r="709" spans="2:19" ht="24" customHeight="1" x14ac:dyDescent="0.4">
      <c r="B709" s="8" t="s">
        <v>26</v>
      </c>
      <c r="C709" s="8" t="s">
        <v>27</v>
      </c>
      <c r="D709" s="16" t="s">
        <v>28</v>
      </c>
      <c r="H709" s="4">
        <v>1025</v>
      </c>
      <c r="I709" s="21" t="s">
        <v>320</v>
      </c>
      <c r="J709" s="4">
        <v>4.08</v>
      </c>
      <c r="K709" s="32" t="s">
        <v>679</v>
      </c>
      <c r="L709" s="32">
        <v>1</v>
      </c>
      <c r="M709" s="68">
        <f>12000+3000</f>
        <v>15000</v>
      </c>
      <c r="N709" s="8">
        <f>+M709*L709</f>
        <v>15000</v>
      </c>
      <c r="Q709" s="5">
        <f>+N709</f>
        <v>15000</v>
      </c>
      <c r="R709" s="4" t="s">
        <v>58</v>
      </c>
      <c r="S709" s="7" t="s">
        <v>322</v>
      </c>
    </row>
    <row r="710" spans="2:19" ht="24" customHeight="1" x14ac:dyDescent="0.4">
      <c r="B710" s="8" t="s">
        <v>26</v>
      </c>
      <c r="C710" s="8" t="s">
        <v>27</v>
      </c>
      <c r="D710" s="16" t="s">
        <v>28</v>
      </c>
      <c r="H710" s="4">
        <v>550</v>
      </c>
      <c r="I710" s="21" t="s">
        <v>48</v>
      </c>
      <c r="J710" s="4">
        <v>4.08</v>
      </c>
      <c r="K710" s="4" t="s">
        <v>680</v>
      </c>
      <c r="L710" s="56">
        <v>2</v>
      </c>
      <c r="M710" s="71">
        <f>12000+4000</f>
        <v>16000</v>
      </c>
      <c r="N710" s="8">
        <f>+M710*L710</f>
        <v>32000</v>
      </c>
      <c r="Q710" s="5">
        <f>+N710</f>
        <v>32000</v>
      </c>
      <c r="R710" s="76" t="s">
        <v>455</v>
      </c>
      <c r="S710" s="7" t="s">
        <v>51</v>
      </c>
    </row>
    <row r="711" spans="2:19" ht="24" customHeight="1" x14ac:dyDescent="0.4">
      <c r="B711" s="8" t="s">
        <v>26</v>
      </c>
      <c r="C711" s="8" t="s">
        <v>27</v>
      </c>
      <c r="D711" s="16" t="s">
        <v>28</v>
      </c>
      <c r="H711" s="4">
        <v>782</v>
      </c>
      <c r="I711" s="21" t="s">
        <v>197</v>
      </c>
      <c r="J711" s="4">
        <v>4.08</v>
      </c>
      <c r="K711" s="29" t="s">
        <v>649</v>
      </c>
      <c r="L711" s="56">
        <v>70</v>
      </c>
      <c r="M711" s="71">
        <f>7000-1000</f>
        <v>6000</v>
      </c>
      <c r="N711" s="8">
        <f>+M711*L711</f>
        <v>420000</v>
      </c>
      <c r="Q711" s="5">
        <f>+N711</f>
        <v>420000</v>
      </c>
      <c r="R711" s="89" t="s">
        <v>681</v>
      </c>
      <c r="S711" s="4" t="s">
        <v>199</v>
      </c>
    </row>
    <row r="712" spans="2:19" ht="24" customHeight="1" x14ac:dyDescent="0.4"/>
    <row r="713" spans="2:19" ht="24" customHeight="1" x14ac:dyDescent="0.4">
      <c r="B713" s="8" t="s">
        <v>26</v>
      </c>
      <c r="C713" s="8" t="s">
        <v>27</v>
      </c>
      <c r="D713" s="15" t="s">
        <v>23</v>
      </c>
      <c r="H713" s="4">
        <v>550</v>
      </c>
      <c r="I713" s="21" t="s">
        <v>48</v>
      </c>
      <c r="J713" s="4">
        <v>4.04</v>
      </c>
      <c r="K713" s="57" t="s">
        <v>184</v>
      </c>
      <c r="L713" s="66">
        <f>200-50</f>
        <v>150</v>
      </c>
      <c r="M713" s="69">
        <f>6000-500</f>
        <v>5500</v>
      </c>
      <c r="N713" s="8">
        <f>+M713*L713</f>
        <v>825000</v>
      </c>
      <c r="O713" s="5">
        <f>+N713/1.1</f>
        <v>749999.99999999988</v>
      </c>
      <c r="P713" s="5">
        <f>+N713-O713</f>
        <v>75000.000000000116</v>
      </c>
      <c r="Q713" s="5">
        <f>+N713</f>
        <v>825000</v>
      </c>
      <c r="S713" s="7" t="s">
        <v>51</v>
      </c>
    </row>
    <row r="714" spans="2:19" ht="24" customHeight="1" x14ac:dyDescent="0.4">
      <c r="B714" s="8" t="s">
        <v>26</v>
      </c>
      <c r="C714" s="8" t="s">
        <v>27</v>
      </c>
      <c r="D714" s="15" t="s">
        <v>23</v>
      </c>
      <c r="H714" s="4">
        <v>550</v>
      </c>
      <c r="I714" s="21" t="s">
        <v>48</v>
      </c>
      <c r="J714" s="4">
        <v>4.05</v>
      </c>
      <c r="K714" s="57" t="s">
        <v>184</v>
      </c>
      <c r="L714" s="65">
        <v>30</v>
      </c>
      <c r="M714" s="69">
        <f>6000-500</f>
        <v>5500</v>
      </c>
      <c r="N714" s="8">
        <f>+M714*L714</f>
        <v>165000</v>
      </c>
      <c r="O714" s="5">
        <f>+N714/1.1</f>
        <v>150000</v>
      </c>
      <c r="P714" s="5">
        <f>+N714-O714</f>
        <v>15000</v>
      </c>
      <c r="Q714" s="5">
        <f>+N714</f>
        <v>165000</v>
      </c>
      <c r="S714" s="7" t="s">
        <v>51</v>
      </c>
    </row>
    <row r="715" spans="2:19" ht="24" customHeight="1" x14ac:dyDescent="0.4"/>
    <row r="716" spans="2:19" ht="24" customHeight="1" x14ac:dyDescent="0.4">
      <c r="B716" s="8" t="s">
        <v>26</v>
      </c>
      <c r="C716" s="8" t="s">
        <v>27</v>
      </c>
      <c r="D716" s="16" t="s">
        <v>28</v>
      </c>
      <c r="H716" s="4">
        <v>262</v>
      </c>
      <c r="I716" s="21" t="s">
        <v>345</v>
      </c>
      <c r="J716" s="4">
        <v>4.12</v>
      </c>
      <c r="K716" s="6" t="s">
        <v>682</v>
      </c>
      <c r="L716" s="56">
        <v>2</v>
      </c>
      <c r="M716" s="68">
        <f>30000+5000</f>
        <v>35000</v>
      </c>
      <c r="N716" s="8">
        <f>+M716*L716</f>
        <v>70000</v>
      </c>
      <c r="Q716" s="5">
        <f>+N716</f>
        <v>70000</v>
      </c>
      <c r="R716" s="40" t="s">
        <v>452</v>
      </c>
      <c r="S716" s="4" t="s">
        <v>346</v>
      </c>
    </row>
    <row r="717" spans="2:19" ht="24" customHeight="1" x14ac:dyDescent="0.4">
      <c r="B717" s="8" t="s">
        <v>26</v>
      </c>
      <c r="C717" s="8" t="s">
        <v>27</v>
      </c>
      <c r="D717" s="16" t="s">
        <v>28</v>
      </c>
      <c r="H717" s="4">
        <v>782</v>
      </c>
      <c r="I717" s="21" t="s">
        <v>197</v>
      </c>
      <c r="J717" s="4">
        <v>4.12</v>
      </c>
      <c r="K717" s="29" t="s">
        <v>649</v>
      </c>
      <c r="L717" s="56">
        <v>44</v>
      </c>
      <c r="M717" s="71">
        <f>7000-1000</f>
        <v>6000</v>
      </c>
      <c r="N717" s="8">
        <f>+M717*L717</f>
        <v>264000</v>
      </c>
      <c r="Q717" s="5">
        <f>+N717</f>
        <v>264000</v>
      </c>
      <c r="R717" s="89" t="s">
        <v>683</v>
      </c>
      <c r="S717" s="4" t="s">
        <v>199</v>
      </c>
    </row>
    <row r="718" spans="2:19" ht="24" customHeight="1" x14ac:dyDescent="0.4"/>
    <row r="719" spans="2:19" ht="24" customHeight="1" x14ac:dyDescent="0.4">
      <c r="B719" s="8" t="s">
        <v>26</v>
      </c>
      <c r="C719" s="8" t="s">
        <v>27</v>
      </c>
      <c r="D719" s="15" t="s">
        <v>23</v>
      </c>
      <c r="H719" s="4">
        <v>389</v>
      </c>
      <c r="I719" s="21" t="s">
        <v>684</v>
      </c>
      <c r="J719" s="4">
        <v>4.13</v>
      </c>
      <c r="K719" s="4" t="s">
        <v>304</v>
      </c>
      <c r="L719" s="56">
        <v>86</v>
      </c>
      <c r="M719" s="69">
        <f>6000-500</f>
        <v>5500</v>
      </c>
      <c r="N719" s="8">
        <f>+M719*L719</f>
        <v>473000</v>
      </c>
      <c r="O719" s="5">
        <f>+N719/1.1</f>
        <v>429999.99999999994</v>
      </c>
      <c r="P719" s="5">
        <f>+N719-O719</f>
        <v>43000.000000000058</v>
      </c>
      <c r="Q719" s="5">
        <f>+N719</f>
        <v>473000</v>
      </c>
      <c r="S719" s="4" t="s">
        <v>685</v>
      </c>
    </row>
    <row r="720" spans="2:19" ht="24" customHeight="1" x14ac:dyDescent="0.4">
      <c r="B720" s="8" t="s">
        <v>26</v>
      </c>
      <c r="C720" s="8" t="s">
        <v>27</v>
      </c>
      <c r="D720" s="15" t="s">
        <v>23</v>
      </c>
      <c r="H720" s="4">
        <v>389</v>
      </c>
      <c r="I720" s="21" t="s">
        <v>684</v>
      </c>
      <c r="J720" s="4">
        <v>4.13</v>
      </c>
      <c r="K720" s="57" t="s">
        <v>184</v>
      </c>
      <c r="L720" s="56">
        <v>50</v>
      </c>
      <c r="M720" s="69">
        <f>6000-500</f>
        <v>5500</v>
      </c>
      <c r="N720" s="8">
        <f>+M720*L720</f>
        <v>275000</v>
      </c>
      <c r="O720" s="5">
        <f>+N720/1.1</f>
        <v>249999.99999999997</v>
      </c>
      <c r="P720" s="5">
        <f>+N720-O720</f>
        <v>25000.000000000029</v>
      </c>
      <c r="Q720" s="5">
        <f>+N720</f>
        <v>275000</v>
      </c>
      <c r="S720" s="4" t="s">
        <v>685</v>
      </c>
    </row>
    <row r="721" spans="2:19" ht="24" customHeight="1" x14ac:dyDescent="0.4">
      <c r="B721" s="8" t="s">
        <v>26</v>
      </c>
      <c r="C721" s="8" t="s">
        <v>27</v>
      </c>
      <c r="D721" s="16" t="s">
        <v>28</v>
      </c>
      <c r="H721" s="4">
        <v>389</v>
      </c>
      <c r="I721" s="21" t="s">
        <v>684</v>
      </c>
      <c r="J721" s="4">
        <v>4.13</v>
      </c>
      <c r="K721" s="4" t="s">
        <v>686</v>
      </c>
      <c r="L721" s="56">
        <v>20</v>
      </c>
      <c r="M721" s="69">
        <f>6000-500</f>
        <v>5500</v>
      </c>
      <c r="N721" s="8">
        <f>+M721*L721</f>
        <v>110000</v>
      </c>
      <c r="Q721" s="5">
        <f>+N721</f>
        <v>110000</v>
      </c>
      <c r="S721" s="4" t="s">
        <v>685</v>
      </c>
    </row>
    <row r="722" spans="2:19" ht="24" customHeight="1" x14ac:dyDescent="0.4">
      <c r="B722" s="8" t="s">
        <v>26</v>
      </c>
      <c r="C722" s="8" t="s">
        <v>27</v>
      </c>
      <c r="D722" s="16" t="s">
        <v>28</v>
      </c>
      <c r="H722" s="4">
        <v>865</v>
      </c>
      <c r="I722" s="21" t="s">
        <v>687</v>
      </c>
      <c r="J722" s="4">
        <v>4.13</v>
      </c>
      <c r="K722" s="4" t="s">
        <v>298</v>
      </c>
      <c r="L722" s="56">
        <v>30</v>
      </c>
      <c r="M722" s="68">
        <v>6000</v>
      </c>
      <c r="N722" s="8">
        <f>+M722*L722</f>
        <v>180000</v>
      </c>
      <c r="Q722" s="5">
        <f>+N722</f>
        <v>180000</v>
      </c>
      <c r="S722" s="7" t="s">
        <v>688</v>
      </c>
    </row>
    <row r="723" spans="2:19" ht="24" customHeight="1" x14ac:dyDescent="0.4">
      <c r="B723" s="8" t="s">
        <v>26</v>
      </c>
      <c r="C723" s="8" t="s">
        <v>27</v>
      </c>
      <c r="D723" s="16" t="s">
        <v>28</v>
      </c>
      <c r="H723" s="4">
        <v>865</v>
      </c>
      <c r="I723" s="21" t="s">
        <v>687</v>
      </c>
      <c r="J723" s="4">
        <v>4.13</v>
      </c>
      <c r="K723" s="4" t="s">
        <v>686</v>
      </c>
      <c r="L723" s="56">
        <v>30</v>
      </c>
      <c r="M723" s="68">
        <v>6000</v>
      </c>
      <c r="N723" s="8">
        <f>+M723*L723</f>
        <v>180000</v>
      </c>
      <c r="Q723" s="5">
        <f>+N723</f>
        <v>180000</v>
      </c>
      <c r="S723" s="7" t="s">
        <v>688</v>
      </c>
    </row>
    <row r="724" spans="2:19" ht="24" customHeight="1" x14ac:dyDescent="0.4">
      <c r="B724" s="8" t="s">
        <v>26</v>
      </c>
      <c r="C724" s="8" t="s">
        <v>27</v>
      </c>
      <c r="D724" s="16" t="s">
        <v>28</v>
      </c>
      <c r="H724" s="4">
        <v>1870</v>
      </c>
      <c r="I724" s="21" t="s">
        <v>90</v>
      </c>
      <c r="J724" s="4">
        <v>4.13</v>
      </c>
      <c r="K724" s="32" t="s">
        <v>689</v>
      </c>
      <c r="L724" s="63">
        <v>1</v>
      </c>
      <c r="M724" s="68">
        <f>12000+3000</f>
        <v>15000</v>
      </c>
      <c r="N724" s="8">
        <f>+M724*L724</f>
        <v>15000</v>
      </c>
      <c r="Q724" s="5">
        <f>+N724</f>
        <v>15000</v>
      </c>
      <c r="R724" s="4" t="s">
        <v>58</v>
      </c>
      <c r="S724" s="7" t="s">
        <v>470</v>
      </c>
    </row>
    <row r="725" spans="2:19" ht="24" customHeight="1" x14ac:dyDescent="0.4"/>
    <row r="726" spans="2:19" ht="24" customHeight="1" x14ac:dyDescent="0.4">
      <c r="B726" s="8" t="s">
        <v>26</v>
      </c>
      <c r="C726" s="8" t="s">
        <v>27</v>
      </c>
      <c r="D726" s="16" t="s">
        <v>28</v>
      </c>
      <c r="H726" s="4">
        <v>1324</v>
      </c>
      <c r="I726" s="21" t="s">
        <v>96</v>
      </c>
      <c r="J726" s="4">
        <v>4.1399999999999997</v>
      </c>
      <c r="K726" s="61" t="s">
        <v>690</v>
      </c>
      <c r="L726" s="32">
        <v>1</v>
      </c>
      <c r="M726" s="68">
        <f>23000+4000</f>
        <v>27000</v>
      </c>
      <c r="N726" s="8">
        <f>+M726*L726</f>
        <v>27000</v>
      </c>
      <c r="Q726" s="5">
        <f>+N726</f>
        <v>27000</v>
      </c>
      <c r="R726" s="4" t="s">
        <v>666</v>
      </c>
      <c r="S726" s="7" t="s">
        <v>97</v>
      </c>
    </row>
    <row r="727" spans="2:19" ht="24" customHeight="1" x14ac:dyDescent="0.4">
      <c r="B727" s="8" t="s">
        <v>26</v>
      </c>
      <c r="C727" s="8" t="s">
        <v>27</v>
      </c>
      <c r="D727" s="16" t="s">
        <v>28</v>
      </c>
      <c r="H727" s="4">
        <v>1325</v>
      </c>
      <c r="I727" s="22" t="s">
        <v>82</v>
      </c>
      <c r="J727" s="4">
        <v>4.1399999999999997</v>
      </c>
      <c r="K727" s="8" t="s">
        <v>691</v>
      </c>
      <c r="L727" s="63">
        <v>2</v>
      </c>
      <c r="M727" s="68">
        <f>20000+3000</f>
        <v>23000</v>
      </c>
      <c r="N727" s="8">
        <f>+M727*L727</f>
        <v>46000</v>
      </c>
      <c r="Q727" s="5">
        <f>+N727</f>
        <v>46000</v>
      </c>
      <c r="R727" s="40" t="s">
        <v>58</v>
      </c>
      <c r="S727" s="7" t="s">
        <v>83</v>
      </c>
    </row>
    <row r="728" spans="2:19" ht="24" customHeight="1" x14ac:dyDescent="0.4"/>
    <row r="729" spans="2:19" ht="24" customHeight="1" x14ac:dyDescent="0.4">
      <c r="B729" s="8" t="s">
        <v>26</v>
      </c>
      <c r="C729" s="8" t="s">
        <v>27</v>
      </c>
      <c r="D729" s="16" t="s">
        <v>28</v>
      </c>
      <c r="H729" s="4">
        <v>550</v>
      </c>
      <c r="I729" s="21" t="s">
        <v>48</v>
      </c>
      <c r="J729" s="4">
        <v>4.1500000000000004</v>
      </c>
      <c r="K729" s="32" t="s">
        <v>692</v>
      </c>
      <c r="L729" s="32">
        <v>1</v>
      </c>
      <c r="M729" s="68">
        <f>13000+3000</f>
        <v>16000</v>
      </c>
      <c r="N729" s="8">
        <f>+M729*L729</f>
        <v>16000</v>
      </c>
      <c r="Q729" s="5">
        <f>+N729</f>
        <v>16000</v>
      </c>
      <c r="R729" s="4" t="s">
        <v>58</v>
      </c>
      <c r="S729" s="7" t="s">
        <v>51</v>
      </c>
    </row>
    <row r="730" spans="2:19" ht="24" customHeight="1" x14ac:dyDescent="0.4">
      <c r="B730" s="8" t="s">
        <v>26</v>
      </c>
      <c r="C730" s="8" t="s">
        <v>27</v>
      </c>
      <c r="D730" s="16" t="s">
        <v>28</v>
      </c>
      <c r="H730" s="4">
        <v>550</v>
      </c>
      <c r="I730" s="21" t="s">
        <v>48</v>
      </c>
      <c r="J730" s="4">
        <v>4.1500000000000004</v>
      </c>
      <c r="K730" s="62" t="s">
        <v>693</v>
      </c>
      <c r="L730" s="32">
        <v>2</v>
      </c>
      <c r="M730" s="68">
        <f>40000+4000</f>
        <v>44000</v>
      </c>
      <c r="N730" s="8">
        <f>+M730*L730</f>
        <v>88000</v>
      </c>
      <c r="Q730" s="5">
        <f>+N730</f>
        <v>88000</v>
      </c>
      <c r="R730" s="7" t="s">
        <v>455</v>
      </c>
      <c r="S730" s="7" t="s">
        <v>51</v>
      </c>
    </row>
    <row r="731" spans="2:19" ht="24" customHeight="1" x14ac:dyDescent="0.4"/>
    <row r="732" spans="2:19" ht="24" customHeight="1" x14ac:dyDescent="0.4">
      <c r="B732" s="8" t="s">
        <v>26</v>
      </c>
      <c r="C732" s="8" t="s">
        <v>27</v>
      </c>
      <c r="D732" s="16" t="s">
        <v>28</v>
      </c>
      <c r="H732" s="4">
        <v>1324</v>
      </c>
      <c r="I732" s="21" t="s">
        <v>96</v>
      </c>
      <c r="J732" s="4">
        <v>4.18</v>
      </c>
      <c r="K732" s="32" t="s">
        <v>214</v>
      </c>
      <c r="L732" s="56">
        <v>25</v>
      </c>
      <c r="M732" s="68">
        <v>6000</v>
      </c>
      <c r="N732" s="8">
        <f>+M732*L732</f>
        <v>150000</v>
      </c>
      <c r="Q732" s="5">
        <f>+N732</f>
        <v>150000</v>
      </c>
      <c r="S732" s="7" t="s">
        <v>97</v>
      </c>
    </row>
    <row r="733" spans="2:19" ht="24" customHeight="1" x14ac:dyDescent="0.4">
      <c r="B733" s="8" t="s">
        <v>26</v>
      </c>
      <c r="C733" s="8" t="s">
        <v>27</v>
      </c>
      <c r="D733" s="16" t="s">
        <v>28</v>
      </c>
      <c r="H733" s="4">
        <v>1325</v>
      </c>
      <c r="I733" s="22" t="s">
        <v>82</v>
      </c>
      <c r="J733" s="4">
        <v>4.18</v>
      </c>
      <c r="K733" s="32" t="s">
        <v>214</v>
      </c>
      <c r="L733" s="56">
        <v>35</v>
      </c>
      <c r="M733" s="68">
        <v>6000</v>
      </c>
      <c r="N733" s="8">
        <f>+M733*L733</f>
        <v>210000</v>
      </c>
      <c r="Q733" s="5">
        <f>+N733</f>
        <v>210000</v>
      </c>
      <c r="S733" s="4" t="s">
        <v>83</v>
      </c>
    </row>
    <row r="734" spans="2:19" ht="24" customHeight="1" x14ac:dyDescent="0.4">
      <c r="B734" s="8" t="s">
        <v>26</v>
      </c>
      <c r="C734" s="8" t="s">
        <v>27</v>
      </c>
      <c r="D734" s="16" t="s">
        <v>28</v>
      </c>
      <c r="H734" s="4">
        <v>148</v>
      </c>
      <c r="I734" s="21" t="s">
        <v>115</v>
      </c>
      <c r="J734" s="4">
        <v>4.18</v>
      </c>
      <c r="K734" s="32" t="s">
        <v>694</v>
      </c>
      <c r="L734" s="63">
        <v>2</v>
      </c>
      <c r="M734" s="68">
        <f>12000+3000</f>
        <v>15000</v>
      </c>
      <c r="N734" s="8">
        <f>+M734*L734</f>
        <v>30000</v>
      </c>
      <c r="Q734" s="5">
        <f>+N734</f>
        <v>30000</v>
      </c>
      <c r="R734" s="4" t="s">
        <v>58</v>
      </c>
      <c r="S734" s="7" t="s">
        <v>117</v>
      </c>
    </row>
    <row r="735" spans="2:19" ht="24" customHeight="1" x14ac:dyDescent="0.4">
      <c r="B735" s="8" t="s">
        <v>26</v>
      </c>
      <c r="C735" s="8" t="s">
        <v>27</v>
      </c>
      <c r="D735" s="15" t="s">
        <v>23</v>
      </c>
      <c r="H735" s="4">
        <v>550</v>
      </c>
      <c r="I735" s="21" t="s">
        <v>48</v>
      </c>
      <c r="J735" s="4">
        <v>4.18</v>
      </c>
      <c r="K735" s="63" t="s">
        <v>695</v>
      </c>
      <c r="L735" s="56">
        <v>3</v>
      </c>
      <c r="M735" s="71">
        <f>14000+4000</f>
        <v>18000</v>
      </c>
      <c r="N735" s="8">
        <f>+M735*L735</f>
        <v>54000</v>
      </c>
      <c r="O735" s="5">
        <f>+N735/1.1</f>
        <v>49090.909090909088</v>
      </c>
      <c r="P735" s="5">
        <f>+N735-O735</f>
        <v>4909.0909090909117</v>
      </c>
      <c r="Q735" s="5">
        <f>+N735</f>
        <v>54000</v>
      </c>
      <c r="R735" s="83" t="s">
        <v>455</v>
      </c>
      <c r="S735" s="7" t="s">
        <v>51</v>
      </c>
    </row>
    <row r="736" spans="2:19" ht="24" customHeight="1" x14ac:dyDescent="0.4"/>
    <row r="737" spans="2:19" ht="24" customHeight="1" x14ac:dyDescent="0.4">
      <c r="B737" s="8" t="s">
        <v>26</v>
      </c>
      <c r="C737" s="8" t="s">
        <v>27</v>
      </c>
      <c r="D737" s="15" t="s">
        <v>23</v>
      </c>
      <c r="H737" s="4">
        <v>550</v>
      </c>
      <c r="I737" s="21" t="s">
        <v>48</v>
      </c>
      <c r="J737" s="4">
        <v>4.1900000000000004</v>
      </c>
      <c r="K737" s="4" t="s">
        <v>304</v>
      </c>
      <c r="L737" s="56">
        <v>50</v>
      </c>
      <c r="M737" s="69">
        <f>6000-500</f>
        <v>5500</v>
      </c>
      <c r="N737" s="8">
        <f>+M737*L737</f>
        <v>275000</v>
      </c>
      <c r="O737" s="5">
        <f>+N737/1.1</f>
        <v>249999.99999999997</v>
      </c>
      <c r="P737" s="5">
        <f>+N737-O737</f>
        <v>25000.000000000029</v>
      </c>
      <c r="Q737" s="5">
        <f>+N737</f>
        <v>275000</v>
      </c>
      <c r="S737" s="7" t="s">
        <v>51</v>
      </c>
    </row>
    <row r="738" spans="2:19" ht="24" customHeight="1" x14ac:dyDescent="0.4">
      <c r="B738" s="8" t="s">
        <v>26</v>
      </c>
      <c r="C738" s="8" t="s">
        <v>27</v>
      </c>
      <c r="D738" s="16" t="s">
        <v>28</v>
      </c>
      <c r="H738" s="4">
        <v>148</v>
      </c>
      <c r="I738" s="21" t="s">
        <v>115</v>
      </c>
      <c r="J738" s="4">
        <v>4.1900000000000004</v>
      </c>
      <c r="K738" s="32" t="s">
        <v>696</v>
      </c>
      <c r="L738" s="63">
        <v>1</v>
      </c>
      <c r="M738" s="68">
        <f>12000+3000</f>
        <v>15000</v>
      </c>
      <c r="N738" s="8">
        <f>+M738*L738</f>
        <v>15000</v>
      </c>
      <c r="Q738" s="5">
        <f>+N738</f>
        <v>15000</v>
      </c>
      <c r="R738" s="4" t="s">
        <v>58</v>
      </c>
      <c r="S738" s="7" t="s">
        <v>117</v>
      </c>
    </row>
    <row r="739" spans="2:19" ht="24" customHeight="1" x14ac:dyDescent="0.4">
      <c r="B739" s="8" t="s">
        <v>26</v>
      </c>
      <c r="C739" s="8" t="s">
        <v>27</v>
      </c>
      <c r="D739" s="16" t="s">
        <v>28</v>
      </c>
      <c r="H739" s="4">
        <v>782</v>
      </c>
      <c r="I739" s="21" t="s">
        <v>197</v>
      </c>
      <c r="J739" s="28">
        <v>4.1900000000000004</v>
      </c>
      <c r="K739" s="29" t="s">
        <v>649</v>
      </c>
      <c r="L739" s="56">
        <v>48</v>
      </c>
      <c r="M739" s="71">
        <f>7000-1000</f>
        <v>6000</v>
      </c>
      <c r="N739" s="8">
        <f>+M739*L739</f>
        <v>288000</v>
      </c>
      <c r="Q739" s="5">
        <f>+N739</f>
        <v>288000</v>
      </c>
      <c r="S739" s="4" t="s">
        <v>199</v>
      </c>
    </row>
    <row r="740" spans="2:19" ht="24" customHeight="1" x14ac:dyDescent="0.4"/>
    <row r="741" spans="2:19" ht="24" customHeight="1" x14ac:dyDescent="0.4">
      <c r="B741" s="8" t="s">
        <v>26</v>
      </c>
      <c r="C741" s="8" t="s">
        <v>27</v>
      </c>
      <c r="D741" s="16" t="s">
        <v>28</v>
      </c>
      <c r="H741" s="4">
        <v>1324</v>
      </c>
      <c r="I741" s="21" t="s">
        <v>96</v>
      </c>
      <c r="J741" s="4">
        <v>4.2</v>
      </c>
      <c r="K741" s="32" t="s">
        <v>214</v>
      </c>
      <c r="L741" s="56">
        <v>20</v>
      </c>
      <c r="M741" s="68">
        <v>6000</v>
      </c>
      <c r="N741" s="8">
        <f>+M741*L741</f>
        <v>120000</v>
      </c>
      <c r="Q741" s="5">
        <f>+N741</f>
        <v>120000</v>
      </c>
      <c r="S741" s="7" t="s">
        <v>97</v>
      </c>
    </row>
    <row r="742" spans="2:19" ht="24" customHeight="1" x14ac:dyDescent="0.4">
      <c r="B742" s="8" t="s">
        <v>26</v>
      </c>
      <c r="C742" s="8" t="s">
        <v>27</v>
      </c>
      <c r="D742" s="16" t="s">
        <v>28</v>
      </c>
      <c r="H742" s="4">
        <v>540</v>
      </c>
      <c r="I742" s="21" t="s">
        <v>414</v>
      </c>
      <c r="J742" s="4">
        <v>4.2</v>
      </c>
      <c r="K742" s="32" t="s">
        <v>697</v>
      </c>
      <c r="L742" s="63">
        <v>1</v>
      </c>
      <c r="M742" s="68">
        <f>12000+3000</f>
        <v>15000</v>
      </c>
      <c r="N742" s="8">
        <f>+M742*L742</f>
        <v>15000</v>
      </c>
      <c r="Q742" s="5">
        <f>+N742</f>
        <v>15000</v>
      </c>
      <c r="R742" s="4" t="s">
        <v>58</v>
      </c>
      <c r="S742" s="7" t="s">
        <v>416</v>
      </c>
    </row>
    <row r="743" spans="2:19" ht="24" customHeight="1" x14ac:dyDescent="0.4">
      <c r="B743" s="8" t="s">
        <v>26</v>
      </c>
      <c r="C743" s="8" t="s">
        <v>27</v>
      </c>
      <c r="D743" s="16" t="s">
        <v>28</v>
      </c>
      <c r="H743" s="4">
        <v>532</v>
      </c>
      <c r="I743" s="21" t="s">
        <v>129</v>
      </c>
      <c r="J743" s="4">
        <v>4.2</v>
      </c>
      <c r="K743" s="32" t="s">
        <v>698</v>
      </c>
      <c r="L743" s="63">
        <v>1</v>
      </c>
      <c r="M743" s="68">
        <f>12000+3000</f>
        <v>15000</v>
      </c>
      <c r="N743" s="8">
        <f>+M743*L743</f>
        <v>15000</v>
      </c>
      <c r="Q743" s="5">
        <f>+N743</f>
        <v>15000</v>
      </c>
      <c r="R743" s="4" t="s">
        <v>58</v>
      </c>
      <c r="S743" s="7" t="s">
        <v>131</v>
      </c>
    </row>
    <row r="744" spans="2:19" ht="24" customHeight="1" x14ac:dyDescent="0.4"/>
    <row r="745" spans="2:19" ht="24" customHeight="1" x14ac:dyDescent="0.4">
      <c r="B745" s="8" t="s">
        <v>26</v>
      </c>
      <c r="C745" s="8" t="s">
        <v>27</v>
      </c>
      <c r="D745" s="16" t="s">
        <v>28</v>
      </c>
      <c r="H745" s="4">
        <v>786</v>
      </c>
      <c r="I745" s="21" t="s">
        <v>350</v>
      </c>
      <c r="J745" s="4">
        <v>4.21</v>
      </c>
      <c r="K745" s="4" t="s">
        <v>641</v>
      </c>
      <c r="L745" s="66">
        <f>30+4</f>
        <v>34</v>
      </c>
      <c r="M745" s="68">
        <v>6000</v>
      </c>
      <c r="N745" s="8">
        <f>+M745*L745</f>
        <v>204000</v>
      </c>
      <c r="Q745" s="5">
        <f>+N745</f>
        <v>204000</v>
      </c>
      <c r="R745" s="76" t="s">
        <v>699</v>
      </c>
      <c r="S745" s="4" t="s">
        <v>544</v>
      </c>
    </row>
    <row r="746" spans="2:19" ht="24" customHeight="1" x14ac:dyDescent="0.4">
      <c r="B746" s="8" t="s">
        <v>26</v>
      </c>
      <c r="C746" s="8" t="s">
        <v>27</v>
      </c>
      <c r="D746" s="16" t="s">
        <v>28</v>
      </c>
      <c r="H746" s="4">
        <v>786</v>
      </c>
      <c r="I746" s="21" t="s">
        <v>350</v>
      </c>
      <c r="J746" s="4">
        <v>4.21</v>
      </c>
      <c r="K746" s="4" t="s">
        <v>700</v>
      </c>
      <c r="L746" s="56">
        <v>30</v>
      </c>
      <c r="M746" s="68">
        <v>6000</v>
      </c>
      <c r="N746" s="8">
        <f>+M746*L746</f>
        <v>180000</v>
      </c>
      <c r="Q746" s="5">
        <f>+N746</f>
        <v>180000</v>
      </c>
      <c r="R746" s="72" t="s">
        <v>701</v>
      </c>
      <c r="S746" s="4" t="s">
        <v>544</v>
      </c>
    </row>
    <row r="747" spans="2:19" ht="24" customHeight="1" x14ac:dyDescent="0.4">
      <c r="B747" s="8" t="s">
        <v>26</v>
      </c>
      <c r="C747" s="8" t="s">
        <v>27</v>
      </c>
      <c r="D747" s="16" t="s">
        <v>28</v>
      </c>
      <c r="H747" s="4">
        <v>786</v>
      </c>
      <c r="I747" s="21" t="s">
        <v>350</v>
      </c>
      <c r="J747" s="4">
        <v>4.21</v>
      </c>
      <c r="K747" s="4" t="s">
        <v>641</v>
      </c>
      <c r="L747" s="32">
        <v>10</v>
      </c>
      <c r="M747" s="68">
        <v>6000</v>
      </c>
      <c r="N747" s="8">
        <f>+M747*L747</f>
        <v>60000</v>
      </c>
      <c r="Q747" s="5">
        <f>+N747</f>
        <v>60000</v>
      </c>
      <c r="R747" s="78" t="s">
        <v>702</v>
      </c>
      <c r="S747" s="4" t="s">
        <v>544</v>
      </c>
    </row>
    <row r="748" spans="2:19" ht="24" customHeight="1" x14ac:dyDescent="0.4"/>
    <row r="749" spans="2:19" ht="24" customHeight="1" x14ac:dyDescent="0.4">
      <c r="B749" s="8" t="s">
        <v>26</v>
      </c>
      <c r="C749" s="8" t="s">
        <v>27</v>
      </c>
      <c r="D749" s="15" t="s">
        <v>23</v>
      </c>
      <c r="H749" s="4">
        <v>605</v>
      </c>
      <c r="I749" s="21" t="s">
        <v>177</v>
      </c>
      <c r="J749" s="4">
        <v>4.22</v>
      </c>
      <c r="K749" s="7" t="s">
        <v>703</v>
      </c>
      <c r="L749" s="63">
        <v>8</v>
      </c>
      <c r="M749" s="68">
        <f>6000+4000</f>
        <v>10000</v>
      </c>
      <c r="N749" s="8">
        <f>+M749*L749</f>
        <v>80000</v>
      </c>
      <c r="O749" s="5">
        <f>+N749/1.1</f>
        <v>72727.272727272721</v>
      </c>
      <c r="P749" s="5">
        <f>+N749-O749</f>
        <v>7272.7272727272793</v>
      </c>
      <c r="Q749" s="5">
        <f>+N749</f>
        <v>80000</v>
      </c>
      <c r="R749" s="40" t="s">
        <v>455</v>
      </c>
      <c r="S749" s="4" t="s">
        <v>179</v>
      </c>
    </row>
    <row r="750" spans="2:19" ht="24" customHeight="1" x14ac:dyDescent="0.4"/>
    <row r="751" spans="2:19" ht="24" customHeight="1" x14ac:dyDescent="0.4">
      <c r="B751" s="8" t="s">
        <v>26</v>
      </c>
      <c r="C751" s="8" t="s">
        <v>27</v>
      </c>
      <c r="D751" s="16" t="s">
        <v>28</v>
      </c>
      <c r="H751" s="4">
        <v>602</v>
      </c>
      <c r="I751" s="21" t="s">
        <v>375</v>
      </c>
      <c r="J751" s="4">
        <v>4.2300000000000004</v>
      </c>
      <c r="K751" s="8" t="s">
        <v>704</v>
      </c>
      <c r="L751" s="63">
        <v>1</v>
      </c>
      <c r="M751" s="68">
        <f>20000+3000</f>
        <v>23000</v>
      </c>
      <c r="N751" s="8">
        <f>+M751*L751</f>
        <v>23000</v>
      </c>
      <c r="Q751" s="5">
        <f>+N751</f>
        <v>23000</v>
      </c>
      <c r="R751" s="40" t="s">
        <v>58</v>
      </c>
      <c r="S751" s="7" t="s">
        <v>377</v>
      </c>
    </row>
    <row r="752" spans="2:19" ht="24" customHeight="1" x14ac:dyDescent="0.4"/>
    <row r="753" spans="2:19" ht="24" customHeight="1" x14ac:dyDescent="0.4">
      <c r="B753" s="8" t="s">
        <v>26</v>
      </c>
      <c r="C753" s="8" t="s">
        <v>27</v>
      </c>
      <c r="D753" s="15" t="s">
        <v>23</v>
      </c>
      <c r="H753" s="4">
        <v>209</v>
      </c>
      <c r="I753" s="21" t="s">
        <v>158</v>
      </c>
      <c r="J753" s="4">
        <v>4.25</v>
      </c>
      <c r="K753" s="57" t="s">
        <v>184</v>
      </c>
      <c r="L753" s="56">
        <v>7</v>
      </c>
      <c r="M753" s="68">
        <v>6000</v>
      </c>
      <c r="N753" s="8">
        <f>+M753*L753</f>
        <v>42000</v>
      </c>
      <c r="O753" s="5">
        <f>+N753/1.1</f>
        <v>38181.818181818177</v>
      </c>
      <c r="P753" s="5">
        <f>+N753-O753</f>
        <v>3818.1818181818235</v>
      </c>
      <c r="Q753" s="5">
        <f>+N753</f>
        <v>42000</v>
      </c>
      <c r="S753" s="4" t="s">
        <v>635</v>
      </c>
    </row>
    <row r="754" spans="2:19" ht="24" customHeight="1" x14ac:dyDescent="0.4">
      <c r="B754" s="8" t="s">
        <v>26</v>
      </c>
      <c r="C754" s="8" t="s">
        <v>27</v>
      </c>
      <c r="D754" s="15" t="s">
        <v>23</v>
      </c>
      <c r="H754" s="4">
        <v>209</v>
      </c>
      <c r="I754" s="21" t="s">
        <v>158</v>
      </c>
      <c r="J754" s="4">
        <v>4.25</v>
      </c>
      <c r="K754" s="3" t="s">
        <v>705</v>
      </c>
      <c r="L754" s="56">
        <v>14</v>
      </c>
      <c r="M754" s="68">
        <v>6000</v>
      </c>
      <c r="N754" s="8">
        <f>+M754*L754</f>
        <v>84000</v>
      </c>
      <c r="O754" s="5">
        <f>+N754/1.1</f>
        <v>76363.636363636353</v>
      </c>
      <c r="P754" s="5">
        <f>+N754-O754</f>
        <v>7636.3636363636469</v>
      </c>
      <c r="Q754" s="5">
        <f>+N754</f>
        <v>84000</v>
      </c>
      <c r="S754" s="4" t="s">
        <v>635</v>
      </c>
    </row>
    <row r="755" spans="2:19" ht="24" customHeight="1" x14ac:dyDescent="0.4">
      <c r="B755" s="8" t="s">
        <v>26</v>
      </c>
      <c r="C755" s="8" t="s">
        <v>27</v>
      </c>
      <c r="D755" s="16" t="s">
        <v>28</v>
      </c>
      <c r="H755" s="4">
        <v>148</v>
      </c>
      <c r="I755" s="21" t="s">
        <v>115</v>
      </c>
      <c r="J755" s="4">
        <v>4.25</v>
      </c>
      <c r="K755" s="32" t="s">
        <v>706</v>
      </c>
      <c r="L755" s="63">
        <v>1</v>
      </c>
      <c r="M755" s="68">
        <v>18000</v>
      </c>
      <c r="N755" s="8">
        <f>+M755*L755</f>
        <v>18000</v>
      </c>
      <c r="Q755" s="5">
        <f>+N755</f>
        <v>18000</v>
      </c>
      <c r="R755" s="4" t="s">
        <v>58</v>
      </c>
      <c r="S755" s="7" t="s">
        <v>117</v>
      </c>
    </row>
    <row r="756" spans="2:19" ht="24" customHeight="1" x14ac:dyDescent="0.4">
      <c r="B756" s="8" t="s">
        <v>26</v>
      </c>
      <c r="C756" s="8" t="s">
        <v>27</v>
      </c>
      <c r="D756" s="16" t="s">
        <v>28</v>
      </c>
      <c r="H756" s="4">
        <v>1324</v>
      </c>
      <c r="I756" s="21" t="s">
        <v>96</v>
      </c>
      <c r="J756" s="4">
        <v>4.25</v>
      </c>
      <c r="K756" s="61" t="s">
        <v>707</v>
      </c>
      <c r="L756" s="32">
        <v>1</v>
      </c>
      <c r="M756" s="68">
        <f>23000+4000</f>
        <v>27000</v>
      </c>
      <c r="N756" s="8">
        <f>+M756*L756</f>
        <v>27000</v>
      </c>
      <c r="Q756" s="5">
        <f>+N756</f>
        <v>27000</v>
      </c>
      <c r="R756" s="4" t="s">
        <v>666</v>
      </c>
      <c r="S756" s="7" t="s">
        <v>97</v>
      </c>
    </row>
    <row r="757" spans="2:19" ht="24" customHeight="1" x14ac:dyDescent="0.4"/>
    <row r="758" spans="2:19" ht="24" customHeight="1" x14ac:dyDescent="0.4">
      <c r="B758" s="8" t="s">
        <v>26</v>
      </c>
      <c r="C758" s="8" t="s">
        <v>27</v>
      </c>
      <c r="D758" s="16" t="s">
        <v>28</v>
      </c>
      <c r="H758" s="4">
        <v>2865</v>
      </c>
      <c r="I758" s="22" t="s">
        <v>169</v>
      </c>
      <c r="J758" s="4">
        <v>4.26</v>
      </c>
      <c r="K758" s="52" t="s">
        <v>708</v>
      </c>
      <c r="L758" s="32">
        <v>1</v>
      </c>
      <c r="M758" s="68">
        <v>25000</v>
      </c>
      <c r="N758" s="8">
        <f>+M758*L758</f>
        <v>25000</v>
      </c>
      <c r="Q758" s="5">
        <f>+N758</f>
        <v>25000</v>
      </c>
      <c r="R758" s="7" t="s">
        <v>521</v>
      </c>
      <c r="S758" s="4" t="s">
        <v>171</v>
      </c>
    </row>
    <row r="759" spans="2:19" ht="24" customHeight="1" x14ac:dyDescent="0.4"/>
    <row r="760" spans="2:19" ht="24" customHeight="1" x14ac:dyDescent="0.4">
      <c r="B760" s="8" t="s">
        <v>26</v>
      </c>
      <c r="C760" s="8" t="s">
        <v>27</v>
      </c>
      <c r="D760" s="15" t="s">
        <v>23</v>
      </c>
      <c r="H760" s="4">
        <v>550</v>
      </c>
      <c r="I760" s="21" t="s">
        <v>48</v>
      </c>
      <c r="J760" s="4">
        <v>4.2699999999999996</v>
      </c>
      <c r="K760" s="7" t="s">
        <v>709</v>
      </c>
      <c r="L760" s="56">
        <v>100</v>
      </c>
      <c r="M760" s="68">
        <v>700</v>
      </c>
      <c r="N760" s="8">
        <f>+M760*L760</f>
        <v>70000</v>
      </c>
      <c r="O760" s="5">
        <f>+N760/1.1</f>
        <v>63636.363636363632</v>
      </c>
      <c r="P760" s="5">
        <f>+N760-O760</f>
        <v>6363.6363636363676</v>
      </c>
      <c r="Q760" s="5">
        <f>+N760</f>
        <v>70000</v>
      </c>
      <c r="S760" s="7" t="s">
        <v>51</v>
      </c>
    </row>
    <row r="761" spans="2:19" ht="24" customHeight="1" x14ac:dyDescent="0.4">
      <c r="B761" s="8" t="s">
        <v>26</v>
      </c>
      <c r="C761" s="8" t="s">
        <v>27</v>
      </c>
      <c r="D761" s="15" t="s">
        <v>23</v>
      </c>
      <c r="H761" s="4">
        <v>571</v>
      </c>
      <c r="I761" s="21" t="s">
        <v>363</v>
      </c>
      <c r="J761" s="4">
        <v>4.2699999999999996</v>
      </c>
      <c r="K761" s="8" t="s">
        <v>710</v>
      </c>
      <c r="L761" s="56">
        <v>150</v>
      </c>
      <c r="M761" s="68">
        <v>5000</v>
      </c>
      <c r="N761" s="8">
        <f>+M761*L761</f>
        <v>750000</v>
      </c>
      <c r="O761" s="5">
        <f>+N761/1.1</f>
        <v>681818.18181818177</v>
      </c>
      <c r="P761" s="5">
        <f>+N761-O761</f>
        <v>68181.818181818235</v>
      </c>
      <c r="Q761" s="5">
        <f>+N761</f>
        <v>750000</v>
      </c>
      <c r="S761" s="5" t="s">
        <v>81</v>
      </c>
    </row>
    <row r="762" spans="2:19" ht="24" customHeight="1" x14ac:dyDescent="0.4">
      <c r="B762" s="8" t="s">
        <v>26</v>
      </c>
      <c r="C762" s="8" t="s">
        <v>27</v>
      </c>
      <c r="D762" s="16" t="s">
        <v>28</v>
      </c>
      <c r="H762" s="4">
        <v>930</v>
      </c>
      <c r="I762" s="21" t="s">
        <v>392</v>
      </c>
      <c r="J762" s="4">
        <v>4.2699999999999996</v>
      </c>
      <c r="K762" s="8" t="s">
        <v>711</v>
      </c>
      <c r="L762" s="63">
        <v>1</v>
      </c>
      <c r="M762" s="68">
        <f>20000+3000</f>
        <v>23000</v>
      </c>
      <c r="N762" s="8">
        <f>+M762*L762</f>
        <v>23000</v>
      </c>
      <c r="Q762" s="5">
        <f>+N762</f>
        <v>23000</v>
      </c>
      <c r="R762" s="40" t="s">
        <v>58</v>
      </c>
      <c r="S762" s="7" t="s">
        <v>394</v>
      </c>
    </row>
    <row r="763" spans="2:19" ht="24" customHeight="1" x14ac:dyDescent="0.4">
      <c r="B763" s="8" t="s">
        <v>26</v>
      </c>
      <c r="C763" s="8" t="s">
        <v>27</v>
      </c>
      <c r="D763" s="16" t="s">
        <v>28</v>
      </c>
      <c r="H763" s="4">
        <v>148</v>
      </c>
      <c r="I763" s="21" t="s">
        <v>115</v>
      </c>
      <c r="J763" s="4">
        <v>4.2699999999999996</v>
      </c>
      <c r="K763" s="32" t="s">
        <v>712</v>
      </c>
      <c r="L763" s="63">
        <v>1</v>
      </c>
      <c r="M763" s="68">
        <f>12000+3000</f>
        <v>15000</v>
      </c>
      <c r="N763" s="8">
        <f>+M763*L763</f>
        <v>15000</v>
      </c>
      <c r="Q763" s="5">
        <f>+N763</f>
        <v>15000</v>
      </c>
      <c r="R763" s="4" t="s">
        <v>58</v>
      </c>
      <c r="S763" s="7" t="s">
        <v>117</v>
      </c>
    </row>
    <row r="764" spans="2:19" ht="24" customHeight="1" x14ac:dyDescent="0.4"/>
    <row r="765" spans="2:19" ht="24" customHeight="1" x14ac:dyDescent="0.4">
      <c r="B765" s="8" t="s">
        <v>26</v>
      </c>
      <c r="C765" s="8" t="s">
        <v>27</v>
      </c>
      <c r="D765" s="16" t="s">
        <v>28</v>
      </c>
      <c r="H765" s="4">
        <v>182</v>
      </c>
      <c r="I765" s="21" t="s">
        <v>247</v>
      </c>
      <c r="J765" s="4">
        <v>4.28</v>
      </c>
      <c r="K765" s="51" t="s">
        <v>214</v>
      </c>
      <c r="L765" s="56">
        <v>210</v>
      </c>
      <c r="M765" s="68">
        <v>6000</v>
      </c>
      <c r="N765" s="8">
        <f>+M765*L765</f>
        <v>1260000</v>
      </c>
      <c r="Q765" s="5">
        <f>+N765</f>
        <v>1260000</v>
      </c>
      <c r="S765" s="4" t="s">
        <v>249</v>
      </c>
    </row>
    <row r="766" spans="2:19" ht="24" customHeight="1" x14ac:dyDescent="0.4">
      <c r="B766" s="8" t="s">
        <v>26</v>
      </c>
      <c r="C766" s="8" t="s">
        <v>27</v>
      </c>
      <c r="D766" s="16" t="s">
        <v>28</v>
      </c>
      <c r="H766" s="4">
        <v>602</v>
      </c>
      <c r="I766" s="21" t="s">
        <v>375</v>
      </c>
      <c r="J766" s="4">
        <v>4.28</v>
      </c>
      <c r="K766" s="8" t="s">
        <v>713</v>
      </c>
      <c r="L766" s="63">
        <v>1</v>
      </c>
      <c r="M766" s="68">
        <f>20000+3000</f>
        <v>23000</v>
      </c>
      <c r="N766" s="8">
        <f>+M766*L766</f>
        <v>23000</v>
      </c>
      <c r="Q766" s="5">
        <f>+N766</f>
        <v>23000</v>
      </c>
      <c r="R766" s="40" t="s">
        <v>58</v>
      </c>
      <c r="S766" s="7" t="s">
        <v>377</v>
      </c>
    </row>
    <row r="767" spans="2:19" ht="24" customHeight="1" x14ac:dyDescent="0.4"/>
    <row r="768" spans="2:19" ht="24" customHeight="1" x14ac:dyDescent="0.4">
      <c r="B768" s="8" t="s">
        <v>26</v>
      </c>
      <c r="C768" s="8" t="s">
        <v>27</v>
      </c>
      <c r="D768" s="16" t="s">
        <v>28</v>
      </c>
      <c r="H768" s="4">
        <v>1324</v>
      </c>
      <c r="I768" s="21" t="s">
        <v>96</v>
      </c>
      <c r="J768" s="4">
        <v>4.29</v>
      </c>
      <c r="K768" s="61" t="s">
        <v>714</v>
      </c>
      <c r="L768" s="32">
        <v>1</v>
      </c>
      <c r="M768" s="68">
        <f>23000+4000</f>
        <v>27000</v>
      </c>
      <c r="N768" s="8">
        <f>+M768*L768</f>
        <v>27000</v>
      </c>
      <c r="Q768" s="5">
        <f>+N768</f>
        <v>27000</v>
      </c>
      <c r="R768" s="4" t="s">
        <v>666</v>
      </c>
      <c r="S768" s="7" t="s">
        <v>97</v>
      </c>
    </row>
    <row r="769" spans="2:19" ht="24" customHeight="1" x14ac:dyDescent="0.4">
      <c r="B769" s="8" t="s">
        <v>26</v>
      </c>
      <c r="C769" s="8" t="s">
        <v>27</v>
      </c>
      <c r="D769" s="16" t="s">
        <v>28</v>
      </c>
      <c r="H769" s="4">
        <v>1325</v>
      </c>
      <c r="I769" s="22" t="s">
        <v>82</v>
      </c>
      <c r="J769" s="4">
        <v>4.29</v>
      </c>
      <c r="K769" s="41" t="s">
        <v>715</v>
      </c>
      <c r="L769" s="56">
        <v>3</v>
      </c>
      <c r="M769" s="68">
        <f>40000+4000</f>
        <v>44000</v>
      </c>
      <c r="N769" s="8">
        <f>+M769*L769</f>
        <v>132000</v>
      </c>
      <c r="Q769" s="5">
        <f>+N769</f>
        <v>132000</v>
      </c>
      <c r="R769" s="40" t="s">
        <v>455</v>
      </c>
      <c r="S769" s="4" t="s">
        <v>83</v>
      </c>
    </row>
    <row r="770" spans="2:19" ht="24" customHeight="1" x14ac:dyDescent="0.4"/>
    <row r="771" spans="2:19" ht="24" customHeight="1" x14ac:dyDescent="0.4">
      <c r="B771" s="8" t="s">
        <v>26</v>
      </c>
      <c r="C771" s="8" t="s">
        <v>27</v>
      </c>
      <c r="D771" s="16" t="s">
        <v>28</v>
      </c>
      <c r="H771" s="4">
        <v>148</v>
      </c>
      <c r="I771" s="21" t="s">
        <v>115</v>
      </c>
      <c r="J771" s="4">
        <v>4.3</v>
      </c>
      <c r="K771" s="32" t="s">
        <v>716</v>
      </c>
      <c r="L771" s="63">
        <v>1</v>
      </c>
      <c r="M771" s="68">
        <f>12000+3000</f>
        <v>15000</v>
      </c>
      <c r="N771" s="8">
        <f>+M771*L771</f>
        <v>15000</v>
      </c>
      <c r="Q771" s="5">
        <f>+N771</f>
        <v>15000</v>
      </c>
      <c r="R771" s="4" t="s">
        <v>58</v>
      </c>
      <c r="S771" s="7" t="s">
        <v>117</v>
      </c>
    </row>
    <row r="772" spans="2:19" ht="24" customHeight="1" x14ac:dyDescent="0.4">
      <c r="B772" s="8" t="s">
        <v>26</v>
      </c>
      <c r="C772" s="8" t="s">
        <v>27</v>
      </c>
      <c r="D772" s="16" t="s">
        <v>28</v>
      </c>
      <c r="H772" s="4">
        <v>1870</v>
      </c>
      <c r="I772" s="21" t="s">
        <v>90</v>
      </c>
      <c r="J772" s="4">
        <v>4.3</v>
      </c>
      <c r="K772" s="32" t="s">
        <v>717</v>
      </c>
      <c r="L772" s="63">
        <v>1</v>
      </c>
      <c r="M772" s="68">
        <f>12000+3000</f>
        <v>15000</v>
      </c>
      <c r="N772" s="8">
        <f>+M772*L772</f>
        <v>15000</v>
      </c>
      <c r="Q772" s="5">
        <f>+N772</f>
        <v>15000</v>
      </c>
      <c r="R772" s="4" t="s">
        <v>58</v>
      </c>
      <c r="S772" s="7" t="s">
        <v>470</v>
      </c>
    </row>
    <row r="773" spans="2:19" ht="24" customHeight="1" x14ac:dyDescent="0.4">
      <c r="B773" s="8" t="s">
        <v>26</v>
      </c>
      <c r="C773" s="8" t="s">
        <v>27</v>
      </c>
      <c r="D773" s="16" t="s">
        <v>28</v>
      </c>
      <c r="H773" s="4">
        <v>532</v>
      </c>
      <c r="I773" s="21" t="s">
        <v>129</v>
      </c>
      <c r="J773" s="4">
        <v>4.3</v>
      </c>
      <c r="K773" s="32" t="s">
        <v>718</v>
      </c>
      <c r="L773" s="63">
        <v>1</v>
      </c>
      <c r="M773" s="68">
        <f>12000+3000</f>
        <v>15000</v>
      </c>
      <c r="N773" s="8">
        <f>+M773*L773</f>
        <v>15000</v>
      </c>
      <c r="Q773" s="5">
        <f>+N773</f>
        <v>15000</v>
      </c>
      <c r="R773" s="4" t="s">
        <v>58</v>
      </c>
      <c r="S773" s="7" t="s">
        <v>131</v>
      </c>
    </row>
    <row r="774" spans="2:19" ht="24" customHeight="1" x14ac:dyDescent="0.4"/>
    <row r="775" spans="2:19" ht="24" customHeight="1" x14ac:dyDescent="0.4">
      <c r="B775" s="8" t="s">
        <v>26</v>
      </c>
      <c r="C775" s="8" t="s">
        <v>27</v>
      </c>
      <c r="D775" s="16" t="s">
        <v>28</v>
      </c>
      <c r="H775" s="4">
        <v>182</v>
      </c>
      <c r="I775" s="21" t="s">
        <v>247</v>
      </c>
      <c r="J775" s="4">
        <v>5.0199999999999996</v>
      </c>
      <c r="K775" s="51" t="s">
        <v>214</v>
      </c>
      <c r="L775" s="56">
        <v>15</v>
      </c>
      <c r="M775" s="68">
        <v>6000</v>
      </c>
      <c r="N775" s="8">
        <f>+M775*L775</f>
        <v>90000</v>
      </c>
      <c r="Q775" s="5">
        <f>+N775</f>
        <v>90000</v>
      </c>
      <c r="S775" s="4" t="s">
        <v>249</v>
      </c>
    </row>
    <row r="776" spans="2:19" ht="24" customHeight="1" x14ac:dyDescent="0.4">
      <c r="B776" s="8" t="s">
        <v>26</v>
      </c>
      <c r="C776" s="8" t="s">
        <v>27</v>
      </c>
      <c r="D776" s="16" t="s">
        <v>28</v>
      </c>
      <c r="H776" s="4">
        <v>148</v>
      </c>
      <c r="I776" s="21" t="s">
        <v>115</v>
      </c>
      <c r="J776" s="4">
        <v>5.0199999999999996</v>
      </c>
      <c r="K776" s="32" t="s">
        <v>719</v>
      </c>
      <c r="L776" s="63">
        <v>1</v>
      </c>
      <c r="M776" s="68">
        <f>12000+3000</f>
        <v>15000</v>
      </c>
      <c r="N776" s="8">
        <f>+M776*L776</f>
        <v>15000</v>
      </c>
      <c r="Q776" s="5">
        <f>+N776</f>
        <v>15000</v>
      </c>
      <c r="R776" s="4" t="s">
        <v>58</v>
      </c>
      <c r="S776" s="7" t="s">
        <v>117</v>
      </c>
    </row>
    <row r="777" spans="2:19" ht="24" customHeight="1" x14ac:dyDescent="0.4"/>
    <row r="778" spans="2:19" ht="24" customHeight="1" x14ac:dyDescent="0.4">
      <c r="B778" s="8" t="s">
        <v>26</v>
      </c>
      <c r="C778" s="8" t="s">
        <v>27</v>
      </c>
      <c r="D778" s="16" t="s">
        <v>28</v>
      </c>
      <c r="H778" s="4">
        <v>550</v>
      </c>
      <c r="I778" s="21" t="s">
        <v>48</v>
      </c>
      <c r="J778" s="4">
        <v>5.03</v>
      </c>
      <c r="K778" s="51" t="s">
        <v>214</v>
      </c>
      <c r="L778" s="63">
        <v>40</v>
      </c>
      <c r="M778" s="68">
        <v>6000</v>
      </c>
      <c r="N778" s="8">
        <f>+M778*L778</f>
        <v>240000</v>
      </c>
      <c r="Q778" s="5">
        <f>+N778</f>
        <v>240000</v>
      </c>
      <c r="S778" s="7" t="s">
        <v>51</v>
      </c>
    </row>
    <row r="779" spans="2:19" ht="24" customHeight="1" x14ac:dyDescent="0.4">
      <c r="B779" s="8" t="s">
        <v>26</v>
      </c>
      <c r="C779" s="8" t="s">
        <v>27</v>
      </c>
      <c r="D779" s="16" t="s">
        <v>28</v>
      </c>
      <c r="H779" s="4">
        <v>550</v>
      </c>
      <c r="I779" s="21" t="s">
        <v>48</v>
      </c>
      <c r="J779" s="4">
        <v>5.03</v>
      </c>
      <c r="K779" s="26" t="s">
        <v>720</v>
      </c>
      <c r="L779" s="32">
        <v>1</v>
      </c>
      <c r="M779" s="68">
        <f>13000+3000</f>
        <v>16000</v>
      </c>
      <c r="N779" s="8">
        <f>+M779*L779</f>
        <v>16000</v>
      </c>
      <c r="Q779" s="5">
        <f>+N779</f>
        <v>16000</v>
      </c>
      <c r="R779" s="4" t="s">
        <v>58</v>
      </c>
      <c r="S779" s="7" t="s">
        <v>51</v>
      </c>
    </row>
    <row r="780" spans="2:19" ht="24" customHeight="1" x14ac:dyDescent="0.4">
      <c r="B780" s="8" t="s">
        <v>26</v>
      </c>
      <c r="C780" s="8" t="s">
        <v>27</v>
      </c>
      <c r="D780" s="16" t="s">
        <v>28</v>
      </c>
      <c r="H780" s="4">
        <v>1870</v>
      </c>
      <c r="I780" s="21" t="s">
        <v>90</v>
      </c>
      <c r="J780" s="4">
        <v>5.03</v>
      </c>
      <c r="K780" s="26" t="s">
        <v>721</v>
      </c>
      <c r="L780" s="63">
        <v>1</v>
      </c>
      <c r="M780" s="68">
        <f>12000+3000</f>
        <v>15000</v>
      </c>
      <c r="N780" s="8">
        <f>+M780*L780</f>
        <v>15000</v>
      </c>
      <c r="Q780" s="5">
        <f>+N780</f>
        <v>15000</v>
      </c>
      <c r="R780" s="4" t="s">
        <v>58</v>
      </c>
      <c r="S780" s="7" t="s">
        <v>470</v>
      </c>
    </row>
    <row r="781" spans="2:19" ht="24" customHeight="1" x14ac:dyDescent="0.4">
      <c r="B781" s="8" t="s">
        <v>26</v>
      </c>
      <c r="C781" s="8" t="s">
        <v>27</v>
      </c>
      <c r="D781" s="16" t="s">
        <v>28</v>
      </c>
      <c r="H781" s="4">
        <v>532</v>
      </c>
      <c r="I781" s="21" t="s">
        <v>129</v>
      </c>
      <c r="J781" s="4">
        <v>5.03</v>
      </c>
      <c r="K781" s="26" t="s">
        <v>722</v>
      </c>
      <c r="L781" s="63">
        <v>1</v>
      </c>
      <c r="M781" s="68">
        <f>12000+3000</f>
        <v>15000</v>
      </c>
      <c r="N781" s="8">
        <f>+M781*L781</f>
        <v>15000</v>
      </c>
      <c r="Q781" s="5">
        <f>+N781</f>
        <v>15000</v>
      </c>
      <c r="R781" s="4" t="s">
        <v>58</v>
      </c>
      <c r="S781" s="7" t="s">
        <v>131</v>
      </c>
    </row>
    <row r="782" spans="2:19" ht="24" customHeight="1" x14ac:dyDescent="0.4"/>
    <row r="783" spans="2:19" ht="24" customHeight="1" x14ac:dyDescent="0.4">
      <c r="B783" s="8" t="s">
        <v>26</v>
      </c>
      <c r="C783" s="8" t="s">
        <v>27</v>
      </c>
      <c r="D783" s="15" t="s">
        <v>23</v>
      </c>
      <c r="H783" s="4">
        <v>1870</v>
      </c>
      <c r="I783" s="21" t="s">
        <v>90</v>
      </c>
      <c r="J783" s="4">
        <v>5.04</v>
      </c>
      <c r="K783" s="7" t="s">
        <v>300</v>
      </c>
      <c r="L783" s="63">
        <v>1</v>
      </c>
      <c r="M783" s="68">
        <v>20000</v>
      </c>
      <c r="N783" s="8">
        <f>+M783*L783</f>
        <v>20000</v>
      </c>
      <c r="O783" s="5">
        <f>+N783/1.1</f>
        <v>18181.81818181818</v>
      </c>
      <c r="P783" s="5">
        <f>+N783-O783</f>
        <v>1818.1818181818198</v>
      </c>
      <c r="Q783" s="5">
        <f>+N783</f>
        <v>20000</v>
      </c>
      <c r="S783" s="4" t="s">
        <v>470</v>
      </c>
    </row>
    <row r="784" spans="2:19" ht="24" customHeight="1" x14ac:dyDescent="0.4">
      <c r="B784" s="8" t="s">
        <v>26</v>
      </c>
      <c r="C784" s="8" t="s">
        <v>27</v>
      </c>
      <c r="D784" s="15" t="s">
        <v>23</v>
      </c>
      <c r="H784" s="4">
        <v>1870</v>
      </c>
      <c r="I784" s="21" t="s">
        <v>90</v>
      </c>
      <c r="J784" s="4">
        <v>5.04</v>
      </c>
      <c r="K784" s="7" t="s">
        <v>723</v>
      </c>
      <c r="L784" s="63">
        <v>1</v>
      </c>
      <c r="M784" s="68">
        <v>20000</v>
      </c>
      <c r="N784" s="8">
        <f>+M784*L784</f>
        <v>20000</v>
      </c>
      <c r="O784" s="5">
        <f>+N784/1.1</f>
        <v>18181.81818181818</v>
      </c>
      <c r="P784" s="5">
        <f>+N784-O784</f>
        <v>1818.1818181818198</v>
      </c>
      <c r="Q784" s="5">
        <f>+N784</f>
        <v>20000</v>
      </c>
      <c r="S784" s="4" t="s">
        <v>470</v>
      </c>
    </row>
    <row r="785" spans="2:19" ht="24" customHeight="1" x14ac:dyDescent="0.4">
      <c r="B785" s="8" t="s">
        <v>26</v>
      </c>
      <c r="C785" s="8" t="s">
        <v>27</v>
      </c>
      <c r="D785" s="16" t="s">
        <v>28</v>
      </c>
      <c r="H785" s="4">
        <v>1025</v>
      </c>
      <c r="I785" s="21" t="s">
        <v>320</v>
      </c>
      <c r="J785" s="4">
        <v>5.04</v>
      </c>
      <c r="K785" s="32" t="s">
        <v>724</v>
      </c>
      <c r="L785" s="32">
        <v>1</v>
      </c>
      <c r="M785" s="68">
        <f>12000+3000</f>
        <v>15000</v>
      </c>
      <c r="N785" s="8">
        <f>+M785*L785</f>
        <v>15000</v>
      </c>
      <c r="Q785" s="5">
        <f>+N785</f>
        <v>15000</v>
      </c>
      <c r="R785" s="4" t="s">
        <v>58</v>
      </c>
      <c r="S785" s="7" t="s">
        <v>322</v>
      </c>
    </row>
    <row r="786" spans="2:19" ht="24" customHeight="1" x14ac:dyDescent="0.4"/>
    <row r="787" spans="2:19" ht="24" customHeight="1" x14ac:dyDescent="0.4">
      <c r="B787" s="8" t="s">
        <v>26</v>
      </c>
      <c r="C787" s="8" t="s">
        <v>27</v>
      </c>
      <c r="D787" s="15" t="s">
        <v>23</v>
      </c>
      <c r="H787" s="4">
        <v>550</v>
      </c>
      <c r="I787" s="21" t="s">
        <v>48</v>
      </c>
      <c r="J787" s="4">
        <v>5.0599999999999996</v>
      </c>
      <c r="K787" s="64" t="s">
        <v>725</v>
      </c>
      <c r="L787" s="63">
        <v>10</v>
      </c>
      <c r="M787" s="68">
        <f>5000+4000</f>
        <v>9000</v>
      </c>
      <c r="N787" s="8">
        <f>+M787*L787</f>
        <v>90000</v>
      </c>
      <c r="O787" s="5">
        <f>+N787/1.1</f>
        <v>81818.181818181809</v>
      </c>
      <c r="P787" s="5">
        <f>+N787-O787</f>
        <v>8181.8181818181911</v>
      </c>
      <c r="Q787" s="5">
        <f>+N787</f>
        <v>90000</v>
      </c>
      <c r="R787" s="40" t="s">
        <v>455</v>
      </c>
      <c r="S787" s="7" t="s">
        <v>51</v>
      </c>
    </row>
    <row r="788" spans="2:19" ht="24" customHeight="1" x14ac:dyDescent="0.4"/>
    <row r="789" spans="2:19" ht="24" customHeight="1" x14ac:dyDescent="0.4">
      <c r="B789" s="8" t="s">
        <v>26</v>
      </c>
      <c r="C789" s="8" t="s">
        <v>27</v>
      </c>
      <c r="D789" s="16" t="s">
        <v>28</v>
      </c>
      <c r="H789" s="4">
        <v>389</v>
      </c>
      <c r="I789" s="4" t="s">
        <v>726</v>
      </c>
      <c r="J789" s="4">
        <v>5.09</v>
      </c>
      <c r="K789" s="7" t="s">
        <v>592</v>
      </c>
      <c r="L789" s="56">
        <v>5</v>
      </c>
      <c r="M789" s="68">
        <v>10000</v>
      </c>
      <c r="N789" s="8">
        <f>+M789*L789</f>
        <v>50000</v>
      </c>
      <c r="Q789" s="5">
        <f>+N789</f>
        <v>50000</v>
      </c>
      <c r="S789" s="4" t="s">
        <v>685</v>
      </c>
    </row>
    <row r="790" spans="2:19" ht="24" customHeight="1" x14ac:dyDescent="0.4">
      <c r="B790" s="7" t="s">
        <v>157</v>
      </c>
      <c r="C790" s="8" t="s">
        <v>27</v>
      </c>
      <c r="D790" s="16" t="s">
        <v>28</v>
      </c>
      <c r="H790" s="4">
        <v>209</v>
      </c>
      <c r="I790" s="4" t="s">
        <v>157</v>
      </c>
      <c r="J790" s="4">
        <v>5.09</v>
      </c>
      <c r="K790" s="4" t="s">
        <v>191</v>
      </c>
      <c r="L790" s="56">
        <v>96</v>
      </c>
      <c r="M790" s="68">
        <v>6000</v>
      </c>
      <c r="N790" s="8">
        <f>+M790*L790</f>
        <v>576000</v>
      </c>
      <c r="Q790" s="5">
        <f>+N790</f>
        <v>576000</v>
      </c>
      <c r="S790" s="4" t="s">
        <v>727</v>
      </c>
    </row>
    <row r="791" spans="2:19" ht="24" customHeight="1" x14ac:dyDescent="0.4">
      <c r="B791" s="8" t="s">
        <v>26</v>
      </c>
      <c r="C791" s="8" t="s">
        <v>27</v>
      </c>
      <c r="D791" s="16" t="s">
        <v>28</v>
      </c>
      <c r="H791" s="4">
        <v>1325</v>
      </c>
      <c r="I791" s="5" t="s">
        <v>728</v>
      </c>
      <c r="J791" s="4">
        <v>5.09</v>
      </c>
      <c r="K791" s="62" t="s">
        <v>729</v>
      </c>
      <c r="L791" s="63">
        <v>2</v>
      </c>
      <c r="M791" s="68">
        <f>50000+4000</f>
        <v>54000</v>
      </c>
      <c r="N791" s="8">
        <f>+M791*L791</f>
        <v>108000</v>
      </c>
      <c r="Q791" s="5">
        <f>+N791</f>
        <v>108000</v>
      </c>
      <c r="R791" s="40" t="s">
        <v>455</v>
      </c>
      <c r="S791" s="4" t="s">
        <v>83</v>
      </c>
    </row>
    <row r="792" spans="2:19" ht="24" customHeight="1" x14ac:dyDescent="0.4">
      <c r="B792" s="8" t="s">
        <v>26</v>
      </c>
      <c r="C792" s="8" t="s">
        <v>27</v>
      </c>
      <c r="D792" s="16" t="s">
        <v>28</v>
      </c>
      <c r="H792" s="4">
        <v>782</v>
      </c>
      <c r="I792" s="4" t="s">
        <v>730</v>
      </c>
      <c r="J792" s="4">
        <v>5.09</v>
      </c>
      <c r="K792" s="29" t="s">
        <v>649</v>
      </c>
      <c r="L792" s="5">
        <v>60</v>
      </c>
      <c r="M792" s="68">
        <v>6000</v>
      </c>
      <c r="N792" s="8">
        <f>+M792*L792</f>
        <v>360000</v>
      </c>
      <c r="Q792" s="5">
        <f>+N792</f>
        <v>360000</v>
      </c>
      <c r="R792" s="90" t="s">
        <v>731</v>
      </c>
      <c r="S792" s="4" t="s">
        <v>199</v>
      </c>
    </row>
    <row r="793" spans="2:19" ht="24" customHeight="1" x14ac:dyDescent="0.4">
      <c r="B793" s="8" t="s">
        <v>26</v>
      </c>
      <c r="C793" s="8" t="s">
        <v>27</v>
      </c>
      <c r="D793" s="16" t="s">
        <v>28</v>
      </c>
      <c r="H793" s="4">
        <v>782</v>
      </c>
      <c r="I793" s="4" t="s">
        <v>730</v>
      </c>
      <c r="J793" s="4">
        <v>5.0999999999999996</v>
      </c>
      <c r="K793" s="29" t="s">
        <v>649</v>
      </c>
      <c r="L793" s="5">
        <v>12</v>
      </c>
      <c r="M793" s="68">
        <v>6000</v>
      </c>
      <c r="N793" s="8">
        <f>+M793*L793</f>
        <v>72000</v>
      </c>
      <c r="Q793" s="5">
        <f>+N793</f>
        <v>72000</v>
      </c>
      <c r="R793" s="90" t="s">
        <v>732</v>
      </c>
      <c r="S793" s="4" t="s">
        <v>199</v>
      </c>
    </row>
    <row r="794" spans="2:19" ht="24" customHeight="1" x14ac:dyDescent="0.4">
      <c r="B794" s="7" t="s">
        <v>733</v>
      </c>
      <c r="C794" s="8" t="s">
        <v>27</v>
      </c>
      <c r="D794" s="16" t="s">
        <v>28</v>
      </c>
      <c r="H794" s="4">
        <v>1338</v>
      </c>
      <c r="I794" s="4" t="s">
        <v>733</v>
      </c>
      <c r="J794" s="4">
        <v>5.0999999999999996</v>
      </c>
      <c r="K794" s="4" t="s">
        <v>440</v>
      </c>
      <c r="L794" s="5">
        <v>77</v>
      </c>
      <c r="M794" s="69">
        <f>60000-10000</f>
        <v>50000</v>
      </c>
      <c r="N794" s="8">
        <f>+M794*L794</f>
        <v>3850000</v>
      </c>
      <c r="Q794" s="5">
        <f>+N794</f>
        <v>3850000</v>
      </c>
      <c r="R794" s="83" t="s">
        <v>734</v>
      </c>
    </row>
    <row r="795" spans="2:19" ht="24" customHeight="1" x14ac:dyDescent="0.4">
      <c r="B795" s="8" t="s">
        <v>26</v>
      </c>
      <c r="C795" s="8" t="s">
        <v>27</v>
      </c>
      <c r="D795" s="16" t="s">
        <v>28</v>
      </c>
      <c r="H795" s="4">
        <v>602</v>
      </c>
      <c r="I795" s="4" t="s">
        <v>735</v>
      </c>
      <c r="J795" s="4">
        <v>5.1100000000000003</v>
      </c>
      <c r="K795" s="8" t="s">
        <v>736</v>
      </c>
      <c r="L795" s="5">
        <v>1</v>
      </c>
      <c r="M795" s="68">
        <f>20000+3000</f>
        <v>23000</v>
      </c>
      <c r="N795" s="8">
        <f>+M795*L795</f>
        <v>23000</v>
      </c>
      <c r="Q795" s="5">
        <f>+N795</f>
        <v>23000</v>
      </c>
      <c r="R795" s="40" t="s">
        <v>58</v>
      </c>
      <c r="S795" s="7" t="s">
        <v>377</v>
      </c>
    </row>
    <row r="796" spans="2:19" ht="24" customHeight="1" x14ac:dyDescent="0.4">
      <c r="B796" s="8" t="s">
        <v>26</v>
      </c>
      <c r="C796" s="8" t="s">
        <v>27</v>
      </c>
      <c r="D796" s="16" t="s">
        <v>28</v>
      </c>
      <c r="H796" s="4">
        <v>1325</v>
      </c>
      <c r="I796" s="5" t="s">
        <v>728</v>
      </c>
      <c r="J796" s="4">
        <v>5.1100000000000003</v>
      </c>
      <c r="K796" s="41" t="s">
        <v>737</v>
      </c>
      <c r="L796" s="5">
        <v>3</v>
      </c>
      <c r="M796" s="68">
        <f>47000+4000</f>
        <v>51000</v>
      </c>
      <c r="N796" s="8">
        <f>+M796*L796</f>
        <v>153000</v>
      </c>
      <c r="Q796" s="5">
        <f>+N796</f>
        <v>153000</v>
      </c>
      <c r="R796" s="7" t="s">
        <v>455</v>
      </c>
      <c r="S796" s="4" t="s">
        <v>83</v>
      </c>
    </row>
    <row r="797" spans="2:19" ht="24" customHeight="1" x14ac:dyDescent="0.4">
      <c r="B797" s="7" t="s">
        <v>733</v>
      </c>
      <c r="C797" s="8" t="s">
        <v>27</v>
      </c>
      <c r="D797" s="16" t="s">
        <v>28</v>
      </c>
      <c r="H797" s="4">
        <v>1338</v>
      </c>
      <c r="I797" s="4" t="s">
        <v>733</v>
      </c>
      <c r="J797" s="4">
        <v>5.1100000000000003</v>
      </c>
      <c r="K797" s="3" t="s">
        <v>738</v>
      </c>
      <c r="L797" s="5">
        <v>43</v>
      </c>
      <c r="M797" s="69">
        <f>60000-10000</f>
        <v>50000</v>
      </c>
      <c r="N797" s="8">
        <f>+M797*L797</f>
        <v>2150000</v>
      </c>
      <c r="Q797" s="5">
        <f>+N797</f>
        <v>2150000</v>
      </c>
      <c r="R797" s="83" t="s">
        <v>734</v>
      </c>
    </row>
    <row r="798" spans="2:19" ht="24" customHeight="1" x14ac:dyDescent="0.4">
      <c r="B798" s="8" t="s">
        <v>26</v>
      </c>
      <c r="C798" s="8" t="s">
        <v>27</v>
      </c>
      <c r="D798" s="15" t="s">
        <v>23</v>
      </c>
      <c r="H798" s="4">
        <v>1870</v>
      </c>
      <c r="I798" s="4" t="s">
        <v>739</v>
      </c>
      <c r="J798" s="4">
        <v>5.12</v>
      </c>
      <c r="K798" s="4" t="s">
        <v>304</v>
      </c>
      <c r="L798" s="5">
        <v>20</v>
      </c>
      <c r="M798" s="68">
        <v>6000</v>
      </c>
      <c r="N798" s="8">
        <f>+M798*L798</f>
        <v>120000</v>
      </c>
      <c r="O798" s="5">
        <f>+N798/1.1</f>
        <v>109090.90909090909</v>
      </c>
      <c r="P798" s="5">
        <f>+N798-O798</f>
        <v>10909.090909090912</v>
      </c>
      <c r="Q798" s="5">
        <f>+N798</f>
        <v>120000</v>
      </c>
      <c r="S798" s="4" t="s">
        <v>470</v>
      </c>
    </row>
    <row r="799" spans="2:19" ht="24" customHeight="1" x14ac:dyDescent="0.4">
      <c r="B799" s="8" t="s">
        <v>26</v>
      </c>
      <c r="C799" s="8" t="s">
        <v>27</v>
      </c>
      <c r="D799" s="16" t="s">
        <v>28</v>
      </c>
      <c r="H799" s="4">
        <v>930</v>
      </c>
      <c r="I799" s="4" t="s">
        <v>740</v>
      </c>
      <c r="J799" s="4">
        <v>5.12</v>
      </c>
      <c r="K799" s="8" t="s">
        <v>741</v>
      </c>
      <c r="L799" s="5">
        <v>1</v>
      </c>
      <c r="M799" s="68">
        <f>20000+3000</f>
        <v>23000</v>
      </c>
      <c r="N799" s="8">
        <f>+M799*L799</f>
        <v>23000</v>
      </c>
      <c r="Q799" s="5">
        <f>+N799</f>
        <v>23000</v>
      </c>
      <c r="R799" s="40" t="s">
        <v>58</v>
      </c>
      <c r="S799" s="7" t="s">
        <v>394</v>
      </c>
    </row>
    <row r="800" spans="2:19" ht="24" customHeight="1" x14ac:dyDescent="0.4"/>
    <row r="801" spans="2:19" ht="24" customHeight="1" x14ac:dyDescent="0.4">
      <c r="B801" s="8" t="s">
        <v>26</v>
      </c>
      <c r="C801" s="8" t="s">
        <v>27</v>
      </c>
      <c r="D801" s="16" t="s">
        <v>28</v>
      </c>
      <c r="H801" s="4">
        <v>148</v>
      </c>
      <c r="I801" s="4" t="s">
        <v>123</v>
      </c>
      <c r="J801" s="4">
        <v>5.13</v>
      </c>
      <c r="K801" s="8" t="s">
        <v>742</v>
      </c>
      <c r="L801" s="5">
        <v>1</v>
      </c>
      <c r="M801" s="68">
        <f>12000+3000</f>
        <v>15000</v>
      </c>
      <c r="N801" s="8">
        <f>+M801*L801</f>
        <v>15000</v>
      </c>
      <c r="Q801" s="5">
        <f>+N801</f>
        <v>15000</v>
      </c>
      <c r="R801" s="4" t="s">
        <v>58</v>
      </c>
      <c r="S801" s="7" t="s">
        <v>117</v>
      </c>
    </row>
    <row r="802" spans="2:19" ht="24" customHeight="1" x14ac:dyDescent="0.4">
      <c r="B802" s="8" t="s">
        <v>26</v>
      </c>
      <c r="C802" s="8" t="s">
        <v>27</v>
      </c>
      <c r="D802" s="16" t="s">
        <v>28</v>
      </c>
      <c r="H802" s="4">
        <v>930</v>
      </c>
      <c r="I802" s="4" t="s">
        <v>740</v>
      </c>
      <c r="J802" s="4">
        <v>5.13</v>
      </c>
      <c r="K802" s="8" t="s">
        <v>743</v>
      </c>
      <c r="L802" s="5">
        <v>1</v>
      </c>
      <c r="M802" s="68">
        <f>20000+3000</f>
        <v>23000</v>
      </c>
      <c r="N802" s="8">
        <f>+M802*L802</f>
        <v>23000</v>
      </c>
      <c r="Q802" s="5">
        <f>+N802</f>
        <v>23000</v>
      </c>
      <c r="R802" s="40" t="s">
        <v>58</v>
      </c>
      <c r="S802" s="7" t="s">
        <v>394</v>
      </c>
    </row>
    <row r="803" spans="2:19" ht="24" customHeight="1" x14ac:dyDescent="0.4">
      <c r="B803" s="8" t="s">
        <v>26</v>
      </c>
      <c r="C803" s="8" t="s">
        <v>27</v>
      </c>
      <c r="D803" s="16" t="s">
        <v>28</v>
      </c>
      <c r="H803" s="4">
        <v>532</v>
      </c>
      <c r="I803" s="4" t="s">
        <v>744</v>
      </c>
      <c r="J803" s="4">
        <v>5.13</v>
      </c>
      <c r="K803" s="8" t="s">
        <v>745</v>
      </c>
      <c r="L803" s="5">
        <v>1</v>
      </c>
      <c r="M803" s="68">
        <f>12000+3000</f>
        <v>15000</v>
      </c>
      <c r="N803" s="8">
        <f>+M803*L803</f>
        <v>15000</v>
      </c>
      <c r="Q803" s="5">
        <f>+N803</f>
        <v>15000</v>
      </c>
      <c r="R803" s="4" t="s">
        <v>58</v>
      </c>
      <c r="S803" s="7" t="s">
        <v>131</v>
      </c>
    </row>
    <row r="804" spans="2:19" ht="24" customHeight="1" x14ac:dyDescent="0.4">
      <c r="B804" s="8" t="s">
        <v>26</v>
      </c>
      <c r="C804" s="8" t="s">
        <v>27</v>
      </c>
      <c r="D804" s="16" t="s">
        <v>28</v>
      </c>
      <c r="H804" s="4">
        <v>729</v>
      </c>
      <c r="I804" s="5" t="s">
        <v>746</v>
      </c>
      <c r="J804" s="4">
        <v>5.17</v>
      </c>
      <c r="K804" s="8" t="s">
        <v>747</v>
      </c>
      <c r="L804" s="5">
        <v>60</v>
      </c>
      <c r="M804" s="68">
        <v>5000</v>
      </c>
      <c r="N804" s="8">
        <f>+M804*L804</f>
        <v>300000</v>
      </c>
      <c r="Q804" s="5">
        <f>+N804</f>
        <v>300000</v>
      </c>
      <c r="S804" s="4" t="s">
        <v>110</v>
      </c>
    </row>
    <row r="805" spans="2:19" ht="24" customHeight="1" x14ac:dyDescent="0.4">
      <c r="B805" s="8" t="s">
        <v>26</v>
      </c>
      <c r="C805" s="8" t="s">
        <v>27</v>
      </c>
      <c r="D805" s="16" t="s">
        <v>28</v>
      </c>
      <c r="H805" s="4">
        <v>782</v>
      </c>
      <c r="I805" s="4" t="s">
        <v>730</v>
      </c>
      <c r="J805" s="4">
        <v>5.17</v>
      </c>
      <c r="K805" s="8" t="s">
        <v>747</v>
      </c>
      <c r="L805" s="5">
        <v>40</v>
      </c>
      <c r="M805" s="68">
        <v>5000</v>
      </c>
      <c r="N805" s="8">
        <f>+M805*L805</f>
        <v>200000</v>
      </c>
      <c r="Q805" s="5">
        <f>+N805</f>
        <v>200000</v>
      </c>
      <c r="S805" s="4" t="s">
        <v>199</v>
      </c>
    </row>
    <row r="806" spans="2:19" ht="24" customHeight="1" x14ac:dyDescent="0.4">
      <c r="B806" s="8" t="s">
        <v>26</v>
      </c>
      <c r="C806" s="8" t="s">
        <v>27</v>
      </c>
      <c r="D806" s="16" t="s">
        <v>28</v>
      </c>
      <c r="H806" s="4">
        <v>550</v>
      </c>
      <c r="I806" s="4" t="s">
        <v>748</v>
      </c>
      <c r="J806" s="4">
        <v>5.18</v>
      </c>
      <c r="K806" s="8" t="s">
        <v>749</v>
      </c>
      <c r="L806" s="5">
        <v>2</v>
      </c>
      <c r="M806" s="68">
        <f>13000+3000</f>
        <v>16000</v>
      </c>
      <c r="N806" s="8">
        <f>+M806*L806</f>
        <v>32000</v>
      </c>
      <c r="Q806" s="5">
        <f>+N806</f>
        <v>32000</v>
      </c>
      <c r="R806" s="4" t="s">
        <v>58</v>
      </c>
      <c r="S806" s="7" t="s">
        <v>51</v>
      </c>
    </row>
    <row r="807" spans="2:19" ht="24" customHeight="1" x14ac:dyDescent="0.4">
      <c r="B807" s="8" t="s">
        <v>26</v>
      </c>
      <c r="C807" s="8" t="s">
        <v>27</v>
      </c>
      <c r="D807" s="15" t="s">
        <v>23</v>
      </c>
      <c r="H807" s="4">
        <v>930</v>
      </c>
      <c r="I807" s="4" t="s">
        <v>740</v>
      </c>
      <c r="J807" s="4">
        <v>5.19</v>
      </c>
      <c r="K807" s="8" t="s">
        <v>750</v>
      </c>
      <c r="L807" s="5">
        <v>3</v>
      </c>
      <c r="M807" s="71">
        <f>5000+4000</f>
        <v>9000</v>
      </c>
      <c r="N807" s="8">
        <f>+M807*L807</f>
        <v>27000</v>
      </c>
      <c r="O807" s="5">
        <f>+N807/1.1</f>
        <v>24545.454545454544</v>
      </c>
      <c r="P807" s="5">
        <f>+N807-O807</f>
        <v>2454.5454545454559</v>
      </c>
      <c r="Q807" s="5">
        <f>+N807</f>
        <v>27000</v>
      </c>
      <c r="R807" s="76" t="s">
        <v>455</v>
      </c>
      <c r="S807" s="7" t="s">
        <v>394</v>
      </c>
    </row>
    <row r="808" spans="2:19" ht="24" customHeight="1" x14ac:dyDescent="0.4">
      <c r="B808" s="8" t="s">
        <v>26</v>
      </c>
      <c r="C808" s="8" t="s">
        <v>27</v>
      </c>
      <c r="D808" s="15" t="s">
        <v>23</v>
      </c>
      <c r="H808" s="4">
        <v>930</v>
      </c>
      <c r="I808" s="4" t="s">
        <v>740</v>
      </c>
      <c r="J808" s="4">
        <v>5.19</v>
      </c>
      <c r="K808" s="8" t="s">
        <v>751</v>
      </c>
      <c r="L808" s="5">
        <v>18</v>
      </c>
      <c r="M808" s="71">
        <f>5500+4000</f>
        <v>9500</v>
      </c>
      <c r="N808" s="8">
        <f>+M808*L808</f>
        <v>171000</v>
      </c>
      <c r="O808" s="5">
        <f>+N808/1.1</f>
        <v>155454.54545454544</v>
      </c>
      <c r="P808" s="5">
        <f>+N808-O808</f>
        <v>15545.454545454559</v>
      </c>
      <c r="Q808" s="5">
        <f>+N808</f>
        <v>171000</v>
      </c>
      <c r="R808" s="76" t="s">
        <v>455</v>
      </c>
      <c r="S808" s="7" t="s">
        <v>394</v>
      </c>
    </row>
    <row r="809" spans="2:19" ht="24" customHeight="1" x14ac:dyDescent="0.4">
      <c r="B809" s="8" t="s">
        <v>26</v>
      </c>
      <c r="C809" s="8" t="s">
        <v>27</v>
      </c>
      <c r="D809" s="16" t="s">
        <v>28</v>
      </c>
      <c r="H809" s="4">
        <v>148</v>
      </c>
      <c r="I809" s="4" t="s">
        <v>123</v>
      </c>
      <c r="J809" s="4">
        <v>5.2</v>
      </c>
      <c r="K809" s="8" t="s">
        <v>752</v>
      </c>
      <c r="L809" s="5">
        <v>1</v>
      </c>
      <c r="M809" s="68">
        <f>12000+3000</f>
        <v>15000</v>
      </c>
      <c r="N809" s="8">
        <f>+M809*L809</f>
        <v>15000</v>
      </c>
      <c r="Q809" s="5">
        <f>+N809</f>
        <v>15000</v>
      </c>
      <c r="R809" s="4" t="s">
        <v>58</v>
      </c>
      <c r="S809" s="7" t="s">
        <v>117</v>
      </c>
    </row>
    <row r="810" spans="2:19" ht="24" customHeight="1" x14ac:dyDescent="0.4">
      <c r="B810" s="8" t="s">
        <v>26</v>
      </c>
      <c r="C810" s="8" t="s">
        <v>27</v>
      </c>
      <c r="D810" s="16" t="s">
        <v>28</v>
      </c>
      <c r="H810" s="4">
        <v>782</v>
      </c>
      <c r="I810" s="4" t="s">
        <v>730</v>
      </c>
      <c r="J810" s="4">
        <v>5.2</v>
      </c>
      <c r="K810" s="8" t="s">
        <v>649</v>
      </c>
      <c r="L810" s="5">
        <v>51</v>
      </c>
      <c r="M810" s="68">
        <v>6000</v>
      </c>
      <c r="N810" s="8">
        <f>+M810*L810</f>
        <v>306000</v>
      </c>
      <c r="Q810" s="5">
        <f>+N810</f>
        <v>306000</v>
      </c>
      <c r="S810" s="4" t="s">
        <v>199</v>
      </c>
    </row>
    <row r="811" spans="2:19" ht="24" customHeight="1" x14ac:dyDescent="0.4">
      <c r="B811" s="8" t="s">
        <v>26</v>
      </c>
      <c r="C811" s="8" t="s">
        <v>27</v>
      </c>
      <c r="D811" s="16" t="s">
        <v>28</v>
      </c>
      <c r="H811" s="4">
        <v>550</v>
      </c>
      <c r="I811" s="4" t="s">
        <v>748</v>
      </c>
      <c r="J811" s="4">
        <v>5.2</v>
      </c>
      <c r="K811" s="8" t="s">
        <v>753</v>
      </c>
      <c r="L811" s="5">
        <v>1</v>
      </c>
      <c r="M811" s="68">
        <f>13000+3000</f>
        <v>16000</v>
      </c>
      <c r="N811" s="8">
        <f>+M811*L811</f>
        <v>16000</v>
      </c>
      <c r="Q811" s="5">
        <f>+N811</f>
        <v>16000</v>
      </c>
      <c r="R811" s="4" t="s">
        <v>58</v>
      </c>
      <c r="S811" s="7" t="s">
        <v>51</v>
      </c>
    </row>
    <row r="812" spans="2:19" ht="24" customHeight="1" x14ac:dyDescent="0.4">
      <c r="B812" s="7" t="s">
        <v>639</v>
      </c>
      <c r="C812" s="8" t="s">
        <v>27</v>
      </c>
      <c r="D812" s="16" t="s">
        <v>28</v>
      </c>
      <c r="H812" s="4">
        <v>786</v>
      </c>
      <c r="I812" s="4" t="s">
        <v>639</v>
      </c>
      <c r="J812" s="4">
        <v>5.24</v>
      </c>
      <c r="K812" s="8" t="s">
        <v>641</v>
      </c>
      <c r="L812" s="5">
        <v>25</v>
      </c>
      <c r="M812" s="68">
        <v>6000</v>
      </c>
      <c r="N812" s="8">
        <f>+M812*L812</f>
        <v>150000</v>
      </c>
      <c r="Q812" s="5">
        <f>+N812</f>
        <v>150000</v>
      </c>
      <c r="S812" s="4" t="s">
        <v>446</v>
      </c>
    </row>
    <row r="813" spans="2:19" ht="24" customHeight="1" x14ac:dyDescent="0.4">
      <c r="B813" s="7" t="s">
        <v>639</v>
      </c>
      <c r="C813" s="8" t="s">
        <v>27</v>
      </c>
      <c r="D813" s="15" t="s">
        <v>23</v>
      </c>
      <c r="H813" s="4">
        <v>786</v>
      </c>
      <c r="I813" s="4" t="s">
        <v>639</v>
      </c>
      <c r="J813" s="4">
        <v>5.24</v>
      </c>
      <c r="K813" s="8" t="s">
        <v>538</v>
      </c>
      <c r="L813" s="5">
        <v>25</v>
      </c>
      <c r="M813" s="68">
        <v>6000</v>
      </c>
      <c r="N813" s="8">
        <f>+M813*L813</f>
        <v>150000</v>
      </c>
      <c r="O813" s="5">
        <f>+N813/1.1</f>
        <v>136363.63636363635</v>
      </c>
      <c r="P813" s="5">
        <f>+N813-O813</f>
        <v>13636.363636363647</v>
      </c>
      <c r="Q813" s="5">
        <f>+N813</f>
        <v>150000</v>
      </c>
      <c r="S813" s="4" t="s">
        <v>446</v>
      </c>
    </row>
    <row r="814" spans="2:19" ht="24" customHeight="1" x14ac:dyDescent="0.4">
      <c r="B814" s="8" t="s">
        <v>26</v>
      </c>
      <c r="C814" s="8" t="s">
        <v>27</v>
      </c>
      <c r="D814" s="16" t="s">
        <v>28</v>
      </c>
      <c r="H814" s="4">
        <v>550</v>
      </c>
      <c r="I814" s="4" t="s">
        <v>748</v>
      </c>
      <c r="J814" s="4">
        <v>5.24</v>
      </c>
      <c r="K814" s="8" t="s">
        <v>754</v>
      </c>
      <c r="L814" s="5">
        <v>1</v>
      </c>
      <c r="M814" s="68">
        <f>13000+3000</f>
        <v>16000</v>
      </c>
      <c r="N814" s="8">
        <f>+M814*L814</f>
        <v>16000</v>
      </c>
      <c r="Q814" s="5">
        <f>+N814</f>
        <v>16000</v>
      </c>
      <c r="R814" s="4" t="s">
        <v>58</v>
      </c>
      <c r="S814" s="7" t="s">
        <v>51</v>
      </c>
    </row>
    <row r="815" spans="2:19" ht="24" customHeight="1" x14ac:dyDescent="0.4">
      <c r="B815" s="8" t="s">
        <v>26</v>
      </c>
      <c r="C815" s="8" t="s">
        <v>27</v>
      </c>
      <c r="D815" s="16" t="s">
        <v>28</v>
      </c>
      <c r="H815" s="4">
        <v>602</v>
      </c>
      <c r="I815" s="4" t="s">
        <v>735</v>
      </c>
      <c r="J815" s="4">
        <v>5.24</v>
      </c>
      <c r="K815" s="8" t="s">
        <v>755</v>
      </c>
      <c r="L815" s="5">
        <v>1</v>
      </c>
      <c r="M815" s="68">
        <f>20000+3000</f>
        <v>23000</v>
      </c>
      <c r="N815" s="8">
        <f>+M815*L815</f>
        <v>23000</v>
      </c>
      <c r="Q815" s="5">
        <f>+N815</f>
        <v>23000</v>
      </c>
      <c r="R815" s="40" t="s">
        <v>58</v>
      </c>
      <c r="S815" s="7" t="s">
        <v>377</v>
      </c>
    </row>
    <row r="816" spans="2:19" ht="24" customHeight="1" x14ac:dyDescent="0.4">
      <c r="B816" s="8" t="s">
        <v>26</v>
      </c>
      <c r="C816" s="8" t="s">
        <v>27</v>
      </c>
      <c r="D816" s="16" t="s">
        <v>28</v>
      </c>
      <c r="H816" s="4">
        <v>930</v>
      </c>
      <c r="I816" s="4" t="s">
        <v>740</v>
      </c>
      <c r="J816" s="4">
        <v>5.24</v>
      </c>
      <c r="K816" s="8" t="s">
        <v>756</v>
      </c>
      <c r="L816" s="5">
        <v>1</v>
      </c>
      <c r="M816" s="68">
        <f>20000+3000</f>
        <v>23000</v>
      </c>
      <c r="N816" s="8">
        <f>+M816*L816</f>
        <v>23000</v>
      </c>
      <c r="Q816" s="5">
        <f>+N816</f>
        <v>23000</v>
      </c>
      <c r="R816" s="40" t="s">
        <v>58</v>
      </c>
      <c r="S816" s="7" t="s">
        <v>394</v>
      </c>
    </row>
    <row r="817" spans="2:19" ht="24" customHeight="1" x14ac:dyDescent="0.4"/>
    <row r="818" spans="2:19" ht="24" customHeight="1" x14ac:dyDescent="0.4">
      <c r="B818" s="8" t="s">
        <v>26</v>
      </c>
      <c r="C818" s="8" t="s">
        <v>27</v>
      </c>
      <c r="D818" s="15" t="s">
        <v>23</v>
      </c>
      <c r="H818" s="4">
        <v>775</v>
      </c>
      <c r="I818" s="4" t="s">
        <v>757</v>
      </c>
      <c r="J818" s="4">
        <v>5.0999999999999996</v>
      </c>
      <c r="K818" s="8" t="s">
        <v>374</v>
      </c>
      <c r="L818" s="5">
        <v>10</v>
      </c>
      <c r="M818" s="68">
        <v>10000</v>
      </c>
      <c r="N818" s="8">
        <f>+M818*L818</f>
        <v>100000</v>
      </c>
      <c r="O818" s="5">
        <f>+N818/1.1</f>
        <v>90909.090909090897</v>
      </c>
      <c r="P818" s="5">
        <f>+N818-O818</f>
        <v>9090.9090909091028</v>
      </c>
      <c r="Q818" s="5">
        <f>+N818</f>
        <v>100000</v>
      </c>
      <c r="S818" s="7" t="s">
        <v>202</v>
      </c>
    </row>
    <row r="819" spans="2:19" ht="24" customHeight="1" x14ac:dyDescent="0.4">
      <c r="B819" s="8" t="s">
        <v>26</v>
      </c>
      <c r="C819" s="8" t="s">
        <v>27</v>
      </c>
      <c r="D819" s="15" t="s">
        <v>23</v>
      </c>
      <c r="H819" s="4">
        <v>709</v>
      </c>
      <c r="I819" s="4" t="s">
        <v>758</v>
      </c>
      <c r="J819" s="4">
        <v>5.0999999999999996</v>
      </c>
      <c r="K819" s="8" t="s">
        <v>374</v>
      </c>
      <c r="L819" s="5">
        <v>10</v>
      </c>
      <c r="M819" s="68">
        <v>10000</v>
      </c>
      <c r="N819" s="8">
        <f>+M819*L819</f>
        <v>100000</v>
      </c>
      <c r="O819" s="5">
        <f>+N819/1.1</f>
        <v>90909.090909090897</v>
      </c>
      <c r="P819" s="5">
        <f>+N819-O819</f>
        <v>9090.9090909091028</v>
      </c>
      <c r="Q819" s="5">
        <f>+N819</f>
        <v>100000</v>
      </c>
      <c r="S819" s="4" t="s">
        <v>759</v>
      </c>
    </row>
    <row r="820" spans="2:19" ht="24" customHeight="1" x14ac:dyDescent="0.4">
      <c r="B820" s="8" t="s">
        <v>26</v>
      </c>
      <c r="C820" s="8" t="s">
        <v>27</v>
      </c>
      <c r="D820" s="15" t="s">
        <v>23</v>
      </c>
      <c r="H820" s="4">
        <v>863</v>
      </c>
      <c r="I820" s="4" t="s">
        <v>760</v>
      </c>
      <c r="J820" s="4">
        <v>5.0999999999999996</v>
      </c>
      <c r="K820" s="8" t="s">
        <v>374</v>
      </c>
      <c r="L820" s="5">
        <v>10</v>
      </c>
      <c r="M820" s="68">
        <v>10000</v>
      </c>
      <c r="N820" s="8">
        <f>+M820*L820</f>
        <v>100000</v>
      </c>
      <c r="O820" s="5">
        <f>+N820/1.1</f>
        <v>90909.090909090897</v>
      </c>
      <c r="P820" s="5">
        <f>+N820-O820</f>
        <v>9090.9090909091028</v>
      </c>
      <c r="Q820" s="5">
        <f>+N820</f>
        <v>100000</v>
      </c>
      <c r="S820" s="4" t="s">
        <v>761</v>
      </c>
    </row>
    <row r="821" spans="2:19" ht="24" customHeight="1" x14ac:dyDescent="0.4"/>
    <row r="822" spans="2:19" ht="24" customHeight="1" x14ac:dyDescent="0.4"/>
    <row r="823" spans="2:19" ht="24" customHeight="1" x14ac:dyDescent="0.4"/>
    <row r="824" spans="2:19" ht="24" customHeight="1" x14ac:dyDescent="0.4"/>
    <row r="825" spans="2:19" ht="24" customHeight="1" x14ac:dyDescent="0.4"/>
    <row r="826" spans="2:19" ht="24" customHeight="1" x14ac:dyDescent="0.4"/>
    <row r="827" spans="2:19" ht="24" customHeight="1" x14ac:dyDescent="0.4"/>
    <row r="828" spans="2:19" ht="24" customHeight="1" x14ac:dyDescent="0.4"/>
    <row r="829" spans="2:19" ht="24" customHeight="1" x14ac:dyDescent="0.4"/>
    <row r="830" spans="2:19" ht="24" customHeight="1" x14ac:dyDescent="0.4"/>
    <row r="831" spans="2:19" ht="24" customHeight="1" x14ac:dyDescent="0.4"/>
    <row r="832" spans="2:19" ht="24" customHeight="1" x14ac:dyDescent="0.4"/>
    <row r="833" ht="24" customHeight="1" x14ac:dyDescent="0.4"/>
    <row r="834" ht="24" customHeight="1" x14ac:dyDescent="0.4"/>
    <row r="835" ht="24" customHeight="1" x14ac:dyDescent="0.4"/>
    <row r="836" ht="24" customHeight="1" x14ac:dyDescent="0.4"/>
    <row r="837" ht="24" customHeight="1" x14ac:dyDescent="0.4"/>
    <row r="838" ht="24" customHeight="1" x14ac:dyDescent="0.4"/>
    <row r="839" ht="24" customHeight="1" x14ac:dyDescent="0.4"/>
    <row r="840" ht="24" customHeight="1" x14ac:dyDescent="0.4"/>
    <row r="841" ht="24" customHeight="1" x14ac:dyDescent="0.4"/>
    <row r="842" ht="24" customHeight="1" x14ac:dyDescent="0.4"/>
    <row r="843" ht="24" customHeight="1" x14ac:dyDescent="0.4"/>
    <row r="844" ht="24" customHeight="1" x14ac:dyDescent="0.4"/>
    <row r="845" ht="24" customHeight="1" x14ac:dyDescent="0.4"/>
    <row r="846" ht="24" customHeight="1" x14ac:dyDescent="0.4"/>
    <row r="847" ht="24" customHeight="1" x14ac:dyDescent="0.4"/>
    <row r="848" ht="24" customHeight="1" x14ac:dyDescent="0.4"/>
    <row r="849" ht="24" customHeight="1" x14ac:dyDescent="0.4"/>
    <row r="850" ht="24" customHeight="1" x14ac:dyDescent="0.4"/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삼성입금(5월)</vt:lpstr>
      <vt:lpstr>삼성입금(4월)</vt:lpstr>
      <vt:lpstr>삼성입금(3월)</vt:lpstr>
      <vt:lpstr>삼성입금(2월)</vt:lpstr>
      <vt:lpstr>삼성입금(1월)</vt:lpstr>
      <vt:lpstr>삼성입금(12월)</vt:lpstr>
      <vt:lpstr>삼성입금(11월)</vt:lpstr>
      <vt:lpstr>삼성전번</vt:lpstr>
      <vt:lpstr>삼성</vt:lpstr>
      <vt:lpstr>삼성외상대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2022-06-21T08:18:00Z</dcterms:created>
  <dcterms:modified xsi:type="dcterms:W3CDTF">2022-06-21T08:26:41Z</dcterms:modified>
</cp:coreProperties>
</file>