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740" yWindow="6440" windowWidth="21440" windowHeight="11640"/>
  </bookViews>
  <sheets>
    <sheet name="Sheet1" sheetId="1" r:id="rId1"/>
  </sheets>
  <definedNames>
    <definedName name="solver_adj" localSheetId="0" hidden="1">Sheet1!$F$8:$G$15,Sheet1!$F$53:$G$61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Sheet1!$D$21:$E$21</definedName>
    <definedName name="solver_lhs10" localSheetId="0" hidden="1">Sheet1!$H$57</definedName>
    <definedName name="solver_lhs11" localSheetId="0" hidden="1">Sheet1!$H$58</definedName>
    <definedName name="solver_lhs12" localSheetId="0" hidden="1">Sheet1!$H$58</definedName>
    <definedName name="solver_lhs13" localSheetId="0" hidden="1">Sheet1!$H$59</definedName>
    <definedName name="solver_lhs14" localSheetId="0" hidden="1">Sheet1!$H$59</definedName>
    <definedName name="solver_lhs15" localSheetId="0" hidden="1">Sheet1!$H$60</definedName>
    <definedName name="solver_lhs16" localSheetId="0" hidden="1">Sheet1!$H$60</definedName>
    <definedName name="solver_lhs17" localSheetId="0" hidden="1">Sheet1!$H$61</definedName>
    <definedName name="solver_lhs18" localSheetId="0" hidden="1">Sheet1!$H$61</definedName>
    <definedName name="solver_lhs2" localSheetId="0" hidden="1">Sheet1!$D$21:$E$21</definedName>
    <definedName name="solver_lhs3" localSheetId="0" hidden="1">Sheet1!$D$25:$E$25</definedName>
    <definedName name="solver_lhs4" localSheetId="0" hidden="1">Sheet1!$F$62:$G$62</definedName>
    <definedName name="solver_lhs5" localSheetId="0" hidden="1">Sheet1!$H$53:$H$61</definedName>
    <definedName name="solver_lhs6" localSheetId="0" hidden="1">Sheet1!$H$53:$H$61</definedName>
    <definedName name="solver_lhs7" localSheetId="0" hidden="1">Sheet1!$H$8:$H$15</definedName>
    <definedName name="solver_lhs8" localSheetId="0" hidden="1">Sheet1!$H$56</definedName>
    <definedName name="solver_lhs9" localSheetId="0" hidden="1">Sheet1!$H$57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Sheet1!$B$75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l6" localSheetId="0" hidden="1">3</definedName>
    <definedName name="solver_rel7" localSheetId="0" hidden="1">2</definedName>
    <definedName name="solver_rel8" localSheetId="0" hidden="1">3</definedName>
    <definedName name="solver_rel9" localSheetId="0" hidden="1">1</definedName>
    <definedName name="solver_rhs1" localSheetId="0" hidden="1">Sheet1!$B$37:$C$37</definedName>
    <definedName name="solver_rhs10" localSheetId="0" hidden="1">Sheet1!$B$57</definedName>
    <definedName name="solver_rhs11" localSheetId="0" hidden="1">Sheet1!$C$58</definedName>
    <definedName name="solver_rhs12" localSheetId="0" hidden="1">Sheet1!$B$58</definedName>
    <definedName name="solver_rhs13" localSheetId="0" hidden="1">Sheet1!$C$59</definedName>
    <definedName name="solver_rhs14" localSheetId="0" hidden="1">Sheet1!$B$59</definedName>
    <definedName name="solver_rhs15" localSheetId="0" hidden="1">Sheet1!$C$60</definedName>
    <definedName name="solver_rhs16" localSheetId="0" hidden="1">Sheet1!$B$60</definedName>
    <definedName name="solver_rhs17" localSheetId="0" hidden="1">Sheet1!$C$61</definedName>
    <definedName name="solver_rhs18" localSheetId="0" hidden="1">Sheet1!$B$61</definedName>
    <definedName name="solver_rhs2" localSheetId="0" hidden="1">Sheet1!$D$44:$E$44</definedName>
    <definedName name="solver_rhs3" localSheetId="0" hidden="1">Sheet1!$B$38:$C$38</definedName>
    <definedName name="solver_rhs4" localSheetId="0" hidden="1">Sheet1!$D$24:$E$24</definedName>
    <definedName name="solver_rhs5" localSheetId="0" hidden="1">Sheet1!$C$53:$C$61</definedName>
    <definedName name="solver_rhs6" localSheetId="0" hidden="1">Sheet1!$B$53:$B$61</definedName>
    <definedName name="solver_rhs7" localSheetId="0" hidden="1">Sheet1!$B$8:$B$15</definedName>
    <definedName name="solver_rhs8" localSheetId="0" hidden="1">Sheet1!$B$56</definedName>
    <definedName name="solver_rhs9" localSheetId="0" hidden="1">Sheet1!$C$57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7" i="1"/>
  <c r="D25" i="1"/>
  <c r="D68" i="1"/>
  <c r="G16" i="1"/>
  <c r="G17" i="1"/>
  <c r="E25" i="1"/>
  <c r="D69" i="1"/>
  <c r="D21" i="1"/>
  <c r="D24" i="1"/>
  <c r="E21" i="1"/>
  <c r="E24" i="1"/>
  <c r="G24" i="1"/>
  <c r="D70" i="1"/>
  <c r="D26" i="1"/>
  <c r="E26" i="1"/>
  <c r="G26" i="1"/>
  <c r="D71" i="1"/>
  <c r="D72" i="1"/>
  <c r="I53" i="1"/>
  <c r="I54" i="1"/>
  <c r="I55" i="1"/>
  <c r="I56" i="1"/>
  <c r="I57" i="1"/>
  <c r="I58" i="1"/>
  <c r="I59" i="1"/>
  <c r="I60" i="1"/>
  <c r="I61" i="1"/>
  <c r="I62" i="1"/>
  <c r="J53" i="1"/>
  <c r="J54" i="1"/>
  <c r="J55" i="1"/>
  <c r="J56" i="1"/>
  <c r="J57" i="1"/>
  <c r="J58" i="1"/>
  <c r="J59" i="1"/>
  <c r="J60" i="1"/>
  <c r="J61" i="1"/>
  <c r="J62" i="1"/>
  <c r="K62" i="1"/>
  <c r="D31" i="1"/>
  <c r="D33" i="1"/>
  <c r="I8" i="1"/>
  <c r="I9" i="1"/>
  <c r="I10" i="1"/>
  <c r="I11" i="1"/>
  <c r="I12" i="1"/>
  <c r="I13" i="1"/>
  <c r="I14" i="1"/>
  <c r="I15" i="1"/>
  <c r="I16" i="1"/>
  <c r="J8" i="1"/>
  <c r="J9" i="1"/>
  <c r="J10" i="1"/>
  <c r="J11" i="1"/>
  <c r="J12" i="1"/>
  <c r="J13" i="1"/>
  <c r="J14" i="1"/>
  <c r="J15" i="1"/>
  <c r="J16" i="1"/>
  <c r="K16" i="1"/>
  <c r="B75" i="1"/>
  <c r="E45" i="1"/>
  <c r="E44" i="1"/>
  <c r="D45" i="1"/>
  <c r="D44" i="1"/>
  <c r="H53" i="1"/>
  <c r="H54" i="1"/>
  <c r="H55" i="1"/>
  <c r="H56" i="1"/>
  <c r="H57" i="1"/>
  <c r="H58" i="1"/>
  <c r="H59" i="1"/>
  <c r="H60" i="1"/>
  <c r="H61" i="1"/>
  <c r="H62" i="1"/>
  <c r="G62" i="1"/>
  <c r="F62" i="1"/>
  <c r="D32" i="1"/>
  <c r="F18" i="1"/>
  <c r="G18" i="1"/>
  <c r="H18" i="1"/>
  <c r="H8" i="1"/>
  <c r="H9" i="1"/>
  <c r="H10" i="1"/>
  <c r="H11" i="1"/>
  <c r="H12" i="1"/>
  <c r="H13" i="1"/>
  <c r="H14" i="1"/>
  <c r="H15" i="1"/>
  <c r="H16" i="1"/>
  <c r="H17" i="1"/>
  <c r="D37" i="1"/>
  <c r="C62" i="1"/>
  <c r="B62" i="1"/>
  <c r="B39" i="1"/>
  <c r="C39" i="1"/>
  <c r="D39" i="1"/>
  <c r="B16" i="1"/>
  <c r="C40" i="1"/>
  <c r="B40" i="1"/>
</calcChain>
</file>

<file path=xl/sharedStrings.xml><?xml version="1.0" encoding="utf-8"?>
<sst xmlns="http://schemas.openxmlformats.org/spreadsheetml/2006/main" count="106" uniqueCount="70">
  <si>
    <t>Grupo Nogueira</t>
  </si>
  <si>
    <t>SUGARCANE SUPPLIES</t>
  </si>
  <si>
    <t>Available</t>
  </si>
  <si>
    <t>Cost of Freight to</t>
  </si>
  <si>
    <t>Supplier</t>
  </si>
  <si>
    <t>Quantity</t>
  </si>
  <si>
    <t>Price</t>
  </si>
  <si>
    <t>Londrina</t>
  </si>
  <si>
    <t>Franca</t>
  </si>
  <si>
    <t>(t/month)</t>
  </si>
  <si>
    <t>(R$/t)</t>
  </si>
  <si>
    <t>Maringá</t>
  </si>
  <si>
    <t>Paranavaí</t>
  </si>
  <si>
    <t>Frutal</t>
  </si>
  <si>
    <t>Rancharia</t>
  </si>
  <si>
    <t>Apucarana</t>
  </si>
  <si>
    <t>Bastos</t>
  </si>
  <si>
    <t>Sacramento</t>
  </si>
  <si>
    <t>Iturama</t>
  </si>
  <si>
    <t>PRODUCTION DATA</t>
  </si>
  <si>
    <t>Physical yield loss (% of  sugarcane purchased)</t>
  </si>
  <si>
    <t>Supplier-to-factory transport losses</t>
  </si>
  <si>
    <t>Actual recovery rates (% of  sugarcane delivered)</t>
  </si>
  <si>
    <t>Molasses</t>
  </si>
  <si>
    <t>Sugar</t>
  </si>
  <si>
    <t>Production costs</t>
  </si>
  <si>
    <t>Fixed (R$/month)</t>
  </si>
  <si>
    <t>Sugarcane refining</t>
  </si>
  <si>
    <t>Purified sugar</t>
  </si>
  <si>
    <t>Operating range (% of capacity)</t>
  </si>
  <si>
    <t>Min</t>
  </si>
  <si>
    <t>Max</t>
  </si>
  <si>
    <t>ETHANOL DISTILLERIES</t>
  </si>
  <si>
    <t>Guaranteed</t>
  </si>
  <si>
    <t>Maximum</t>
  </si>
  <si>
    <t>Cost of Freight from</t>
  </si>
  <si>
    <t>Distillery</t>
  </si>
  <si>
    <t>Capacity</t>
  </si>
  <si>
    <t>Jaú</t>
  </si>
  <si>
    <t>Bariri</t>
  </si>
  <si>
    <t>Cosmópolis</t>
  </si>
  <si>
    <t>Itapira</t>
  </si>
  <si>
    <t>Pirassununga</t>
  </si>
  <si>
    <t>São Carlos</t>
  </si>
  <si>
    <t>Diadema</t>
  </si>
  <si>
    <t>Santa Bárbara d'Oeste</t>
  </si>
  <si>
    <t>Araraquara</t>
  </si>
  <si>
    <t>OPEN MARKET PRICES</t>
  </si>
  <si>
    <t>Commodity</t>
  </si>
  <si>
    <t>Londrina sugar</t>
  </si>
  <si>
    <t>Franca sugar</t>
  </si>
  <si>
    <t>Bagasse</t>
  </si>
  <si>
    <t>Variable (R$/t of  sugarcane)</t>
  </si>
  <si>
    <t>Production constraints at 100% (t/month)</t>
  </si>
  <si>
    <t>Max Constrained Capacity</t>
  </si>
  <si>
    <t xml:space="preserve">Max Constrained Utilization </t>
  </si>
  <si>
    <t>Optimal Order QTY</t>
  </si>
  <si>
    <t>Optimal Cost of Freight to</t>
  </si>
  <si>
    <t>Total Order Qty</t>
  </si>
  <si>
    <t>Total</t>
  </si>
  <si>
    <t xml:space="preserve">Total </t>
  </si>
  <si>
    <t>Received (97%)</t>
  </si>
  <si>
    <t>Fixed + Variable Cost</t>
  </si>
  <si>
    <t>Optimal Cost</t>
  </si>
  <si>
    <t>Optimal Ship Qty</t>
  </si>
  <si>
    <t>Total Ship Qty</t>
  </si>
  <si>
    <t>Optimal Cost of Freight from</t>
  </si>
  <si>
    <t>Total Production Costs</t>
  </si>
  <si>
    <t>Revenue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</si>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</sst>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%"/>
    <numFmt numFmtId="165" formatCode="_-&quot;$&quot;* #,##0_-;\-&quot;$&quot;* #,##0_-;_-&quot;$&quot;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9" fontId="0" fillId="0" borderId="0" xfId="1" applyFon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3" fontId="0" fillId="2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3" fontId="0" fillId="2" borderId="0" xfId="0" applyNumberFormat="1" applyFill="1"/>
    <xf numFmtId="0" fontId="0" fillId="2" borderId="0" xfId="0" applyFill="1"/>
    <xf numFmtId="44" fontId="0" fillId="0" borderId="0" xfId="4" applyFont="1"/>
    <xf numFmtId="1" fontId="0" fillId="2" borderId="0" xfId="0" applyNumberFormat="1" applyFill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44" fontId="0" fillId="0" borderId="1" xfId="4" applyFont="1" applyBorder="1"/>
    <xf numFmtId="165" fontId="0" fillId="0" borderId="0" xfId="4" applyNumberFormat="1" applyFont="1"/>
    <xf numFmtId="44" fontId="0" fillId="4" borderId="0" xfId="4" applyFont="1" applyFill="1"/>
    <xf numFmtId="0" fontId="1" fillId="0" borderId="1" xfId="0" applyFont="1" applyBorder="1"/>
    <xf numFmtId="1" fontId="1" fillId="0" borderId="0" xfId="0" applyNumberFormat="1" applyFont="1"/>
    <xf numFmtId="0" fontId="0" fillId="0" borderId="0" xfId="0" applyFont="1" applyFill="1" applyBorder="1"/>
    <xf numFmtId="1" fontId="0" fillId="5" borderId="0" xfId="0" applyNumberFormat="1" applyFill="1"/>
    <xf numFmtId="0" fontId="0" fillId="5" borderId="0" xfId="0" applyFill="1"/>
    <xf numFmtId="44" fontId="0" fillId="6" borderId="0" xfId="4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3" borderId="0" xfId="0" applyFont="1" applyFill="1"/>
    <xf numFmtId="44" fontId="0" fillId="7" borderId="0" xfId="0" applyNumberFormat="1" applyFill="1"/>
  </cellXfs>
  <cellStyles count="11">
    <cellStyle name="Currency" xfId="4" builtinId="4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3" workbookViewId="0">
      <selection activeCell="H35" sqref="H35"/>
    </sheetView>
  </sheetViews>
  <sheetFormatPr baseColWidth="10" defaultColWidth="8.83203125" defaultRowHeight="12" x14ac:dyDescent="0"/>
  <cols>
    <col min="1" max="1" width="38" bestFit="1" customWidth="1"/>
    <col min="2" max="4" width="11.6640625" customWidth="1"/>
    <col min="5" max="5" width="13.1640625" bestFit="1" customWidth="1"/>
    <col min="6" max="6" width="11" customWidth="1"/>
    <col min="7" max="8" width="13.83203125" customWidth="1"/>
    <col min="9" max="9" width="14.33203125" customWidth="1"/>
    <col min="10" max="10" width="14.6640625" customWidth="1"/>
    <col min="11" max="11" width="13.6640625" customWidth="1"/>
    <col min="12" max="12" width="15.1640625" customWidth="1"/>
  </cols>
  <sheetData>
    <row r="1" spans="1:12">
      <c r="A1" s="1" t="s">
        <v>0</v>
      </c>
    </row>
    <row r="4" spans="1:12">
      <c r="A4" s="1" t="s">
        <v>1</v>
      </c>
    </row>
    <row r="5" spans="1:12">
      <c r="B5" s="2" t="s">
        <v>2</v>
      </c>
      <c r="C5" s="3"/>
      <c r="D5" s="44" t="s">
        <v>3</v>
      </c>
      <c r="E5" s="44"/>
      <c r="F5" s="44" t="s">
        <v>56</v>
      </c>
      <c r="G5" s="44"/>
      <c r="H5" s="17"/>
    </row>
    <row r="6" spans="1:12">
      <c r="A6" t="s">
        <v>4</v>
      </c>
      <c r="B6" s="3" t="s">
        <v>5</v>
      </c>
      <c r="C6" s="3" t="s">
        <v>6</v>
      </c>
      <c r="D6" s="3" t="s">
        <v>7</v>
      </c>
      <c r="E6" s="2" t="s">
        <v>8</v>
      </c>
      <c r="F6" s="21" t="s">
        <v>7</v>
      </c>
      <c r="G6" s="21" t="s">
        <v>8</v>
      </c>
      <c r="H6" s="21"/>
      <c r="I6" s="45" t="s">
        <v>57</v>
      </c>
      <c r="J6" s="46"/>
    </row>
    <row r="7" spans="1:12">
      <c r="B7" s="4" t="s">
        <v>9</v>
      </c>
      <c r="C7" s="4" t="s">
        <v>10</v>
      </c>
      <c r="D7" s="4" t="s">
        <v>10</v>
      </c>
      <c r="E7" s="4" t="s">
        <v>10</v>
      </c>
      <c r="F7" s="4" t="s">
        <v>9</v>
      </c>
      <c r="G7" s="4" t="s">
        <v>9</v>
      </c>
      <c r="H7" s="4" t="s">
        <v>58</v>
      </c>
      <c r="I7" s="24" t="s">
        <v>7</v>
      </c>
      <c r="J7" s="25" t="s">
        <v>8</v>
      </c>
    </row>
    <row r="8" spans="1:12">
      <c r="A8" s="6" t="s">
        <v>11</v>
      </c>
      <c r="B8">
        <v>1000</v>
      </c>
      <c r="C8" s="7">
        <v>25.2</v>
      </c>
      <c r="D8" s="7">
        <v>5</v>
      </c>
      <c r="E8" s="7">
        <v>11.6</v>
      </c>
      <c r="F8" s="26">
        <v>1000</v>
      </c>
      <c r="G8" s="26">
        <v>0</v>
      </c>
      <c r="H8">
        <f>F8+G8</f>
        <v>1000</v>
      </c>
      <c r="I8">
        <f>F8*(C8+D8)</f>
        <v>30200</v>
      </c>
      <c r="J8">
        <f>G8*(C8+E8)</f>
        <v>0</v>
      </c>
    </row>
    <row r="9" spans="1:12">
      <c r="A9" s="6" t="s">
        <v>12</v>
      </c>
      <c r="B9">
        <v>1583</v>
      </c>
      <c r="C9" s="7">
        <v>24.5</v>
      </c>
      <c r="D9" s="7">
        <v>5</v>
      </c>
      <c r="E9" s="7">
        <v>13.7</v>
      </c>
      <c r="F9" s="26">
        <v>1583</v>
      </c>
      <c r="G9" s="26">
        <v>0</v>
      </c>
      <c r="H9">
        <f t="shared" ref="H9:H15" si="0">F9+G9</f>
        <v>1583</v>
      </c>
      <c r="I9">
        <f t="shared" ref="I9:I15" si="1">F9*(C9+D9)</f>
        <v>46698.5</v>
      </c>
      <c r="J9">
        <f t="shared" ref="J9:J15" si="2">G9*(C9+E9)</f>
        <v>0</v>
      </c>
    </row>
    <row r="10" spans="1:12">
      <c r="A10" s="5" t="s">
        <v>13</v>
      </c>
      <c r="B10">
        <v>2140</v>
      </c>
      <c r="C10" s="7">
        <v>25.5</v>
      </c>
      <c r="D10" s="7">
        <v>19.600000000000001</v>
      </c>
      <c r="E10" s="7">
        <v>11.5</v>
      </c>
      <c r="F10" s="26">
        <v>0</v>
      </c>
      <c r="G10" s="26">
        <v>2140</v>
      </c>
      <c r="H10">
        <f t="shared" si="0"/>
        <v>2140</v>
      </c>
      <c r="I10">
        <f t="shared" si="1"/>
        <v>0</v>
      </c>
      <c r="J10">
        <f t="shared" si="2"/>
        <v>79180</v>
      </c>
    </row>
    <row r="11" spans="1:12">
      <c r="A11" s="5" t="s">
        <v>14</v>
      </c>
      <c r="B11">
        <v>1370</v>
      </c>
      <c r="C11" s="7">
        <v>23.3</v>
      </c>
      <c r="D11" s="7">
        <v>4</v>
      </c>
      <c r="E11" s="7">
        <v>10.6</v>
      </c>
      <c r="F11" s="26">
        <v>545.99420423654954</v>
      </c>
      <c r="G11" s="26">
        <v>824.00579576345081</v>
      </c>
      <c r="H11">
        <f t="shared" si="0"/>
        <v>1370.0000000000005</v>
      </c>
      <c r="I11">
        <f t="shared" si="1"/>
        <v>14905.641775657803</v>
      </c>
      <c r="J11">
        <f t="shared" si="2"/>
        <v>27933.79647638098</v>
      </c>
    </row>
    <row r="12" spans="1:12">
      <c r="A12" s="5" t="s">
        <v>15</v>
      </c>
      <c r="B12">
        <v>2000</v>
      </c>
      <c r="C12" s="7">
        <v>24.2</v>
      </c>
      <c r="D12" s="7">
        <v>4.2</v>
      </c>
      <c r="E12" s="7">
        <v>12.1</v>
      </c>
      <c r="F12" s="26">
        <v>1999.9999999999998</v>
      </c>
      <c r="G12" s="26">
        <v>0</v>
      </c>
      <c r="H12">
        <f t="shared" si="0"/>
        <v>1999.9999999999998</v>
      </c>
      <c r="I12">
        <f t="shared" si="1"/>
        <v>56799.999999999993</v>
      </c>
      <c r="J12">
        <f t="shared" si="2"/>
        <v>0</v>
      </c>
    </row>
    <row r="13" spans="1:12">
      <c r="A13" s="5" t="s">
        <v>16</v>
      </c>
      <c r="B13">
        <v>1850</v>
      </c>
      <c r="C13" s="7">
        <v>23.3</v>
      </c>
      <c r="D13" s="7">
        <v>7.65</v>
      </c>
      <c r="E13" s="7">
        <v>11</v>
      </c>
      <c r="F13" s="26">
        <v>0</v>
      </c>
      <c r="G13" s="26">
        <v>1850.0000000000005</v>
      </c>
      <c r="H13">
        <f t="shared" si="0"/>
        <v>1850.0000000000005</v>
      </c>
      <c r="I13">
        <f t="shared" si="1"/>
        <v>0</v>
      </c>
      <c r="J13">
        <f t="shared" si="2"/>
        <v>63455.000000000007</v>
      </c>
    </row>
    <row r="14" spans="1:12">
      <c r="A14" s="5" t="s">
        <v>17</v>
      </c>
      <c r="B14">
        <v>1260</v>
      </c>
      <c r="C14" s="7">
        <v>23.3</v>
      </c>
      <c r="D14" s="7">
        <v>14.7</v>
      </c>
      <c r="E14" s="7">
        <v>4.8</v>
      </c>
      <c r="F14" s="26">
        <v>0</v>
      </c>
      <c r="G14" s="26">
        <v>1259.9999999999993</v>
      </c>
      <c r="H14">
        <f t="shared" si="0"/>
        <v>1259.9999999999993</v>
      </c>
      <c r="I14">
        <f t="shared" si="1"/>
        <v>0</v>
      </c>
      <c r="J14">
        <f t="shared" si="2"/>
        <v>35405.999999999985</v>
      </c>
    </row>
    <row r="15" spans="1:12">
      <c r="A15" s="5" t="s">
        <v>18</v>
      </c>
      <c r="B15" s="23">
        <v>1700</v>
      </c>
      <c r="C15" s="7">
        <v>24.2</v>
      </c>
      <c r="D15" s="7">
        <v>16.3</v>
      </c>
      <c r="E15" s="7">
        <v>10.3</v>
      </c>
      <c r="F15" s="27">
        <v>0</v>
      </c>
      <c r="G15" s="27">
        <v>1700.0000000000002</v>
      </c>
      <c r="H15" s="23">
        <f t="shared" si="0"/>
        <v>1700.0000000000002</v>
      </c>
      <c r="I15">
        <f t="shared" si="1"/>
        <v>0</v>
      </c>
      <c r="J15">
        <f t="shared" si="2"/>
        <v>58650.000000000007</v>
      </c>
    </row>
    <row r="16" spans="1:12">
      <c r="B16" s="29">
        <f>SUM(B8:B15)</f>
        <v>12903</v>
      </c>
      <c r="F16" s="31">
        <f>SUM(F8:F15)</f>
        <v>5128.9942042365492</v>
      </c>
      <c r="G16" s="31">
        <f>SUM(G8:G15)</f>
        <v>7774.0057957634499</v>
      </c>
      <c r="H16" s="29">
        <f>SUM(H8:H15)</f>
        <v>12903</v>
      </c>
      <c r="I16" s="36">
        <f>SUM(I8:I15)</f>
        <v>148604.1417756578</v>
      </c>
      <c r="J16" s="36">
        <f>SUM(J8:J15)</f>
        <v>264624.79647638096</v>
      </c>
      <c r="K16" s="37">
        <f>SUM(I16+J16)</f>
        <v>413228.93825203879</v>
      </c>
      <c r="L16" t="s">
        <v>63</v>
      </c>
    </row>
    <row r="17" spans="1:10">
      <c r="E17" s="33" t="s">
        <v>61</v>
      </c>
      <c r="F17" s="34">
        <f>F16*0.97</f>
        <v>4975.1243781094527</v>
      </c>
      <c r="G17" s="34">
        <f>G16*0.97</f>
        <v>7540.7856218905463</v>
      </c>
      <c r="H17" s="34">
        <f>H16*0.97</f>
        <v>12515.91</v>
      </c>
    </row>
    <row r="18" spans="1:10">
      <c r="A18" s="1" t="s">
        <v>19</v>
      </c>
      <c r="E18" t="s">
        <v>23</v>
      </c>
      <c r="F18" s="32">
        <f>F17*B24</f>
        <v>1761.1940298507461</v>
      </c>
      <c r="G18" s="32">
        <f>G17*C24</f>
        <v>2315.0211859203978</v>
      </c>
      <c r="H18" s="32">
        <f>SUM(F18:G18)</f>
        <v>4076.2152157711439</v>
      </c>
    </row>
    <row r="19" spans="1:10">
      <c r="B19" s="14" t="s">
        <v>7</v>
      </c>
      <c r="C19" s="15" t="s">
        <v>8</v>
      </c>
      <c r="D19" t="s">
        <v>7</v>
      </c>
      <c r="E19" t="s">
        <v>8</v>
      </c>
    </row>
    <row r="20" spans="1:10">
      <c r="A20" s="5" t="s">
        <v>20</v>
      </c>
    </row>
    <row r="21" spans="1:10">
      <c r="A21" t="s">
        <v>21</v>
      </c>
      <c r="B21" s="8">
        <v>2.7E-2</v>
      </c>
      <c r="C21" s="8">
        <v>2.7E-2</v>
      </c>
      <c r="D21" s="32">
        <f>F17</f>
        <v>4975.1243781094527</v>
      </c>
      <c r="E21" s="32">
        <f>G17</f>
        <v>7540.7856218905463</v>
      </c>
    </row>
    <row r="23" spans="1:10">
      <c r="A23" s="5" t="s">
        <v>22</v>
      </c>
    </row>
    <row r="24" spans="1:10">
      <c r="A24" t="s">
        <v>23</v>
      </c>
      <c r="B24" s="8">
        <v>0.35399999999999998</v>
      </c>
      <c r="C24" s="8">
        <v>0.307</v>
      </c>
      <c r="D24" s="41">
        <f>D21*B24</f>
        <v>1761.1940298507461</v>
      </c>
      <c r="E24" s="41">
        <f>E21*C24</f>
        <v>2315.0211859203978</v>
      </c>
      <c r="F24" t="s">
        <v>23</v>
      </c>
      <c r="G24" s="32">
        <f>D24+E24</f>
        <v>4076.2152157711439</v>
      </c>
    </row>
    <row r="25" spans="1:10">
      <c r="A25" t="s">
        <v>24</v>
      </c>
      <c r="B25" s="8">
        <v>0.40200000000000002</v>
      </c>
      <c r="C25" s="8">
        <v>0.45600000000000002</v>
      </c>
      <c r="D25" s="42">
        <f>F17*B25</f>
        <v>2000</v>
      </c>
      <c r="E25" s="41">
        <f>G17*C25</f>
        <v>3438.5982435820893</v>
      </c>
      <c r="F25" t="s">
        <v>24</v>
      </c>
    </row>
    <row r="26" spans="1:10">
      <c r="A26" t="s">
        <v>51</v>
      </c>
      <c r="B26" s="8">
        <v>0.24399999999999999</v>
      </c>
      <c r="C26" s="8">
        <v>0.23699999999999999</v>
      </c>
      <c r="D26" s="41">
        <f>F17*B26</f>
        <v>1213.9303482587063</v>
      </c>
      <c r="E26" s="41">
        <f>G17*C26</f>
        <v>1787.1661923880595</v>
      </c>
      <c r="F26" t="s">
        <v>51</v>
      </c>
      <c r="G26" s="32">
        <f>D26+E26</f>
        <v>3001.0965406467658</v>
      </c>
    </row>
    <row r="27" spans="1:10">
      <c r="B27" s="8"/>
      <c r="C27" s="8"/>
    </row>
    <row r="28" spans="1:10">
      <c r="B28" s="8"/>
      <c r="C28" s="8"/>
    </row>
    <row r="30" spans="1:10">
      <c r="A30" t="s">
        <v>25</v>
      </c>
      <c r="D30" t="s">
        <v>59</v>
      </c>
    </row>
    <row r="31" spans="1:10">
      <c r="A31" s="16" t="s">
        <v>52</v>
      </c>
      <c r="B31" s="9">
        <v>31</v>
      </c>
      <c r="C31" s="9">
        <v>38</v>
      </c>
      <c r="D31" s="30">
        <f>(B31*F16)+(C31*G16)</f>
        <v>454411.04057034414</v>
      </c>
    </row>
    <row r="32" spans="1:10">
      <c r="A32" s="5" t="s">
        <v>26</v>
      </c>
      <c r="B32" s="9">
        <v>10000</v>
      </c>
      <c r="C32" s="9">
        <v>14200</v>
      </c>
      <c r="D32" s="35">
        <f>B32+C32</f>
        <v>24200</v>
      </c>
      <c r="I32" s="47"/>
      <c r="J32" s="46"/>
    </row>
    <row r="33" spans="1:10">
      <c r="A33" s="16" t="s">
        <v>62</v>
      </c>
      <c r="B33" s="9"/>
      <c r="C33" s="9"/>
      <c r="D33" s="43">
        <f>SUM(D31:D32)</f>
        <v>478611.04057034414</v>
      </c>
      <c r="E33" t="s">
        <v>67</v>
      </c>
      <c r="I33" s="18"/>
      <c r="J33" s="19"/>
    </row>
    <row r="34" spans="1:10">
      <c r="A34" s="5"/>
      <c r="B34" s="9"/>
      <c r="C34" s="9"/>
      <c r="D34" s="30"/>
      <c r="I34" s="18"/>
      <c r="J34" s="19"/>
    </row>
    <row r="36" spans="1:10">
      <c r="A36" s="16" t="s">
        <v>53</v>
      </c>
    </row>
    <row r="37" spans="1:10">
      <c r="A37" s="5" t="s">
        <v>27</v>
      </c>
      <c r="B37" s="9">
        <v>8030</v>
      </c>
      <c r="C37" s="9">
        <v>8780</v>
      </c>
      <c r="D37" s="9">
        <f>SUM(B37:C37)</f>
        <v>16810</v>
      </c>
      <c r="E37" t="s">
        <v>60</v>
      </c>
    </row>
    <row r="38" spans="1:10">
      <c r="A38" t="s">
        <v>28</v>
      </c>
      <c r="B38" s="9">
        <v>2000</v>
      </c>
      <c r="C38" s="9">
        <v>4000</v>
      </c>
    </row>
    <row r="39" spans="1:10">
      <c r="A39" t="s">
        <v>54</v>
      </c>
      <c r="B39" s="20">
        <f>B38/B25</f>
        <v>4975.1243781094527</v>
      </c>
      <c r="C39" s="20">
        <f>C38/C25</f>
        <v>8771.9298245614027</v>
      </c>
      <c r="D39" s="28">
        <f>SUM(B39:C39)</f>
        <v>13747.054202670855</v>
      </c>
      <c r="E39" t="s">
        <v>59</v>
      </c>
    </row>
    <row r="40" spans="1:10">
      <c r="A40" t="s">
        <v>55</v>
      </c>
      <c r="B40" s="10">
        <f>B39/B37</f>
        <v>0.61956717037477615</v>
      </c>
      <c r="C40" s="10">
        <f>C39/C37</f>
        <v>0.99908084562202759</v>
      </c>
    </row>
    <row r="41" spans="1:10">
      <c r="B41" s="9"/>
      <c r="C41" s="9"/>
    </row>
    <row r="43" spans="1:10">
      <c r="A43" t="s">
        <v>29</v>
      </c>
    </row>
    <row r="44" spans="1:10">
      <c r="A44" t="s">
        <v>30</v>
      </c>
      <c r="B44" s="10">
        <v>0.5</v>
      </c>
      <c r="C44" s="10">
        <v>0.5</v>
      </c>
      <c r="D44">
        <f>B44*B37</f>
        <v>4015</v>
      </c>
      <c r="E44">
        <f>C44*C37</f>
        <v>4390</v>
      </c>
    </row>
    <row r="45" spans="1:10">
      <c r="A45" t="s">
        <v>31</v>
      </c>
      <c r="B45" s="10">
        <v>1</v>
      </c>
      <c r="C45" s="10">
        <v>1</v>
      </c>
      <c r="D45">
        <f>B45*B37</f>
        <v>8030</v>
      </c>
      <c r="E45">
        <f>C45*C37</f>
        <v>8780</v>
      </c>
    </row>
    <row r="46" spans="1:10">
      <c r="B46" s="10"/>
      <c r="C46" s="10"/>
    </row>
    <row r="48" spans="1:10">
      <c r="A48" s="1" t="s">
        <v>32</v>
      </c>
    </row>
    <row r="50" spans="1:11">
      <c r="B50" s="2" t="s">
        <v>33</v>
      </c>
      <c r="C50" s="2" t="s">
        <v>34</v>
      </c>
      <c r="D50" s="44" t="s">
        <v>35</v>
      </c>
      <c r="E50" s="44"/>
      <c r="F50" s="44" t="s">
        <v>64</v>
      </c>
      <c r="G50" s="44"/>
      <c r="I50" s="44" t="s">
        <v>66</v>
      </c>
      <c r="J50" s="44"/>
    </row>
    <row r="51" spans="1:11">
      <c r="A51" s="5" t="s">
        <v>36</v>
      </c>
      <c r="B51" s="3" t="s">
        <v>5</v>
      </c>
      <c r="C51" s="2" t="s">
        <v>37</v>
      </c>
      <c r="D51" s="3" t="s">
        <v>7</v>
      </c>
      <c r="E51" s="2" t="s">
        <v>8</v>
      </c>
      <c r="F51" s="22" t="s">
        <v>7</v>
      </c>
      <c r="G51" s="22" t="s">
        <v>8</v>
      </c>
      <c r="H51" s="22" t="s">
        <v>65</v>
      </c>
      <c r="I51" s="22" t="s">
        <v>7</v>
      </c>
      <c r="J51" s="22" t="s">
        <v>8</v>
      </c>
    </row>
    <row r="52" spans="1:11">
      <c r="A52" s="11"/>
      <c r="B52" s="12" t="s">
        <v>9</v>
      </c>
      <c r="C52" s="12" t="s">
        <v>9</v>
      </c>
      <c r="D52" s="4" t="s">
        <v>10</v>
      </c>
      <c r="E52" s="4" t="s">
        <v>10</v>
      </c>
      <c r="F52" s="12" t="s">
        <v>9</v>
      </c>
      <c r="G52" s="12" t="s">
        <v>9</v>
      </c>
      <c r="H52" s="12" t="s">
        <v>9</v>
      </c>
      <c r="I52" s="23"/>
      <c r="J52" s="38"/>
    </row>
    <row r="53" spans="1:11">
      <c r="A53" s="5" t="s">
        <v>38</v>
      </c>
      <c r="B53">
        <v>480</v>
      </c>
      <c r="C53">
        <v>900</v>
      </c>
      <c r="D53" s="7">
        <v>26</v>
      </c>
      <c r="E53" s="7">
        <v>30.1</v>
      </c>
      <c r="F53" s="26">
        <v>480</v>
      </c>
      <c r="G53" s="48">
        <v>0</v>
      </c>
      <c r="H53" s="5">
        <f>F53+G53</f>
        <v>480</v>
      </c>
      <c r="I53" s="5">
        <f>F53*D53</f>
        <v>12480</v>
      </c>
      <c r="J53" s="39">
        <f>G53*E53</f>
        <v>0</v>
      </c>
    </row>
    <row r="54" spans="1:11">
      <c r="A54" t="s">
        <v>39</v>
      </c>
      <c r="B54">
        <v>850</v>
      </c>
      <c r="C54">
        <v>1150</v>
      </c>
      <c r="D54" s="7">
        <v>51.7</v>
      </c>
      <c r="E54" s="7">
        <v>31.7</v>
      </c>
      <c r="F54" s="26">
        <v>0</v>
      </c>
      <c r="G54" s="26">
        <v>850</v>
      </c>
      <c r="H54" s="5">
        <f t="shared" ref="H54:H61" si="3">F54+G54</f>
        <v>850</v>
      </c>
      <c r="I54" s="5">
        <f t="shared" ref="I54:I61" si="4">F54*D54</f>
        <v>0</v>
      </c>
      <c r="J54" s="39">
        <f t="shared" ref="J54:J61" si="5">G54*E54</f>
        <v>26945</v>
      </c>
    </row>
    <row r="55" spans="1:11">
      <c r="A55" t="s">
        <v>40</v>
      </c>
      <c r="B55">
        <v>640</v>
      </c>
      <c r="C55">
        <v>800</v>
      </c>
      <c r="D55" s="7">
        <v>16.600000000000001</v>
      </c>
      <c r="E55" s="7">
        <v>7.3</v>
      </c>
      <c r="F55" s="26">
        <v>144.97881407960077</v>
      </c>
      <c r="G55" s="26">
        <v>495.02118592039835</v>
      </c>
      <c r="H55" s="5">
        <f t="shared" si="3"/>
        <v>639.99999999999909</v>
      </c>
      <c r="I55" s="5">
        <f t="shared" si="4"/>
        <v>2406.6483137213731</v>
      </c>
      <c r="J55" s="39">
        <f t="shared" si="5"/>
        <v>3613.6546572189077</v>
      </c>
    </row>
    <row r="56" spans="1:11">
      <c r="A56" t="s">
        <v>41</v>
      </c>
      <c r="B56">
        <v>575</v>
      </c>
      <c r="C56">
        <v>775</v>
      </c>
      <c r="D56" s="7">
        <v>16.2</v>
      </c>
      <c r="E56" s="7">
        <v>21.5</v>
      </c>
      <c r="F56" s="26">
        <v>639.21521577114561</v>
      </c>
      <c r="G56" s="26">
        <v>0</v>
      </c>
      <c r="H56" s="5">
        <f t="shared" si="3"/>
        <v>639.21521577114561</v>
      </c>
      <c r="I56" s="5">
        <f t="shared" si="4"/>
        <v>10355.286495492559</v>
      </c>
      <c r="J56" s="39">
        <f t="shared" si="5"/>
        <v>0</v>
      </c>
    </row>
    <row r="57" spans="1:11">
      <c r="A57" t="s">
        <v>42</v>
      </c>
      <c r="B57">
        <v>970</v>
      </c>
      <c r="C57">
        <v>970</v>
      </c>
      <c r="D57" s="7">
        <v>24.5</v>
      </c>
      <c r="E57" s="7">
        <v>13.2</v>
      </c>
      <c r="F57" s="26">
        <v>0</v>
      </c>
      <c r="G57" s="26">
        <v>970</v>
      </c>
      <c r="H57" s="5">
        <f t="shared" si="3"/>
        <v>970</v>
      </c>
      <c r="I57" s="5">
        <f t="shared" si="4"/>
        <v>0</v>
      </c>
      <c r="J57" s="39">
        <f t="shared" si="5"/>
        <v>12804</v>
      </c>
    </row>
    <row r="58" spans="1:11">
      <c r="A58" s="5" t="s">
        <v>43</v>
      </c>
      <c r="B58">
        <v>107</v>
      </c>
      <c r="C58">
        <v>200</v>
      </c>
      <c r="D58" s="7">
        <v>26.3</v>
      </c>
      <c r="E58" s="7">
        <v>28</v>
      </c>
      <c r="F58" s="26">
        <v>107</v>
      </c>
      <c r="G58" s="48">
        <v>0</v>
      </c>
      <c r="H58" s="5">
        <f t="shared" si="3"/>
        <v>107</v>
      </c>
      <c r="I58" s="5">
        <f t="shared" si="4"/>
        <v>2814.1</v>
      </c>
      <c r="J58" s="39">
        <f t="shared" si="5"/>
        <v>0</v>
      </c>
    </row>
    <row r="59" spans="1:11">
      <c r="A59" t="s">
        <v>44</v>
      </c>
      <c r="B59">
        <v>80</v>
      </c>
      <c r="C59">
        <v>400</v>
      </c>
      <c r="D59" s="7">
        <v>21.3</v>
      </c>
      <c r="E59" s="7">
        <v>46.2</v>
      </c>
      <c r="F59" s="26">
        <v>80.000000000000057</v>
      </c>
      <c r="G59" s="26">
        <v>0</v>
      </c>
      <c r="H59" s="5">
        <f t="shared" si="3"/>
        <v>80.000000000000057</v>
      </c>
      <c r="I59" s="5">
        <f t="shared" si="4"/>
        <v>1704.0000000000014</v>
      </c>
      <c r="J59" s="39">
        <f t="shared" si="5"/>
        <v>0</v>
      </c>
    </row>
    <row r="60" spans="1:11">
      <c r="A60" t="s">
        <v>45</v>
      </c>
      <c r="B60">
        <v>0</v>
      </c>
      <c r="C60">
        <v>310</v>
      </c>
      <c r="D60" s="7">
        <v>15.3</v>
      </c>
      <c r="E60" s="7">
        <v>28.4</v>
      </c>
      <c r="F60" s="26">
        <v>309.99999999999989</v>
      </c>
      <c r="G60" s="26">
        <v>0</v>
      </c>
      <c r="H60" s="5">
        <f t="shared" si="3"/>
        <v>309.99999999999989</v>
      </c>
      <c r="I60" s="5">
        <f t="shared" si="4"/>
        <v>4742.9999999999982</v>
      </c>
      <c r="J60" s="39">
        <f t="shared" si="5"/>
        <v>0</v>
      </c>
    </row>
    <row r="61" spans="1:11">
      <c r="A61" s="23" t="s">
        <v>46</v>
      </c>
      <c r="B61" s="23">
        <v>0</v>
      </c>
      <c r="C61" s="23">
        <v>470</v>
      </c>
      <c r="D61" s="7">
        <v>24.3</v>
      </c>
      <c r="E61" s="7">
        <v>14.7</v>
      </c>
      <c r="F61" s="27">
        <v>0</v>
      </c>
      <c r="G61" s="27">
        <v>0</v>
      </c>
      <c r="H61" s="38">
        <f t="shared" si="3"/>
        <v>0</v>
      </c>
      <c r="I61" s="5">
        <f t="shared" si="4"/>
        <v>0</v>
      </c>
      <c r="J61" s="39">
        <f t="shared" si="5"/>
        <v>0</v>
      </c>
    </row>
    <row r="62" spans="1:11">
      <c r="A62" t="s">
        <v>59</v>
      </c>
      <c r="B62">
        <f>SUM(B53:B61)</f>
        <v>3702</v>
      </c>
      <c r="C62">
        <f>SUM(C53:C61)</f>
        <v>5975</v>
      </c>
      <c r="F62">
        <f>SUM(F53:F61)</f>
        <v>1761.1940298507461</v>
      </c>
      <c r="G62">
        <f>SUM(G53:G61)</f>
        <v>2315.0211859203982</v>
      </c>
      <c r="H62">
        <f>SUM(H53:H61)</f>
        <v>4076.2152157711448</v>
      </c>
      <c r="I62" s="40">
        <f>SUM(I53:I61)</f>
        <v>34503.034809213932</v>
      </c>
      <c r="J62" s="32">
        <f>SUM(J53:J61)</f>
        <v>43362.654657218911</v>
      </c>
      <c r="K62" s="30">
        <f>I62+J62</f>
        <v>77865.689466432843</v>
      </c>
    </row>
    <row r="64" spans="1:11">
      <c r="A64" s="1" t="s">
        <v>47</v>
      </c>
    </row>
    <row r="66" spans="1:4">
      <c r="A66" t="s">
        <v>48</v>
      </c>
      <c r="B66" s="13" t="s">
        <v>6</v>
      </c>
      <c r="D66" t="s">
        <v>68</v>
      </c>
    </row>
    <row r="67" spans="1:4">
      <c r="B67" s="4" t="s">
        <v>10</v>
      </c>
    </row>
    <row r="68" spans="1:4">
      <c r="A68" t="s">
        <v>49</v>
      </c>
      <c r="B68">
        <v>200</v>
      </c>
      <c r="D68">
        <f>B68*D25</f>
        <v>400000</v>
      </c>
    </row>
    <row r="69" spans="1:4">
      <c r="A69" s="5" t="s">
        <v>50</v>
      </c>
      <c r="B69">
        <v>150</v>
      </c>
      <c r="D69">
        <f>B69*E25</f>
        <v>515789.73653731338</v>
      </c>
    </row>
    <row r="70" spans="1:4">
      <c r="A70" t="s">
        <v>23</v>
      </c>
      <c r="B70">
        <v>36</v>
      </c>
      <c r="D70">
        <f>B70*G24</f>
        <v>146743.74776776118</v>
      </c>
    </row>
    <row r="71" spans="1:4">
      <c r="A71" t="s">
        <v>51</v>
      </c>
      <c r="B71">
        <v>25</v>
      </c>
      <c r="D71" s="23">
        <f>B71*G26</f>
        <v>75027.413516169152</v>
      </c>
    </row>
    <row r="72" spans="1:4">
      <c r="D72">
        <f>SUM(D68:D71)</f>
        <v>1137560.8978212436</v>
      </c>
    </row>
    <row r="75" spans="1:4">
      <c r="A75" t="s">
        <v>69</v>
      </c>
      <c r="B75" s="49">
        <f>D72-K62-D33-K16</f>
        <v>167855.22953242785</v>
      </c>
    </row>
  </sheetData>
  <mergeCells count="7">
    <mergeCell ref="D5:E5"/>
    <mergeCell ref="I6:J6"/>
    <mergeCell ref="I32:J32"/>
    <mergeCell ref="D50:E50"/>
    <mergeCell ref="F5:G5"/>
    <mergeCell ref="F50:G50"/>
    <mergeCell ref="I50:J50"/>
  </mergeCells>
  <printOptions headings="1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 Brown</dc:creator>
  <cp:lastModifiedBy>Jonathan Hudgins</cp:lastModifiedBy>
  <dcterms:created xsi:type="dcterms:W3CDTF">2012-04-17T18:58:17Z</dcterms:created>
  <dcterms:modified xsi:type="dcterms:W3CDTF">2016-02-13T15:17:38Z</dcterms:modified>
</cp:coreProperties>
</file>