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harts/chart4.xml" ContentType="application/vnd.openxmlformats-officedocument.drawingml.chart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harts/chart7.xml" ContentType="application/vnd.openxmlformats-officedocument.drawingml.chart+xml"/>
  <Override PartName="/xl/drawings/drawing8.xml" ContentType="application/vnd.openxmlformats-officedocument.drawingml.chartshapes+xml"/>
  <Override PartName="/xl/charts/chart8.xml" ContentType="application/vnd.openxmlformats-officedocument.drawingml.chart+xml"/>
  <Override PartName="/xl/drawings/drawing9.xml" ContentType="application/vnd.openxmlformats-officedocument.drawingml.chartshapes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harts/chart10.xml" ContentType="application/vnd.openxmlformats-officedocument.drawingml.chart+xml"/>
  <Override PartName="/xl/drawings/drawing11.xml" ContentType="application/vnd.openxmlformats-officedocument.drawingml.chartshapes+xml"/>
  <Override PartName="/xl/charts/chart11.xml" ContentType="application/vnd.openxmlformats-officedocument.drawingml.chart+xml"/>
  <Override PartName="/xl/drawings/drawing12.xml" ContentType="application/vnd.openxmlformats-officedocument.drawingml.chartshapes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harts/chart13.xml" ContentType="application/vnd.openxmlformats-officedocument.drawingml.chart+xml"/>
  <Override PartName="/xl/drawings/drawing14.xml" ContentType="application/vnd.openxmlformats-officedocument.drawingml.chartshapes+xml"/>
  <Override PartName="/xl/charts/chart14.xml" ContentType="application/vnd.openxmlformats-officedocument.drawingml.chart+xml"/>
  <Override PartName="/xl/drawings/drawing15.xml" ContentType="application/vnd.openxmlformats-officedocument.drawingml.chartshapes+xml"/>
  <Override PartName="/xl/charts/chart15.xml" ContentType="application/vnd.openxmlformats-officedocument.drawingml.chart+xml"/>
  <Override PartName="/xl/drawings/drawing16.xml" ContentType="application/vnd.openxmlformats-officedocument.drawing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harts/chart16.xml" ContentType="application/vnd.openxmlformats-officedocument.drawingml.chart+xml"/>
  <Override PartName="/xl/drawings/drawing17.xml" ContentType="application/vnd.openxmlformats-officedocument.drawingml.chartshapes+xml"/>
  <Override PartName="/xl/charts/chart17.xml" ContentType="application/vnd.openxmlformats-officedocument.drawingml.chart+xml"/>
  <Override PartName="/xl/drawings/drawing18.xml" ContentType="application/vnd.openxmlformats-officedocument.drawingml.chartshapes+xml"/>
  <Override PartName="/xl/charts/chart18.xml" ContentType="application/vnd.openxmlformats-officedocument.drawingml.chart+xml"/>
  <Override PartName="/xl/drawings/drawing19.xml" ContentType="application/vnd.openxmlformats-officedocument.drawing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harts/chart19.xml" ContentType="application/vnd.openxmlformats-officedocument.drawingml.chart+xml"/>
  <Override PartName="/xl/drawings/drawing20.xml" ContentType="application/vnd.openxmlformats-officedocument.drawingml.chartshapes+xml"/>
  <Override PartName="/xl/charts/chart20.xml" ContentType="application/vnd.openxmlformats-officedocument.drawingml.chart+xml"/>
  <Override PartName="/xl/drawings/drawing21.xml" ContentType="application/vnd.openxmlformats-officedocument.drawingml.chartshapes+xml"/>
  <Override PartName="/xl/charts/chart21.xml" ContentType="application/vnd.openxmlformats-officedocument.drawingml.chart+xml"/>
  <Override PartName="/xl/drawings/drawing22.xml" ContentType="application/vnd.openxmlformats-officedocument.drawing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harts/chart22.xml" ContentType="application/vnd.openxmlformats-officedocument.drawingml.chart+xml"/>
  <Override PartName="/xl/drawings/drawing23.xml" ContentType="application/vnd.openxmlformats-officedocument.drawingml.chartshapes+xml"/>
  <Override PartName="/xl/charts/chart23.xml" ContentType="application/vnd.openxmlformats-officedocument.drawingml.chart+xml"/>
  <Override PartName="/xl/drawings/drawing24.xml" ContentType="application/vnd.openxmlformats-officedocument.drawingml.chartshapes+xml"/>
  <Override PartName="/xl/charts/chart24.xml" ContentType="application/vnd.openxmlformats-officedocument.drawingml.chart+xml"/>
  <Override PartName="/xl/drawings/drawing25.xml" ContentType="application/vnd.openxmlformats-officedocument.drawing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harts/chart25.xml" ContentType="application/vnd.openxmlformats-officedocument.drawingml.chart+xml"/>
  <Override PartName="/xl/drawings/drawing26.xml" ContentType="application/vnd.openxmlformats-officedocument.drawingml.chartshapes+xml"/>
  <Override PartName="/xl/charts/chart26.xml" ContentType="application/vnd.openxmlformats-officedocument.drawingml.chart+xml"/>
  <Override PartName="/xl/drawings/drawing27.xml" ContentType="application/vnd.openxmlformats-officedocument.drawingml.chartshapes+xml"/>
  <Override PartName="/xl/charts/chart27.xml" ContentType="application/vnd.openxmlformats-officedocument.drawingml.chart+xml"/>
  <Override PartName="/xl/drawings/drawing28.xml" ContentType="application/vnd.openxmlformats-officedocument.drawing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harts/chart28.xml" ContentType="application/vnd.openxmlformats-officedocument.drawingml.chart+xml"/>
  <Override PartName="/xl/drawings/drawing29.xml" ContentType="application/vnd.openxmlformats-officedocument.drawingml.chartshapes+xml"/>
  <Override PartName="/xl/charts/chart29.xml" ContentType="application/vnd.openxmlformats-officedocument.drawingml.chart+xml"/>
  <Override PartName="/xl/drawings/drawing30.xml" ContentType="application/vnd.openxmlformats-officedocument.drawingml.chartshapes+xml"/>
  <Override PartName="/xl/charts/chart30.xml" ContentType="application/vnd.openxmlformats-officedocument.drawingml.chart+xml"/>
  <Override PartName="/xl/drawings/drawing31.xml" ContentType="application/vnd.openxmlformats-officedocument.drawing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harts/chart31.xml" ContentType="application/vnd.openxmlformats-officedocument.drawingml.chart+xml"/>
  <Override PartName="/xl/drawings/drawing32.xml" ContentType="application/vnd.openxmlformats-officedocument.drawingml.chartshapes+xml"/>
  <Override PartName="/xl/charts/chart32.xml" ContentType="application/vnd.openxmlformats-officedocument.drawingml.chart+xml"/>
  <Override PartName="/xl/drawings/drawing33.xml" ContentType="application/vnd.openxmlformats-officedocument.drawingml.chartshapes+xml"/>
  <Override PartName="/xl/charts/chart33.xml" ContentType="application/vnd.openxmlformats-officedocument.drawingml.chart+xml"/>
  <Override PartName="/xl/drawings/drawing34.xml" ContentType="application/vnd.openxmlformats-officedocument.drawing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charts/chart34.xml" ContentType="application/vnd.openxmlformats-officedocument.drawingml.chart+xml"/>
  <Override PartName="/xl/drawings/drawing35.xml" ContentType="application/vnd.openxmlformats-officedocument.drawingml.chartshapes+xml"/>
  <Override PartName="/xl/charts/chart35.xml" ContentType="application/vnd.openxmlformats-officedocument.drawingml.chart+xml"/>
  <Override PartName="/xl/drawings/drawing36.xml" ContentType="application/vnd.openxmlformats-officedocument.drawingml.chartshapes+xml"/>
  <Override PartName="/xl/charts/chart36.xml" ContentType="application/vnd.openxmlformats-officedocument.drawingml.chart+xml"/>
  <Override PartName="/xl/drawings/drawing37.xml" ContentType="application/vnd.openxmlformats-officedocument.drawing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harts/chart37.xml" ContentType="application/vnd.openxmlformats-officedocument.drawingml.chart+xml"/>
  <Override PartName="/xl/drawings/drawing38.xml" ContentType="application/vnd.openxmlformats-officedocument.drawingml.chartshapes+xml"/>
  <Override PartName="/xl/charts/chart38.xml" ContentType="application/vnd.openxmlformats-officedocument.drawingml.chart+xml"/>
  <Override PartName="/xl/drawings/drawing39.xml" ContentType="application/vnd.openxmlformats-officedocument.drawingml.chartshapes+xml"/>
  <Override PartName="/xl/charts/chart39.xml" ContentType="application/vnd.openxmlformats-officedocument.drawingml.chart+xml"/>
  <Override PartName="/xl/drawings/drawing40.xml" ContentType="application/vnd.openxmlformats-officedocument.drawing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harts/chart40.xml" ContentType="application/vnd.openxmlformats-officedocument.drawingml.chart+xml"/>
  <Override PartName="/xl/drawings/drawing41.xml" ContentType="application/vnd.openxmlformats-officedocument.drawingml.chartshapes+xml"/>
  <Override PartName="/xl/charts/chart41.xml" ContentType="application/vnd.openxmlformats-officedocument.drawingml.chart+xml"/>
  <Override PartName="/xl/drawings/drawing42.xml" ContentType="application/vnd.openxmlformats-officedocument.drawingml.chartshapes+xml"/>
  <Override PartName="/xl/charts/chart42.xml" ContentType="application/vnd.openxmlformats-officedocument.drawingml.chart+xml"/>
  <Override PartName="/xl/drawings/drawing43.xml" ContentType="application/vnd.openxmlformats-officedocument.drawing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harts/chart43.xml" ContentType="application/vnd.openxmlformats-officedocument.drawingml.chart+xml"/>
  <Override PartName="/xl/drawings/drawing44.xml" ContentType="application/vnd.openxmlformats-officedocument.drawingml.chartshapes+xml"/>
  <Override PartName="/xl/charts/chart44.xml" ContentType="application/vnd.openxmlformats-officedocument.drawingml.chart+xml"/>
  <Override PartName="/xl/drawings/drawing45.xml" ContentType="application/vnd.openxmlformats-officedocument.drawingml.chartshapes+xml"/>
  <Override PartName="/xl/charts/chart45.xml" ContentType="application/vnd.openxmlformats-officedocument.drawingml.chart+xml"/>
  <Override PartName="/xl/drawings/drawing46.xml" ContentType="application/vnd.openxmlformats-officedocument.drawing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harts/chart46.xml" ContentType="application/vnd.openxmlformats-officedocument.drawingml.chart+xml"/>
  <Override PartName="/xl/drawings/drawing47.xml" ContentType="application/vnd.openxmlformats-officedocument.drawingml.chartshapes+xml"/>
  <Override PartName="/xl/charts/chart47.xml" ContentType="application/vnd.openxmlformats-officedocument.drawingml.chart+xml"/>
  <Override PartName="/xl/drawings/drawing48.xml" ContentType="application/vnd.openxmlformats-officedocument.drawingml.chartshapes+xml"/>
  <Override PartName="/xl/charts/chart48.xml" ContentType="application/vnd.openxmlformats-officedocument.drawingml.chart+xml"/>
  <Override PartName="/xl/drawings/drawing49.xml" ContentType="application/vnd.openxmlformats-officedocument.drawing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harts/chart49.xml" ContentType="application/vnd.openxmlformats-officedocument.drawingml.chart+xml"/>
  <Override PartName="/xl/drawings/drawing50.xml" ContentType="application/vnd.openxmlformats-officedocument.drawingml.chartshapes+xml"/>
  <Override PartName="/xl/charts/chart50.xml" ContentType="application/vnd.openxmlformats-officedocument.drawingml.chart+xml"/>
  <Override PartName="/xl/drawings/drawing51.xml" ContentType="application/vnd.openxmlformats-officedocument.drawingml.chartshapes+xml"/>
  <Override PartName="/xl/charts/chart51.xml" ContentType="application/vnd.openxmlformats-officedocument.drawingml.chart+xml"/>
  <Override PartName="/xl/drawings/drawing52.xml" ContentType="application/vnd.openxmlformats-officedocument.drawing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harts/chart52.xml" ContentType="application/vnd.openxmlformats-officedocument.drawingml.chart+xml"/>
  <Override PartName="/xl/drawings/drawing53.xml" ContentType="application/vnd.openxmlformats-officedocument.drawingml.chartshapes+xml"/>
  <Override PartName="/xl/charts/chart53.xml" ContentType="application/vnd.openxmlformats-officedocument.drawingml.chart+xml"/>
  <Override PartName="/xl/drawings/drawing54.xml" ContentType="application/vnd.openxmlformats-officedocument.drawingml.chartshapes+xml"/>
  <Override PartName="/xl/charts/chart54.xml" ContentType="application/vnd.openxmlformats-officedocument.drawingml.chart+xml"/>
  <Override PartName="/xl/drawings/drawing55.xml" ContentType="application/vnd.openxmlformats-officedocument.drawing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ctrlProps/ctrlProp349.xml" ContentType="application/vnd.ms-excel.controlproperties+xml"/>
  <Override PartName="/xl/ctrlProps/ctrlProp350.xml" ContentType="application/vnd.ms-excel.controlproperties+xml"/>
  <Override PartName="/xl/ctrlProps/ctrlProp351.xml" ContentType="application/vnd.ms-excel.controlproperties+xml"/>
  <Override PartName="/xl/ctrlProps/ctrlProp352.xml" ContentType="application/vnd.ms-excel.controlproperties+xml"/>
  <Override PartName="/xl/ctrlProps/ctrlProp353.xml" ContentType="application/vnd.ms-excel.controlproperties+xml"/>
  <Override PartName="/xl/ctrlProps/ctrlProp354.xml" ContentType="application/vnd.ms-excel.controlproperties+xml"/>
  <Override PartName="/xl/ctrlProps/ctrlProp355.xml" ContentType="application/vnd.ms-excel.controlproperties+xml"/>
  <Override PartName="/xl/ctrlProps/ctrlProp356.xml" ContentType="application/vnd.ms-excel.controlproperties+xml"/>
  <Override PartName="/xl/ctrlProps/ctrlProp357.xml" ContentType="application/vnd.ms-excel.controlproperties+xml"/>
  <Override PartName="/xl/ctrlProps/ctrlProp358.xml" ContentType="application/vnd.ms-excel.controlproperties+xml"/>
  <Override PartName="/xl/ctrlProps/ctrlProp359.xml" ContentType="application/vnd.ms-excel.controlproperties+xml"/>
  <Override PartName="/xl/charts/chart55.xml" ContentType="application/vnd.openxmlformats-officedocument.drawingml.chart+xml"/>
  <Override PartName="/xl/drawings/drawing56.xml" ContentType="application/vnd.openxmlformats-officedocument.drawingml.chartshapes+xml"/>
  <Override PartName="/xl/charts/chart56.xml" ContentType="application/vnd.openxmlformats-officedocument.drawingml.chart+xml"/>
  <Override PartName="/xl/drawings/drawing57.xml" ContentType="application/vnd.openxmlformats-officedocument.drawingml.chartshapes+xml"/>
  <Override PartName="/xl/charts/chart57.xml" ContentType="application/vnd.openxmlformats-officedocument.drawingml.chart+xml"/>
  <Override PartName="/xl/drawings/drawing58.xml" ContentType="application/vnd.openxmlformats-officedocument.drawing+xml"/>
  <Override PartName="/xl/ctrlProps/ctrlProp360.xml" ContentType="application/vnd.ms-excel.controlproperties+xml"/>
  <Override PartName="/xl/ctrlProps/ctrlProp361.xml" ContentType="application/vnd.ms-excel.controlproperties+xml"/>
  <Override PartName="/xl/ctrlProps/ctrlProp362.xml" ContentType="application/vnd.ms-excel.controlproperties+xml"/>
  <Override PartName="/xl/ctrlProps/ctrlProp363.xml" ContentType="application/vnd.ms-excel.controlproperties+xml"/>
  <Override PartName="/xl/ctrlProps/ctrlProp364.xml" ContentType="application/vnd.ms-excel.controlproperties+xml"/>
  <Override PartName="/xl/ctrlProps/ctrlProp365.xml" ContentType="application/vnd.ms-excel.controlproperties+xml"/>
  <Override PartName="/xl/ctrlProps/ctrlProp366.xml" ContentType="application/vnd.ms-excel.controlproperties+xml"/>
  <Override PartName="/xl/ctrlProps/ctrlProp367.xml" ContentType="application/vnd.ms-excel.controlproperties+xml"/>
  <Override PartName="/xl/ctrlProps/ctrlProp368.xml" ContentType="application/vnd.ms-excel.controlproperties+xml"/>
  <Override PartName="/xl/ctrlProps/ctrlProp369.xml" ContentType="application/vnd.ms-excel.controlproperties+xml"/>
  <Override PartName="/xl/ctrlProps/ctrlProp370.xml" ContentType="application/vnd.ms-excel.controlproperties+xml"/>
  <Override PartName="/xl/ctrlProps/ctrlProp371.xml" ContentType="application/vnd.ms-excel.controlproperties+xml"/>
  <Override PartName="/xl/ctrlProps/ctrlProp372.xml" ContentType="application/vnd.ms-excel.controlproperties+xml"/>
  <Override PartName="/xl/ctrlProps/ctrlProp373.xml" ContentType="application/vnd.ms-excel.controlproperties+xml"/>
  <Override PartName="/xl/ctrlProps/ctrlProp374.xml" ContentType="application/vnd.ms-excel.controlproperties+xml"/>
  <Override PartName="/xl/ctrlProps/ctrlProp375.xml" ContentType="application/vnd.ms-excel.controlproperties+xml"/>
  <Override PartName="/xl/ctrlProps/ctrlProp376.xml" ContentType="application/vnd.ms-excel.controlproperties+xml"/>
  <Override PartName="/xl/ctrlProps/ctrlProp377.xml" ContentType="application/vnd.ms-excel.controlproperties+xml"/>
  <Override PartName="/xl/ctrlProps/ctrlProp378.xml" ContentType="application/vnd.ms-excel.controlproperties+xml"/>
  <Override PartName="/xl/ctrlProps/ctrlProp379.xml" ContentType="application/vnd.ms-excel.controlproperties+xml"/>
  <Override PartName="/xl/charts/chart58.xml" ContentType="application/vnd.openxmlformats-officedocument.drawingml.chart+xml"/>
  <Override PartName="/xl/drawings/drawing59.xml" ContentType="application/vnd.openxmlformats-officedocument.drawingml.chartshapes+xml"/>
  <Override PartName="/xl/charts/chart59.xml" ContentType="application/vnd.openxmlformats-officedocument.drawingml.chart+xml"/>
  <Override PartName="/xl/drawings/drawing60.xml" ContentType="application/vnd.openxmlformats-officedocument.drawingml.chartshapes+xml"/>
  <Override PartName="/xl/charts/chart60.xml" ContentType="application/vnd.openxmlformats-officedocument.drawingml.chart+xml"/>
  <Override PartName="/xl/drawings/drawing61.xml" ContentType="application/vnd.openxmlformats-officedocument.drawing+xml"/>
  <Override PartName="/xl/ctrlProps/ctrlProp380.xml" ContentType="application/vnd.ms-excel.controlproperties+xml"/>
  <Override PartName="/xl/ctrlProps/ctrlProp381.xml" ContentType="application/vnd.ms-excel.controlproperties+xml"/>
  <Override PartName="/xl/ctrlProps/ctrlProp382.xml" ContentType="application/vnd.ms-excel.controlproperties+xml"/>
  <Override PartName="/xl/ctrlProps/ctrlProp383.xml" ContentType="application/vnd.ms-excel.controlproperties+xml"/>
  <Override PartName="/xl/ctrlProps/ctrlProp384.xml" ContentType="application/vnd.ms-excel.controlproperties+xml"/>
  <Override PartName="/xl/ctrlProps/ctrlProp385.xml" ContentType="application/vnd.ms-excel.controlproperties+xml"/>
  <Override PartName="/xl/ctrlProps/ctrlProp386.xml" ContentType="application/vnd.ms-excel.controlproperties+xml"/>
  <Override PartName="/xl/ctrlProps/ctrlProp387.xml" ContentType="application/vnd.ms-excel.controlproperties+xml"/>
  <Override PartName="/xl/ctrlProps/ctrlProp388.xml" ContentType="application/vnd.ms-excel.controlproperties+xml"/>
  <Override PartName="/xl/ctrlProps/ctrlProp389.xml" ContentType="application/vnd.ms-excel.controlproperties+xml"/>
  <Override PartName="/xl/ctrlProps/ctrlProp390.xml" ContentType="application/vnd.ms-excel.controlproperties+xml"/>
  <Override PartName="/xl/ctrlProps/ctrlProp391.xml" ContentType="application/vnd.ms-excel.controlproperties+xml"/>
  <Override PartName="/xl/ctrlProps/ctrlProp392.xml" ContentType="application/vnd.ms-excel.controlproperties+xml"/>
  <Override PartName="/xl/ctrlProps/ctrlProp393.xml" ContentType="application/vnd.ms-excel.controlproperties+xml"/>
  <Override PartName="/xl/ctrlProps/ctrlProp394.xml" ContentType="application/vnd.ms-excel.controlproperties+xml"/>
  <Override PartName="/xl/ctrlProps/ctrlProp395.xml" ContentType="application/vnd.ms-excel.controlproperties+xml"/>
  <Override PartName="/xl/ctrlProps/ctrlProp396.xml" ContentType="application/vnd.ms-excel.controlproperties+xml"/>
  <Override PartName="/xl/ctrlProps/ctrlProp397.xml" ContentType="application/vnd.ms-excel.controlproperties+xml"/>
  <Override PartName="/xl/ctrlProps/ctrlProp398.xml" ContentType="application/vnd.ms-excel.controlproperties+xml"/>
  <Override PartName="/xl/ctrlProps/ctrlProp399.xml" ContentType="application/vnd.ms-excel.controlproperties+xml"/>
  <Override PartName="/xl/charts/chart61.xml" ContentType="application/vnd.openxmlformats-officedocument.drawingml.chart+xml"/>
  <Override PartName="/xl/drawings/drawing62.xml" ContentType="application/vnd.openxmlformats-officedocument.drawingml.chartshapes+xml"/>
  <Override PartName="/xl/charts/chart62.xml" ContentType="application/vnd.openxmlformats-officedocument.drawingml.chart+xml"/>
  <Override PartName="/xl/drawings/drawing63.xml" ContentType="application/vnd.openxmlformats-officedocument.drawingml.chartshapes+xml"/>
  <Override PartName="/xl/charts/chart63.xml" ContentType="application/vnd.openxmlformats-officedocument.drawingml.chart+xml"/>
  <Override PartName="/xl/drawings/drawing64.xml" ContentType="application/vnd.openxmlformats-officedocument.drawing+xml"/>
  <Override PartName="/xl/ctrlProps/ctrlProp400.xml" ContentType="application/vnd.ms-excel.controlproperties+xml"/>
  <Override PartName="/xl/ctrlProps/ctrlProp401.xml" ContentType="application/vnd.ms-excel.controlproperties+xml"/>
  <Override PartName="/xl/ctrlProps/ctrlProp402.xml" ContentType="application/vnd.ms-excel.controlproperties+xml"/>
  <Override PartName="/xl/ctrlProps/ctrlProp403.xml" ContentType="application/vnd.ms-excel.controlproperties+xml"/>
  <Override PartName="/xl/ctrlProps/ctrlProp404.xml" ContentType="application/vnd.ms-excel.controlproperties+xml"/>
  <Override PartName="/xl/ctrlProps/ctrlProp405.xml" ContentType="application/vnd.ms-excel.controlproperties+xml"/>
  <Override PartName="/xl/ctrlProps/ctrlProp406.xml" ContentType="application/vnd.ms-excel.controlproperties+xml"/>
  <Override PartName="/xl/ctrlProps/ctrlProp407.xml" ContentType="application/vnd.ms-excel.controlproperties+xml"/>
  <Override PartName="/xl/ctrlProps/ctrlProp408.xml" ContentType="application/vnd.ms-excel.controlproperties+xml"/>
  <Override PartName="/xl/ctrlProps/ctrlProp409.xml" ContentType="application/vnd.ms-excel.controlproperties+xml"/>
  <Override PartName="/xl/ctrlProps/ctrlProp410.xml" ContentType="application/vnd.ms-excel.controlproperties+xml"/>
  <Override PartName="/xl/ctrlProps/ctrlProp411.xml" ContentType="application/vnd.ms-excel.controlproperties+xml"/>
  <Override PartName="/xl/ctrlProps/ctrlProp412.xml" ContentType="application/vnd.ms-excel.controlproperties+xml"/>
  <Override PartName="/xl/ctrlProps/ctrlProp413.xml" ContentType="application/vnd.ms-excel.controlproperties+xml"/>
  <Override PartName="/xl/ctrlProps/ctrlProp414.xml" ContentType="application/vnd.ms-excel.controlproperties+xml"/>
  <Override PartName="/xl/ctrlProps/ctrlProp415.xml" ContentType="application/vnd.ms-excel.controlproperties+xml"/>
  <Override PartName="/xl/ctrlProps/ctrlProp416.xml" ContentType="application/vnd.ms-excel.controlproperties+xml"/>
  <Override PartName="/xl/ctrlProps/ctrlProp417.xml" ContentType="application/vnd.ms-excel.controlproperties+xml"/>
  <Override PartName="/xl/ctrlProps/ctrlProp418.xml" ContentType="application/vnd.ms-excel.controlproperties+xml"/>
  <Override PartName="/xl/ctrlProps/ctrlProp419.xml" ContentType="application/vnd.ms-excel.controlproperties+xml"/>
  <Override PartName="/xl/charts/chart64.xml" ContentType="application/vnd.openxmlformats-officedocument.drawingml.chart+xml"/>
  <Override PartName="/xl/drawings/drawing65.xml" ContentType="application/vnd.openxmlformats-officedocument.drawingml.chartshapes+xml"/>
  <Override PartName="/xl/charts/chart65.xml" ContentType="application/vnd.openxmlformats-officedocument.drawingml.chart+xml"/>
  <Override PartName="/xl/drawings/drawing66.xml" ContentType="application/vnd.openxmlformats-officedocument.drawingml.chartshapes+xml"/>
  <Override PartName="/xl/charts/chart66.xml" ContentType="application/vnd.openxmlformats-officedocument.drawingml.chart+xml"/>
  <Override PartName="/xl/drawings/drawing67.xml" ContentType="application/vnd.openxmlformats-officedocument.drawing+xml"/>
  <Override PartName="/xl/ctrlProps/ctrlProp420.xml" ContentType="application/vnd.ms-excel.controlproperties+xml"/>
  <Override PartName="/xl/ctrlProps/ctrlProp421.xml" ContentType="application/vnd.ms-excel.controlproperties+xml"/>
  <Override PartName="/xl/ctrlProps/ctrlProp422.xml" ContentType="application/vnd.ms-excel.controlproperties+xml"/>
  <Override PartName="/xl/ctrlProps/ctrlProp423.xml" ContentType="application/vnd.ms-excel.controlproperties+xml"/>
  <Override PartName="/xl/ctrlProps/ctrlProp424.xml" ContentType="application/vnd.ms-excel.controlproperties+xml"/>
  <Override PartName="/xl/ctrlProps/ctrlProp425.xml" ContentType="application/vnd.ms-excel.controlproperties+xml"/>
  <Override PartName="/xl/ctrlProps/ctrlProp426.xml" ContentType="application/vnd.ms-excel.controlproperties+xml"/>
  <Override PartName="/xl/ctrlProps/ctrlProp427.xml" ContentType="application/vnd.ms-excel.controlproperties+xml"/>
  <Override PartName="/xl/ctrlProps/ctrlProp428.xml" ContentType="application/vnd.ms-excel.controlproperties+xml"/>
  <Override PartName="/xl/ctrlProps/ctrlProp429.xml" ContentType="application/vnd.ms-excel.controlproperties+xml"/>
  <Override PartName="/xl/ctrlProps/ctrlProp430.xml" ContentType="application/vnd.ms-excel.controlproperties+xml"/>
  <Override PartName="/xl/ctrlProps/ctrlProp431.xml" ContentType="application/vnd.ms-excel.controlproperties+xml"/>
  <Override PartName="/xl/ctrlProps/ctrlProp432.xml" ContentType="application/vnd.ms-excel.controlproperties+xml"/>
  <Override PartName="/xl/ctrlProps/ctrlProp433.xml" ContentType="application/vnd.ms-excel.controlproperties+xml"/>
  <Override PartName="/xl/ctrlProps/ctrlProp434.xml" ContentType="application/vnd.ms-excel.controlproperties+xml"/>
  <Override PartName="/xl/ctrlProps/ctrlProp435.xml" ContentType="application/vnd.ms-excel.controlproperties+xml"/>
  <Override PartName="/xl/ctrlProps/ctrlProp436.xml" ContentType="application/vnd.ms-excel.controlproperties+xml"/>
  <Override PartName="/xl/ctrlProps/ctrlProp437.xml" ContentType="application/vnd.ms-excel.controlproperties+xml"/>
  <Override PartName="/xl/ctrlProps/ctrlProp438.xml" ContentType="application/vnd.ms-excel.controlproperties+xml"/>
  <Override PartName="/xl/ctrlProps/ctrlProp439.xml" ContentType="application/vnd.ms-excel.controlproperties+xml"/>
  <Override PartName="/xl/charts/chart67.xml" ContentType="application/vnd.openxmlformats-officedocument.drawingml.chart+xml"/>
  <Override PartName="/xl/drawings/drawing68.xml" ContentType="application/vnd.openxmlformats-officedocument.drawingml.chartshapes+xml"/>
  <Override PartName="/xl/charts/chart68.xml" ContentType="application/vnd.openxmlformats-officedocument.drawingml.chart+xml"/>
  <Override PartName="/xl/drawings/drawing69.xml" ContentType="application/vnd.openxmlformats-officedocument.drawingml.chartshapes+xml"/>
  <Override PartName="/xl/charts/chart69.xml" ContentType="application/vnd.openxmlformats-officedocument.drawingml.chart+xml"/>
  <Override PartName="/xl/drawings/drawing70.xml" ContentType="application/vnd.openxmlformats-officedocument.drawing+xml"/>
  <Override PartName="/xl/ctrlProps/ctrlProp440.xml" ContentType="application/vnd.ms-excel.controlproperties+xml"/>
  <Override PartName="/xl/ctrlProps/ctrlProp441.xml" ContentType="application/vnd.ms-excel.controlproperties+xml"/>
  <Override PartName="/xl/ctrlProps/ctrlProp442.xml" ContentType="application/vnd.ms-excel.controlproperties+xml"/>
  <Override PartName="/xl/ctrlProps/ctrlProp443.xml" ContentType="application/vnd.ms-excel.controlproperties+xml"/>
  <Override PartName="/xl/ctrlProps/ctrlProp444.xml" ContentType="application/vnd.ms-excel.controlproperties+xml"/>
  <Override PartName="/xl/ctrlProps/ctrlProp445.xml" ContentType="application/vnd.ms-excel.controlproperties+xml"/>
  <Override PartName="/xl/ctrlProps/ctrlProp446.xml" ContentType="application/vnd.ms-excel.controlproperties+xml"/>
  <Override PartName="/xl/ctrlProps/ctrlProp447.xml" ContentType="application/vnd.ms-excel.controlproperties+xml"/>
  <Override PartName="/xl/ctrlProps/ctrlProp448.xml" ContentType="application/vnd.ms-excel.controlproperties+xml"/>
  <Override PartName="/xl/ctrlProps/ctrlProp449.xml" ContentType="application/vnd.ms-excel.controlproperties+xml"/>
  <Override PartName="/xl/ctrlProps/ctrlProp450.xml" ContentType="application/vnd.ms-excel.controlproperties+xml"/>
  <Override PartName="/xl/ctrlProps/ctrlProp451.xml" ContentType="application/vnd.ms-excel.controlproperties+xml"/>
  <Override PartName="/xl/ctrlProps/ctrlProp452.xml" ContentType="application/vnd.ms-excel.controlproperties+xml"/>
  <Override PartName="/xl/ctrlProps/ctrlProp453.xml" ContentType="application/vnd.ms-excel.controlproperties+xml"/>
  <Override PartName="/xl/ctrlProps/ctrlProp454.xml" ContentType="application/vnd.ms-excel.controlproperties+xml"/>
  <Override PartName="/xl/ctrlProps/ctrlProp455.xml" ContentType="application/vnd.ms-excel.controlproperties+xml"/>
  <Override PartName="/xl/ctrlProps/ctrlProp456.xml" ContentType="application/vnd.ms-excel.controlproperties+xml"/>
  <Override PartName="/xl/ctrlProps/ctrlProp457.xml" ContentType="application/vnd.ms-excel.controlproperties+xml"/>
  <Override PartName="/xl/ctrlProps/ctrlProp458.xml" ContentType="application/vnd.ms-excel.controlproperties+xml"/>
  <Override PartName="/xl/ctrlProps/ctrlProp459.xml" ContentType="application/vnd.ms-excel.controlproperties+xml"/>
  <Override PartName="/xl/charts/chart70.xml" ContentType="application/vnd.openxmlformats-officedocument.drawingml.chart+xml"/>
  <Override PartName="/xl/drawings/drawing71.xml" ContentType="application/vnd.openxmlformats-officedocument.drawingml.chartshapes+xml"/>
  <Override PartName="/xl/charts/chart71.xml" ContentType="application/vnd.openxmlformats-officedocument.drawingml.chart+xml"/>
  <Override PartName="/xl/drawings/drawing72.xml" ContentType="application/vnd.openxmlformats-officedocument.drawingml.chartshapes+xml"/>
  <Override PartName="/xl/charts/chart72.xml" ContentType="application/vnd.openxmlformats-officedocument.drawingml.chart+xml"/>
  <Override PartName="/xl/drawings/drawing73.xml" ContentType="application/vnd.openxmlformats-officedocument.drawing+xml"/>
  <Override PartName="/xl/ctrlProps/ctrlProp460.xml" ContentType="application/vnd.ms-excel.controlproperties+xml"/>
  <Override PartName="/xl/ctrlProps/ctrlProp461.xml" ContentType="application/vnd.ms-excel.controlproperties+xml"/>
  <Override PartName="/xl/ctrlProps/ctrlProp462.xml" ContentType="application/vnd.ms-excel.controlproperties+xml"/>
  <Override PartName="/xl/ctrlProps/ctrlProp463.xml" ContentType="application/vnd.ms-excel.controlproperties+xml"/>
  <Override PartName="/xl/ctrlProps/ctrlProp464.xml" ContentType="application/vnd.ms-excel.controlproperties+xml"/>
  <Override PartName="/xl/ctrlProps/ctrlProp465.xml" ContentType="application/vnd.ms-excel.controlproperties+xml"/>
  <Override PartName="/xl/ctrlProps/ctrlProp466.xml" ContentType="application/vnd.ms-excel.controlproperties+xml"/>
  <Override PartName="/xl/ctrlProps/ctrlProp467.xml" ContentType="application/vnd.ms-excel.controlproperties+xml"/>
  <Override PartName="/xl/ctrlProps/ctrlProp468.xml" ContentType="application/vnd.ms-excel.controlproperties+xml"/>
  <Override PartName="/xl/ctrlProps/ctrlProp469.xml" ContentType="application/vnd.ms-excel.controlproperties+xml"/>
  <Override PartName="/xl/ctrlProps/ctrlProp470.xml" ContentType="application/vnd.ms-excel.controlproperties+xml"/>
  <Override PartName="/xl/ctrlProps/ctrlProp471.xml" ContentType="application/vnd.ms-excel.controlproperties+xml"/>
  <Override PartName="/xl/ctrlProps/ctrlProp472.xml" ContentType="application/vnd.ms-excel.controlproperties+xml"/>
  <Override PartName="/xl/ctrlProps/ctrlProp473.xml" ContentType="application/vnd.ms-excel.controlproperties+xml"/>
  <Override PartName="/xl/ctrlProps/ctrlProp474.xml" ContentType="application/vnd.ms-excel.controlproperties+xml"/>
  <Override PartName="/xl/ctrlProps/ctrlProp475.xml" ContentType="application/vnd.ms-excel.controlproperties+xml"/>
  <Override PartName="/xl/ctrlProps/ctrlProp476.xml" ContentType="application/vnd.ms-excel.controlproperties+xml"/>
  <Override PartName="/xl/ctrlProps/ctrlProp477.xml" ContentType="application/vnd.ms-excel.controlproperties+xml"/>
  <Override PartName="/xl/ctrlProps/ctrlProp478.xml" ContentType="application/vnd.ms-excel.controlproperties+xml"/>
  <Override PartName="/xl/ctrlProps/ctrlProp479.xml" ContentType="application/vnd.ms-excel.controlproperties+xml"/>
  <Override PartName="/xl/charts/chart73.xml" ContentType="application/vnd.openxmlformats-officedocument.drawingml.chart+xml"/>
  <Override PartName="/xl/drawings/drawing74.xml" ContentType="application/vnd.openxmlformats-officedocument.drawingml.chartshapes+xml"/>
  <Override PartName="/xl/charts/chart74.xml" ContentType="application/vnd.openxmlformats-officedocument.drawingml.chart+xml"/>
  <Override PartName="/xl/drawings/drawing75.xml" ContentType="application/vnd.openxmlformats-officedocument.drawingml.chartshapes+xml"/>
  <Override PartName="/xl/charts/chart75.xml" ContentType="application/vnd.openxmlformats-officedocument.drawingml.chart+xml"/>
  <Override PartName="/xl/drawings/drawing76.xml" ContentType="application/vnd.openxmlformats-officedocument.drawing+xml"/>
  <Override PartName="/xl/ctrlProps/ctrlProp480.xml" ContentType="application/vnd.ms-excel.controlproperties+xml"/>
  <Override PartName="/xl/ctrlProps/ctrlProp481.xml" ContentType="application/vnd.ms-excel.controlproperties+xml"/>
  <Override PartName="/xl/ctrlProps/ctrlProp482.xml" ContentType="application/vnd.ms-excel.controlproperties+xml"/>
  <Override PartName="/xl/ctrlProps/ctrlProp483.xml" ContentType="application/vnd.ms-excel.controlproperties+xml"/>
  <Override PartName="/xl/ctrlProps/ctrlProp484.xml" ContentType="application/vnd.ms-excel.controlproperties+xml"/>
  <Override PartName="/xl/ctrlProps/ctrlProp485.xml" ContentType="application/vnd.ms-excel.controlproperties+xml"/>
  <Override PartName="/xl/ctrlProps/ctrlProp486.xml" ContentType="application/vnd.ms-excel.controlproperties+xml"/>
  <Override PartName="/xl/ctrlProps/ctrlProp487.xml" ContentType="application/vnd.ms-excel.controlproperties+xml"/>
  <Override PartName="/xl/ctrlProps/ctrlProp488.xml" ContentType="application/vnd.ms-excel.controlproperties+xml"/>
  <Override PartName="/xl/ctrlProps/ctrlProp489.xml" ContentType="application/vnd.ms-excel.controlproperties+xml"/>
  <Override PartName="/xl/ctrlProps/ctrlProp490.xml" ContentType="application/vnd.ms-excel.controlproperties+xml"/>
  <Override PartName="/xl/ctrlProps/ctrlProp491.xml" ContentType="application/vnd.ms-excel.controlproperties+xml"/>
  <Override PartName="/xl/ctrlProps/ctrlProp492.xml" ContentType="application/vnd.ms-excel.controlproperties+xml"/>
  <Override PartName="/xl/ctrlProps/ctrlProp493.xml" ContentType="application/vnd.ms-excel.controlproperties+xml"/>
  <Override PartName="/xl/ctrlProps/ctrlProp494.xml" ContentType="application/vnd.ms-excel.controlproperties+xml"/>
  <Override PartName="/xl/ctrlProps/ctrlProp495.xml" ContentType="application/vnd.ms-excel.controlproperties+xml"/>
  <Override PartName="/xl/ctrlProps/ctrlProp496.xml" ContentType="application/vnd.ms-excel.controlproperties+xml"/>
  <Override PartName="/xl/ctrlProps/ctrlProp497.xml" ContentType="application/vnd.ms-excel.controlproperties+xml"/>
  <Override PartName="/xl/ctrlProps/ctrlProp498.xml" ContentType="application/vnd.ms-excel.controlproperties+xml"/>
  <Override PartName="/xl/ctrlProps/ctrlProp499.xml" ContentType="application/vnd.ms-excel.controlproperties+xml"/>
  <Override PartName="/xl/charts/chart76.xml" ContentType="application/vnd.openxmlformats-officedocument.drawingml.chart+xml"/>
  <Override PartName="/xl/drawings/drawing77.xml" ContentType="application/vnd.openxmlformats-officedocument.drawingml.chartshapes+xml"/>
  <Override PartName="/xl/charts/chart77.xml" ContentType="application/vnd.openxmlformats-officedocument.drawingml.chart+xml"/>
  <Override PartName="/xl/drawings/drawing78.xml" ContentType="application/vnd.openxmlformats-officedocument.drawingml.chartshapes+xml"/>
  <Override PartName="/xl/charts/chart78.xml" ContentType="application/vnd.openxmlformats-officedocument.drawingml.chart+xml"/>
  <Override PartName="/xl/drawings/drawing79.xml" ContentType="application/vnd.openxmlformats-officedocument.drawing+xml"/>
  <Override PartName="/xl/ctrlProps/ctrlProp500.xml" ContentType="application/vnd.ms-excel.controlproperties+xml"/>
  <Override PartName="/xl/ctrlProps/ctrlProp501.xml" ContentType="application/vnd.ms-excel.controlproperties+xml"/>
  <Override PartName="/xl/ctrlProps/ctrlProp502.xml" ContentType="application/vnd.ms-excel.controlproperties+xml"/>
  <Override PartName="/xl/ctrlProps/ctrlProp503.xml" ContentType="application/vnd.ms-excel.controlproperties+xml"/>
  <Override PartName="/xl/ctrlProps/ctrlProp504.xml" ContentType="application/vnd.ms-excel.controlproperties+xml"/>
  <Override PartName="/xl/ctrlProps/ctrlProp505.xml" ContentType="application/vnd.ms-excel.controlproperties+xml"/>
  <Override PartName="/xl/ctrlProps/ctrlProp506.xml" ContentType="application/vnd.ms-excel.controlproperties+xml"/>
  <Override PartName="/xl/ctrlProps/ctrlProp507.xml" ContentType="application/vnd.ms-excel.controlproperties+xml"/>
  <Override PartName="/xl/ctrlProps/ctrlProp508.xml" ContentType="application/vnd.ms-excel.controlproperties+xml"/>
  <Override PartName="/xl/ctrlProps/ctrlProp509.xml" ContentType="application/vnd.ms-excel.controlproperties+xml"/>
  <Override PartName="/xl/ctrlProps/ctrlProp510.xml" ContentType="application/vnd.ms-excel.controlproperties+xml"/>
  <Override PartName="/xl/ctrlProps/ctrlProp511.xml" ContentType="application/vnd.ms-excel.controlproperties+xml"/>
  <Override PartName="/xl/ctrlProps/ctrlProp512.xml" ContentType="application/vnd.ms-excel.controlproperties+xml"/>
  <Override PartName="/xl/ctrlProps/ctrlProp513.xml" ContentType="application/vnd.ms-excel.controlproperties+xml"/>
  <Override PartName="/xl/ctrlProps/ctrlProp514.xml" ContentType="application/vnd.ms-excel.controlproperties+xml"/>
  <Override PartName="/xl/ctrlProps/ctrlProp515.xml" ContentType="application/vnd.ms-excel.controlproperties+xml"/>
  <Override PartName="/xl/ctrlProps/ctrlProp516.xml" ContentType="application/vnd.ms-excel.controlproperties+xml"/>
  <Override PartName="/xl/ctrlProps/ctrlProp517.xml" ContentType="application/vnd.ms-excel.controlproperties+xml"/>
  <Override PartName="/xl/ctrlProps/ctrlProp518.xml" ContentType="application/vnd.ms-excel.controlproperties+xml"/>
  <Override PartName="/xl/ctrlProps/ctrlProp519.xml" ContentType="application/vnd.ms-excel.controlproperties+xml"/>
  <Override PartName="/xl/charts/chart79.xml" ContentType="application/vnd.openxmlformats-officedocument.drawingml.chart+xml"/>
  <Override PartName="/xl/drawings/drawing80.xml" ContentType="application/vnd.openxmlformats-officedocument.drawingml.chartshapes+xml"/>
  <Override PartName="/xl/charts/chart80.xml" ContentType="application/vnd.openxmlformats-officedocument.drawingml.chart+xml"/>
  <Override PartName="/xl/drawings/drawing81.xml" ContentType="application/vnd.openxmlformats-officedocument.drawingml.chartshapes+xml"/>
  <Override PartName="/xl/charts/chart81.xml" ContentType="application/vnd.openxmlformats-officedocument.drawingml.chart+xml"/>
  <Override PartName="/xl/drawings/drawing82.xml" ContentType="application/vnd.openxmlformats-officedocument.drawing+xml"/>
  <Override PartName="/xl/ctrlProps/ctrlProp520.xml" ContentType="application/vnd.ms-excel.controlproperties+xml"/>
  <Override PartName="/xl/ctrlProps/ctrlProp521.xml" ContentType="application/vnd.ms-excel.controlproperties+xml"/>
  <Override PartName="/xl/ctrlProps/ctrlProp522.xml" ContentType="application/vnd.ms-excel.controlproperties+xml"/>
  <Override PartName="/xl/ctrlProps/ctrlProp523.xml" ContentType="application/vnd.ms-excel.controlproperties+xml"/>
  <Override PartName="/xl/ctrlProps/ctrlProp524.xml" ContentType="application/vnd.ms-excel.controlproperties+xml"/>
  <Override PartName="/xl/ctrlProps/ctrlProp525.xml" ContentType="application/vnd.ms-excel.controlproperties+xml"/>
  <Override PartName="/xl/ctrlProps/ctrlProp526.xml" ContentType="application/vnd.ms-excel.controlproperties+xml"/>
  <Override PartName="/xl/ctrlProps/ctrlProp527.xml" ContentType="application/vnd.ms-excel.controlproperties+xml"/>
  <Override PartName="/xl/ctrlProps/ctrlProp528.xml" ContentType="application/vnd.ms-excel.controlproperties+xml"/>
  <Override PartName="/xl/ctrlProps/ctrlProp529.xml" ContentType="application/vnd.ms-excel.controlproperties+xml"/>
  <Override PartName="/xl/ctrlProps/ctrlProp530.xml" ContentType="application/vnd.ms-excel.controlproperties+xml"/>
  <Override PartName="/xl/ctrlProps/ctrlProp531.xml" ContentType="application/vnd.ms-excel.controlproperties+xml"/>
  <Override PartName="/xl/ctrlProps/ctrlProp532.xml" ContentType="application/vnd.ms-excel.controlproperties+xml"/>
  <Override PartName="/xl/ctrlProps/ctrlProp533.xml" ContentType="application/vnd.ms-excel.controlproperties+xml"/>
  <Override PartName="/xl/ctrlProps/ctrlProp534.xml" ContentType="application/vnd.ms-excel.controlproperties+xml"/>
  <Override PartName="/xl/ctrlProps/ctrlProp535.xml" ContentType="application/vnd.ms-excel.controlproperties+xml"/>
  <Override PartName="/xl/ctrlProps/ctrlProp536.xml" ContentType="application/vnd.ms-excel.controlproperties+xml"/>
  <Override PartName="/xl/ctrlProps/ctrlProp537.xml" ContentType="application/vnd.ms-excel.controlproperties+xml"/>
  <Override PartName="/xl/ctrlProps/ctrlProp538.xml" ContentType="application/vnd.ms-excel.controlproperties+xml"/>
  <Override PartName="/xl/ctrlProps/ctrlProp539.xml" ContentType="application/vnd.ms-excel.controlproperties+xml"/>
  <Override PartName="/xl/charts/chart82.xml" ContentType="application/vnd.openxmlformats-officedocument.drawingml.chart+xml"/>
  <Override PartName="/xl/drawings/drawing83.xml" ContentType="application/vnd.openxmlformats-officedocument.drawingml.chartshapes+xml"/>
  <Override PartName="/xl/charts/chart83.xml" ContentType="application/vnd.openxmlformats-officedocument.drawingml.chart+xml"/>
  <Override PartName="/xl/drawings/drawing84.xml" ContentType="application/vnd.openxmlformats-officedocument.drawingml.chartshapes+xml"/>
  <Override PartName="/xl/charts/chart84.xml" ContentType="application/vnd.openxmlformats-officedocument.drawingml.chart+xml"/>
  <Override PartName="/xl/drawings/drawing85.xml" ContentType="application/vnd.openxmlformats-officedocument.drawing+xml"/>
  <Override PartName="/xl/ctrlProps/ctrlProp540.xml" ContentType="application/vnd.ms-excel.controlproperties+xml"/>
  <Override PartName="/xl/ctrlProps/ctrlProp541.xml" ContentType="application/vnd.ms-excel.controlproperties+xml"/>
  <Override PartName="/xl/ctrlProps/ctrlProp542.xml" ContentType="application/vnd.ms-excel.controlproperties+xml"/>
  <Override PartName="/xl/ctrlProps/ctrlProp543.xml" ContentType="application/vnd.ms-excel.controlproperties+xml"/>
  <Override PartName="/xl/ctrlProps/ctrlProp544.xml" ContentType="application/vnd.ms-excel.controlproperties+xml"/>
  <Override PartName="/xl/ctrlProps/ctrlProp545.xml" ContentType="application/vnd.ms-excel.controlproperties+xml"/>
  <Override PartName="/xl/ctrlProps/ctrlProp546.xml" ContentType="application/vnd.ms-excel.controlproperties+xml"/>
  <Override PartName="/xl/ctrlProps/ctrlProp547.xml" ContentType="application/vnd.ms-excel.controlproperties+xml"/>
  <Override PartName="/xl/ctrlProps/ctrlProp548.xml" ContentType="application/vnd.ms-excel.controlproperties+xml"/>
  <Override PartName="/xl/ctrlProps/ctrlProp549.xml" ContentType="application/vnd.ms-excel.controlproperties+xml"/>
  <Override PartName="/xl/ctrlProps/ctrlProp550.xml" ContentType="application/vnd.ms-excel.controlproperties+xml"/>
  <Override PartName="/xl/ctrlProps/ctrlProp551.xml" ContentType="application/vnd.ms-excel.controlproperties+xml"/>
  <Override PartName="/xl/ctrlProps/ctrlProp552.xml" ContentType="application/vnd.ms-excel.controlproperties+xml"/>
  <Override PartName="/xl/ctrlProps/ctrlProp553.xml" ContentType="application/vnd.ms-excel.controlproperties+xml"/>
  <Override PartName="/xl/ctrlProps/ctrlProp554.xml" ContentType="application/vnd.ms-excel.controlproperties+xml"/>
  <Override PartName="/xl/ctrlProps/ctrlProp555.xml" ContentType="application/vnd.ms-excel.controlproperties+xml"/>
  <Override PartName="/xl/ctrlProps/ctrlProp556.xml" ContentType="application/vnd.ms-excel.controlproperties+xml"/>
  <Override PartName="/xl/ctrlProps/ctrlProp557.xml" ContentType="application/vnd.ms-excel.controlproperties+xml"/>
  <Override PartName="/xl/ctrlProps/ctrlProp558.xml" ContentType="application/vnd.ms-excel.controlproperties+xml"/>
  <Override PartName="/xl/ctrlProps/ctrlProp559.xml" ContentType="application/vnd.ms-excel.controlproperties+xml"/>
  <Override PartName="/xl/charts/chart85.xml" ContentType="application/vnd.openxmlformats-officedocument.drawingml.chart+xml"/>
  <Override PartName="/xl/drawings/drawing86.xml" ContentType="application/vnd.openxmlformats-officedocument.drawingml.chartshapes+xml"/>
  <Override PartName="/xl/charts/chart86.xml" ContentType="application/vnd.openxmlformats-officedocument.drawingml.chart+xml"/>
  <Override PartName="/xl/drawings/drawing87.xml" ContentType="application/vnd.openxmlformats-officedocument.drawingml.chartshapes+xml"/>
  <Override PartName="/xl/charts/chart87.xml" ContentType="application/vnd.openxmlformats-officedocument.drawingml.chart+xml"/>
  <Override PartName="/xl/drawings/drawing88.xml" ContentType="application/vnd.openxmlformats-officedocument.drawing+xml"/>
  <Override PartName="/xl/ctrlProps/ctrlProp560.xml" ContentType="application/vnd.ms-excel.controlproperties+xml"/>
  <Override PartName="/xl/ctrlProps/ctrlProp561.xml" ContentType="application/vnd.ms-excel.controlproperties+xml"/>
  <Override PartName="/xl/ctrlProps/ctrlProp562.xml" ContentType="application/vnd.ms-excel.controlproperties+xml"/>
  <Override PartName="/xl/ctrlProps/ctrlProp563.xml" ContentType="application/vnd.ms-excel.controlproperties+xml"/>
  <Override PartName="/xl/ctrlProps/ctrlProp564.xml" ContentType="application/vnd.ms-excel.controlproperties+xml"/>
  <Override PartName="/xl/ctrlProps/ctrlProp565.xml" ContentType="application/vnd.ms-excel.controlproperties+xml"/>
  <Override PartName="/xl/ctrlProps/ctrlProp566.xml" ContentType="application/vnd.ms-excel.controlproperties+xml"/>
  <Override PartName="/xl/ctrlProps/ctrlProp567.xml" ContentType="application/vnd.ms-excel.controlproperties+xml"/>
  <Override PartName="/xl/ctrlProps/ctrlProp568.xml" ContentType="application/vnd.ms-excel.controlproperties+xml"/>
  <Override PartName="/xl/ctrlProps/ctrlProp569.xml" ContentType="application/vnd.ms-excel.controlproperties+xml"/>
  <Override PartName="/xl/ctrlProps/ctrlProp570.xml" ContentType="application/vnd.ms-excel.controlproperties+xml"/>
  <Override PartName="/xl/ctrlProps/ctrlProp571.xml" ContentType="application/vnd.ms-excel.controlproperties+xml"/>
  <Override PartName="/xl/ctrlProps/ctrlProp572.xml" ContentType="application/vnd.ms-excel.controlproperties+xml"/>
  <Override PartName="/xl/ctrlProps/ctrlProp573.xml" ContentType="application/vnd.ms-excel.controlproperties+xml"/>
  <Override PartName="/xl/ctrlProps/ctrlProp574.xml" ContentType="application/vnd.ms-excel.controlproperties+xml"/>
  <Override PartName="/xl/ctrlProps/ctrlProp575.xml" ContentType="application/vnd.ms-excel.controlproperties+xml"/>
  <Override PartName="/xl/ctrlProps/ctrlProp576.xml" ContentType="application/vnd.ms-excel.controlproperties+xml"/>
  <Override PartName="/xl/ctrlProps/ctrlProp577.xml" ContentType="application/vnd.ms-excel.controlproperties+xml"/>
  <Override PartName="/xl/ctrlProps/ctrlProp578.xml" ContentType="application/vnd.ms-excel.controlproperties+xml"/>
  <Override PartName="/xl/ctrlProps/ctrlProp579.xml" ContentType="application/vnd.ms-excel.controlproperties+xml"/>
  <Override PartName="/xl/charts/chart88.xml" ContentType="application/vnd.openxmlformats-officedocument.drawingml.chart+xml"/>
  <Override PartName="/xl/drawings/drawing89.xml" ContentType="application/vnd.openxmlformats-officedocument.drawingml.chartshapes+xml"/>
  <Override PartName="/xl/charts/chart89.xml" ContentType="application/vnd.openxmlformats-officedocument.drawingml.chart+xml"/>
  <Override PartName="/xl/drawings/drawing90.xml" ContentType="application/vnd.openxmlformats-officedocument.drawingml.chartshapes+xml"/>
  <Override PartName="/xl/charts/chart90.xml" ContentType="application/vnd.openxmlformats-officedocument.drawingml.chart+xml"/>
  <Override PartName="/xl/drawings/drawing91.xml" ContentType="application/vnd.openxmlformats-officedocument.drawing+xml"/>
  <Override PartName="/xl/ctrlProps/ctrlProp580.xml" ContentType="application/vnd.ms-excel.controlproperties+xml"/>
  <Override PartName="/xl/ctrlProps/ctrlProp581.xml" ContentType="application/vnd.ms-excel.controlproperties+xml"/>
  <Override PartName="/xl/ctrlProps/ctrlProp582.xml" ContentType="application/vnd.ms-excel.controlproperties+xml"/>
  <Override PartName="/xl/ctrlProps/ctrlProp583.xml" ContentType="application/vnd.ms-excel.controlproperties+xml"/>
  <Override PartName="/xl/ctrlProps/ctrlProp584.xml" ContentType="application/vnd.ms-excel.controlproperties+xml"/>
  <Override PartName="/xl/ctrlProps/ctrlProp585.xml" ContentType="application/vnd.ms-excel.controlproperties+xml"/>
  <Override PartName="/xl/ctrlProps/ctrlProp586.xml" ContentType="application/vnd.ms-excel.controlproperties+xml"/>
  <Override PartName="/xl/ctrlProps/ctrlProp587.xml" ContentType="application/vnd.ms-excel.controlproperties+xml"/>
  <Override PartName="/xl/ctrlProps/ctrlProp588.xml" ContentType="application/vnd.ms-excel.controlproperties+xml"/>
  <Override PartName="/xl/ctrlProps/ctrlProp589.xml" ContentType="application/vnd.ms-excel.controlproperties+xml"/>
  <Override PartName="/xl/ctrlProps/ctrlProp590.xml" ContentType="application/vnd.ms-excel.controlproperties+xml"/>
  <Override PartName="/xl/ctrlProps/ctrlProp591.xml" ContentType="application/vnd.ms-excel.controlproperties+xml"/>
  <Override PartName="/xl/ctrlProps/ctrlProp592.xml" ContentType="application/vnd.ms-excel.controlproperties+xml"/>
  <Override PartName="/xl/ctrlProps/ctrlProp593.xml" ContentType="application/vnd.ms-excel.controlproperties+xml"/>
  <Override PartName="/xl/ctrlProps/ctrlProp594.xml" ContentType="application/vnd.ms-excel.controlproperties+xml"/>
  <Override PartName="/xl/ctrlProps/ctrlProp595.xml" ContentType="application/vnd.ms-excel.controlproperties+xml"/>
  <Override PartName="/xl/ctrlProps/ctrlProp596.xml" ContentType="application/vnd.ms-excel.controlproperties+xml"/>
  <Override PartName="/xl/ctrlProps/ctrlProp597.xml" ContentType="application/vnd.ms-excel.controlproperties+xml"/>
  <Override PartName="/xl/ctrlProps/ctrlProp598.xml" ContentType="application/vnd.ms-excel.controlproperties+xml"/>
  <Override PartName="/xl/ctrlProps/ctrlProp599.xml" ContentType="application/vnd.ms-excel.controlproperties+xml"/>
  <Override PartName="/xl/charts/chart91.xml" ContentType="application/vnd.openxmlformats-officedocument.drawingml.chart+xml"/>
  <Override PartName="/xl/drawings/drawing92.xml" ContentType="application/vnd.openxmlformats-officedocument.drawingml.chartshapes+xml"/>
  <Override PartName="/xl/charts/chart92.xml" ContentType="application/vnd.openxmlformats-officedocument.drawingml.chart+xml"/>
  <Override PartName="/xl/drawings/drawing93.xml" ContentType="application/vnd.openxmlformats-officedocument.drawingml.chartshapes+xml"/>
  <Override PartName="/xl/charts/chart93.xml" ContentType="application/vnd.openxmlformats-officedocument.drawingml.chart+xml"/>
  <Override PartName="/xl/drawings/drawing94.xml" ContentType="application/vnd.openxmlformats-officedocument.drawing+xml"/>
  <Override PartName="/xl/ctrlProps/ctrlProp600.xml" ContentType="application/vnd.ms-excel.controlproperties+xml"/>
  <Override PartName="/xl/ctrlProps/ctrlProp601.xml" ContentType="application/vnd.ms-excel.controlproperties+xml"/>
  <Override PartName="/xl/ctrlProps/ctrlProp602.xml" ContentType="application/vnd.ms-excel.controlproperties+xml"/>
  <Override PartName="/xl/ctrlProps/ctrlProp603.xml" ContentType="application/vnd.ms-excel.controlproperties+xml"/>
  <Override PartName="/xl/ctrlProps/ctrlProp604.xml" ContentType="application/vnd.ms-excel.controlproperties+xml"/>
  <Override PartName="/xl/ctrlProps/ctrlProp605.xml" ContentType="application/vnd.ms-excel.controlproperties+xml"/>
  <Override PartName="/xl/ctrlProps/ctrlProp606.xml" ContentType="application/vnd.ms-excel.controlproperties+xml"/>
  <Override PartName="/xl/ctrlProps/ctrlProp607.xml" ContentType="application/vnd.ms-excel.controlproperties+xml"/>
  <Override PartName="/xl/ctrlProps/ctrlProp608.xml" ContentType="application/vnd.ms-excel.controlproperties+xml"/>
  <Override PartName="/xl/ctrlProps/ctrlProp609.xml" ContentType="application/vnd.ms-excel.controlproperties+xml"/>
  <Override PartName="/xl/ctrlProps/ctrlProp610.xml" ContentType="application/vnd.ms-excel.controlproperties+xml"/>
  <Override PartName="/xl/ctrlProps/ctrlProp611.xml" ContentType="application/vnd.ms-excel.controlproperties+xml"/>
  <Override PartName="/xl/ctrlProps/ctrlProp612.xml" ContentType="application/vnd.ms-excel.controlproperties+xml"/>
  <Override PartName="/xl/ctrlProps/ctrlProp613.xml" ContentType="application/vnd.ms-excel.controlproperties+xml"/>
  <Override PartName="/xl/ctrlProps/ctrlProp614.xml" ContentType="application/vnd.ms-excel.controlproperties+xml"/>
  <Override PartName="/xl/ctrlProps/ctrlProp615.xml" ContentType="application/vnd.ms-excel.controlproperties+xml"/>
  <Override PartName="/xl/ctrlProps/ctrlProp616.xml" ContentType="application/vnd.ms-excel.controlproperties+xml"/>
  <Override PartName="/xl/ctrlProps/ctrlProp617.xml" ContentType="application/vnd.ms-excel.controlproperties+xml"/>
  <Override PartName="/xl/ctrlProps/ctrlProp618.xml" ContentType="application/vnd.ms-excel.controlproperties+xml"/>
  <Override PartName="/xl/ctrlProps/ctrlProp619.xml" ContentType="application/vnd.ms-excel.controlproperties+xml"/>
  <Override PartName="/xl/charts/chart94.xml" ContentType="application/vnd.openxmlformats-officedocument.drawingml.chart+xml"/>
  <Override PartName="/xl/drawings/drawing95.xml" ContentType="application/vnd.openxmlformats-officedocument.drawingml.chartshapes+xml"/>
  <Override PartName="/xl/charts/chart95.xml" ContentType="application/vnd.openxmlformats-officedocument.drawingml.chart+xml"/>
  <Override PartName="/xl/drawings/drawing96.xml" ContentType="application/vnd.openxmlformats-officedocument.drawingml.chartshapes+xml"/>
  <Override PartName="/xl/charts/chart96.xml" ContentType="application/vnd.openxmlformats-officedocument.drawingml.chart+xml"/>
  <Override PartName="/xl/drawings/drawing97.xml" ContentType="application/vnd.openxmlformats-officedocument.drawing+xml"/>
  <Override PartName="/xl/ctrlProps/ctrlProp620.xml" ContentType="application/vnd.ms-excel.controlproperties+xml"/>
  <Override PartName="/xl/ctrlProps/ctrlProp621.xml" ContentType="application/vnd.ms-excel.controlproperties+xml"/>
  <Override PartName="/xl/ctrlProps/ctrlProp622.xml" ContentType="application/vnd.ms-excel.controlproperties+xml"/>
  <Override PartName="/xl/ctrlProps/ctrlProp623.xml" ContentType="application/vnd.ms-excel.controlproperties+xml"/>
  <Override PartName="/xl/ctrlProps/ctrlProp624.xml" ContentType="application/vnd.ms-excel.controlproperties+xml"/>
  <Override PartName="/xl/ctrlProps/ctrlProp625.xml" ContentType="application/vnd.ms-excel.controlproperties+xml"/>
  <Override PartName="/xl/ctrlProps/ctrlProp626.xml" ContentType="application/vnd.ms-excel.controlproperties+xml"/>
  <Override PartName="/xl/ctrlProps/ctrlProp627.xml" ContentType="application/vnd.ms-excel.controlproperties+xml"/>
  <Override PartName="/xl/ctrlProps/ctrlProp628.xml" ContentType="application/vnd.ms-excel.controlproperties+xml"/>
  <Override PartName="/xl/ctrlProps/ctrlProp629.xml" ContentType="application/vnd.ms-excel.controlproperties+xml"/>
  <Override PartName="/xl/ctrlProps/ctrlProp630.xml" ContentType="application/vnd.ms-excel.controlproperties+xml"/>
  <Override PartName="/xl/ctrlProps/ctrlProp631.xml" ContentType="application/vnd.ms-excel.controlproperties+xml"/>
  <Override PartName="/xl/ctrlProps/ctrlProp632.xml" ContentType="application/vnd.ms-excel.controlproperties+xml"/>
  <Override PartName="/xl/ctrlProps/ctrlProp633.xml" ContentType="application/vnd.ms-excel.controlproperties+xml"/>
  <Override PartName="/xl/ctrlProps/ctrlProp634.xml" ContentType="application/vnd.ms-excel.controlproperties+xml"/>
  <Override PartName="/xl/ctrlProps/ctrlProp635.xml" ContentType="application/vnd.ms-excel.controlproperties+xml"/>
  <Override PartName="/xl/ctrlProps/ctrlProp636.xml" ContentType="application/vnd.ms-excel.controlproperties+xml"/>
  <Override PartName="/xl/ctrlProps/ctrlProp637.xml" ContentType="application/vnd.ms-excel.controlproperties+xml"/>
  <Override PartName="/xl/ctrlProps/ctrlProp638.xml" ContentType="application/vnd.ms-excel.controlproperties+xml"/>
  <Override PartName="/xl/ctrlProps/ctrlProp639.xml" ContentType="application/vnd.ms-excel.controlproperties+xml"/>
  <Override PartName="/xl/charts/chart97.xml" ContentType="application/vnd.openxmlformats-officedocument.drawingml.chart+xml"/>
  <Override PartName="/xl/drawings/drawing98.xml" ContentType="application/vnd.openxmlformats-officedocument.drawingml.chartshapes+xml"/>
  <Override PartName="/xl/charts/chart98.xml" ContentType="application/vnd.openxmlformats-officedocument.drawingml.chart+xml"/>
  <Override PartName="/xl/drawings/drawing99.xml" ContentType="application/vnd.openxmlformats-officedocument.drawingml.chartshapes+xml"/>
  <Override PartName="/xl/charts/chart99.xml" ContentType="application/vnd.openxmlformats-officedocument.drawingml.chart+xml"/>
  <Override PartName="/xl/drawings/drawing100.xml" ContentType="application/vnd.openxmlformats-officedocument.drawing+xml"/>
  <Override PartName="/xl/ctrlProps/ctrlProp640.xml" ContentType="application/vnd.ms-excel.controlproperties+xml"/>
  <Override PartName="/xl/ctrlProps/ctrlProp641.xml" ContentType="application/vnd.ms-excel.controlproperties+xml"/>
  <Override PartName="/xl/ctrlProps/ctrlProp642.xml" ContentType="application/vnd.ms-excel.controlproperties+xml"/>
  <Override PartName="/xl/ctrlProps/ctrlProp643.xml" ContentType="application/vnd.ms-excel.controlproperties+xml"/>
  <Override PartName="/xl/ctrlProps/ctrlProp644.xml" ContentType="application/vnd.ms-excel.controlproperties+xml"/>
  <Override PartName="/xl/ctrlProps/ctrlProp645.xml" ContentType="application/vnd.ms-excel.controlproperties+xml"/>
  <Override PartName="/xl/ctrlProps/ctrlProp646.xml" ContentType="application/vnd.ms-excel.controlproperties+xml"/>
  <Override PartName="/xl/ctrlProps/ctrlProp647.xml" ContentType="application/vnd.ms-excel.controlproperties+xml"/>
  <Override PartName="/xl/ctrlProps/ctrlProp648.xml" ContentType="application/vnd.ms-excel.controlproperties+xml"/>
  <Override PartName="/xl/ctrlProps/ctrlProp649.xml" ContentType="application/vnd.ms-excel.controlproperties+xml"/>
  <Override PartName="/xl/ctrlProps/ctrlProp650.xml" ContentType="application/vnd.ms-excel.controlproperties+xml"/>
  <Override PartName="/xl/ctrlProps/ctrlProp651.xml" ContentType="application/vnd.ms-excel.controlproperties+xml"/>
  <Override PartName="/xl/ctrlProps/ctrlProp652.xml" ContentType="application/vnd.ms-excel.controlproperties+xml"/>
  <Override PartName="/xl/ctrlProps/ctrlProp653.xml" ContentType="application/vnd.ms-excel.controlproperties+xml"/>
  <Override PartName="/xl/ctrlProps/ctrlProp654.xml" ContentType="application/vnd.ms-excel.controlproperties+xml"/>
  <Override PartName="/xl/ctrlProps/ctrlProp655.xml" ContentType="application/vnd.ms-excel.controlproperties+xml"/>
  <Override PartName="/xl/ctrlProps/ctrlProp656.xml" ContentType="application/vnd.ms-excel.controlproperties+xml"/>
  <Override PartName="/xl/ctrlProps/ctrlProp657.xml" ContentType="application/vnd.ms-excel.controlproperties+xml"/>
  <Override PartName="/xl/ctrlProps/ctrlProp658.xml" ContentType="application/vnd.ms-excel.controlproperties+xml"/>
  <Override PartName="/xl/ctrlProps/ctrlProp659.xml" ContentType="application/vnd.ms-excel.controlproperties+xml"/>
  <Override PartName="/xl/charts/chart100.xml" ContentType="application/vnd.openxmlformats-officedocument.drawingml.chart+xml"/>
  <Override PartName="/xl/drawings/drawing101.xml" ContentType="application/vnd.openxmlformats-officedocument.drawingml.chartshapes+xml"/>
  <Override PartName="/xl/charts/chart101.xml" ContentType="application/vnd.openxmlformats-officedocument.drawingml.chart+xml"/>
  <Override PartName="/xl/drawings/drawing102.xml" ContentType="application/vnd.openxmlformats-officedocument.drawingml.chartshapes+xml"/>
  <Override PartName="/xl/charts/chart102.xml" ContentType="application/vnd.openxmlformats-officedocument.drawingml.chart+xml"/>
  <Override PartName="/xl/drawings/drawing103.xml" ContentType="application/vnd.openxmlformats-officedocument.drawing+xml"/>
  <Override PartName="/xl/ctrlProps/ctrlProp660.xml" ContentType="application/vnd.ms-excel.controlproperties+xml"/>
  <Override PartName="/xl/ctrlProps/ctrlProp661.xml" ContentType="application/vnd.ms-excel.controlproperties+xml"/>
  <Override PartName="/xl/ctrlProps/ctrlProp662.xml" ContentType="application/vnd.ms-excel.controlproperties+xml"/>
  <Override PartName="/xl/ctrlProps/ctrlProp663.xml" ContentType="application/vnd.ms-excel.controlproperties+xml"/>
  <Override PartName="/xl/ctrlProps/ctrlProp664.xml" ContentType="application/vnd.ms-excel.controlproperties+xml"/>
  <Override PartName="/xl/ctrlProps/ctrlProp665.xml" ContentType="application/vnd.ms-excel.controlproperties+xml"/>
  <Override PartName="/xl/ctrlProps/ctrlProp666.xml" ContentType="application/vnd.ms-excel.controlproperties+xml"/>
  <Override PartName="/xl/ctrlProps/ctrlProp667.xml" ContentType="application/vnd.ms-excel.controlproperties+xml"/>
  <Override PartName="/xl/ctrlProps/ctrlProp668.xml" ContentType="application/vnd.ms-excel.controlproperties+xml"/>
  <Override PartName="/xl/charts/chart103.xml" ContentType="application/vnd.openxmlformats-officedocument.drawingml.chart+xml"/>
  <Override PartName="/xl/drawings/drawing104.xml" ContentType="application/vnd.openxmlformats-officedocument.drawingml.chartshapes+xml"/>
  <Override PartName="/xl/charts/chart104.xml" ContentType="application/vnd.openxmlformats-officedocument.drawingml.chart+xml"/>
  <Override PartName="/xl/drawings/drawing105.xml" ContentType="application/vnd.openxmlformats-officedocument.drawingml.chartshapes+xml"/>
  <Override PartName="/xl/charts/chart105.xml" ContentType="application/vnd.openxmlformats-officedocument.drawingml.chart+xml"/>
  <Override PartName="/xl/drawings/drawing106.xml" ContentType="application/vnd.openxmlformats-officedocument.drawing+xml"/>
  <Override PartName="/xl/ctrlProps/ctrlProp669.xml" ContentType="application/vnd.ms-excel.controlproperties+xml"/>
  <Override PartName="/xl/ctrlProps/ctrlProp670.xml" ContentType="application/vnd.ms-excel.controlproperties+xml"/>
  <Override PartName="/xl/ctrlProps/ctrlProp671.xml" ContentType="application/vnd.ms-excel.controlproperties+xml"/>
  <Override PartName="/xl/ctrlProps/ctrlProp672.xml" ContentType="application/vnd.ms-excel.controlproperties+xml"/>
  <Override PartName="/xl/ctrlProps/ctrlProp673.xml" ContentType="application/vnd.ms-excel.controlproperties+xml"/>
  <Override PartName="/xl/ctrlProps/ctrlProp674.xml" ContentType="application/vnd.ms-excel.controlproperties+xml"/>
  <Override PartName="/xl/ctrlProps/ctrlProp675.xml" ContentType="application/vnd.ms-excel.controlproperties+xml"/>
  <Override PartName="/xl/ctrlProps/ctrlProp676.xml" ContentType="application/vnd.ms-excel.controlproperties+xml"/>
  <Override PartName="/xl/ctrlProps/ctrlProp677.xml" ContentType="application/vnd.ms-excel.controlproperties+xml"/>
  <Override PartName="/xl/ctrlProps/ctrlProp678.xml" ContentType="application/vnd.ms-excel.controlproperties+xml"/>
  <Override PartName="/xl/ctrlProps/ctrlProp679.xml" ContentType="application/vnd.ms-excel.controlproperties+xml"/>
  <Override PartName="/xl/ctrlProps/ctrlProp680.xml" ContentType="application/vnd.ms-excel.controlproperties+xml"/>
  <Override PartName="/xl/ctrlProps/ctrlProp681.xml" ContentType="application/vnd.ms-excel.controlproperties+xml"/>
  <Override PartName="/xl/ctrlProps/ctrlProp682.xml" ContentType="application/vnd.ms-excel.controlproperties+xml"/>
  <Override PartName="/xl/ctrlProps/ctrlProp683.xml" ContentType="application/vnd.ms-excel.controlproperties+xml"/>
  <Override PartName="/xl/ctrlProps/ctrlProp684.xml" ContentType="application/vnd.ms-excel.controlproperties+xml"/>
  <Override PartName="/xl/ctrlProps/ctrlProp685.xml" ContentType="application/vnd.ms-excel.controlproperties+xml"/>
  <Override PartName="/xl/ctrlProps/ctrlProp686.xml" ContentType="application/vnd.ms-excel.controlproperties+xml"/>
  <Override PartName="/xl/ctrlProps/ctrlProp687.xml" ContentType="application/vnd.ms-excel.controlproperties+xml"/>
  <Override PartName="/xl/ctrlProps/ctrlProp688.xml" ContentType="application/vnd.ms-excel.controlproperties+xml"/>
  <Override PartName="/xl/charts/chart106.xml" ContentType="application/vnd.openxmlformats-officedocument.drawingml.chart+xml"/>
  <Override PartName="/xl/drawings/drawing107.xml" ContentType="application/vnd.openxmlformats-officedocument.drawingml.chartshapes+xml"/>
  <Override PartName="/xl/charts/chart107.xml" ContentType="application/vnd.openxmlformats-officedocument.drawingml.chart+xml"/>
  <Override PartName="/xl/drawings/drawing108.xml" ContentType="application/vnd.openxmlformats-officedocument.drawingml.chartshapes+xml"/>
  <Override PartName="/xl/charts/chart108.xml" ContentType="application/vnd.openxmlformats-officedocument.drawingml.chart+xml"/>
  <Override PartName="/xl/drawings/drawing109.xml" ContentType="application/vnd.openxmlformats-officedocument.drawing+xml"/>
  <Override PartName="/xl/charts/chart109.xml" ContentType="application/vnd.openxmlformats-officedocument.drawingml.chart+xml"/>
  <Override PartName="/xl/drawings/drawing110.xml" ContentType="application/vnd.openxmlformats-officedocument.drawing+xml"/>
  <Override PartName="/xl/charts/chart110.xml" ContentType="application/vnd.openxmlformats-officedocument.drawingml.chart+xml"/>
  <Override PartName="/xl/drawings/drawing111.xml" ContentType="application/vnd.openxmlformats-officedocument.drawing+xml"/>
  <Override PartName="/xl/charts/chart111.xml" ContentType="application/vnd.openxmlformats-officedocument.drawingml.chart+xml"/>
  <Override PartName="/xl/drawings/drawing112.xml" ContentType="application/vnd.openxmlformats-officedocument.drawing+xml"/>
  <Override PartName="/xl/charts/chart112.xml" ContentType="application/vnd.openxmlformats-officedocument.drawingml.chart+xml"/>
  <Override PartName="/xl/drawings/drawing113.xml" ContentType="application/vnd.openxmlformats-officedocument.drawing+xml"/>
  <Override PartName="/xl/charts/chart113.xml" ContentType="application/vnd.openxmlformats-officedocument.drawingml.chart+xml"/>
  <Override PartName="/xl/drawings/drawing114.xml" ContentType="application/vnd.openxmlformats-officedocument.drawing+xml"/>
  <Override PartName="/xl/charts/chart114.xml" ContentType="application/vnd.openxmlformats-officedocument.drawingml.chart+xml"/>
  <Override PartName="/xl/drawings/drawing115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1500" yWindow="2595" windowWidth="9525" windowHeight="5070" tabRatio="596" firstSheet="36" activeTab="42"/>
  </bookViews>
  <sheets>
    <sheet name="Ohje" sheetId="11" r:id="rId1"/>
    <sheet name="N1" sheetId="1" r:id="rId2"/>
    <sheet name="N2" sheetId="12" r:id="rId3"/>
    <sheet name="N3" sheetId="15" r:id="rId4"/>
    <sheet name="N4" sheetId="18" r:id="rId5"/>
    <sheet name="N5" sheetId="19" r:id="rId6"/>
    <sheet name="N6" sheetId="24" r:id="rId7"/>
    <sheet name="N7" sheetId="27" r:id="rId8"/>
    <sheet name="N8" sheetId="28" r:id="rId9"/>
    <sheet name="N9" sheetId="29" r:id="rId10"/>
    <sheet name="N10" sheetId="30" r:id="rId11"/>
    <sheet name="N11" sheetId="31" r:id="rId12"/>
    <sheet name="N12" sheetId="32" r:id="rId13"/>
    <sheet name="K1" sheetId="9" r:id="rId14"/>
    <sheet name="K2" sheetId="13" r:id="rId15"/>
    <sheet name="K3" sheetId="16" r:id="rId16"/>
    <sheet name="K4" sheetId="20" r:id="rId17"/>
    <sheet name="K5" sheetId="21" r:id="rId18"/>
    <sheet name="K6" sheetId="33" r:id="rId19"/>
    <sheet name="K7" sheetId="34" r:id="rId20"/>
    <sheet name="K8" sheetId="35" r:id="rId21"/>
    <sheet name="K9" sheetId="36" r:id="rId22"/>
    <sheet name="K10" sheetId="37" r:id="rId23"/>
    <sheet name="K11" sheetId="38" r:id="rId24"/>
    <sheet name="K12" sheetId="39" r:id="rId25"/>
    <sheet name="Yht1" sheetId="10" r:id="rId26"/>
    <sheet name="Yht2" sheetId="14" r:id="rId27"/>
    <sheet name="Yht3" sheetId="17" r:id="rId28"/>
    <sheet name="Yht4" sheetId="22" r:id="rId29"/>
    <sheet name="Yht5" sheetId="23" r:id="rId30"/>
    <sheet name="Yht6" sheetId="40" r:id="rId31"/>
    <sheet name="Yht7" sheetId="41" r:id="rId32"/>
    <sheet name="Yht8" sheetId="42" r:id="rId33"/>
    <sheet name="Yht9" sheetId="43" r:id="rId34"/>
    <sheet name="Yht10" sheetId="44" r:id="rId35"/>
    <sheet name="Yht11" sheetId="45" r:id="rId36"/>
    <sheet name="Yht12" sheetId="46" r:id="rId37"/>
    <sheet name="Kalenteri" sheetId="2" r:id="rId38"/>
    <sheet name="Kalent_pohja_norm" sheetId="53" r:id="rId39"/>
    <sheet name="Kalent_pohja_kark" sheetId="54" r:id="rId40"/>
    <sheet name="Edellisvuosi" sheetId="5" r:id="rId41"/>
    <sheet name="Yhteenveto" sheetId="47" r:id="rId42"/>
    <sheet name="Graf.1" sheetId="48" r:id="rId43"/>
    <sheet name="Graf.2" sheetId="49" r:id="rId44"/>
    <sheet name="Graf. 3" sheetId="50" r:id="rId45"/>
    <sheet name="Graf. 4" sheetId="51" r:id="rId46"/>
    <sheet name="Graf.5" sheetId="52" r:id="rId47"/>
    <sheet name="Graf.6" sheetId="55" r:id="rId48"/>
  </sheets>
  <externalReferences>
    <externalReference r:id="rId49"/>
  </externalReferences>
  <definedNames>
    <definedName name="__123Graph_AA" localSheetId="13" hidden="1">'K1'!#REF!</definedName>
    <definedName name="__123Graph_AA" localSheetId="22" hidden="1">'K10'!#REF!</definedName>
    <definedName name="__123Graph_AA" localSheetId="23" hidden="1">'K11'!#REF!</definedName>
    <definedName name="__123Graph_AA" localSheetId="24" hidden="1">'K12'!#REF!</definedName>
    <definedName name="__123Graph_AA" localSheetId="14" hidden="1">'K2'!#REF!</definedName>
    <definedName name="__123Graph_AA" localSheetId="15" hidden="1">'K3'!#REF!</definedName>
    <definedName name="__123Graph_AA" localSheetId="16" hidden="1">'K4'!#REF!</definedName>
    <definedName name="__123Graph_AA" localSheetId="17" hidden="1">'K5'!#REF!</definedName>
    <definedName name="__123Graph_AA" localSheetId="18" hidden="1">'K6'!#REF!</definedName>
    <definedName name="__123Graph_AA" localSheetId="19" hidden="1">'K7'!#REF!</definedName>
    <definedName name="__123Graph_AA" localSheetId="20" hidden="1">'K8'!#REF!</definedName>
    <definedName name="__123Graph_AA" localSheetId="21" hidden="1">'K9'!#REF!</definedName>
    <definedName name="__123Graph_AA" localSheetId="1" hidden="1">'N1'!#REF!</definedName>
    <definedName name="__123Graph_AA" localSheetId="10" hidden="1">'N10'!#REF!</definedName>
    <definedName name="__123Graph_AA" localSheetId="11" hidden="1">'N11'!#REF!</definedName>
    <definedName name="__123Graph_AA" localSheetId="12" hidden="1">'N12'!#REF!</definedName>
    <definedName name="__123Graph_AA" localSheetId="2" hidden="1">'N2'!#REF!</definedName>
    <definedName name="__123Graph_AA" localSheetId="3" hidden="1">'N3'!#REF!</definedName>
    <definedName name="__123Graph_AA" localSheetId="4" hidden="1">'N4'!#REF!</definedName>
    <definedName name="__123Graph_AA" localSheetId="5" hidden="1">'N5'!#REF!</definedName>
    <definedName name="__123Graph_AA" localSheetId="6" hidden="1">'N6'!#REF!</definedName>
    <definedName name="__123Graph_AA" localSheetId="7" hidden="1">'N7'!#REF!</definedName>
    <definedName name="__123Graph_AA" localSheetId="8" hidden="1">'N8'!#REF!</definedName>
    <definedName name="__123Graph_AA" localSheetId="9" hidden="1">'N9'!#REF!</definedName>
    <definedName name="__123Graph_AA" localSheetId="25" hidden="1">Yht1!#REF!</definedName>
    <definedName name="__123Graph_AA" localSheetId="34" hidden="1">Yht10!#REF!</definedName>
    <definedName name="__123Graph_AA" localSheetId="35" hidden="1">Yht11!#REF!</definedName>
    <definedName name="__123Graph_AA" localSheetId="36" hidden="1">Yht12!#REF!</definedName>
    <definedName name="__123Graph_AA" localSheetId="26" hidden="1">Yht2!#REF!</definedName>
    <definedName name="__123Graph_AA" localSheetId="27" hidden="1">Yht3!#REF!</definedName>
    <definedName name="__123Graph_AA" localSheetId="28" hidden="1">Yht4!#REF!</definedName>
    <definedName name="__123Graph_AA" localSheetId="29" hidden="1">Yht5!#REF!</definedName>
    <definedName name="__123Graph_AA" localSheetId="30" hidden="1">Yht6!#REF!</definedName>
    <definedName name="__123Graph_AA" localSheetId="31" hidden="1">Yht7!#REF!</definedName>
    <definedName name="__123Graph_AA" localSheetId="32" hidden="1">Yht8!#REF!</definedName>
    <definedName name="__123Graph_AA" localSheetId="33" hidden="1">Yht9!#REF!</definedName>
    <definedName name="__123Graph_AAA" localSheetId="13" hidden="1">'K1'!#REF!</definedName>
    <definedName name="__123Graph_AAA" localSheetId="22" hidden="1">'K10'!#REF!</definedName>
    <definedName name="__123Graph_AAA" localSheetId="23" hidden="1">'K11'!#REF!</definedName>
    <definedName name="__123Graph_AAA" localSheetId="24" hidden="1">'K12'!#REF!</definedName>
    <definedName name="__123Graph_AAA" localSheetId="14" hidden="1">'K2'!#REF!</definedName>
    <definedName name="__123Graph_AAA" localSheetId="15" hidden="1">'K3'!#REF!</definedName>
    <definedName name="__123Graph_AAA" localSheetId="16" hidden="1">'K4'!#REF!</definedName>
    <definedName name="__123Graph_AAA" localSheetId="17" hidden="1">'K5'!#REF!</definedName>
    <definedName name="__123Graph_AAA" localSheetId="18" hidden="1">'K6'!#REF!</definedName>
    <definedName name="__123Graph_AAA" localSheetId="19" hidden="1">'K7'!#REF!</definedName>
    <definedName name="__123Graph_AAA" localSheetId="20" hidden="1">'K8'!#REF!</definedName>
    <definedName name="__123Graph_AAA" localSheetId="21" hidden="1">'K9'!#REF!</definedName>
    <definedName name="__123Graph_AAA" localSheetId="1" hidden="1">'N1'!#REF!</definedName>
    <definedName name="__123Graph_AAA" localSheetId="10" hidden="1">'N10'!#REF!</definedName>
    <definedName name="__123Graph_AAA" localSheetId="11" hidden="1">'N11'!#REF!</definedName>
    <definedName name="__123Graph_AAA" localSheetId="12" hidden="1">'N12'!#REF!</definedName>
    <definedName name="__123Graph_AAA" localSheetId="2" hidden="1">'N2'!#REF!</definedName>
    <definedName name="__123Graph_AAA" localSheetId="3" hidden="1">'N3'!#REF!</definedName>
    <definedName name="__123Graph_AAA" localSheetId="4" hidden="1">'N4'!#REF!</definedName>
    <definedName name="__123Graph_AAA" localSheetId="5" hidden="1">'N5'!#REF!</definedName>
    <definedName name="__123Graph_AAA" localSheetId="6" hidden="1">'N6'!#REF!</definedName>
    <definedName name="__123Graph_AAA" localSheetId="7" hidden="1">'N7'!#REF!</definedName>
    <definedName name="__123Graph_AAA" localSheetId="8" hidden="1">'N8'!#REF!</definedName>
    <definedName name="__123Graph_AAA" localSheetId="9" hidden="1">'N9'!#REF!</definedName>
    <definedName name="__123Graph_AAA" localSheetId="25" hidden="1">Yht1!#REF!</definedName>
    <definedName name="__123Graph_AAA" localSheetId="34" hidden="1">Yht10!#REF!</definedName>
    <definedName name="__123Graph_AAA" localSheetId="35" hidden="1">Yht11!#REF!</definedName>
    <definedName name="__123Graph_AAA" localSheetId="36" hidden="1">Yht12!#REF!</definedName>
    <definedName name="__123Graph_AAA" localSheetId="26" hidden="1">Yht2!#REF!</definedName>
    <definedName name="__123Graph_AAA" localSheetId="27" hidden="1">Yht3!#REF!</definedName>
    <definedName name="__123Graph_AAA" localSheetId="28" hidden="1">Yht4!#REF!</definedName>
    <definedName name="__123Graph_AAA" localSheetId="29" hidden="1">Yht5!#REF!</definedName>
    <definedName name="__123Graph_AAA" localSheetId="30" hidden="1">Yht6!#REF!</definedName>
    <definedName name="__123Graph_AAA" localSheetId="31" hidden="1">Yht7!#REF!</definedName>
    <definedName name="__123Graph_AAA" localSheetId="32" hidden="1">Yht8!#REF!</definedName>
    <definedName name="__123Graph_AAA" localSheetId="33" hidden="1">Yht9!#REF!</definedName>
    <definedName name="__123Graph_AB" localSheetId="13" hidden="1">'K1'!#REF!</definedName>
    <definedName name="__123Graph_AB" localSheetId="22" hidden="1">'K10'!#REF!</definedName>
    <definedName name="__123Graph_AB" localSheetId="23" hidden="1">'K11'!#REF!</definedName>
    <definedName name="__123Graph_AB" localSheetId="24" hidden="1">'K12'!#REF!</definedName>
    <definedName name="__123Graph_AB" localSheetId="14" hidden="1">'K2'!#REF!</definedName>
    <definedName name="__123Graph_AB" localSheetId="15" hidden="1">'K3'!#REF!</definedName>
    <definedName name="__123Graph_AB" localSheetId="16" hidden="1">'K4'!#REF!</definedName>
    <definedName name="__123Graph_AB" localSheetId="17" hidden="1">'K5'!#REF!</definedName>
    <definedName name="__123Graph_AB" localSheetId="18" hidden="1">'K6'!#REF!</definedName>
    <definedName name="__123Graph_AB" localSheetId="19" hidden="1">'K7'!#REF!</definedName>
    <definedName name="__123Graph_AB" localSheetId="20" hidden="1">'K8'!#REF!</definedName>
    <definedName name="__123Graph_AB" localSheetId="21" hidden="1">'K9'!#REF!</definedName>
    <definedName name="__123Graph_AB" localSheetId="1" hidden="1">'N1'!#REF!</definedName>
    <definedName name="__123Graph_AB" localSheetId="10" hidden="1">'N10'!#REF!</definedName>
    <definedName name="__123Graph_AB" localSheetId="11" hidden="1">'N11'!#REF!</definedName>
    <definedName name="__123Graph_AB" localSheetId="12" hidden="1">'N12'!#REF!</definedName>
    <definedName name="__123Graph_AB" localSheetId="2" hidden="1">'N2'!#REF!</definedName>
    <definedName name="__123Graph_AB" localSheetId="3" hidden="1">'N3'!#REF!</definedName>
    <definedName name="__123Graph_AB" localSheetId="4" hidden="1">'N4'!#REF!</definedName>
    <definedName name="__123Graph_AB" localSheetId="5" hidden="1">'N5'!#REF!</definedName>
    <definedName name="__123Graph_AB" localSheetId="6" hidden="1">'N6'!#REF!</definedName>
    <definedName name="__123Graph_AB" localSheetId="7" hidden="1">'N7'!#REF!</definedName>
    <definedName name="__123Graph_AB" localSheetId="8" hidden="1">'N8'!#REF!</definedName>
    <definedName name="__123Graph_AB" localSheetId="9" hidden="1">'N9'!#REF!</definedName>
    <definedName name="__123Graph_AB" localSheetId="25" hidden="1">Yht1!#REF!</definedName>
    <definedName name="__123Graph_AB" localSheetId="34" hidden="1">Yht10!#REF!</definedName>
    <definedName name="__123Graph_AB" localSheetId="35" hidden="1">Yht11!#REF!</definedName>
    <definedName name="__123Graph_AB" localSheetId="36" hidden="1">Yht12!#REF!</definedName>
    <definedName name="__123Graph_AB" localSheetId="26" hidden="1">Yht2!#REF!</definedName>
    <definedName name="__123Graph_AB" localSheetId="27" hidden="1">Yht3!#REF!</definedName>
    <definedName name="__123Graph_AB" localSheetId="28" hidden="1">Yht4!#REF!</definedName>
    <definedName name="__123Graph_AB" localSheetId="29" hidden="1">Yht5!#REF!</definedName>
    <definedName name="__123Graph_AB" localSheetId="30" hidden="1">Yht6!#REF!</definedName>
    <definedName name="__123Graph_AB" localSheetId="31" hidden="1">Yht7!#REF!</definedName>
    <definedName name="__123Graph_AB" localSheetId="32" hidden="1">Yht8!#REF!</definedName>
    <definedName name="__123Graph_AB" localSheetId="33" hidden="1">Yht9!#REF!</definedName>
    <definedName name="__123Graph_AC" localSheetId="13" hidden="1">'K1'!#REF!</definedName>
    <definedName name="__123Graph_AC" localSheetId="22" hidden="1">'K10'!#REF!</definedName>
    <definedName name="__123Graph_AC" localSheetId="23" hidden="1">'K11'!#REF!</definedName>
    <definedName name="__123Graph_AC" localSheetId="24" hidden="1">'K12'!#REF!</definedName>
    <definedName name="__123Graph_AC" localSheetId="14" hidden="1">'K2'!#REF!</definedName>
    <definedName name="__123Graph_AC" localSheetId="15" hidden="1">'K3'!#REF!</definedName>
    <definedName name="__123Graph_AC" localSheetId="16" hidden="1">'K4'!#REF!</definedName>
    <definedName name="__123Graph_AC" localSheetId="17" hidden="1">'K5'!#REF!</definedName>
    <definedName name="__123Graph_AC" localSheetId="18" hidden="1">'K6'!#REF!</definedName>
    <definedName name="__123Graph_AC" localSheetId="19" hidden="1">'K7'!#REF!</definedName>
    <definedName name="__123Graph_AC" localSheetId="20" hidden="1">'K8'!#REF!</definedName>
    <definedName name="__123Graph_AC" localSheetId="21" hidden="1">'K9'!#REF!</definedName>
    <definedName name="__123Graph_AC" localSheetId="1" hidden="1">'N1'!#REF!</definedName>
    <definedName name="__123Graph_AC" localSheetId="10" hidden="1">'N10'!#REF!</definedName>
    <definedName name="__123Graph_AC" localSheetId="11" hidden="1">'N11'!#REF!</definedName>
    <definedName name="__123Graph_AC" localSheetId="12" hidden="1">'N12'!#REF!</definedName>
    <definedName name="__123Graph_AC" localSheetId="2" hidden="1">'N2'!#REF!</definedName>
    <definedName name="__123Graph_AC" localSheetId="3" hidden="1">'N3'!#REF!</definedName>
    <definedName name="__123Graph_AC" localSheetId="4" hidden="1">'N4'!#REF!</definedName>
    <definedName name="__123Graph_AC" localSheetId="5" hidden="1">'N5'!#REF!</definedName>
    <definedName name="__123Graph_AC" localSheetId="6" hidden="1">'N6'!#REF!</definedName>
    <definedName name="__123Graph_AC" localSheetId="7" hidden="1">'N7'!#REF!</definedName>
    <definedName name="__123Graph_AC" localSheetId="8" hidden="1">'N8'!#REF!</definedName>
    <definedName name="__123Graph_AC" localSheetId="9" hidden="1">'N9'!#REF!</definedName>
    <definedName name="__123Graph_AC" localSheetId="25" hidden="1">Yht1!#REF!</definedName>
    <definedName name="__123Graph_AC" localSheetId="34" hidden="1">Yht10!#REF!</definedName>
    <definedName name="__123Graph_AC" localSheetId="35" hidden="1">Yht11!#REF!</definedName>
    <definedName name="__123Graph_AC" localSheetId="36" hidden="1">Yht12!#REF!</definedName>
    <definedName name="__123Graph_AC" localSheetId="26" hidden="1">Yht2!#REF!</definedName>
    <definedName name="__123Graph_AC" localSheetId="27" hidden="1">Yht3!#REF!</definedName>
    <definedName name="__123Graph_AC" localSheetId="28" hidden="1">Yht4!#REF!</definedName>
    <definedName name="__123Graph_AC" localSheetId="29" hidden="1">Yht5!#REF!</definedName>
    <definedName name="__123Graph_AC" localSheetId="30" hidden="1">Yht6!#REF!</definedName>
    <definedName name="__123Graph_AC" localSheetId="31" hidden="1">Yht7!#REF!</definedName>
    <definedName name="__123Graph_AC" localSheetId="32" hidden="1">Yht8!#REF!</definedName>
    <definedName name="__123Graph_AC" localSheetId="33" hidden="1">Yht9!#REF!</definedName>
    <definedName name="__123Graph_AD" localSheetId="13" hidden="1">'K1'!#REF!</definedName>
    <definedName name="__123Graph_AD" localSheetId="22" hidden="1">'K10'!#REF!</definedName>
    <definedName name="__123Graph_AD" localSheetId="23" hidden="1">'K11'!#REF!</definedName>
    <definedName name="__123Graph_AD" localSheetId="24" hidden="1">'K12'!#REF!</definedName>
    <definedName name="__123Graph_AD" localSheetId="14" hidden="1">'K2'!#REF!</definedName>
    <definedName name="__123Graph_AD" localSheetId="15" hidden="1">'K3'!#REF!</definedName>
    <definedName name="__123Graph_AD" localSheetId="16" hidden="1">'K4'!#REF!</definedName>
    <definedName name="__123Graph_AD" localSheetId="17" hidden="1">'K5'!#REF!</definedName>
    <definedName name="__123Graph_AD" localSheetId="18" hidden="1">'K6'!#REF!</definedName>
    <definedName name="__123Graph_AD" localSheetId="19" hidden="1">'K7'!#REF!</definedName>
    <definedName name="__123Graph_AD" localSheetId="20" hidden="1">'K8'!#REF!</definedName>
    <definedName name="__123Graph_AD" localSheetId="21" hidden="1">'K9'!#REF!</definedName>
    <definedName name="__123Graph_AD" localSheetId="1" hidden="1">'N1'!#REF!</definedName>
    <definedName name="__123Graph_AD" localSheetId="10" hidden="1">'N10'!#REF!</definedName>
    <definedName name="__123Graph_AD" localSheetId="11" hidden="1">'N11'!#REF!</definedName>
    <definedName name="__123Graph_AD" localSheetId="12" hidden="1">'N12'!#REF!</definedName>
    <definedName name="__123Graph_AD" localSheetId="2" hidden="1">'N2'!#REF!</definedName>
    <definedName name="__123Graph_AD" localSheetId="3" hidden="1">'N3'!#REF!</definedName>
    <definedName name="__123Graph_AD" localSheetId="4" hidden="1">'N4'!#REF!</definedName>
    <definedName name="__123Graph_AD" localSheetId="5" hidden="1">'N5'!#REF!</definedName>
    <definedName name="__123Graph_AD" localSheetId="6" hidden="1">'N6'!#REF!</definedName>
    <definedName name="__123Graph_AD" localSheetId="7" hidden="1">'N7'!#REF!</definedName>
    <definedName name="__123Graph_AD" localSheetId="8" hidden="1">'N8'!#REF!</definedName>
    <definedName name="__123Graph_AD" localSheetId="9" hidden="1">'N9'!#REF!</definedName>
    <definedName name="__123Graph_AD" localSheetId="25" hidden="1">Yht1!#REF!</definedName>
    <definedName name="__123Graph_AD" localSheetId="34" hidden="1">Yht10!#REF!</definedName>
    <definedName name="__123Graph_AD" localSheetId="35" hidden="1">Yht11!#REF!</definedName>
    <definedName name="__123Graph_AD" localSheetId="36" hidden="1">Yht12!#REF!</definedName>
    <definedName name="__123Graph_AD" localSheetId="26" hidden="1">Yht2!#REF!</definedName>
    <definedName name="__123Graph_AD" localSheetId="27" hidden="1">Yht3!#REF!</definedName>
    <definedName name="__123Graph_AD" localSheetId="28" hidden="1">Yht4!#REF!</definedName>
    <definedName name="__123Graph_AD" localSheetId="29" hidden="1">Yht5!#REF!</definedName>
    <definedName name="__123Graph_AD" localSheetId="30" hidden="1">Yht6!#REF!</definedName>
    <definedName name="__123Graph_AD" localSheetId="31" hidden="1">Yht7!#REF!</definedName>
    <definedName name="__123Graph_AD" localSheetId="32" hidden="1">Yht8!#REF!</definedName>
    <definedName name="__123Graph_AD" localSheetId="33" hidden="1">Yht9!#REF!</definedName>
    <definedName name="__123Graph_AE" localSheetId="13" hidden="1">'K1'!#REF!</definedName>
    <definedName name="__123Graph_AE" localSheetId="22" hidden="1">'K10'!#REF!</definedName>
    <definedName name="__123Graph_AE" localSheetId="23" hidden="1">'K11'!#REF!</definedName>
    <definedName name="__123Graph_AE" localSheetId="24" hidden="1">'K12'!#REF!</definedName>
    <definedName name="__123Graph_AE" localSheetId="14" hidden="1">'K2'!#REF!</definedName>
    <definedName name="__123Graph_AE" localSheetId="15" hidden="1">'K3'!#REF!</definedName>
    <definedName name="__123Graph_AE" localSheetId="16" hidden="1">'K4'!#REF!</definedName>
    <definedName name="__123Graph_AE" localSheetId="17" hidden="1">'K5'!#REF!</definedName>
    <definedName name="__123Graph_AE" localSheetId="18" hidden="1">'K6'!#REF!</definedName>
    <definedName name="__123Graph_AE" localSheetId="19" hidden="1">'K7'!#REF!</definedName>
    <definedName name="__123Graph_AE" localSheetId="20" hidden="1">'K8'!#REF!</definedName>
    <definedName name="__123Graph_AE" localSheetId="21" hidden="1">'K9'!#REF!</definedName>
    <definedName name="__123Graph_AE" localSheetId="1" hidden="1">'N1'!#REF!</definedName>
    <definedName name="__123Graph_AE" localSheetId="10" hidden="1">'N10'!#REF!</definedName>
    <definedName name="__123Graph_AE" localSheetId="11" hidden="1">'N11'!#REF!</definedName>
    <definedName name="__123Graph_AE" localSheetId="12" hidden="1">'N12'!#REF!</definedName>
    <definedName name="__123Graph_AE" localSheetId="2" hidden="1">'N2'!#REF!</definedName>
    <definedName name="__123Graph_AE" localSheetId="3" hidden="1">'N3'!#REF!</definedName>
    <definedName name="__123Graph_AE" localSheetId="4" hidden="1">'N4'!#REF!</definedName>
    <definedName name="__123Graph_AE" localSheetId="5" hidden="1">'N5'!#REF!</definedName>
    <definedName name="__123Graph_AE" localSheetId="6" hidden="1">'N6'!#REF!</definedName>
    <definedName name="__123Graph_AE" localSheetId="7" hidden="1">'N7'!#REF!</definedName>
    <definedName name="__123Graph_AE" localSheetId="8" hidden="1">'N8'!#REF!</definedName>
    <definedName name="__123Graph_AE" localSheetId="9" hidden="1">'N9'!#REF!</definedName>
    <definedName name="__123Graph_AE" localSheetId="25" hidden="1">Yht1!#REF!</definedName>
    <definedName name="__123Graph_AE" localSheetId="34" hidden="1">Yht10!#REF!</definedName>
    <definedName name="__123Graph_AE" localSheetId="35" hidden="1">Yht11!#REF!</definedName>
    <definedName name="__123Graph_AE" localSheetId="36" hidden="1">Yht12!#REF!</definedName>
    <definedName name="__123Graph_AE" localSheetId="26" hidden="1">Yht2!#REF!</definedName>
    <definedName name="__123Graph_AE" localSheetId="27" hidden="1">Yht3!#REF!</definedName>
    <definedName name="__123Graph_AE" localSheetId="28" hidden="1">Yht4!#REF!</definedName>
    <definedName name="__123Graph_AE" localSheetId="29" hidden="1">Yht5!#REF!</definedName>
    <definedName name="__123Graph_AE" localSheetId="30" hidden="1">Yht6!#REF!</definedName>
    <definedName name="__123Graph_AE" localSheetId="31" hidden="1">Yht7!#REF!</definedName>
    <definedName name="__123Graph_AE" localSheetId="32" hidden="1">Yht8!#REF!</definedName>
    <definedName name="__123Graph_AE" localSheetId="33" hidden="1">Yht9!#REF!</definedName>
    <definedName name="__123Graph_AMAIN" localSheetId="13" hidden="1">'K1'!#REF!</definedName>
    <definedName name="__123Graph_AMAIN" localSheetId="22" hidden="1">'K10'!#REF!</definedName>
    <definedName name="__123Graph_AMAIN" localSheetId="23" hidden="1">'K11'!#REF!</definedName>
    <definedName name="__123Graph_AMAIN" localSheetId="24" hidden="1">'K12'!#REF!</definedName>
    <definedName name="__123Graph_AMAIN" localSheetId="14" hidden="1">'K2'!#REF!</definedName>
    <definedName name="__123Graph_AMAIN" localSheetId="15" hidden="1">'K3'!#REF!</definedName>
    <definedName name="__123Graph_AMAIN" localSheetId="16" hidden="1">'K4'!#REF!</definedName>
    <definedName name="__123Graph_AMAIN" localSheetId="17" hidden="1">'K5'!#REF!</definedName>
    <definedName name="__123Graph_AMAIN" localSheetId="18" hidden="1">'K6'!#REF!</definedName>
    <definedName name="__123Graph_AMAIN" localSheetId="19" hidden="1">'K7'!#REF!</definedName>
    <definedName name="__123Graph_AMAIN" localSheetId="20" hidden="1">'K8'!#REF!</definedName>
    <definedName name="__123Graph_AMAIN" localSheetId="21" hidden="1">'K9'!#REF!</definedName>
    <definedName name="__123Graph_AMAIN" localSheetId="1" hidden="1">'N1'!#REF!</definedName>
    <definedName name="__123Graph_AMAIN" localSheetId="10" hidden="1">'N10'!#REF!</definedName>
    <definedName name="__123Graph_AMAIN" localSheetId="11" hidden="1">'N11'!#REF!</definedName>
    <definedName name="__123Graph_AMAIN" localSheetId="12" hidden="1">'N12'!#REF!</definedName>
    <definedName name="__123Graph_AMAIN" localSheetId="2" hidden="1">'N2'!#REF!</definedName>
    <definedName name="__123Graph_AMAIN" localSheetId="3" hidden="1">'N3'!#REF!</definedName>
    <definedName name="__123Graph_AMAIN" localSheetId="4" hidden="1">'N4'!#REF!</definedName>
    <definedName name="__123Graph_AMAIN" localSheetId="5" hidden="1">'N5'!#REF!</definedName>
    <definedName name="__123Graph_AMAIN" localSheetId="6" hidden="1">'N6'!#REF!</definedName>
    <definedName name="__123Graph_AMAIN" localSheetId="7" hidden="1">'N7'!#REF!</definedName>
    <definedName name="__123Graph_AMAIN" localSheetId="8" hidden="1">'N8'!#REF!</definedName>
    <definedName name="__123Graph_AMAIN" localSheetId="9" hidden="1">'N9'!#REF!</definedName>
    <definedName name="__123Graph_AMAIN" localSheetId="25" hidden="1">Yht1!#REF!</definedName>
    <definedName name="__123Graph_AMAIN" localSheetId="34" hidden="1">Yht10!#REF!</definedName>
    <definedName name="__123Graph_AMAIN" localSheetId="35" hidden="1">Yht11!#REF!</definedName>
    <definedName name="__123Graph_AMAIN" localSheetId="36" hidden="1">Yht12!#REF!</definedName>
    <definedName name="__123Graph_AMAIN" localSheetId="26" hidden="1">Yht2!#REF!</definedName>
    <definedName name="__123Graph_AMAIN" localSheetId="27" hidden="1">Yht3!#REF!</definedName>
    <definedName name="__123Graph_AMAIN" localSheetId="28" hidden="1">Yht4!#REF!</definedName>
    <definedName name="__123Graph_AMAIN" localSheetId="29" hidden="1">Yht5!#REF!</definedName>
    <definedName name="__123Graph_AMAIN" localSheetId="30" hidden="1">Yht6!#REF!</definedName>
    <definedName name="__123Graph_AMAIN" localSheetId="31" hidden="1">Yht7!#REF!</definedName>
    <definedName name="__123Graph_AMAIN" localSheetId="32" hidden="1">Yht8!#REF!</definedName>
    <definedName name="__123Graph_AMAIN" localSheetId="33" hidden="1">Yht9!#REF!</definedName>
    <definedName name="__123Graph_BB" localSheetId="13" hidden="1">'K1'!#REF!</definedName>
    <definedName name="__123Graph_BB" localSheetId="22" hidden="1">'K10'!#REF!</definedName>
    <definedName name="__123Graph_BB" localSheetId="23" hidden="1">'K11'!#REF!</definedName>
    <definedName name="__123Graph_BB" localSheetId="24" hidden="1">'K12'!#REF!</definedName>
    <definedName name="__123Graph_BB" localSheetId="14" hidden="1">'K2'!#REF!</definedName>
    <definedName name="__123Graph_BB" localSheetId="15" hidden="1">'K3'!#REF!</definedName>
    <definedName name="__123Graph_BB" localSheetId="16" hidden="1">'K4'!#REF!</definedName>
    <definedName name="__123Graph_BB" localSheetId="17" hidden="1">'K5'!#REF!</definedName>
    <definedName name="__123Graph_BB" localSheetId="18" hidden="1">'K6'!#REF!</definedName>
    <definedName name="__123Graph_BB" localSheetId="19" hidden="1">'K7'!#REF!</definedName>
    <definedName name="__123Graph_BB" localSheetId="20" hidden="1">'K8'!#REF!</definedName>
    <definedName name="__123Graph_BB" localSheetId="21" hidden="1">'K9'!#REF!</definedName>
    <definedName name="__123Graph_BB" localSheetId="1" hidden="1">'N1'!#REF!</definedName>
    <definedName name="__123Graph_BB" localSheetId="10" hidden="1">'N10'!#REF!</definedName>
    <definedName name="__123Graph_BB" localSheetId="11" hidden="1">'N11'!#REF!</definedName>
    <definedName name="__123Graph_BB" localSheetId="12" hidden="1">'N12'!#REF!</definedName>
    <definedName name="__123Graph_BB" localSheetId="2" hidden="1">'N2'!#REF!</definedName>
    <definedName name="__123Graph_BB" localSheetId="3" hidden="1">'N3'!#REF!</definedName>
    <definedName name="__123Graph_BB" localSheetId="4" hidden="1">'N4'!#REF!</definedName>
    <definedName name="__123Graph_BB" localSheetId="5" hidden="1">'N5'!#REF!</definedName>
    <definedName name="__123Graph_BB" localSheetId="6" hidden="1">'N6'!#REF!</definedName>
    <definedName name="__123Graph_BB" localSheetId="7" hidden="1">'N7'!#REF!</definedName>
    <definedName name="__123Graph_BB" localSheetId="8" hidden="1">'N8'!#REF!</definedName>
    <definedName name="__123Graph_BB" localSheetId="9" hidden="1">'N9'!#REF!</definedName>
    <definedName name="__123Graph_BB" localSheetId="25" hidden="1">Yht1!#REF!</definedName>
    <definedName name="__123Graph_BB" localSheetId="34" hidden="1">Yht10!#REF!</definedName>
    <definedName name="__123Graph_BB" localSheetId="35" hidden="1">Yht11!#REF!</definedName>
    <definedName name="__123Graph_BB" localSheetId="36" hidden="1">Yht12!#REF!</definedName>
    <definedName name="__123Graph_BB" localSheetId="26" hidden="1">Yht2!#REF!</definedName>
    <definedName name="__123Graph_BB" localSheetId="27" hidden="1">Yht3!#REF!</definedName>
    <definedName name="__123Graph_BB" localSheetId="28" hidden="1">Yht4!#REF!</definedName>
    <definedName name="__123Graph_BB" localSheetId="29" hidden="1">Yht5!#REF!</definedName>
    <definedName name="__123Graph_BB" localSheetId="30" hidden="1">Yht6!#REF!</definedName>
    <definedName name="__123Graph_BB" localSheetId="31" hidden="1">Yht7!#REF!</definedName>
    <definedName name="__123Graph_BB" localSheetId="32" hidden="1">Yht8!#REF!</definedName>
    <definedName name="__123Graph_BB" localSheetId="33" hidden="1">Yht9!#REF!</definedName>
    <definedName name="__123Graph_BC" localSheetId="13" hidden="1">'K1'!#REF!</definedName>
    <definedName name="__123Graph_BC" localSheetId="22" hidden="1">'K10'!#REF!</definedName>
    <definedName name="__123Graph_BC" localSheetId="23" hidden="1">'K11'!#REF!</definedName>
    <definedName name="__123Graph_BC" localSheetId="24" hidden="1">'K12'!#REF!</definedName>
    <definedName name="__123Graph_BC" localSheetId="14" hidden="1">'K2'!#REF!</definedName>
    <definedName name="__123Graph_BC" localSheetId="15" hidden="1">'K3'!#REF!</definedName>
    <definedName name="__123Graph_BC" localSheetId="16" hidden="1">'K4'!#REF!</definedName>
    <definedName name="__123Graph_BC" localSheetId="17" hidden="1">'K5'!#REF!</definedName>
    <definedName name="__123Graph_BC" localSheetId="18" hidden="1">'K6'!#REF!</definedName>
    <definedName name="__123Graph_BC" localSheetId="19" hidden="1">'K7'!#REF!</definedName>
    <definedName name="__123Graph_BC" localSheetId="20" hidden="1">'K8'!#REF!</definedName>
    <definedName name="__123Graph_BC" localSheetId="21" hidden="1">'K9'!#REF!</definedName>
    <definedName name="__123Graph_BC" localSheetId="1" hidden="1">'N1'!#REF!</definedName>
    <definedName name="__123Graph_BC" localSheetId="10" hidden="1">'N10'!#REF!</definedName>
    <definedName name="__123Graph_BC" localSheetId="11" hidden="1">'N11'!#REF!</definedName>
    <definedName name="__123Graph_BC" localSheetId="12" hidden="1">'N12'!#REF!</definedName>
    <definedName name="__123Graph_BC" localSheetId="2" hidden="1">'N2'!#REF!</definedName>
    <definedName name="__123Graph_BC" localSheetId="3" hidden="1">'N3'!#REF!</definedName>
    <definedName name="__123Graph_BC" localSheetId="4" hidden="1">'N4'!#REF!</definedName>
    <definedName name="__123Graph_BC" localSheetId="5" hidden="1">'N5'!#REF!</definedName>
    <definedName name="__123Graph_BC" localSheetId="6" hidden="1">'N6'!#REF!</definedName>
    <definedName name="__123Graph_BC" localSheetId="7" hidden="1">'N7'!#REF!</definedName>
    <definedName name="__123Graph_BC" localSheetId="8" hidden="1">'N8'!#REF!</definedName>
    <definedName name="__123Graph_BC" localSheetId="9" hidden="1">'N9'!#REF!</definedName>
    <definedName name="__123Graph_BC" localSheetId="25" hidden="1">Yht1!#REF!</definedName>
    <definedName name="__123Graph_BC" localSheetId="34" hidden="1">Yht10!#REF!</definedName>
    <definedName name="__123Graph_BC" localSheetId="35" hidden="1">Yht11!#REF!</definedName>
    <definedName name="__123Graph_BC" localSheetId="36" hidden="1">Yht12!#REF!</definedName>
    <definedName name="__123Graph_BC" localSheetId="26" hidden="1">Yht2!#REF!</definedName>
    <definedName name="__123Graph_BC" localSheetId="27" hidden="1">Yht3!#REF!</definedName>
    <definedName name="__123Graph_BC" localSheetId="28" hidden="1">Yht4!#REF!</definedName>
    <definedName name="__123Graph_BC" localSheetId="29" hidden="1">Yht5!#REF!</definedName>
    <definedName name="__123Graph_BC" localSheetId="30" hidden="1">Yht6!#REF!</definedName>
    <definedName name="__123Graph_BC" localSheetId="31" hidden="1">Yht7!#REF!</definedName>
    <definedName name="__123Graph_BC" localSheetId="32" hidden="1">Yht8!#REF!</definedName>
    <definedName name="__123Graph_BC" localSheetId="33" hidden="1">Yht9!#REF!</definedName>
    <definedName name="__123Graph_BD" localSheetId="13" hidden="1">'K1'!#REF!</definedName>
    <definedName name="__123Graph_BD" localSheetId="22" hidden="1">'K10'!#REF!</definedName>
    <definedName name="__123Graph_BD" localSheetId="23" hidden="1">'K11'!#REF!</definedName>
    <definedName name="__123Graph_BD" localSheetId="24" hidden="1">'K12'!#REF!</definedName>
    <definedName name="__123Graph_BD" localSheetId="14" hidden="1">'K2'!#REF!</definedName>
    <definedName name="__123Graph_BD" localSheetId="15" hidden="1">'K3'!#REF!</definedName>
    <definedName name="__123Graph_BD" localSheetId="16" hidden="1">'K4'!#REF!</definedName>
    <definedName name="__123Graph_BD" localSheetId="17" hidden="1">'K5'!#REF!</definedName>
    <definedName name="__123Graph_BD" localSheetId="18" hidden="1">'K6'!#REF!</definedName>
    <definedName name="__123Graph_BD" localSheetId="19" hidden="1">'K7'!#REF!</definedName>
    <definedName name="__123Graph_BD" localSheetId="20" hidden="1">'K8'!#REF!</definedName>
    <definedName name="__123Graph_BD" localSheetId="21" hidden="1">'K9'!#REF!</definedName>
    <definedName name="__123Graph_BD" localSheetId="1" hidden="1">'N1'!#REF!</definedName>
    <definedName name="__123Graph_BD" localSheetId="10" hidden="1">'N10'!#REF!</definedName>
    <definedName name="__123Graph_BD" localSheetId="11" hidden="1">'N11'!#REF!</definedName>
    <definedName name="__123Graph_BD" localSheetId="12" hidden="1">'N12'!#REF!</definedName>
    <definedName name="__123Graph_BD" localSheetId="2" hidden="1">'N2'!#REF!</definedName>
    <definedName name="__123Graph_BD" localSheetId="3" hidden="1">'N3'!#REF!</definedName>
    <definedName name="__123Graph_BD" localSheetId="4" hidden="1">'N4'!#REF!</definedName>
    <definedName name="__123Graph_BD" localSheetId="5" hidden="1">'N5'!#REF!</definedName>
    <definedName name="__123Graph_BD" localSheetId="6" hidden="1">'N6'!#REF!</definedName>
    <definedName name="__123Graph_BD" localSheetId="7" hidden="1">'N7'!#REF!</definedName>
    <definedName name="__123Graph_BD" localSheetId="8" hidden="1">'N8'!#REF!</definedName>
    <definedName name="__123Graph_BD" localSheetId="9" hidden="1">'N9'!#REF!</definedName>
    <definedName name="__123Graph_BD" localSheetId="25" hidden="1">Yht1!#REF!</definedName>
    <definedName name="__123Graph_BD" localSheetId="34" hidden="1">Yht10!#REF!</definedName>
    <definedName name="__123Graph_BD" localSheetId="35" hidden="1">Yht11!#REF!</definedName>
    <definedName name="__123Graph_BD" localSheetId="36" hidden="1">Yht12!#REF!</definedName>
    <definedName name="__123Graph_BD" localSheetId="26" hidden="1">Yht2!#REF!</definedName>
    <definedName name="__123Graph_BD" localSheetId="27" hidden="1">Yht3!#REF!</definedName>
    <definedName name="__123Graph_BD" localSheetId="28" hidden="1">Yht4!#REF!</definedName>
    <definedName name="__123Graph_BD" localSheetId="29" hidden="1">Yht5!#REF!</definedName>
    <definedName name="__123Graph_BD" localSheetId="30" hidden="1">Yht6!#REF!</definedName>
    <definedName name="__123Graph_BD" localSheetId="31" hidden="1">Yht7!#REF!</definedName>
    <definedName name="__123Graph_BD" localSheetId="32" hidden="1">Yht8!#REF!</definedName>
    <definedName name="__123Graph_BD" localSheetId="33" hidden="1">Yht9!#REF!</definedName>
    <definedName name="__123Graph_BE" localSheetId="13" hidden="1">'K1'!#REF!</definedName>
    <definedName name="__123Graph_BE" localSheetId="22" hidden="1">'K10'!#REF!</definedName>
    <definedName name="__123Graph_BE" localSheetId="23" hidden="1">'K11'!#REF!</definedName>
    <definedName name="__123Graph_BE" localSheetId="24" hidden="1">'K12'!#REF!</definedName>
    <definedName name="__123Graph_BE" localSheetId="14" hidden="1">'K2'!#REF!</definedName>
    <definedName name="__123Graph_BE" localSheetId="15" hidden="1">'K3'!#REF!</definedName>
    <definedName name="__123Graph_BE" localSheetId="16" hidden="1">'K4'!#REF!</definedName>
    <definedName name="__123Graph_BE" localSheetId="17" hidden="1">'K5'!#REF!</definedName>
    <definedName name="__123Graph_BE" localSheetId="18" hidden="1">'K6'!#REF!</definedName>
    <definedName name="__123Graph_BE" localSheetId="19" hidden="1">'K7'!#REF!</definedName>
    <definedName name="__123Graph_BE" localSheetId="20" hidden="1">'K8'!#REF!</definedName>
    <definedName name="__123Graph_BE" localSheetId="21" hidden="1">'K9'!#REF!</definedName>
    <definedName name="__123Graph_BE" localSheetId="1" hidden="1">'N1'!#REF!</definedName>
    <definedName name="__123Graph_BE" localSheetId="10" hidden="1">'N10'!#REF!</definedName>
    <definedName name="__123Graph_BE" localSheetId="11" hidden="1">'N11'!#REF!</definedName>
    <definedName name="__123Graph_BE" localSheetId="12" hidden="1">'N12'!#REF!</definedName>
    <definedName name="__123Graph_BE" localSheetId="2" hidden="1">'N2'!#REF!</definedName>
    <definedName name="__123Graph_BE" localSheetId="3" hidden="1">'N3'!#REF!</definedName>
    <definedName name="__123Graph_BE" localSheetId="4" hidden="1">'N4'!#REF!</definedName>
    <definedName name="__123Graph_BE" localSheetId="5" hidden="1">'N5'!#REF!</definedName>
    <definedName name="__123Graph_BE" localSheetId="6" hidden="1">'N6'!#REF!</definedName>
    <definedName name="__123Graph_BE" localSheetId="7" hidden="1">'N7'!#REF!</definedName>
    <definedName name="__123Graph_BE" localSheetId="8" hidden="1">'N8'!#REF!</definedName>
    <definedName name="__123Graph_BE" localSheetId="9" hidden="1">'N9'!#REF!</definedName>
    <definedName name="__123Graph_BE" localSheetId="25" hidden="1">Yht1!#REF!</definedName>
    <definedName name="__123Graph_BE" localSheetId="34" hidden="1">Yht10!#REF!</definedName>
    <definedName name="__123Graph_BE" localSheetId="35" hidden="1">Yht11!#REF!</definedName>
    <definedName name="__123Graph_BE" localSheetId="36" hidden="1">Yht12!#REF!</definedName>
    <definedName name="__123Graph_BE" localSheetId="26" hidden="1">Yht2!#REF!</definedName>
    <definedName name="__123Graph_BE" localSheetId="27" hidden="1">Yht3!#REF!</definedName>
    <definedName name="__123Graph_BE" localSheetId="28" hidden="1">Yht4!#REF!</definedName>
    <definedName name="__123Graph_BE" localSheetId="29" hidden="1">Yht5!#REF!</definedName>
    <definedName name="__123Graph_BE" localSheetId="30" hidden="1">Yht6!#REF!</definedName>
    <definedName name="__123Graph_BE" localSheetId="31" hidden="1">Yht7!#REF!</definedName>
    <definedName name="__123Graph_BE" localSheetId="32" hidden="1">Yht8!#REF!</definedName>
    <definedName name="__123Graph_BE" localSheetId="33" hidden="1">Yht9!#REF!</definedName>
    <definedName name="__123Graph_BMAIN" localSheetId="13" hidden="1">'K1'!#REF!</definedName>
    <definedName name="__123Graph_BMAIN" localSheetId="22" hidden="1">'K10'!#REF!</definedName>
    <definedName name="__123Graph_BMAIN" localSheetId="23" hidden="1">'K11'!#REF!</definedName>
    <definedName name="__123Graph_BMAIN" localSheetId="24" hidden="1">'K12'!#REF!</definedName>
    <definedName name="__123Graph_BMAIN" localSheetId="14" hidden="1">'K2'!#REF!</definedName>
    <definedName name="__123Graph_BMAIN" localSheetId="15" hidden="1">'K3'!#REF!</definedName>
    <definedName name="__123Graph_BMAIN" localSheetId="16" hidden="1">'K4'!#REF!</definedName>
    <definedName name="__123Graph_BMAIN" localSheetId="17" hidden="1">'K5'!#REF!</definedName>
    <definedName name="__123Graph_BMAIN" localSheetId="18" hidden="1">'K6'!#REF!</definedName>
    <definedName name="__123Graph_BMAIN" localSheetId="19" hidden="1">'K7'!#REF!</definedName>
    <definedName name="__123Graph_BMAIN" localSheetId="20" hidden="1">'K8'!#REF!</definedName>
    <definedName name="__123Graph_BMAIN" localSheetId="21" hidden="1">'K9'!#REF!</definedName>
    <definedName name="__123Graph_BMAIN" localSheetId="1" hidden="1">'N1'!#REF!</definedName>
    <definedName name="__123Graph_BMAIN" localSheetId="10" hidden="1">'N10'!#REF!</definedName>
    <definedName name="__123Graph_BMAIN" localSheetId="11" hidden="1">'N11'!#REF!</definedName>
    <definedName name="__123Graph_BMAIN" localSheetId="12" hidden="1">'N12'!#REF!</definedName>
    <definedName name="__123Graph_BMAIN" localSheetId="2" hidden="1">'N2'!#REF!</definedName>
    <definedName name="__123Graph_BMAIN" localSheetId="3" hidden="1">'N3'!#REF!</definedName>
    <definedName name="__123Graph_BMAIN" localSheetId="4" hidden="1">'N4'!#REF!</definedName>
    <definedName name="__123Graph_BMAIN" localSheetId="5" hidden="1">'N5'!#REF!</definedName>
    <definedName name="__123Graph_BMAIN" localSheetId="6" hidden="1">'N6'!#REF!</definedName>
    <definedName name="__123Graph_BMAIN" localSheetId="7" hidden="1">'N7'!#REF!</definedName>
    <definedName name="__123Graph_BMAIN" localSheetId="8" hidden="1">'N8'!#REF!</definedName>
    <definedName name="__123Graph_BMAIN" localSheetId="9" hidden="1">'N9'!#REF!</definedName>
    <definedName name="__123Graph_BMAIN" localSheetId="25" hidden="1">Yht1!#REF!</definedName>
    <definedName name="__123Graph_BMAIN" localSheetId="34" hidden="1">Yht10!#REF!</definedName>
    <definedName name="__123Graph_BMAIN" localSheetId="35" hidden="1">Yht11!#REF!</definedName>
    <definedName name="__123Graph_BMAIN" localSheetId="36" hidden="1">Yht12!#REF!</definedName>
    <definedName name="__123Graph_BMAIN" localSheetId="26" hidden="1">Yht2!#REF!</definedName>
    <definedName name="__123Graph_BMAIN" localSheetId="27" hidden="1">Yht3!#REF!</definedName>
    <definedName name="__123Graph_BMAIN" localSheetId="28" hidden="1">Yht4!#REF!</definedName>
    <definedName name="__123Graph_BMAIN" localSheetId="29" hidden="1">Yht5!#REF!</definedName>
    <definedName name="__123Graph_BMAIN" localSheetId="30" hidden="1">Yht6!#REF!</definedName>
    <definedName name="__123Graph_BMAIN" localSheetId="31" hidden="1">Yht7!#REF!</definedName>
    <definedName name="__123Graph_BMAIN" localSheetId="32" hidden="1">Yht8!#REF!</definedName>
    <definedName name="__123Graph_BMAIN" localSheetId="33" hidden="1">Yht9!#REF!</definedName>
    <definedName name="__123Graph_CB" localSheetId="13" hidden="1">'K1'!#REF!</definedName>
    <definedName name="__123Graph_CB" localSheetId="22" hidden="1">'K10'!#REF!</definedName>
    <definedName name="__123Graph_CB" localSheetId="23" hidden="1">'K11'!#REF!</definedName>
    <definedName name="__123Graph_CB" localSheetId="24" hidden="1">'K12'!#REF!</definedName>
    <definedName name="__123Graph_CB" localSheetId="14" hidden="1">'K2'!#REF!</definedName>
    <definedName name="__123Graph_CB" localSheetId="15" hidden="1">'K3'!#REF!</definedName>
    <definedName name="__123Graph_CB" localSheetId="16" hidden="1">'K4'!#REF!</definedName>
    <definedName name="__123Graph_CB" localSheetId="17" hidden="1">'K5'!#REF!</definedName>
    <definedName name="__123Graph_CB" localSheetId="18" hidden="1">'K6'!#REF!</definedName>
    <definedName name="__123Graph_CB" localSheetId="19" hidden="1">'K7'!#REF!</definedName>
    <definedName name="__123Graph_CB" localSheetId="20" hidden="1">'K8'!#REF!</definedName>
    <definedName name="__123Graph_CB" localSheetId="21" hidden="1">'K9'!#REF!</definedName>
    <definedName name="__123Graph_CB" localSheetId="1" hidden="1">'N1'!#REF!</definedName>
    <definedName name="__123Graph_CB" localSheetId="10" hidden="1">'N10'!#REF!</definedName>
    <definedName name="__123Graph_CB" localSheetId="11" hidden="1">'N11'!#REF!</definedName>
    <definedName name="__123Graph_CB" localSheetId="12" hidden="1">'N12'!#REF!</definedName>
    <definedName name="__123Graph_CB" localSheetId="2" hidden="1">'N2'!#REF!</definedName>
    <definedName name="__123Graph_CB" localSheetId="3" hidden="1">'N3'!#REF!</definedName>
    <definedName name="__123Graph_CB" localSheetId="4" hidden="1">'N4'!#REF!</definedName>
    <definedName name="__123Graph_CB" localSheetId="5" hidden="1">'N5'!#REF!</definedName>
    <definedName name="__123Graph_CB" localSheetId="6" hidden="1">'N6'!#REF!</definedName>
    <definedName name="__123Graph_CB" localSheetId="7" hidden="1">'N7'!#REF!</definedName>
    <definedName name="__123Graph_CB" localSheetId="8" hidden="1">'N8'!#REF!</definedName>
    <definedName name="__123Graph_CB" localSheetId="9" hidden="1">'N9'!#REF!</definedName>
    <definedName name="__123Graph_CB" localSheetId="25" hidden="1">Yht1!#REF!</definedName>
    <definedName name="__123Graph_CB" localSheetId="34" hidden="1">Yht10!#REF!</definedName>
    <definedName name="__123Graph_CB" localSheetId="35" hidden="1">Yht11!#REF!</definedName>
    <definedName name="__123Graph_CB" localSheetId="36" hidden="1">Yht12!#REF!</definedName>
    <definedName name="__123Graph_CB" localSheetId="26" hidden="1">Yht2!#REF!</definedName>
    <definedName name="__123Graph_CB" localSheetId="27" hidden="1">Yht3!#REF!</definedName>
    <definedName name="__123Graph_CB" localSheetId="28" hidden="1">Yht4!#REF!</definedName>
    <definedName name="__123Graph_CB" localSheetId="29" hidden="1">Yht5!#REF!</definedName>
    <definedName name="__123Graph_CB" localSheetId="30" hidden="1">Yht6!#REF!</definedName>
    <definedName name="__123Graph_CB" localSheetId="31" hidden="1">Yht7!#REF!</definedName>
    <definedName name="__123Graph_CB" localSheetId="32" hidden="1">Yht8!#REF!</definedName>
    <definedName name="__123Graph_CB" localSheetId="33" hidden="1">Yht9!#REF!</definedName>
    <definedName name="__123Graph_CC" localSheetId="13" hidden="1">'K1'!#REF!</definedName>
    <definedName name="__123Graph_CC" localSheetId="22" hidden="1">'K10'!#REF!</definedName>
    <definedName name="__123Graph_CC" localSheetId="23" hidden="1">'K11'!#REF!</definedName>
    <definedName name="__123Graph_CC" localSheetId="24" hidden="1">'K12'!#REF!</definedName>
    <definedName name="__123Graph_CC" localSheetId="14" hidden="1">'K2'!#REF!</definedName>
    <definedName name="__123Graph_CC" localSheetId="15" hidden="1">'K3'!#REF!</definedName>
    <definedName name="__123Graph_CC" localSheetId="16" hidden="1">'K4'!#REF!</definedName>
    <definedName name="__123Graph_CC" localSheetId="17" hidden="1">'K5'!#REF!</definedName>
    <definedName name="__123Graph_CC" localSheetId="18" hidden="1">'K6'!#REF!</definedName>
    <definedName name="__123Graph_CC" localSheetId="19" hidden="1">'K7'!#REF!</definedName>
    <definedName name="__123Graph_CC" localSheetId="20" hidden="1">'K8'!#REF!</definedName>
    <definedName name="__123Graph_CC" localSheetId="21" hidden="1">'K9'!#REF!</definedName>
    <definedName name="__123Graph_CC" localSheetId="1" hidden="1">'N1'!#REF!</definedName>
    <definedName name="__123Graph_CC" localSheetId="10" hidden="1">'N10'!#REF!</definedName>
    <definedName name="__123Graph_CC" localSheetId="11" hidden="1">'N11'!#REF!</definedName>
    <definedName name="__123Graph_CC" localSheetId="12" hidden="1">'N12'!#REF!</definedName>
    <definedName name="__123Graph_CC" localSheetId="2" hidden="1">'N2'!#REF!</definedName>
    <definedName name="__123Graph_CC" localSheetId="3" hidden="1">'N3'!#REF!</definedName>
    <definedName name="__123Graph_CC" localSheetId="4" hidden="1">'N4'!#REF!</definedName>
    <definedName name="__123Graph_CC" localSheetId="5" hidden="1">'N5'!#REF!</definedName>
    <definedName name="__123Graph_CC" localSheetId="6" hidden="1">'N6'!#REF!</definedName>
    <definedName name="__123Graph_CC" localSheetId="7" hidden="1">'N7'!#REF!</definedName>
    <definedName name="__123Graph_CC" localSheetId="8" hidden="1">'N8'!#REF!</definedName>
    <definedName name="__123Graph_CC" localSheetId="9" hidden="1">'N9'!#REF!</definedName>
    <definedName name="__123Graph_CC" localSheetId="25" hidden="1">Yht1!#REF!</definedName>
    <definedName name="__123Graph_CC" localSheetId="34" hidden="1">Yht10!#REF!</definedName>
    <definedName name="__123Graph_CC" localSheetId="35" hidden="1">Yht11!#REF!</definedName>
    <definedName name="__123Graph_CC" localSheetId="36" hidden="1">Yht12!#REF!</definedName>
    <definedName name="__123Graph_CC" localSheetId="26" hidden="1">Yht2!#REF!</definedName>
    <definedName name="__123Graph_CC" localSheetId="27" hidden="1">Yht3!#REF!</definedName>
    <definedName name="__123Graph_CC" localSheetId="28" hidden="1">Yht4!#REF!</definedName>
    <definedName name="__123Graph_CC" localSheetId="29" hidden="1">Yht5!#REF!</definedName>
    <definedName name="__123Graph_CC" localSheetId="30" hidden="1">Yht6!#REF!</definedName>
    <definedName name="__123Graph_CC" localSheetId="31" hidden="1">Yht7!#REF!</definedName>
    <definedName name="__123Graph_CC" localSheetId="32" hidden="1">Yht8!#REF!</definedName>
    <definedName name="__123Graph_CC" localSheetId="33" hidden="1">Yht9!#REF!</definedName>
    <definedName name="__123Graph_CD" localSheetId="13" hidden="1">'K1'!#REF!</definedName>
    <definedName name="__123Graph_CD" localSheetId="22" hidden="1">'K10'!#REF!</definedName>
    <definedName name="__123Graph_CD" localSheetId="23" hidden="1">'K11'!#REF!</definedName>
    <definedName name="__123Graph_CD" localSheetId="24" hidden="1">'K12'!#REF!</definedName>
    <definedName name="__123Graph_CD" localSheetId="14" hidden="1">'K2'!#REF!</definedName>
    <definedName name="__123Graph_CD" localSheetId="15" hidden="1">'K3'!#REF!</definedName>
    <definedName name="__123Graph_CD" localSheetId="16" hidden="1">'K4'!#REF!</definedName>
    <definedName name="__123Graph_CD" localSheetId="17" hidden="1">'K5'!#REF!</definedName>
    <definedName name="__123Graph_CD" localSheetId="18" hidden="1">'K6'!#REF!</definedName>
    <definedName name="__123Graph_CD" localSheetId="19" hidden="1">'K7'!#REF!</definedName>
    <definedName name="__123Graph_CD" localSheetId="20" hidden="1">'K8'!#REF!</definedName>
    <definedName name="__123Graph_CD" localSheetId="21" hidden="1">'K9'!#REF!</definedName>
    <definedName name="__123Graph_CD" localSheetId="1" hidden="1">'N1'!#REF!</definedName>
    <definedName name="__123Graph_CD" localSheetId="10" hidden="1">'N10'!#REF!</definedName>
    <definedName name="__123Graph_CD" localSheetId="11" hidden="1">'N11'!#REF!</definedName>
    <definedName name="__123Graph_CD" localSheetId="12" hidden="1">'N12'!#REF!</definedName>
    <definedName name="__123Graph_CD" localSheetId="2" hidden="1">'N2'!#REF!</definedName>
    <definedName name="__123Graph_CD" localSheetId="3" hidden="1">'N3'!#REF!</definedName>
    <definedName name="__123Graph_CD" localSheetId="4" hidden="1">'N4'!#REF!</definedName>
    <definedName name="__123Graph_CD" localSheetId="5" hidden="1">'N5'!#REF!</definedName>
    <definedName name="__123Graph_CD" localSheetId="6" hidden="1">'N6'!#REF!</definedName>
    <definedName name="__123Graph_CD" localSheetId="7" hidden="1">'N7'!#REF!</definedName>
    <definedName name="__123Graph_CD" localSheetId="8" hidden="1">'N8'!#REF!</definedName>
    <definedName name="__123Graph_CD" localSheetId="9" hidden="1">'N9'!#REF!</definedName>
    <definedName name="__123Graph_CD" localSheetId="25" hidden="1">Yht1!#REF!</definedName>
    <definedName name="__123Graph_CD" localSheetId="34" hidden="1">Yht10!#REF!</definedName>
    <definedName name="__123Graph_CD" localSheetId="35" hidden="1">Yht11!#REF!</definedName>
    <definedName name="__123Graph_CD" localSheetId="36" hidden="1">Yht12!#REF!</definedName>
    <definedName name="__123Graph_CD" localSheetId="26" hidden="1">Yht2!#REF!</definedName>
    <definedName name="__123Graph_CD" localSheetId="27" hidden="1">Yht3!#REF!</definedName>
    <definedName name="__123Graph_CD" localSheetId="28" hidden="1">Yht4!#REF!</definedName>
    <definedName name="__123Graph_CD" localSheetId="29" hidden="1">Yht5!#REF!</definedName>
    <definedName name="__123Graph_CD" localSheetId="30" hidden="1">Yht6!#REF!</definedName>
    <definedName name="__123Graph_CD" localSheetId="31" hidden="1">Yht7!#REF!</definedName>
    <definedName name="__123Graph_CD" localSheetId="32" hidden="1">Yht8!#REF!</definedName>
    <definedName name="__123Graph_CD" localSheetId="33" hidden="1">Yht9!#REF!</definedName>
    <definedName name="__123Graph_CMAIN" localSheetId="13" hidden="1">'K1'!#REF!</definedName>
    <definedName name="__123Graph_CMAIN" localSheetId="22" hidden="1">'K10'!#REF!</definedName>
    <definedName name="__123Graph_CMAIN" localSheetId="23" hidden="1">'K11'!#REF!</definedName>
    <definedName name="__123Graph_CMAIN" localSheetId="24" hidden="1">'K12'!#REF!</definedName>
    <definedName name="__123Graph_CMAIN" localSheetId="14" hidden="1">'K2'!#REF!</definedName>
    <definedName name="__123Graph_CMAIN" localSheetId="15" hidden="1">'K3'!#REF!</definedName>
    <definedName name="__123Graph_CMAIN" localSheetId="16" hidden="1">'K4'!#REF!</definedName>
    <definedName name="__123Graph_CMAIN" localSheetId="17" hidden="1">'K5'!#REF!</definedName>
    <definedName name="__123Graph_CMAIN" localSheetId="18" hidden="1">'K6'!#REF!</definedName>
    <definedName name="__123Graph_CMAIN" localSheetId="19" hidden="1">'K7'!#REF!</definedName>
    <definedName name="__123Graph_CMAIN" localSheetId="20" hidden="1">'K8'!#REF!</definedName>
    <definedName name="__123Graph_CMAIN" localSheetId="21" hidden="1">'K9'!#REF!</definedName>
    <definedName name="__123Graph_CMAIN" localSheetId="1" hidden="1">'N1'!#REF!</definedName>
    <definedName name="__123Graph_CMAIN" localSheetId="10" hidden="1">'N10'!#REF!</definedName>
    <definedName name="__123Graph_CMAIN" localSheetId="11" hidden="1">'N11'!#REF!</definedName>
    <definedName name="__123Graph_CMAIN" localSheetId="12" hidden="1">'N12'!#REF!</definedName>
    <definedName name="__123Graph_CMAIN" localSheetId="2" hidden="1">'N2'!#REF!</definedName>
    <definedName name="__123Graph_CMAIN" localSheetId="3" hidden="1">'N3'!#REF!</definedName>
    <definedName name="__123Graph_CMAIN" localSheetId="4" hidden="1">'N4'!#REF!</definedName>
    <definedName name="__123Graph_CMAIN" localSheetId="5" hidden="1">'N5'!#REF!</definedName>
    <definedName name="__123Graph_CMAIN" localSheetId="6" hidden="1">'N6'!#REF!</definedName>
    <definedName name="__123Graph_CMAIN" localSheetId="7" hidden="1">'N7'!#REF!</definedName>
    <definedName name="__123Graph_CMAIN" localSheetId="8" hidden="1">'N8'!#REF!</definedName>
    <definedName name="__123Graph_CMAIN" localSheetId="9" hidden="1">'N9'!#REF!</definedName>
    <definedName name="__123Graph_CMAIN" localSheetId="25" hidden="1">Yht1!#REF!</definedName>
    <definedName name="__123Graph_CMAIN" localSheetId="34" hidden="1">Yht10!#REF!</definedName>
    <definedName name="__123Graph_CMAIN" localSheetId="35" hidden="1">Yht11!#REF!</definedName>
    <definedName name="__123Graph_CMAIN" localSheetId="36" hidden="1">Yht12!#REF!</definedName>
    <definedName name="__123Graph_CMAIN" localSheetId="26" hidden="1">Yht2!#REF!</definedName>
    <definedName name="__123Graph_CMAIN" localSheetId="27" hidden="1">Yht3!#REF!</definedName>
    <definedName name="__123Graph_CMAIN" localSheetId="28" hidden="1">Yht4!#REF!</definedName>
    <definedName name="__123Graph_CMAIN" localSheetId="29" hidden="1">Yht5!#REF!</definedName>
    <definedName name="__123Graph_CMAIN" localSheetId="30" hidden="1">Yht6!#REF!</definedName>
    <definedName name="__123Graph_CMAIN" localSheetId="31" hidden="1">Yht7!#REF!</definedName>
    <definedName name="__123Graph_CMAIN" localSheetId="32" hidden="1">Yht8!#REF!</definedName>
    <definedName name="__123Graph_CMAIN" localSheetId="33" hidden="1">Yht9!#REF!</definedName>
    <definedName name="__123Graph_LBL_AA" localSheetId="13" hidden="1">'K1'!#REF!</definedName>
    <definedName name="__123Graph_LBL_AA" localSheetId="22" hidden="1">'K10'!#REF!</definedName>
    <definedName name="__123Graph_LBL_AA" localSheetId="23" hidden="1">'K11'!#REF!</definedName>
    <definedName name="__123Graph_LBL_AA" localSheetId="24" hidden="1">'K12'!#REF!</definedName>
    <definedName name="__123Graph_LBL_AA" localSheetId="14" hidden="1">'K2'!#REF!</definedName>
    <definedName name="__123Graph_LBL_AA" localSheetId="15" hidden="1">'K3'!#REF!</definedName>
    <definedName name="__123Graph_LBL_AA" localSheetId="16" hidden="1">'K4'!#REF!</definedName>
    <definedName name="__123Graph_LBL_AA" localSheetId="17" hidden="1">'K5'!#REF!</definedName>
    <definedName name="__123Graph_LBL_AA" localSheetId="18" hidden="1">'K6'!#REF!</definedName>
    <definedName name="__123Graph_LBL_AA" localSheetId="19" hidden="1">'K7'!#REF!</definedName>
    <definedName name="__123Graph_LBL_AA" localSheetId="20" hidden="1">'K8'!#REF!</definedName>
    <definedName name="__123Graph_LBL_AA" localSheetId="21" hidden="1">'K9'!#REF!</definedName>
    <definedName name="__123Graph_LBL_AA" localSheetId="1" hidden="1">'N1'!#REF!</definedName>
    <definedName name="__123Graph_LBL_AA" localSheetId="10" hidden="1">'N10'!#REF!</definedName>
    <definedName name="__123Graph_LBL_AA" localSheetId="11" hidden="1">'N11'!#REF!</definedName>
    <definedName name="__123Graph_LBL_AA" localSheetId="12" hidden="1">'N12'!#REF!</definedName>
    <definedName name="__123Graph_LBL_AA" localSheetId="2" hidden="1">'N2'!#REF!</definedName>
    <definedName name="__123Graph_LBL_AA" localSheetId="3" hidden="1">'N3'!#REF!</definedName>
    <definedName name="__123Graph_LBL_AA" localSheetId="4" hidden="1">'N4'!#REF!</definedName>
    <definedName name="__123Graph_LBL_AA" localSheetId="5" hidden="1">'N5'!#REF!</definedName>
    <definedName name="__123Graph_LBL_AA" localSheetId="6" hidden="1">'N6'!#REF!</definedName>
    <definedName name="__123Graph_LBL_AA" localSheetId="7" hidden="1">'N7'!#REF!</definedName>
    <definedName name="__123Graph_LBL_AA" localSheetId="8" hidden="1">'N8'!#REF!</definedName>
    <definedName name="__123Graph_LBL_AA" localSheetId="9" hidden="1">'N9'!#REF!</definedName>
    <definedName name="__123Graph_LBL_AA" localSheetId="25" hidden="1">Yht1!#REF!</definedName>
    <definedName name="__123Graph_LBL_AA" localSheetId="34" hidden="1">Yht10!#REF!</definedName>
    <definedName name="__123Graph_LBL_AA" localSheetId="35" hidden="1">Yht11!#REF!</definedName>
    <definedName name="__123Graph_LBL_AA" localSheetId="36" hidden="1">Yht12!#REF!</definedName>
    <definedName name="__123Graph_LBL_AA" localSheetId="26" hidden="1">Yht2!#REF!</definedName>
    <definedName name="__123Graph_LBL_AA" localSheetId="27" hidden="1">Yht3!#REF!</definedName>
    <definedName name="__123Graph_LBL_AA" localSheetId="28" hidden="1">Yht4!#REF!</definedName>
    <definedName name="__123Graph_LBL_AA" localSheetId="29" hidden="1">Yht5!#REF!</definedName>
    <definedName name="__123Graph_LBL_AA" localSheetId="30" hidden="1">Yht6!#REF!</definedName>
    <definedName name="__123Graph_LBL_AA" localSheetId="31" hidden="1">Yht7!#REF!</definedName>
    <definedName name="__123Graph_LBL_AA" localSheetId="32" hidden="1">Yht8!#REF!</definedName>
    <definedName name="__123Graph_LBL_AA" localSheetId="33" hidden="1">Yht9!#REF!</definedName>
    <definedName name="__123Graph_LBL_AMAIN" localSheetId="13" hidden="1">'K1'!#REF!</definedName>
    <definedName name="__123Graph_LBL_AMAIN" localSheetId="22" hidden="1">'K10'!#REF!</definedName>
    <definedName name="__123Graph_LBL_AMAIN" localSheetId="23" hidden="1">'K11'!#REF!</definedName>
    <definedName name="__123Graph_LBL_AMAIN" localSheetId="24" hidden="1">'K12'!#REF!</definedName>
    <definedName name="__123Graph_LBL_AMAIN" localSheetId="14" hidden="1">'K2'!#REF!</definedName>
    <definedName name="__123Graph_LBL_AMAIN" localSheetId="15" hidden="1">'K3'!#REF!</definedName>
    <definedName name="__123Graph_LBL_AMAIN" localSheetId="16" hidden="1">'K4'!#REF!</definedName>
    <definedName name="__123Graph_LBL_AMAIN" localSheetId="17" hidden="1">'K5'!#REF!</definedName>
    <definedName name="__123Graph_LBL_AMAIN" localSheetId="18" hidden="1">'K6'!#REF!</definedName>
    <definedName name="__123Graph_LBL_AMAIN" localSheetId="19" hidden="1">'K7'!#REF!</definedName>
    <definedName name="__123Graph_LBL_AMAIN" localSheetId="20" hidden="1">'K8'!#REF!</definedName>
    <definedName name="__123Graph_LBL_AMAIN" localSheetId="21" hidden="1">'K9'!#REF!</definedName>
    <definedName name="__123Graph_LBL_AMAIN" localSheetId="1" hidden="1">'N1'!#REF!</definedName>
    <definedName name="__123Graph_LBL_AMAIN" localSheetId="10" hidden="1">'N10'!#REF!</definedName>
    <definedName name="__123Graph_LBL_AMAIN" localSheetId="11" hidden="1">'N11'!#REF!</definedName>
    <definedName name="__123Graph_LBL_AMAIN" localSheetId="12" hidden="1">'N12'!#REF!</definedName>
    <definedName name="__123Graph_LBL_AMAIN" localSheetId="2" hidden="1">'N2'!#REF!</definedName>
    <definedName name="__123Graph_LBL_AMAIN" localSheetId="3" hidden="1">'N3'!#REF!</definedName>
    <definedName name="__123Graph_LBL_AMAIN" localSheetId="4" hidden="1">'N4'!#REF!</definedName>
    <definedName name="__123Graph_LBL_AMAIN" localSheetId="5" hidden="1">'N5'!#REF!</definedName>
    <definedName name="__123Graph_LBL_AMAIN" localSheetId="6" hidden="1">'N6'!#REF!</definedName>
    <definedName name="__123Graph_LBL_AMAIN" localSheetId="7" hidden="1">'N7'!#REF!</definedName>
    <definedName name="__123Graph_LBL_AMAIN" localSheetId="8" hidden="1">'N8'!#REF!</definedName>
    <definedName name="__123Graph_LBL_AMAIN" localSheetId="9" hidden="1">'N9'!#REF!</definedName>
    <definedName name="__123Graph_LBL_AMAIN" localSheetId="25" hidden="1">Yht1!#REF!</definedName>
    <definedName name="__123Graph_LBL_AMAIN" localSheetId="34" hidden="1">Yht10!#REF!</definedName>
    <definedName name="__123Graph_LBL_AMAIN" localSheetId="35" hidden="1">Yht11!#REF!</definedName>
    <definedName name="__123Graph_LBL_AMAIN" localSheetId="36" hidden="1">Yht12!#REF!</definedName>
    <definedName name="__123Graph_LBL_AMAIN" localSheetId="26" hidden="1">Yht2!#REF!</definedName>
    <definedName name="__123Graph_LBL_AMAIN" localSheetId="27" hidden="1">Yht3!#REF!</definedName>
    <definedName name="__123Graph_LBL_AMAIN" localSheetId="28" hidden="1">Yht4!#REF!</definedName>
    <definedName name="__123Graph_LBL_AMAIN" localSheetId="29" hidden="1">Yht5!#REF!</definedName>
    <definedName name="__123Graph_LBL_AMAIN" localSheetId="30" hidden="1">Yht6!#REF!</definedName>
    <definedName name="__123Graph_LBL_AMAIN" localSheetId="31" hidden="1">Yht7!#REF!</definedName>
    <definedName name="__123Graph_LBL_AMAIN" localSheetId="32" hidden="1">Yht8!#REF!</definedName>
    <definedName name="__123Graph_LBL_AMAIN" localSheetId="33" hidden="1">Yht9!#REF!</definedName>
    <definedName name="__123Graph_LBL_BMAIN" localSheetId="13" hidden="1">'K1'!#REF!</definedName>
    <definedName name="__123Graph_LBL_BMAIN" localSheetId="22" hidden="1">'K10'!#REF!</definedName>
    <definedName name="__123Graph_LBL_BMAIN" localSheetId="23" hidden="1">'K11'!#REF!</definedName>
    <definedName name="__123Graph_LBL_BMAIN" localSheetId="24" hidden="1">'K12'!#REF!</definedName>
    <definedName name="__123Graph_LBL_BMAIN" localSheetId="14" hidden="1">'K2'!#REF!</definedName>
    <definedName name="__123Graph_LBL_BMAIN" localSheetId="15" hidden="1">'K3'!#REF!</definedName>
    <definedName name="__123Graph_LBL_BMAIN" localSheetId="16" hidden="1">'K4'!#REF!</definedName>
    <definedName name="__123Graph_LBL_BMAIN" localSheetId="17" hidden="1">'K5'!#REF!</definedName>
    <definedName name="__123Graph_LBL_BMAIN" localSheetId="18" hidden="1">'K6'!#REF!</definedName>
    <definedName name="__123Graph_LBL_BMAIN" localSheetId="19" hidden="1">'K7'!#REF!</definedName>
    <definedName name="__123Graph_LBL_BMAIN" localSheetId="20" hidden="1">'K8'!#REF!</definedName>
    <definedName name="__123Graph_LBL_BMAIN" localSheetId="21" hidden="1">'K9'!#REF!</definedName>
    <definedName name="__123Graph_LBL_BMAIN" localSheetId="1" hidden="1">'N1'!#REF!</definedName>
    <definedName name="__123Graph_LBL_BMAIN" localSheetId="10" hidden="1">'N10'!#REF!</definedName>
    <definedName name="__123Graph_LBL_BMAIN" localSheetId="11" hidden="1">'N11'!#REF!</definedName>
    <definedName name="__123Graph_LBL_BMAIN" localSheetId="12" hidden="1">'N12'!#REF!</definedName>
    <definedName name="__123Graph_LBL_BMAIN" localSheetId="2" hidden="1">'N2'!#REF!</definedName>
    <definedName name="__123Graph_LBL_BMAIN" localSheetId="3" hidden="1">'N3'!#REF!</definedName>
    <definedName name="__123Graph_LBL_BMAIN" localSheetId="4" hidden="1">'N4'!#REF!</definedName>
    <definedName name="__123Graph_LBL_BMAIN" localSheetId="5" hidden="1">'N5'!#REF!</definedName>
    <definedName name="__123Graph_LBL_BMAIN" localSheetId="6" hidden="1">'N6'!#REF!</definedName>
    <definedName name="__123Graph_LBL_BMAIN" localSheetId="7" hidden="1">'N7'!#REF!</definedName>
    <definedName name="__123Graph_LBL_BMAIN" localSheetId="8" hidden="1">'N8'!#REF!</definedName>
    <definedName name="__123Graph_LBL_BMAIN" localSheetId="9" hidden="1">'N9'!#REF!</definedName>
    <definedName name="__123Graph_LBL_BMAIN" localSheetId="25" hidden="1">Yht1!#REF!</definedName>
    <definedName name="__123Graph_LBL_BMAIN" localSheetId="34" hidden="1">Yht10!#REF!</definedName>
    <definedName name="__123Graph_LBL_BMAIN" localSheetId="35" hidden="1">Yht11!#REF!</definedName>
    <definedName name="__123Graph_LBL_BMAIN" localSheetId="36" hidden="1">Yht12!#REF!</definedName>
    <definedName name="__123Graph_LBL_BMAIN" localSheetId="26" hidden="1">Yht2!#REF!</definedName>
    <definedName name="__123Graph_LBL_BMAIN" localSheetId="27" hidden="1">Yht3!#REF!</definedName>
    <definedName name="__123Graph_LBL_BMAIN" localSheetId="28" hidden="1">Yht4!#REF!</definedName>
    <definedName name="__123Graph_LBL_BMAIN" localSheetId="29" hidden="1">Yht5!#REF!</definedName>
    <definedName name="__123Graph_LBL_BMAIN" localSheetId="30" hidden="1">Yht6!#REF!</definedName>
    <definedName name="__123Graph_LBL_BMAIN" localSheetId="31" hidden="1">Yht7!#REF!</definedName>
    <definedName name="__123Graph_LBL_BMAIN" localSheetId="32" hidden="1">Yht8!#REF!</definedName>
    <definedName name="__123Graph_LBL_BMAIN" localSheetId="33" hidden="1">Yht9!#REF!</definedName>
    <definedName name="__123Graph_LBL_CMAIN" localSheetId="13" hidden="1">'K1'!#REF!</definedName>
    <definedName name="__123Graph_LBL_CMAIN" localSheetId="22" hidden="1">'K10'!#REF!</definedName>
    <definedName name="__123Graph_LBL_CMAIN" localSheetId="23" hidden="1">'K11'!#REF!</definedName>
    <definedName name="__123Graph_LBL_CMAIN" localSheetId="24" hidden="1">'K12'!#REF!</definedName>
    <definedName name="__123Graph_LBL_CMAIN" localSheetId="14" hidden="1">'K2'!#REF!</definedName>
    <definedName name="__123Graph_LBL_CMAIN" localSheetId="15" hidden="1">'K3'!#REF!</definedName>
    <definedName name="__123Graph_LBL_CMAIN" localSheetId="16" hidden="1">'K4'!#REF!</definedName>
    <definedName name="__123Graph_LBL_CMAIN" localSheetId="17" hidden="1">'K5'!#REF!</definedName>
    <definedName name="__123Graph_LBL_CMAIN" localSheetId="18" hidden="1">'K6'!#REF!</definedName>
    <definedName name="__123Graph_LBL_CMAIN" localSheetId="19" hidden="1">'K7'!#REF!</definedName>
    <definedName name="__123Graph_LBL_CMAIN" localSheetId="20" hidden="1">'K8'!#REF!</definedName>
    <definedName name="__123Graph_LBL_CMAIN" localSheetId="21" hidden="1">'K9'!#REF!</definedName>
    <definedName name="__123Graph_LBL_CMAIN" localSheetId="1" hidden="1">'N1'!#REF!</definedName>
    <definedName name="__123Graph_LBL_CMAIN" localSheetId="10" hidden="1">'N10'!#REF!</definedName>
    <definedName name="__123Graph_LBL_CMAIN" localSheetId="11" hidden="1">'N11'!#REF!</definedName>
    <definedName name="__123Graph_LBL_CMAIN" localSheetId="12" hidden="1">'N12'!#REF!</definedName>
    <definedName name="__123Graph_LBL_CMAIN" localSheetId="2" hidden="1">'N2'!#REF!</definedName>
    <definedName name="__123Graph_LBL_CMAIN" localSheetId="3" hidden="1">'N3'!#REF!</definedName>
    <definedName name="__123Graph_LBL_CMAIN" localSheetId="4" hidden="1">'N4'!#REF!</definedName>
    <definedName name="__123Graph_LBL_CMAIN" localSheetId="5" hidden="1">'N5'!#REF!</definedName>
    <definedName name="__123Graph_LBL_CMAIN" localSheetId="6" hidden="1">'N6'!#REF!</definedName>
    <definedName name="__123Graph_LBL_CMAIN" localSheetId="7" hidden="1">'N7'!#REF!</definedName>
    <definedName name="__123Graph_LBL_CMAIN" localSheetId="8" hidden="1">'N8'!#REF!</definedName>
    <definedName name="__123Graph_LBL_CMAIN" localSheetId="9" hidden="1">'N9'!#REF!</definedName>
    <definedName name="__123Graph_LBL_CMAIN" localSheetId="25" hidden="1">Yht1!#REF!</definedName>
    <definedName name="__123Graph_LBL_CMAIN" localSheetId="34" hidden="1">Yht10!#REF!</definedName>
    <definedName name="__123Graph_LBL_CMAIN" localSheetId="35" hidden="1">Yht11!#REF!</definedName>
    <definedName name="__123Graph_LBL_CMAIN" localSheetId="36" hidden="1">Yht12!#REF!</definedName>
    <definedName name="__123Graph_LBL_CMAIN" localSheetId="26" hidden="1">Yht2!#REF!</definedName>
    <definedName name="__123Graph_LBL_CMAIN" localSheetId="27" hidden="1">Yht3!#REF!</definedName>
    <definedName name="__123Graph_LBL_CMAIN" localSheetId="28" hidden="1">Yht4!#REF!</definedName>
    <definedName name="__123Graph_LBL_CMAIN" localSheetId="29" hidden="1">Yht5!#REF!</definedName>
    <definedName name="__123Graph_LBL_CMAIN" localSheetId="30" hidden="1">Yht6!#REF!</definedName>
    <definedName name="__123Graph_LBL_CMAIN" localSheetId="31" hidden="1">Yht7!#REF!</definedName>
    <definedName name="__123Graph_LBL_CMAIN" localSheetId="32" hidden="1">Yht8!#REF!</definedName>
    <definedName name="__123Graph_LBL_CMAIN" localSheetId="33" hidden="1">Yht9!#REF!</definedName>
    <definedName name="__123Graph_XA" localSheetId="13" hidden="1">'K1'!#REF!</definedName>
    <definedName name="__123Graph_XA" localSheetId="22" hidden="1">'K10'!#REF!</definedName>
    <definedName name="__123Graph_XA" localSheetId="23" hidden="1">'K11'!#REF!</definedName>
    <definedName name="__123Graph_XA" localSheetId="24" hidden="1">'K12'!#REF!</definedName>
    <definedName name="__123Graph_XA" localSheetId="14" hidden="1">'K2'!#REF!</definedName>
    <definedName name="__123Graph_XA" localSheetId="15" hidden="1">'K3'!#REF!</definedName>
    <definedName name="__123Graph_XA" localSheetId="16" hidden="1">'K4'!#REF!</definedName>
    <definedName name="__123Graph_XA" localSheetId="17" hidden="1">'K5'!#REF!</definedName>
    <definedName name="__123Graph_XA" localSheetId="18" hidden="1">'K6'!#REF!</definedName>
    <definedName name="__123Graph_XA" localSheetId="19" hidden="1">'K7'!#REF!</definedName>
    <definedName name="__123Graph_XA" localSheetId="20" hidden="1">'K8'!#REF!</definedName>
    <definedName name="__123Graph_XA" localSheetId="21" hidden="1">'K9'!#REF!</definedName>
    <definedName name="__123Graph_XA" localSheetId="1" hidden="1">'N1'!#REF!</definedName>
    <definedName name="__123Graph_XA" localSheetId="10" hidden="1">'N10'!#REF!</definedName>
    <definedName name="__123Graph_XA" localSheetId="11" hidden="1">'N11'!#REF!</definedName>
    <definedName name="__123Graph_XA" localSheetId="12" hidden="1">'N12'!#REF!</definedName>
    <definedName name="__123Graph_XA" localSheetId="2" hidden="1">'N2'!#REF!</definedName>
    <definedName name="__123Graph_XA" localSheetId="3" hidden="1">'N3'!#REF!</definedName>
    <definedName name="__123Graph_XA" localSheetId="4" hidden="1">'N4'!#REF!</definedName>
    <definedName name="__123Graph_XA" localSheetId="5" hidden="1">'N5'!#REF!</definedName>
    <definedName name="__123Graph_XA" localSheetId="6" hidden="1">'N6'!#REF!</definedName>
    <definedName name="__123Graph_XA" localSheetId="7" hidden="1">'N7'!#REF!</definedName>
    <definedName name="__123Graph_XA" localSheetId="8" hidden="1">'N8'!#REF!</definedName>
    <definedName name="__123Graph_XA" localSheetId="9" hidden="1">'N9'!#REF!</definedName>
    <definedName name="__123Graph_XA" localSheetId="25" hidden="1">Yht1!#REF!</definedName>
    <definedName name="__123Graph_XA" localSheetId="34" hidden="1">Yht10!#REF!</definedName>
    <definedName name="__123Graph_XA" localSheetId="35" hidden="1">Yht11!#REF!</definedName>
    <definedName name="__123Graph_XA" localSheetId="36" hidden="1">Yht12!#REF!</definedName>
    <definedName name="__123Graph_XA" localSheetId="26" hidden="1">Yht2!#REF!</definedName>
    <definedName name="__123Graph_XA" localSheetId="27" hidden="1">Yht3!#REF!</definedName>
    <definedName name="__123Graph_XA" localSheetId="28" hidden="1">Yht4!#REF!</definedName>
    <definedName name="__123Graph_XA" localSheetId="29" hidden="1">Yht5!#REF!</definedName>
    <definedName name="__123Graph_XA" localSheetId="30" hidden="1">Yht6!#REF!</definedName>
    <definedName name="__123Graph_XA" localSheetId="31" hidden="1">Yht7!#REF!</definedName>
    <definedName name="__123Graph_XA" localSheetId="32" hidden="1">Yht8!#REF!</definedName>
    <definedName name="__123Graph_XA" localSheetId="33" hidden="1">Yht9!#REF!</definedName>
    <definedName name="__123Graph_XAA" localSheetId="13" hidden="1">'K1'!#REF!</definedName>
    <definedName name="__123Graph_XAA" localSheetId="22" hidden="1">'K10'!#REF!</definedName>
    <definedName name="__123Graph_XAA" localSheetId="23" hidden="1">'K11'!#REF!</definedName>
    <definedName name="__123Graph_XAA" localSheetId="24" hidden="1">'K12'!#REF!</definedName>
    <definedName name="__123Graph_XAA" localSheetId="14" hidden="1">'K2'!#REF!</definedName>
    <definedName name="__123Graph_XAA" localSheetId="15" hidden="1">'K3'!#REF!</definedName>
    <definedName name="__123Graph_XAA" localSheetId="16" hidden="1">'K4'!#REF!</definedName>
    <definedName name="__123Graph_XAA" localSheetId="17" hidden="1">'K5'!#REF!</definedName>
    <definedName name="__123Graph_XAA" localSheetId="18" hidden="1">'K6'!#REF!</definedName>
    <definedName name="__123Graph_XAA" localSheetId="19" hidden="1">'K7'!#REF!</definedName>
    <definedName name="__123Graph_XAA" localSheetId="20" hidden="1">'K8'!#REF!</definedName>
    <definedName name="__123Graph_XAA" localSheetId="21" hidden="1">'K9'!#REF!</definedName>
    <definedName name="__123Graph_XAA" localSheetId="1" hidden="1">'N1'!#REF!</definedName>
    <definedName name="__123Graph_XAA" localSheetId="10" hidden="1">'N10'!#REF!</definedName>
    <definedName name="__123Graph_XAA" localSheetId="11" hidden="1">'N11'!#REF!</definedName>
    <definedName name="__123Graph_XAA" localSheetId="12" hidden="1">'N12'!#REF!</definedName>
    <definedName name="__123Graph_XAA" localSheetId="2" hidden="1">'N2'!#REF!</definedName>
    <definedName name="__123Graph_XAA" localSheetId="3" hidden="1">'N3'!#REF!</definedName>
    <definedName name="__123Graph_XAA" localSheetId="4" hidden="1">'N4'!#REF!</definedName>
    <definedName name="__123Graph_XAA" localSheetId="5" hidden="1">'N5'!#REF!</definedName>
    <definedName name="__123Graph_XAA" localSheetId="6" hidden="1">'N6'!#REF!</definedName>
    <definedName name="__123Graph_XAA" localSheetId="7" hidden="1">'N7'!#REF!</definedName>
    <definedName name="__123Graph_XAA" localSheetId="8" hidden="1">'N8'!#REF!</definedName>
    <definedName name="__123Graph_XAA" localSheetId="9" hidden="1">'N9'!#REF!</definedName>
    <definedName name="__123Graph_XAA" localSheetId="25" hidden="1">Yht1!#REF!</definedName>
    <definedName name="__123Graph_XAA" localSheetId="34" hidden="1">Yht10!#REF!</definedName>
    <definedName name="__123Graph_XAA" localSheetId="35" hidden="1">Yht11!#REF!</definedName>
    <definedName name="__123Graph_XAA" localSheetId="36" hidden="1">Yht12!#REF!</definedName>
    <definedName name="__123Graph_XAA" localSheetId="26" hidden="1">Yht2!#REF!</definedName>
    <definedName name="__123Graph_XAA" localSheetId="27" hidden="1">Yht3!#REF!</definedName>
    <definedName name="__123Graph_XAA" localSheetId="28" hidden="1">Yht4!#REF!</definedName>
    <definedName name="__123Graph_XAA" localSheetId="29" hidden="1">Yht5!#REF!</definedName>
    <definedName name="__123Graph_XAA" localSheetId="30" hidden="1">Yht6!#REF!</definedName>
    <definedName name="__123Graph_XAA" localSheetId="31" hidden="1">Yht7!#REF!</definedName>
    <definedName name="__123Graph_XAA" localSheetId="32" hidden="1">Yht8!#REF!</definedName>
    <definedName name="__123Graph_XAA" localSheetId="33" hidden="1">Yht9!#REF!</definedName>
    <definedName name="__123Graph_XB" localSheetId="13" hidden="1">'K1'!#REF!</definedName>
    <definedName name="__123Graph_XB" localSheetId="22" hidden="1">'K10'!#REF!</definedName>
    <definedName name="__123Graph_XB" localSheetId="23" hidden="1">'K11'!#REF!</definedName>
    <definedName name="__123Graph_XB" localSheetId="24" hidden="1">'K12'!#REF!</definedName>
    <definedName name="__123Graph_XB" localSheetId="14" hidden="1">'K2'!#REF!</definedName>
    <definedName name="__123Graph_XB" localSheetId="15" hidden="1">'K3'!#REF!</definedName>
    <definedName name="__123Graph_XB" localSheetId="16" hidden="1">'K4'!#REF!</definedName>
    <definedName name="__123Graph_XB" localSheetId="17" hidden="1">'K5'!#REF!</definedName>
    <definedName name="__123Graph_XB" localSheetId="18" hidden="1">'K6'!#REF!</definedName>
    <definedName name="__123Graph_XB" localSheetId="19" hidden="1">'K7'!#REF!</definedName>
    <definedName name="__123Graph_XB" localSheetId="20" hidden="1">'K8'!#REF!</definedName>
    <definedName name="__123Graph_XB" localSheetId="21" hidden="1">'K9'!#REF!</definedName>
    <definedName name="__123Graph_XB" localSheetId="1" hidden="1">'N1'!#REF!</definedName>
    <definedName name="__123Graph_XB" localSheetId="10" hidden="1">'N10'!#REF!</definedName>
    <definedName name="__123Graph_XB" localSheetId="11" hidden="1">'N11'!#REF!</definedName>
    <definedName name="__123Graph_XB" localSheetId="12" hidden="1">'N12'!#REF!</definedName>
    <definedName name="__123Graph_XB" localSheetId="2" hidden="1">'N2'!#REF!</definedName>
    <definedName name="__123Graph_XB" localSheetId="3" hidden="1">'N3'!#REF!</definedName>
    <definedName name="__123Graph_XB" localSheetId="4" hidden="1">'N4'!#REF!</definedName>
    <definedName name="__123Graph_XB" localSheetId="5" hidden="1">'N5'!#REF!</definedName>
    <definedName name="__123Graph_XB" localSheetId="6" hidden="1">'N6'!#REF!</definedName>
    <definedName name="__123Graph_XB" localSheetId="7" hidden="1">'N7'!#REF!</definedName>
    <definedName name="__123Graph_XB" localSheetId="8" hidden="1">'N8'!#REF!</definedName>
    <definedName name="__123Graph_XB" localSheetId="9" hidden="1">'N9'!#REF!</definedName>
    <definedName name="__123Graph_XB" localSheetId="25" hidden="1">Yht1!#REF!</definedName>
    <definedName name="__123Graph_XB" localSheetId="34" hidden="1">Yht10!#REF!</definedName>
    <definedName name="__123Graph_XB" localSheetId="35" hidden="1">Yht11!#REF!</definedName>
    <definedName name="__123Graph_XB" localSheetId="36" hidden="1">Yht12!#REF!</definedName>
    <definedName name="__123Graph_XB" localSheetId="26" hidden="1">Yht2!#REF!</definedName>
    <definedName name="__123Graph_XB" localSheetId="27" hidden="1">Yht3!#REF!</definedName>
    <definedName name="__123Graph_XB" localSheetId="28" hidden="1">Yht4!#REF!</definedName>
    <definedName name="__123Graph_XB" localSheetId="29" hidden="1">Yht5!#REF!</definedName>
    <definedName name="__123Graph_XB" localSheetId="30" hidden="1">Yht6!#REF!</definedName>
    <definedName name="__123Graph_XB" localSheetId="31" hidden="1">Yht7!#REF!</definedName>
    <definedName name="__123Graph_XB" localSheetId="32" hidden="1">Yht8!#REF!</definedName>
    <definedName name="__123Graph_XB" localSheetId="33" hidden="1">Yht9!#REF!</definedName>
    <definedName name="__123Graph_XC" localSheetId="13" hidden="1">'K1'!#REF!</definedName>
    <definedName name="__123Graph_XC" localSheetId="22" hidden="1">'K10'!#REF!</definedName>
    <definedName name="__123Graph_XC" localSheetId="23" hidden="1">'K11'!#REF!</definedName>
    <definedName name="__123Graph_XC" localSheetId="24" hidden="1">'K12'!#REF!</definedName>
    <definedName name="__123Graph_XC" localSheetId="14" hidden="1">'K2'!#REF!</definedName>
    <definedName name="__123Graph_XC" localSheetId="15" hidden="1">'K3'!#REF!</definedName>
    <definedName name="__123Graph_XC" localSheetId="16" hidden="1">'K4'!#REF!</definedName>
    <definedName name="__123Graph_XC" localSheetId="17" hidden="1">'K5'!#REF!</definedName>
    <definedName name="__123Graph_XC" localSheetId="18" hidden="1">'K6'!#REF!</definedName>
    <definedName name="__123Graph_XC" localSheetId="19" hidden="1">'K7'!#REF!</definedName>
    <definedName name="__123Graph_XC" localSheetId="20" hidden="1">'K8'!#REF!</definedName>
    <definedName name="__123Graph_XC" localSheetId="21" hidden="1">'K9'!#REF!</definedName>
    <definedName name="__123Graph_XC" localSheetId="1" hidden="1">'N1'!#REF!</definedName>
    <definedName name="__123Graph_XC" localSheetId="10" hidden="1">'N10'!#REF!</definedName>
    <definedName name="__123Graph_XC" localSheetId="11" hidden="1">'N11'!#REF!</definedName>
    <definedName name="__123Graph_XC" localSheetId="12" hidden="1">'N12'!#REF!</definedName>
    <definedName name="__123Graph_XC" localSheetId="2" hidden="1">'N2'!#REF!</definedName>
    <definedName name="__123Graph_XC" localSheetId="3" hidden="1">'N3'!#REF!</definedName>
    <definedName name="__123Graph_XC" localSheetId="4" hidden="1">'N4'!#REF!</definedName>
    <definedName name="__123Graph_XC" localSheetId="5" hidden="1">'N5'!#REF!</definedName>
    <definedName name="__123Graph_XC" localSheetId="6" hidden="1">'N6'!#REF!</definedName>
    <definedName name="__123Graph_XC" localSheetId="7" hidden="1">'N7'!#REF!</definedName>
    <definedName name="__123Graph_XC" localSheetId="8" hidden="1">'N8'!#REF!</definedName>
    <definedName name="__123Graph_XC" localSheetId="9" hidden="1">'N9'!#REF!</definedName>
    <definedName name="__123Graph_XC" localSheetId="25" hidden="1">Yht1!#REF!</definedName>
    <definedName name="__123Graph_XC" localSheetId="34" hidden="1">Yht10!#REF!</definedName>
    <definedName name="__123Graph_XC" localSheetId="35" hidden="1">Yht11!#REF!</definedName>
    <definedName name="__123Graph_XC" localSheetId="36" hidden="1">Yht12!#REF!</definedName>
    <definedName name="__123Graph_XC" localSheetId="26" hidden="1">Yht2!#REF!</definedName>
    <definedName name="__123Graph_XC" localSheetId="27" hidden="1">Yht3!#REF!</definedName>
    <definedName name="__123Graph_XC" localSheetId="28" hidden="1">Yht4!#REF!</definedName>
    <definedName name="__123Graph_XC" localSheetId="29" hidden="1">Yht5!#REF!</definedName>
    <definedName name="__123Graph_XC" localSheetId="30" hidden="1">Yht6!#REF!</definedName>
    <definedName name="__123Graph_XC" localSheetId="31" hidden="1">Yht7!#REF!</definedName>
    <definedName name="__123Graph_XC" localSheetId="32" hidden="1">Yht8!#REF!</definedName>
    <definedName name="__123Graph_XC" localSheetId="33" hidden="1">Yht9!#REF!</definedName>
    <definedName name="__123Graph_XD" localSheetId="13" hidden="1">'K1'!#REF!</definedName>
    <definedName name="__123Graph_XD" localSheetId="22" hidden="1">'K10'!#REF!</definedName>
    <definedName name="__123Graph_XD" localSheetId="23" hidden="1">'K11'!#REF!</definedName>
    <definedName name="__123Graph_XD" localSheetId="24" hidden="1">'K12'!#REF!</definedName>
    <definedName name="__123Graph_XD" localSheetId="14" hidden="1">'K2'!#REF!</definedName>
    <definedName name="__123Graph_XD" localSheetId="15" hidden="1">'K3'!#REF!</definedName>
    <definedName name="__123Graph_XD" localSheetId="16" hidden="1">'K4'!#REF!</definedName>
    <definedName name="__123Graph_XD" localSheetId="17" hidden="1">'K5'!#REF!</definedName>
    <definedName name="__123Graph_XD" localSheetId="18" hidden="1">'K6'!#REF!</definedName>
    <definedName name="__123Graph_XD" localSheetId="19" hidden="1">'K7'!#REF!</definedName>
    <definedName name="__123Graph_XD" localSheetId="20" hidden="1">'K8'!#REF!</definedName>
    <definedName name="__123Graph_XD" localSheetId="21" hidden="1">'K9'!#REF!</definedName>
    <definedName name="__123Graph_XD" localSheetId="1" hidden="1">'N1'!#REF!</definedName>
    <definedName name="__123Graph_XD" localSheetId="10" hidden="1">'N10'!#REF!</definedName>
    <definedName name="__123Graph_XD" localSheetId="11" hidden="1">'N11'!#REF!</definedName>
    <definedName name="__123Graph_XD" localSheetId="12" hidden="1">'N12'!#REF!</definedName>
    <definedName name="__123Graph_XD" localSheetId="2" hidden="1">'N2'!#REF!</definedName>
    <definedName name="__123Graph_XD" localSheetId="3" hidden="1">'N3'!#REF!</definedName>
    <definedName name="__123Graph_XD" localSheetId="4" hidden="1">'N4'!#REF!</definedName>
    <definedName name="__123Graph_XD" localSheetId="5" hidden="1">'N5'!#REF!</definedName>
    <definedName name="__123Graph_XD" localSheetId="6" hidden="1">'N6'!#REF!</definedName>
    <definedName name="__123Graph_XD" localSheetId="7" hidden="1">'N7'!#REF!</definedName>
    <definedName name="__123Graph_XD" localSheetId="8" hidden="1">'N8'!#REF!</definedName>
    <definedName name="__123Graph_XD" localSheetId="9" hidden="1">'N9'!#REF!</definedName>
    <definedName name="__123Graph_XD" localSheetId="25" hidden="1">Yht1!#REF!</definedName>
    <definedName name="__123Graph_XD" localSheetId="34" hidden="1">Yht10!#REF!</definedName>
    <definedName name="__123Graph_XD" localSheetId="35" hidden="1">Yht11!#REF!</definedName>
    <definedName name="__123Graph_XD" localSheetId="36" hidden="1">Yht12!#REF!</definedName>
    <definedName name="__123Graph_XD" localSheetId="26" hidden="1">Yht2!#REF!</definedName>
    <definedName name="__123Graph_XD" localSheetId="27" hidden="1">Yht3!#REF!</definedName>
    <definedName name="__123Graph_XD" localSheetId="28" hidden="1">Yht4!#REF!</definedName>
    <definedName name="__123Graph_XD" localSheetId="29" hidden="1">Yht5!#REF!</definedName>
    <definedName name="__123Graph_XD" localSheetId="30" hidden="1">Yht6!#REF!</definedName>
    <definedName name="__123Graph_XD" localSheetId="31" hidden="1">Yht7!#REF!</definedName>
    <definedName name="__123Graph_XD" localSheetId="32" hidden="1">Yht8!#REF!</definedName>
    <definedName name="__123Graph_XD" localSheetId="33" hidden="1">Yht9!#REF!</definedName>
    <definedName name="__123Graph_XE" localSheetId="13" hidden="1">'K1'!#REF!</definedName>
    <definedName name="__123Graph_XE" localSheetId="22" hidden="1">'K10'!#REF!</definedName>
    <definedName name="__123Graph_XE" localSheetId="23" hidden="1">'K11'!#REF!</definedName>
    <definedName name="__123Graph_XE" localSheetId="24" hidden="1">'K12'!#REF!</definedName>
    <definedName name="__123Graph_XE" localSheetId="14" hidden="1">'K2'!#REF!</definedName>
    <definedName name="__123Graph_XE" localSheetId="15" hidden="1">'K3'!#REF!</definedName>
    <definedName name="__123Graph_XE" localSheetId="16" hidden="1">'K4'!#REF!</definedName>
    <definedName name="__123Graph_XE" localSheetId="17" hidden="1">'K5'!#REF!</definedName>
    <definedName name="__123Graph_XE" localSheetId="18" hidden="1">'K6'!#REF!</definedName>
    <definedName name="__123Graph_XE" localSheetId="19" hidden="1">'K7'!#REF!</definedName>
    <definedName name="__123Graph_XE" localSheetId="20" hidden="1">'K8'!#REF!</definedName>
    <definedName name="__123Graph_XE" localSheetId="21" hidden="1">'K9'!#REF!</definedName>
    <definedName name="__123Graph_XE" localSheetId="1" hidden="1">'N1'!#REF!</definedName>
    <definedName name="__123Graph_XE" localSheetId="10" hidden="1">'N10'!#REF!</definedName>
    <definedName name="__123Graph_XE" localSheetId="11" hidden="1">'N11'!#REF!</definedName>
    <definedName name="__123Graph_XE" localSheetId="12" hidden="1">'N12'!#REF!</definedName>
    <definedName name="__123Graph_XE" localSheetId="2" hidden="1">'N2'!#REF!</definedName>
    <definedName name="__123Graph_XE" localSheetId="3" hidden="1">'N3'!#REF!</definedName>
    <definedName name="__123Graph_XE" localSheetId="4" hidden="1">'N4'!#REF!</definedName>
    <definedName name="__123Graph_XE" localSheetId="5" hidden="1">'N5'!#REF!</definedName>
    <definedName name="__123Graph_XE" localSheetId="6" hidden="1">'N6'!#REF!</definedName>
    <definedName name="__123Graph_XE" localSheetId="7" hidden="1">'N7'!#REF!</definedName>
    <definedName name="__123Graph_XE" localSheetId="8" hidden="1">'N8'!#REF!</definedName>
    <definedName name="__123Graph_XE" localSheetId="9" hidden="1">'N9'!#REF!</definedName>
    <definedName name="__123Graph_XE" localSheetId="25" hidden="1">Yht1!#REF!</definedName>
    <definedName name="__123Graph_XE" localSheetId="34" hidden="1">Yht10!#REF!</definedName>
    <definedName name="__123Graph_XE" localSheetId="35" hidden="1">Yht11!#REF!</definedName>
    <definedName name="__123Graph_XE" localSheetId="36" hidden="1">Yht12!#REF!</definedName>
    <definedName name="__123Graph_XE" localSheetId="26" hidden="1">Yht2!#REF!</definedName>
    <definedName name="__123Graph_XE" localSheetId="27" hidden="1">Yht3!#REF!</definedName>
    <definedName name="__123Graph_XE" localSheetId="28" hidden="1">Yht4!#REF!</definedName>
    <definedName name="__123Graph_XE" localSheetId="29" hidden="1">Yht5!#REF!</definedName>
    <definedName name="__123Graph_XE" localSheetId="30" hidden="1">Yht6!#REF!</definedName>
    <definedName name="__123Graph_XE" localSheetId="31" hidden="1">Yht7!#REF!</definedName>
    <definedName name="__123Graph_XE" localSheetId="32" hidden="1">Yht8!#REF!</definedName>
    <definedName name="__123Graph_XE" localSheetId="33" hidden="1">Yht9!#REF!</definedName>
    <definedName name="__123Graph_XMAIN" localSheetId="13" hidden="1">'K1'!#REF!</definedName>
    <definedName name="__123Graph_XMAIN" localSheetId="22" hidden="1">'K10'!#REF!</definedName>
    <definedName name="__123Graph_XMAIN" localSheetId="23" hidden="1">'K11'!#REF!</definedName>
    <definedName name="__123Graph_XMAIN" localSheetId="24" hidden="1">'K12'!#REF!</definedName>
    <definedName name="__123Graph_XMAIN" localSheetId="14" hidden="1">'K2'!#REF!</definedName>
    <definedName name="__123Graph_XMAIN" localSheetId="15" hidden="1">'K3'!#REF!</definedName>
    <definedName name="__123Graph_XMAIN" localSheetId="16" hidden="1">'K4'!#REF!</definedName>
    <definedName name="__123Graph_XMAIN" localSheetId="17" hidden="1">'K5'!#REF!</definedName>
    <definedName name="__123Graph_XMAIN" localSheetId="18" hidden="1">'K6'!#REF!</definedName>
    <definedName name="__123Graph_XMAIN" localSheetId="19" hidden="1">'K7'!#REF!</definedName>
    <definedName name="__123Graph_XMAIN" localSheetId="20" hidden="1">'K8'!#REF!</definedName>
    <definedName name="__123Graph_XMAIN" localSheetId="21" hidden="1">'K9'!#REF!</definedName>
    <definedName name="__123Graph_XMAIN" localSheetId="1" hidden="1">'N1'!#REF!</definedName>
    <definedName name="__123Graph_XMAIN" localSheetId="10" hidden="1">'N10'!#REF!</definedName>
    <definedName name="__123Graph_XMAIN" localSheetId="11" hidden="1">'N11'!#REF!</definedName>
    <definedName name="__123Graph_XMAIN" localSheetId="12" hidden="1">'N12'!#REF!</definedName>
    <definedName name="__123Graph_XMAIN" localSheetId="2" hidden="1">'N2'!#REF!</definedName>
    <definedName name="__123Graph_XMAIN" localSheetId="3" hidden="1">'N3'!#REF!</definedName>
    <definedName name="__123Graph_XMAIN" localSheetId="4" hidden="1">'N4'!#REF!</definedName>
    <definedName name="__123Graph_XMAIN" localSheetId="5" hidden="1">'N5'!#REF!</definedName>
    <definedName name="__123Graph_XMAIN" localSheetId="6" hidden="1">'N6'!#REF!</definedName>
    <definedName name="__123Graph_XMAIN" localSheetId="7" hidden="1">'N7'!#REF!</definedName>
    <definedName name="__123Graph_XMAIN" localSheetId="8" hidden="1">'N8'!#REF!</definedName>
    <definedName name="__123Graph_XMAIN" localSheetId="9" hidden="1">'N9'!#REF!</definedName>
    <definedName name="__123Graph_XMAIN" localSheetId="25" hidden="1">Yht1!#REF!</definedName>
    <definedName name="__123Graph_XMAIN" localSheetId="34" hidden="1">Yht10!#REF!</definedName>
    <definedName name="__123Graph_XMAIN" localSheetId="35" hidden="1">Yht11!#REF!</definedName>
    <definedName name="__123Graph_XMAIN" localSheetId="36" hidden="1">Yht12!#REF!</definedName>
    <definedName name="__123Graph_XMAIN" localSheetId="26" hidden="1">Yht2!#REF!</definedName>
    <definedName name="__123Graph_XMAIN" localSheetId="27" hidden="1">Yht3!#REF!</definedName>
    <definedName name="__123Graph_XMAIN" localSheetId="28" hidden="1">Yht4!#REF!</definedName>
    <definedName name="__123Graph_XMAIN" localSheetId="29" hidden="1">Yht5!#REF!</definedName>
    <definedName name="__123Graph_XMAIN" localSheetId="30" hidden="1">Yht6!#REF!</definedName>
    <definedName name="__123Graph_XMAIN" localSheetId="31" hidden="1">Yht7!#REF!</definedName>
    <definedName name="__123Graph_XMAIN" localSheetId="32" hidden="1">Yht8!#REF!</definedName>
    <definedName name="__123Graph_XMAIN" localSheetId="33" hidden="1">Yht9!#REF!</definedName>
    <definedName name="_1" localSheetId="13">'K1'!#REF!</definedName>
    <definedName name="_1" localSheetId="22">'K10'!#REF!</definedName>
    <definedName name="_1" localSheetId="23">'K11'!#REF!</definedName>
    <definedName name="_1" localSheetId="24">'K12'!#REF!</definedName>
    <definedName name="_1" localSheetId="14">'K2'!#REF!</definedName>
    <definedName name="_1" localSheetId="15">'K3'!#REF!</definedName>
    <definedName name="_1" localSheetId="16">'K4'!#REF!</definedName>
    <definedName name="_1" localSheetId="17">'K5'!#REF!</definedName>
    <definedName name="_1" localSheetId="18">'K6'!#REF!</definedName>
    <definedName name="_1" localSheetId="19">'K7'!#REF!</definedName>
    <definedName name="_1" localSheetId="20">'K8'!#REF!</definedName>
    <definedName name="_1" localSheetId="21">'K9'!#REF!</definedName>
    <definedName name="_1" localSheetId="10">'N10'!#REF!</definedName>
    <definedName name="_1" localSheetId="11">'N11'!#REF!</definedName>
    <definedName name="_1" localSheetId="12">'N12'!#REF!</definedName>
    <definedName name="_1" localSheetId="2">'N2'!#REF!</definedName>
    <definedName name="_1" localSheetId="3">'N3'!#REF!</definedName>
    <definedName name="_1" localSheetId="4">'N4'!#REF!</definedName>
    <definedName name="_1" localSheetId="5">'N5'!#REF!</definedName>
    <definedName name="_1" localSheetId="6">'N6'!#REF!</definedName>
    <definedName name="_1" localSheetId="7">'N7'!#REF!</definedName>
    <definedName name="_1" localSheetId="8">'N8'!#REF!</definedName>
    <definedName name="_1" localSheetId="9">'N9'!#REF!</definedName>
    <definedName name="_1" localSheetId="25">Yht1!#REF!</definedName>
    <definedName name="_1" localSheetId="34">Yht10!#REF!</definedName>
    <definedName name="_1" localSheetId="35">Yht11!#REF!</definedName>
    <definedName name="_1" localSheetId="36">Yht12!#REF!</definedName>
    <definedName name="_1" localSheetId="26">Yht2!#REF!</definedName>
    <definedName name="_1" localSheetId="27">Yht3!#REF!</definedName>
    <definedName name="_1" localSheetId="28">Yht4!#REF!</definedName>
    <definedName name="_1" localSheetId="29">Yht5!#REF!</definedName>
    <definedName name="_1" localSheetId="30">Yht6!#REF!</definedName>
    <definedName name="_1" localSheetId="31">Yht7!#REF!</definedName>
    <definedName name="_1" localSheetId="32">Yht8!#REF!</definedName>
    <definedName name="_1" localSheetId="33">Yht9!#REF!</definedName>
    <definedName name="_1">'N1'!#REF!</definedName>
    <definedName name="_10" localSheetId="13">'K1'!#REF!</definedName>
    <definedName name="_10" localSheetId="22">'K10'!#REF!</definedName>
    <definedName name="_10" localSheetId="23">'K11'!#REF!</definedName>
    <definedName name="_10" localSheetId="24">'K12'!#REF!</definedName>
    <definedName name="_10" localSheetId="14">'K2'!#REF!</definedName>
    <definedName name="_10" localSheetId="15">'K3'!#REF!</definedName>
    <definedName name="_10" localSheetId="16">'K4'!#REF!</definedName>
    <definedName name="_10" localSheetId="17">'K5'!#REF!</definedName>
    <definedName name="_10" localSheetId="18">'K6'!#REF!</definedName>
    <definedName name="_10" localSheetId="19">'K7'!#REF!</definedName>
    <definedName name="_10" localSheetId="20">'K8'!#REF!</definedName>
    <definedName name="_10" localSheetId="21">'K9'!#REF!</definedName>
    <definedName name="_10" localSheetId="10">'N10'!#REF!</definedName>
    <definedName name="_10" localSheetId="11">'N11'!#REF!</definedName>
    <definedName name="_10" localSheetId="12">'N12'!#REF!</definedName>
    <definedName name="_10" localSheetId="2">'N2'!#REF!</definedName>
    <definedName name="_10" localSheetId="3">'N3'!#REF!</definedName>
    <definedName name="_10" localSheetId="4">'N4'!#REF!</definedName>
    <definedName name="_10" localSheetId="5">'N5'!#REF!</definedName>
    <definedName name="_10" localSheetId="6">'N6'!#REF!</definedName>
    <definedName name="_10" localSheetId="7">'N7'!#REF!</definedName>
    <definedName name="_10" localSheetId="8">'N8'!#REF!</definedName>
    <definedName name="_10" localSheetId="9">'N9'!#REF!</definedName>
    <definedName name="_10" localSheetId="25">Yht1!#REF!</definedName>
    <definedName name="_10" localSheetId="34">Yht10!#REF!</definedName>
    <definedName name="_10" localSheetId="35">Yht11!#REF!</definedName>
    <definedName name="_10" localSheetId="36">Yht12!#REF!</definedName>
    <definedName name="_10" localSheetId="26">Yht2!#REF!</definedName>
    <definedName name="_10" localSheetId="27">Yht3!#REF!</definedName>
    <definedName name="_10" localSheetId="28">Yht4!#REF!</definedName>
    <definedName name="_10" localSheetId="29">Yht5!#REF!</definedName>
    <definedName name="_10" localSheetId="30">Yht6!#REF!</definedName>
    <definedName name="_10" localSheetId="31">Yht7!#REF!</definedName>
    <definedName name="_10" localSheetId="32">Yht8!#REF!</definedName>
    <definedName name="_10" localSheetId="33">Yht9!#REF!</definedName>
    <definedName name="_10">'N1'!#REF!</definedName>
    <definedName name="_11" localSheetId="13">'K1'!#REF!</definedName>
    <definedName name="_11" localSheetId="22">'K10'!#REF!</definedName>
    <definedName name="_11" localSheetId="23">'K11'!#REF!</definedName>
    <definedName name="_11" localSheetId="24">'K12'!#REF!</definedName>
    <definedName name="_11" localSheetId="14">'K2'!#REF!</definedName>
    <definedName name="_11" localSheetId="15">'K3'!#REF!</definedName>
    <definedName name="_11" localSheetId="16">'K4'!#REF!</definedName>
    <definedName name="_11" localSheetId="17">'K5'!#REF!</definedName>
    <definedName name="_11" localSheetId="18">'K6'!#REF!</definedName>
    <definedName name="_11" localSheetId="19">'K7'!#REF!</definedName>
    <definedName name="_11" localSheetId="20">'K8'!#REF!</definedName>
    <definedName name="_11" localSheetId="21">'K9'!#REF!</definedName>
    <definedName name="_11" localSheetId="10">'N10'!#REF!</definedName>
    <definedName name="_11" localSheetId="11">'N11'!#REF!</definedName>
    <definedName name="_11" localSheetId="12">'N12'!#REF!</definedName>
    <definedName name="_11" localSheetId="2">'N2'!#REF!</definedName>
    <definedName name="_11" localSheetId="3">'N3'!#REF!</definedName>
    <definedName name="_11" localSheetId="4">'N4'!#REF!</definedName>
    <definedName name="_11" localSheetId="5">'N5'!#REF!</definedName>
    <definedName name="_11" localSheetId="6">'N6'!#REF!</definedName>
    <definedName name="_11" localSheetId="7">'N7'!#REF!</definedName>
    <definedName name="_11" localSheetId="8">'N8'!#REF!</definedName>
    <definedName name="_11" localSheetId="9">'N9'!#REF!</definedName>
    <definedName name="_11" localSheetId="25">Yht1!#REF!</definedName>
    <definedName name="_11" localSheetId="34">Yht10!#REF!</definedName>
    <definedName name="_11" localSheetId="35">Yht11!#REF!</definedName>
    <definedName name="_11" localSheetId="36">Yht12!#REF!</definedName>
    <definedName name="_11" localSheetId="26">Yht2!#REF!</definedName>
    <definedName name="_11" localSheetId="27">Yht3!#REF!</definedName>
    <definedName name="_11" localSheetId="28">Yht4!#REF!</definedName>
    <definedName name="_11" localSheetId="29">Yht5!#REF!</definedName>
    <definedName name="_11" localSheetId="30">Yht6!#REF!</definedName>
    <definedName name="_11" localSheetId="31">Yht7!#REF!</definedName>
    <definedName name="_11" localSheetId="32">Yht8!#REF!</definedName>
    <definedName name="_11" localSheetId="33">Yht9!#REF!</definedName>
    <definedName name="_11">'N1'!#REF!</definedName>
    <definedName name="_12" localSheetId="13">'K1'!#REF!</definedName>
    <definedName name="_12" localSheetId="22">'K10'!#REF!</definedName>
    <definedName name="_12" localSheetId="23">'K11'!#REF!</definedName>
    <definedName name="_12" localSheetId="24">'K12'!#REF!</definedName>
    <definedName name="_12" localSheetId="14">'K2'!#REF!</definedName>
    <definedName name="_12" localSheetId="15">'K3'!#REF!</definedName>
    <definedName name="_12" localSheetId="16">'K4'!#REF!</definedName>
    <definedName name="_12" localSheetId="17">'K5'!#REF!</definedName>
    <definedName name="_12" localSheetId="18">'K6'!#REF!</definedName>
    <definedName name="_12" localSheetId="19">'K7'!#REF!</definedName>
    <definedName name="_12" localSheetId="20">'K8'!#REF!</definedName>
    <definedName name="_12" localSheetId="21">'K9'!#REF!</definedName>
    <definedName name="_12" localSheetId="10">'N10'!#REF!</definedName>
    <definedName name="_12" localSheetId="11">'N11'!#REF!</definedName>
    <definedName name="_12" localSheetId="12">'N12'!#REF!</definedName>
    <definedName name="_12" localSheetId="2">'N2'!#REF!</definedName>
    <definedName name="_12" localSheetId="3">'N3'!#REF!</definedName>
    <definedName name="_12" localSheetId="4">'N4'!#REF!</definedName>
    <definedName name="_12" localSheetId="5">'N5'!#REF!</definedName>
    <definedName name="_12" localSheetId="6">'N6'!#REF!</definedName>
    <definedName name="_12" localSheetId="7">'N7'!#REF!</definedName>
    <definedName name="_12" localSheetId="8">'N8'!#REF!</definedName>
    <definedName name="_12" localSheetId="9">'N9'!#REF!</definedName>
    <definedName name="_12" localSheetId="25">Yht1!#REF!</definedName>
    <definedName name="_12" localSheetId="34">Yht10!#REF!</definedName>
    <definedName name="_12" localSheetId="35">Yht11!#REF!</definedName>
    <definedName name="_12" localSheetId="36">Yht12!#REF!</definedName>
    <definedName name="_12" localSheetId="26">Yht2!#REF!</definedName>
    <definedName name="_12" localSheetId="27">Yht3!#REF!</definedName>
    <definedName name="_12" localSheetId="28">Yht4!#REF!</definedName>
    <definedName name="_12" localSheetId="29">Yht5!#REF!</definedName>
    <definedName name="_12" localSheetId="30">Yht6!#REF!</definedName>
    <definedName name="_12" localSheetId="31">Yht7!#REF!</definedName>
    <definedName name="_12" localSheetId="32">Yht8!#REF!</definedName>
    <definedName name="_12" localSheetId="33">Yht9!#REF!</definedName>
    <definedName name="_12">'N1'!#REF!</definedName>
    <definedName name="_13" localSheetId="13">'K1'!#REF!</definedName>
    <definedName name="_13" localSheetId="22">'K10'!#REF!</definedName>
    <definedName name="_13" localSheetId="23">'K11'!#REF!</definedName>
    <definedName name="_13" localSheetId="24">'K12'!#REF!</definedName>
    <definedName name="_13" localSheetId="14">'K2'!#REF!</definedName>
    <definedName name="_13" localSheetId="15">'K3'!#REF!</definedName>
    <definedName name="_13" localSheetId="16">'K4'!#REF!</definedName>
    <definedName name="_13" localSheetId="17">'K5'!#REF!</definedName>
    <definedName name="_13" localSheetId="18">'K6'!#REF!</definedName>
    <definedName name="_13" localSheetId="19">'K7'!#REF!</definedName>
    <definedName name="_13" localSheetId="20">'K8'!#REF!</definedName>
    <definedName name="_13" localSheetId="21">'K9'!#REF!</definedName>
    <definedName name="_13" localSheetId="10">'N10'!#REF!</definedName>
    <definedName name="_13" localSheetId="11">'N11'!#REF!</definedName>
    <definedName name="_13" localSheetId="12">'N12'!#REF!</definedName>
    <definedName name="_13" localSheetId="2">'N2'!#REF!</definedName>
    <definedName name="_13" localSheetId="3">'N3'!#REF!</definedName>
    <definedName name="_13" localSheetId="4">'N4'!#REF!</definedName>
    <definedName name="_13" localSheetId="5">'N5'!#REF!</definedName>
    <definedName name="_13" localSheetId="6">'N6'!#REF!</definedName>
    <definedName name="_13" localSheetId="7">'N7'!#REF!</definedName>
    <definedName name="_13" localSheetId="8">'N8'!#REF!</definedName>
    <definedName name="_13" localSheetId="9">'N9'!#REF!</definedName>
    <definedName name="_13" localSheetId="25">Yht1!#REF!</definedName>
    <definedName name="_13" localSheetId="34">Yht10!#REF!</definedName>
    <definedName name="_13" localSheetId="35">Yht11!#REF!</definedName>
    <definedName name="_13" localSheetId="36">Yht12!#REF!</definedName>
    <definedName name="_13" localSheetId="26">Yht2!#REF!</definedName>
    <definedName name="_13" localSheetId="27">Yht3!#REF!</definedName>
    <definedName name="_13" localSheetId="28">Yht4!#REF!</definedName>
    <definedName name="_13" localSheetId="29">Yht5!#REF!</definedName>
    <definedName name="_13" localSheetId="30">Yht6!#REF!</definedName>
    <definedName name="_13" localSheetId="31">Yht7!#REF!</definedName>
    <definedName name="_13" localSheetId="32">Yht8!#REF!</definedName>
    <definedName name="_13" localSheetId="33">Yht9!#REF!</definedName>
    <definedName name="_13">'N1'!#REF!</definedName>
    <definedName name="_2" localSheetId="13">'K1'!#REF!</definedName>
    <definedName name="_2" localSheetId="22">'K10'!#REF!</definedName>
    <definedName name="_2" localSheetId="23">'K11'!#REF!</definedName>
    <definedName name="_2" localSheetId="24">'K12'!#REF!</definedName>
    <definedName name="_2" localSheetId="14">'K2'!#REF!</definedName>
    <definedName name="_2" localSheetId="15">'K3'!#REF!</definedName>
    <definedName name="_2" localSheetId="16">'K4'!#REF!</definedName>
    <definedName name="_2" localSheetId="17">'K5'!#REF!</definedName>
    <definedName name="_2" localSheetId="18">'K6'!#REF!</definedName>
    <definedName name="_2" localSheetId="19">'K7'!#REF!</definedName>
    <definedName name="_2" localSheetId="20">'K8'!#REF!</definedName>
    <definedName name="_2" localSheetId="21">'K9'!#REF!</definedName>
    <definedName name="_2" localSheetId="10">'N10'!#REF!</definedName>
    <definedName name="_2" localSheetId="11">'N11'!#REF!</definedName>
    <definedName name="_2" localSheetId="12">'N12'!#REF!</definedName>
    <definedName name="_2" localSheetId="2">'N2'!#REF!</definedName>
    <definedName name="_2" localSheetId="3">'N3'!#REF!</definedName>
    <definedName name="_2" localSheetId="4">'N4'!#REF!</definedName>
    <definedName name="_2" localSheetId="5">'N5'!#REF!</definedName>
    <definedName name="_2" localSheetId="6">'N6'!#REF!</definedName>
    <definedName name="_2" localSheetId="7">'N7'!#REF!</definedName>
    <definedName name="_2" localSheetId="8">'N8'!#REF!</definedName>
    <definedName name="_2" localSheetId="9">'N9'!#REF!</definedName>
    <definedName name="_2" localSheetId="25">Yht1!#REF!</definedName>
    <definedName name="_2" localSheetId="34">Yht10!#REF!</definedName>
    <definedName name="_2" localSheetId="35">Yht11!#REF!</definedName>
    <definedName name="_2" localSheetId="36">Yht12!#REF!</definedName>
    <definedName name="_2" localSheetId="26">Yht2!#REF!</definedName>
    <definedName name="_2" localSheetId="27">Yht3!#REF!</definedName>
    <definedName name="_2" localSheetId="28">Yht4!#REF!</definedName>
    <definedName name="_2" localSheetId="29">Yht5!#REF!</definedName>
    <definedName name="_2" localSheetId="30">Yht6!#REF!</definedName>
    <definedName name="_2" localSheetId="31">Yht7!#REF!</definedName>
    <definedName name="_2" localSheetId="32">Yht8!#REF!</definedName>
    <definedName name="_2" localSheetId="33">Yht9!#REF!</definedName>
    <definedName name="_2">'N1'!#REF!</definedName>
    <definedName name="_3" localSheetId="13">'K1'!#REF!</definedName>
    <definedName name="_3" localSheetId="22">'K10'!#REF!</definedName>
    <definedName name="_3" localSheetId="23">'K11'!#REF!</definedName>
    <definedName name="_3" localSheetId="24">'K12'!#REF!</definedName>
    <definedName name="_3" localSheetId="14">'K2'!#REF!</definedName>
    <definedName name="_3" localSheetId="15">'K3'!#REF!</definedName>
    <definedName name="_3" localSheetId="16">'K4'!#REF!</definedName>
    <definedName name="_3" localSheetId="17">'K5'!#REF!</definedName>
    <definedName name="_3" localSheetId="18">'K6'!#REF!</definedName>
    <definedName name="_3" localSheetId="19">'K7'!#REF!</definedName>
    <definedName name="_3" localSheetId="20">'K8'!#REF!</definedName>
    <definedName name="_3" localSheetId="21">'K9'!#REF!</definedName>
    <definedName name="_3" localSheetId="10">'N10'!#REF!</definedName>
    <definedName name="_3" localSheetId="11">'N11'!#REF!</definedName>
    <definedName name="_3" localSheetId="12">'N12'!#REF!</definedName>
    <definedName name="_3" localSheetId="2">'N2'!#REF!</definedName>
    <definedName name="_3" localSheetId="3">'N3'!#REF!</definedName>
    <definedName name="_3" localSheetId="4">'N4'!#REF!</definedName>
    <definedName name="_3" localSheetId="5">'N5'!#REF!</definedName>
    <definedName name="_3" localSheetId="6">'N6'!#REF!</definedName>
    <definedName name="_3" localSheetId="7">'N7'!#REF!</definedName>
    <definedName name="_3" localSheetId="8">'N8'!#REF!</definedName>
    <definedName name="_3" localSheetId="9">'N9'!#REF!</definedName>
    <definedName name="_3" localSheetId="25">Yht1!#REF!</definedName>
    <definedName name="_3" localSheetId="34">Yht10!#REF!</definedName>
    <definedName name="_3" localSheetId="35">Yht11!#REF!</definedName>
    <definedName name="_3" localSheetId="36">Yht12!#REF!</definedName>
    <definedName name="_3" localSheetId="26">Yht2!#REF!</definedName>
    <definedName name="_3" localSheetId="27">Yht3!#REF!</definedName>
    <definedName name="_3" localSheetId="28">Yht4!#REF!</definedName>
    <definedName name="_3" localSheetId="29">Yht5!#REF!</definedName>
    <definedName name="_3" localSheetId="30">Yht6!#REF!</definedName>
    <definedName name="_3" localSheetId="31">Yht7!#REF!</definedName>
    <definedName name="_3" localSheetId="32">Yht8!#REF!</definedName>
    <definedName name="_3" localSheetId="33">Yht9!#REF!</definedName>
    <definedName name="_3">'N1'!#REF!</definedName>
    <definedName name="_4" localSheetId="13">'K1'!#REF!</definedName>
    <definedName name="_4" localSheetId="22">'K10'!#REF!</definedName>
    <definedName name="_4" localSheetId="23">'K11'!#REF!</definedName>
    <definedName name="_4" localSheetId="24">'K12'!#REF!</definedName>
    <definedName name="_4" localSheetId="14">'K2'!#REF!</definedName>
    <definedName name="_4" localSheetId="15">'K3'!#REF!</definedName>
    <definedName name="_4" localSheetId="16">'K4'!#REF!</definedName>
    <definedName name="_4" localSheetId="17">'K5'!#REF!</definedName>
    <definedName name="_4" localSheetId="18">'K6'!#REF!</definedName>
    <definedName name="_4" localSheetId="19">'K7'!#REF!</definedName>
    <definedName name="_4" localSheetId="20">'K8'!#REF!</definedName>
    <definedName name="_4" localSheetId="21">'K9'!#REF!</definedName>
    <definedName name="_4" localSheetId="10">'N10'!#REF!</definedName>
    <definedName name="_4" localSheetId="11">'N11'!#REF!</definedName>
    <definedName name="_4" localSheetId="12">'N12'!#REF!</definedName>
    <definedName name="_4" localSheetId="2">'N2'!#REF!</definedName>
    <definedName name="_4" localSheetId="3">'N3'!#REF!</definedName>
    <definedName name="_4" localSheetId="4">'N4'!#REF!</definedName>
    <definedName name="_4" localSheetId="5">'N5'!#REF!</definedName>
    <definedName name="_4" localSheetId="6">'N6'!#REF!</definedName>
    <definedName name="_4" localSheetId="7">'N7'!#REF!</definedName>
    <definedName name="_4" localSheetId="8">'N8'!#REF!</definedName>
    <definedName name="_4" localSheetId="9">'N9'!#REF!</definedName>
    <definedName name="_4" localSheetId="25">Yht1!#REF!</definedName>
    <definedName name="_4" localSheetId="34">Yht10!#REF!</definedName>
    <definedName name="_4" localSheetId="35">Yht11!#REF!</definedName>
    <definedName name="_4" localSheetId="36">Yht12!#REF!</definedName>
    <definedName name="_4" localSheetId="26">Yht2!#REF!</definedName>
    <definedName name="_4" localSheetId="27">Yht3!#REF!</definedName>
    <definedName name="_4" localSheetId="28">Yht4!#REF!</definedName>
    <definedName name="_4" localSheetId="29">Yht5!#REF!</definedName>
    <definedName name="_4" localSheetId="30">Yht6!#REF!</definedName>
    <definedName name="_4" localSheetId="31">Yht7!#REF!</definedName>
    <definedName name="_4" localSheetId="32">Yht8!#REF!</definedName>
    <definedName name="_4" localSheetId="33">Yht9!#REF!</definedName>
    <definedName name="_4">'N1'!#REF!</definedName>
    <definedName name="_5" localSheetId="13">'K1'!#REF!</definedName>
    <definedName name="_5" localSheetId="22">'K10'!#REF!</definedName>
    <definedName name="_5" localSheetId="23">'K11'!#REF!</definedName>
    <definedName name="_5" localSheetId="24">'K12'!#REF!</definedName>
    <definedName name="_5" localSheetId="14">'K2'!#REF!</definedName>
    <definedName name="_5" localSheetId="15">'K3'!#REF!</definedName>
    <definedName name="_5" localSheetId="16">'K4'!#REF!</definedName>
    <definedName name="_5" localSheetId="17">'K5'!#REF!</definedName>
    <definedName name="_5" localSheetId="18">'K6'!#REF!</definedName>
    <definedName name="_5" localSheetId="19">'K7'!#REF!</definedName>
    <definedName name="_5" localSheetId="20">'K8'!#REF!</definedName>
    <definedName name="_5" localSheetId="21">'K9'!#REF!</definedName>
    <definedName name="_5" localSheetId="10">'N10'!#REF!</definedName>
    <definedName name="_5" localSheetId="11">'N11'!#REF!</definedName>
    <definedName name="_5" localSheetId="12">'N12'!#REF!</definedName>
    <definedName name="_5" localSheetId="2">'N2'!#REF!</definedName>
    <definedName name="_5" localSheetId="3">'N3'!#REF!</definedName>
    <definedName name="_5" localSheetId="4">'N4'!#REF!</definedName>
    <definedName name="_5" localSheetId="5">'N5'!#REF!</definedName>
    <definedName name="_5" localSheetId="6">'N6'!#REF!</definedName>
    <definedName name="_5" localSheetId="7">'N7'!#REF!</definedName>
    <definedName name="_5" localSheetId="8">'N8'!#REF!</definedName>
    <definedName name="_5" localSheetId="9">'N9'!#REF!</definedName>
    <definedName name="_5" localSheetId="25">Yht1!#REF!</definedName>
    <definedName name="_5" localSheetId="34">Yht10!#REF!</definedName>
    <definedName name="_5" localSheetId="35">Yht11!#REF!</definedName>
    <definedName name="_5" localSheetId="36">Yht12!#REF!</definedName>
    <definedName name="_5" localSheetId="26">Yht2!#REF!</definedName>
    <definedName name="_5" localSheetId="27">Yht3!#REF!</definedName>
    <definedName name="_5" localSheetId="28">Yht4!#REF!</definedName>
    <definedName name="_5" localSheetId="29">Yht5!#REF!</definedName>
    <definedName name="_5" localSheetId="30">Yht6!#REF!</definedName>
    <definedName name="_5" localSheetId="31">Yht7!#REF!</definedName>
    <definedName name="_5" localSheetId="32">Yht8!#REF!</definedName>
    <definedName name="_5" localSheetId="33">Yht9!#REF!</definedName>
    <definedName name="_5">'N1'!#REF!</definedName>
    <definedName name="_6" localSheetId="13">'K1'!#REF!</definedName>
    <definedName name="_6" localSheetId="22">'K10'!#REF!</definedName>
    <definedName name="_6" localSheetId="23">'K11'!#REF!</definedName>
    <definedName name="_6" localSheetId="24">'K12'!#REF!</definedName>
    <definedName name="_6" localSheetId="14">'K2'!#REF!</definedName>
    <definedName name="_6" localSheetId="15">'K3'!#REF!</definedName>
    <definedName name="_6" localSheetId="16">'K4'!#REF!</definedName>
    <definedName name="_6" localSheetId="17">'K5'!#REF!</definedName>
    <definedName name="_6" localSheetId="18">'K6'!#REF!</definedName>
    <definedName name="_6" localSheetId="19">'K7'!#REF!</definedName>
    <definedName name="_6" localSheetId="20">'K8'!#REF!</definedName>
    <definedName name="_6" localSheetId="21">'K9'!#REF!</definedName>
    <definedName name="_6" localSheetId="10">'N10'!#REF!</definedName>
    <definedName name="_6" localSheetId="11">'N11'!#REF!</definedName>
    <definedName name="_6" localSheetId="12">'N12'!#REF!</definedName>
    <definedName name="_6" localSheetId="2">'N2'!#REF!</definedName>
    <definedName name="_6" localSheetId="3">'N3'!#REF!</definedName>
    <definedName name="_6" localSheetId="4">'N4'!#REF!</definedName>
    <definedName name="_6" localSheetId="5">'N5'!#REF!</definedName>
    <definedName name="_6" localSheetId="6">'N6'!#REF!</definedName>
    <definedName name="_6" localSheetId="7">'N7'!#REF!</definedName>
    <definedName name="_6" localSheetId="8">'N8'!#REF!</definedName>
    <definedName name="_6" localSheetId="9">'N9'!#REF!</definedName>
    <definedName name="_6" localSheetId="25">Yht1!#REF!</definedName>
    <definedName name="_6" localSheetId="34">Yht10!#REF!</definedName>
    <definedName name="_6" localSheetId="35">Yht11!#REF!</definedName>
    <definedName name="_6" localSheetId="36">Yht12!#REF!</definedName>
    <definedName name="_6" localSheetId="26">Yht2!#REF!</definedName>
    <definedName name="_6" localSheetId="27">Yht3!#REF!</definedName>
    <definedName name="_6" localSheetId="28">Yht4!#REF!</definedName>
    <definedName name="_6" localSheetId="29">Yht5!#REF!</definedName>
    <definedName name="_6" localSheetId="30">Yht6!#REF!</definedName>
    <definedName name="_6" localSheetId="31">Yht7!#REF!</definedName>
    <definedName name="_6" localSheetId="32">Yht8!#REF!</definedName>
    <definedName name="_6" localSheetId="33">Yht9!#REF!</definedName>
    <definedName name="_6">'N1'!#REF!</definedName>
    <definedName name="_7" localSheetId="13">'K1'!#REF!</definedName>
    <definedName name="_7" localSheetId="22">'K10'!#REF!</definedName>
    <definedName name="_7" localSheetId="23">'K11'!#REF!</definedName>
    <definedName name="_7" localSheetId="24">'K12'!#REF!</definedName>
    <definedName name="_7" localSheetId="14">'K2'!#REF!</definedName>
    <definedName name="_7" localSheetId="15">'K3'!#REF!</definedName>
    <definedName name="_7" localSheetId="16">'K4'!#REF!</definedName>
    <definedName name="_7" localSheetId="17">'K5'!#REF!</definedName>
    <definedName name="_7" localSheetId="18">'K6'!#REF!</definedName>
    <definedName name="_7" localSheetId="19">'K7'!#REF!</definedName>
    <definedName name="_7" localSheetId="20">'K8'!#REF!</definedName>
    <definedName name="_7" localSheetId="21">'K9'!#REF!</definedName>
    <definedName name="_7" localSheetId="10">'N10'!#REF!</definedName>
    <definedName name="_7" localSheetId="11">'N11'!#REF!</definedName>
    <definedName name="_7" localSheetId="12">'N12'!#REF!</definedName>
    <definedName name="_7" localSheetId="2">'N2'!#REF!</definedName>
    <definedName name="_7" localSheetId="3">'N3'!#REF!</definedName>
    <definedName name="_7" localSheetId="4">'N4'!#REF!</definedName>
    <definedName name="_7" localSheetId="5">'N5'!#REF!</definedName>
    <definedName name="_7" localSheetId="6">'N6'!#REF!</definedName>
    <definedName name="_7" localSheetId="7">'N7'!#REF!</definedName>
    <definedName name="_7" localSheetId="8">'N8'!#REF!</definedName>
    <definedName name="_7" localSheetId="9">'N9'!#REF!</definedName>
    <definedName name="_7" localSheetId="25">Yht1!#REF!</definedName>
    <definedName name="_7" localSheetId="34">Yht10!#REF!</definedName>
    <definedName name="_7" localSheetId="35">Yht11!#REF!</definedName>
    <definedName name="_7" localSheetId="36">Yht12!#REF!</definedName>
    <definedName name="_7" localSheetId="26">Yht2!#REF!</definedName>
    <definedName name="_7" localSheetId="27">Yht3!#REF!</definedName>
    <definedName name="_7" localSheetId="28">Yht4!#REF!</definedName>
    <definedName name="_7" localSheetId="29">Yht5!#REF!</definedName>
    <definedName name="_7" localSheetId="30">Yht6!#REF!</definedName>
    <definedName name="_7" localSheetId="31">Yht7!#REF!</definedName>
    <definedName name="_7" localSheetId="32">Yht8!#REF!</definedName>
    <definedName name="_7" localSheetId="33">Yht9!#REF!</definedName>
    <definedName name="_7">'N1'!#REF!</definedName>
    <definedName name="_8" localSheetId="13">'K1'!#REF!</definedName>
    <definedName name="_8" localSheetId="22">'K10'!#REF!</definedName>
    <definedName name="_8" localSheetId="23">'K11'!#REF!</definedName>
    <definedName name="_8" localSheetId="24">'K12'!#REF!</definedName>
    <definedName name="_8" localSheetId="14">'K2'!#REF!</definedName>
    <definedName name="_8" localSheetId="15">'K3'!#REF!</definedName>
    <definedName name="_8" localSheetId="16">'K4'!#REF!</definedName>
    <definedName name="_8" localSheetId="17">'K5'!#REF!</definedName>
    <definedName name="_8" localSheetId="18">'K6'!#REF!</definedName>
    <definedName name="_8" localSheetId="19">'K7'!#REF!</definedName>
    <definedName name="_8" localSheetId="20">'K8'!#REF!</definedName>
    <definedName name="_8" localSheetId="21">'K9'!#REF!</definedName>
    <definedName name="_8" localSheetId="10">'N10'!#REF!</definedName>
    <definedName name="_8" localSheetId="11">'N11'!#REF!</definedName>
    <definedName name="_8" localSheetId="12">'N12'!#REF!</definedName>
    <definedName name="_8" localSheetId="2">'N2'!#REF!</definedName>
    <definedName name="_8" localSheetId="3">'N3'!#REF!</definedName>
    <definedName name="_8" localSheetId="4">'N4'!#REF!</definedName>
    <definedName name="_8" localSheetId="5">'N5'!#REF!</definedName>
    <definedName name="_8" localSheetId="6">'N6'!#REF!</definedName>
    <definedName name="_8" localSheetId="7">'N7'!#REF!</definedName>
    <definedName name="_8" localSheetId="8">'N8'!#REF!</definedName>
    <definedName name="_8" localSheetId="9">'N9'!#REF!</definedName>
    <definedName name="_8" localSheetId="25">Yht1!#REF!</definedName>
    <definedName name="_8" localSheetId="34">Yht10!#REF!</definedName>
    <definedName name="_8" localSheetId="35">Yht11!#REF!</definedName>
    <definedName name="_8" localSheetId="36">Yht12!#REF!</definedName>
    <definedName name="_8" localSheetId="26">Yht2!#REF!</definedName>
    <definedName name="_8" localSheetId="27">Yht3!#REF!</definedName>
    <definedName name="_8" localSheetId="28">Yht4!#REF!</definedName>
    <definedName name="_8" localSheetId="29">Yht5!#REF!</definedName>
    <definedName name="_8" localSheetId="30">Yht6!#REF!</definedName>
    <definedName name="_8" localSheetId="31">Yht7!#REF!</definedName>
    <definedName name="_8" localSheetId="32">Yht8!#REF!</definedName>
    <definedName name="_8" localSheetId="33">Yht9!#REF!</definedName>
    <definedName name="_8">'N1'!#REF!</definedName>
    <definedName name="_9" localSheetId="13">'K1'!#REF!</definedName>
    <definedName name="_9" localSheetId="22">'K10'!#REF!</definedName>
    <definedName name="_9" localSheetId="23">'K11'!#REF!</definedName>
    <definedName name="_9" localSheetId="24">'K12'!#REF!</definedName>
    <definedName name="_9" localSheetId="14">'K2'!#REF!</definedName>
    <definedName name="_9" localSheetId="15">'K3'!#REF!</definedName>
    <definedName name="_9" localSheetId="16">'K4'!#REF!</definedName>
    <definedName name="_9" localSheetId="17">'K5'!#REF!</definedName>
    <definedName name="_9" localSheetId="18">'K6'!#REF!</definedName>
    <definedName name="_9" localSheetId="19">'K7'!#REF!</definedName>
    <definedName name="_9" localSheetId="20">'K8'!#REF!</definedName>
    <definedName name="_9" localSheetId="21">'K9'!#REF!</definedName>
    <definedName name="_9" localSheetId="10">'N10'!#REF!</definedName>
    <definedName name="_9" localSheetId="11">'N11'!#REF!</definedName>
    <definedName name="_9" localSheetId="12">'N12'!#REF!</definedName>
    <definedName name="_9" localSheetId="2">'N2'!#REF!</definedName>
    <definedName name="_9" localSheetId="3">'N3'!#REF!</definedName>
    <definedName name="_9" localSheetId="4">'N4'!#REF!</definedName>
    <definedName name="_9" localSheetId="5">'N5'!#REF!</definedName>
    <definedName name="_9" localSheetId="6">'N6'!#REF!</definedName>
    <definedName name="_9" localSheetId="7">'N7'!#REF!</definedName>
    <definedName name="_9" localSheetId="8">'N8'!#REF!</definedName>
    <definedName name="_9" localSheetId="9">'N9'!#REF!</definedName>
    <definedName name="_9" localSheetId="25">Yht1!#REF!</definedName>
    <definedName name="_9" localSheetId="34">Yht10!#REF!</definedName>
    <definedName name="_9" localSheetId="35">Yht11!#REF!</definedName>
    <definedName name="_9" localSheetId="36">Yht12!#REF!</definedName>
    <definedName name="_9" localSheetId="26">Yht2!#REF!</definedName>
    <definedName name="_9" localSheetId="27">Yht3!#REF!</definedName>
    <definedName name="_9" localSheetId="28">Yht4!#REF!</definedName>
    <definedName name="_9" localSheetId="29">Yht5!#REF!</definedName>
    <definedName name="_9" localSheetId="30">Yht6!#REF!</definedName>
    <definedName name="_9" localSheetId="31">Yht7!#REF!</definedName>
    <definedName name="_9" localSheetId="32">Yht8!#REF!</definedName>
    <definedName name="_9" localSheetId="33">Yht9!#REF!</definedName>
    <definedName name="_9">'N1'!#REF!</definedName>
    <definedName name="_Fill" localSheetId="13" hidden="1">'K1'!#REF!</definedName>
    <definedName name="_Fill" localSheetId="22" hidden="1">'K10'!#REF!</definedName>
    <definedName name="_Fill" localSheetId="23" hidden="1">'K11'!#REF!</definedName>
    <definedName name="_Fill" localSheetId="24" hidden="1">'K12'!#REF!</definedName>
    <definedName name="_Fill" localSheetId="14" hidden="1">'K2'!#REF!</definedName>
    <definedName name="_Fill" localSheetId="15" hidden="1">'K3'!#REF!</definedName>
    <definedName name="_Fill" localSheetId="16" hidden="1">'K4'!#REF!</definedName>
    <definedName name="_Fill" localSheetId="17" hidden="1">'K5'!#REF!</definedName>
    <definedName name="_Fill" localSheetId="18" hidden="1">'K6'!#REF!</definedName>
    <definedName name="_Fill" localSheetId="19" hidden="1">'K7'!#REF!</definedName>
    <definedName name="_Fill" localSheetId="20" hidden="1">'K8'!#REF!</definedName>
    <definedName name="_Fill" localSheetId="21" hidden="1">'K9'!#REF!</definedName>
    <definedName name="_Fill" localSheetId="1" hidden="1">'N1'!#REF!</definedName>
    <definedName name="_Fill" localSheetId="10" hidden="1">'N10'!#REF!</definedName>
    <definedName name="_Fill" localSheetId="11" hidden="1">'N11'!#REF!</definedName>
    <definedName name="_Fill" localSheetId="12" hidden="1">'N12'!#REF!</definedName>
    <definedName name="_Fill" localSheetId="2" hidden="1">'N2'!#REF!</definedName>
    <definedName name="_Fill" localSheetId="3" hidden="1">'N3'!#REF!</definedName>
    <definedName name="_Fill" localSheetId="4" hidden="1">'N4'!#REF!</definedName>
    <definedName name="_Fill" localSheetId="5" hidden="1">'N5'!#REF!</definedName>
    <definedName name="_Fill" localSheetId="6" hidden="1">'N6'!#REF!</definedName>
    <definedName name="_Fill" localSheetId="7" hidden="1">'N7'!#REF!</definedName>
    <definedName name="_Fill" localSheetId="8" hidden="1">'N8'!#REF!</definedName>
    <definedName name="_Fill" localSheetId="9" hidden="1">'N9'!#REF!</definedName>
    <definedName name="_Fill" localSheetId="25" hidden="1">Yht1!#REF!</definedName>
    <definedName name="_Fill" localSheetId="34" hidden="1">Yht10!#REF!</definedName>
    <definedName name="_Fill" localSheetId="35" hidden="1">Yht11!#REF!</definedName>
    <definedName name="_Fill" localSheetId="36" hidden="1">Yht12!#REF!</definedName>
    <definedName name="_Fill" localSheetId="26" hidden="1">Yht2!#REF!</definedName>
    <definedName name="_Fill" localSheetId="27" hidden="1">Yht3!#REF!</definedName>
    <definedName name="_Fill" localSheetId="28" hidden="1">Yht4!#REF!</definedName>
    <definedName name="_Fill" localSheetId="29" hidden="1">Yht5!#REF!</definedName>
    <definedName name="_Fill" localSheetId="30" hidden="1">Yht6!#REF!</definedName>
    <definedName name="_Fill" localSheetId="31" hidden="1">Yht7!#REF!</definedName>
    <definedName name="_Fill" localSheetId="32" hidden="1">Yht8!#REF!</definedName>
    <definedName name="_Fill" localSheetId="33" hidden="1">Yht9!#REF!</definedName>
    <definedName name="_PT1" localSheetId="13">'K1'!$C$36:$AD$36</definedName>
    <definedName name="_PT1" localSheetId="22">'K10'!$C$36:$AD$36</definedName>
    <definedName name="_PT1" localSheetId="23">'K11'!$C$36:$AD$36</definedName>
    <definedName name="_PT1" localSheetId="24">'K12'!$C$36:$AD$36</definedName>
    <definedName name="_PT1" localSheetId="14">'K2'!$C$36:$AD$36</definedName>
    <definedName name="_PT1" localSheetId="15">'K3'!$C$36:$AD$36</definedName>
    <definedName name="_PT1" localSheetId="16">'K4'!$C$36:$AD$36</definedName>
    <definedName name="_PT1" localSheetId="17">'K5'!$C$36:$AD$36</definedName>
    <definedName name="_PT1" localSheetId="18">'K6'!$C$36:$AD$36</definedName>
    <definedName name="_PT1" localSheetId="19">'K7'!$C$36:$AD$36</definedName>
    <definedName name="_PT1" localSheetId="20">'K8'!$C$36:$AD$36</definedName>
    <definedName name="_PT1" localSheetId="21">'K9'!$C$36:$AD$36</definedName>
    <definedName name="_PT1" localSheetId="10">'N10'!$C$36:$AD$36</definedName>
    <definedName name="_PT1" localSheetId="11">'N11'!$C$36:$AD$36</definedName>
    <definedName name="_PT1" localSheetId="12">'N12'!$C$36:$AD$36</definedName>
    <definedName name="_PT1" localSheetId="2">'N2'!$C$36:$AD$36</definedName>
    <definedName name="_PT1" localSheetId="3">'N3'!$C$36:$AD$36</definedName>
    <definedName name="_PT1" localSheetId="4">'N4'!$C$36:$AD$36</definedName>
    <definedName name="_PT1" localSheetId="5">'N5'!$C$36:$AD$36</definedName>
    <definedName name="_PT1" localSheetId="6">'N6'!$C$36:$AD$36</definedName>
    <definedName name="_PT1" localSheetId="7">'N7'!$C$36:$AD$36</definedName>
    <definedName name="_PT1" localSheetId="8">'N8'!$C$36:$AD$36</definedName>
    <definedName name="_PT1" localSheetId="9">'N9'!$C$36:$AD$36</definedName>
    <definedName name="_PT1" localSheetId="25">Yht1!$C$36:$AD$36</definedName>
    <definedName name="_PT1" localSheetId="34">Yht10!$C$36:$AD$36</definedName>
    <definedName name="_PT1" localSheetId="35">Yht11!$C$36:$AD$36</definedName>
    <definedName name="_PT1" localSheetId="36">Yht12!$C$36:$AD$36</definedName>
    <definedName name="_PT1" localSheetId="26">Yht2!$C$36:$AD$36</definedName>
    <definedName name="_PT1" localSheetId="27">Yht3!$C$36:$AD$36</definedName>
    <definedName name="_PT1" localSheetId="28">Yht4!$C$36:$AD$36</definedName>
    <definedName name="_PT1" localSheetId="29">Yht5!$C$36:$AD$36</definedName>
    <definedName name="_PT1" localSheetId="30">Yht6!$C$36:$AD$36</definedName>
    <definedName name="_PT1" localSheetId="31">Yht7!$C$36:$AD$36</definedName>
    <definedName name="_PT1" localSheetId="32">Yht8!$C$36:$AD$36</definedName>
    <definedName name="_PT1" localSheetId="33">Yht9!$C$36:$AD$36</definedName>
    <definedName name="_PT1">'N1'!$C$36:$AD$36</definedName>
    <definedName name="_PT10" localSheetId="13">'K1'!#REF!</definedName>
    <definedName name="_PT10" localSheetId="22">'K10'!#REF!</definedName>
    <definedName name="_PT10" localSheetId="23">'K11'!#REF!</definedName>
    <definedName name="_PT10" localSheetId="24">'K12'!#REF!</definedName>
    <definedName name="_PT10" localSheetId="14">'K2'!#REF!</definedName>
    <definedName name="_PT10" localSheetId="15">'K3'!#REF!</definedName>
    <definedName name="_PT10" localSheetId="16">'K4'!#REF!</definedName>
    <definedName name="_PT10" localSheetId="17">'K5'!#REF!</definedName>
    <definedName name="_PT10" localSheetId="18">'K6'!#REF!</definedName>
    <definedName name="_PT10" localSheetId="19">'K7'!#REF!</definedName>
    <definedName name="_PT10" localSheetId="20">'K8'!#REF!</definedName>
    <definedName name="_PT10" localSheetId="21">'K9'!#REF!</definedName>
    <definedName name="_PT10" localSheetId="10">'N10'!#REF!</definedName>
    <definedName name="_PT10" localSheetId="11">'N11'!#REF!</definedName>
    <definedName name="_PT10" localSheetId="12">'N12'!#REF!</definedName>
    <definedName name="_PT10" localSheetId="2">'N2'!#REF!</definedName>
    <definedName name="_PT10" localSheetId="3">'N3'!#REF!</definedName>
    <definedName name="_PT10" localSheetId="4">'N4'!#REF!</definedName>
    <definedName name="_PT10" localSheetId="5">'N5'!#REF!</definedName>
    <definedName name="_PT10" localSheetId="6">'N6'!#REF!</definedName>
    <definedName name="_PT10" localSheetId="7">'N7'!#REF!</definedName>
    <definedName name="_PT10" localSheetId="8">'N8'!#REF!</definedName>
    <definedName name="_PT10" localSheetId="9">'N9'!#REF!</definedName>
    <definedName name="_PT10" localSheetId="25">Yht1!#REF!</definedName>
    <definedName name="_PT10" localSheetId="34">Yht10!#REF!</definedName>
    <definedName name="_PT10" localSheetId="35">Yht11!#REF!</definedName>
    <definedName name="_PT10" localSheetId="36">Yht12!#REF!</definedName>
    <definedName name="_PT10" localSheetId="26">Yht2!#REF!</definedName>
    <definedName name="_PT10" localSheetId="27">Yht3!#REF!</definedName>
    <definedName name="_PT10" localSheetId="28">Yht4!#REF!</definedName>
    <definedName name="_PT10" localSheetId="29">Yht5!#REF!</definedName>
    <definedName name="_PT10" localSheetId="30">Yht6!#REF!</definedName>
    <definedName name="_PT10" localSheetId="31">Yht7!#REF!</definedName>
    <definedName name="_PT10" localSheetId="32">Yht8!#REF!</definedName>
    <definedName name="_PT10" localSheetId="33">Yht9!#REF!</definedName>
    <definedName name="_PT10">'N1'!#REF!</definedName>
    <definedName name="_PT11" localSheetId="13">'K1'!#REF!</definedName>
    <definedName name="_PT11" localSheetId="22">'K10'!#REF!</definedName>
    <definedName name="_PT11" localSheetId="23">'K11'!#REF!</definedName>
    <definedName name="_PT11" localSheetId="24">'K12'!#REF!</definedName>
    <definedName name="_PT11" localSheetId="14">'K2'!#REF!</definedName>
    <definedName name="_PT11" localSheetId="15">'K3'!#REF!</definedName>
    <definedName name="_PT11" localSheetId="16">'K4'!#REF!</definedName>
    <definedName name="_PT11" localSheetId="17">'K5'!#REF!</definedName>
    <definedName name="_PT11" localSheetId="18">'K6'!#REF!</definedName>
    <definedName name="_PT11" localSheetId="19">'K7'!#REF!</definedName>
    <definedName name="_PT11" localSheetId="20">'K8'!#REF!</definedName>
    <definedName name="_PT11" localSheetId="21">'K9'!#REF!</definedName>
    <definedName name="_PT11" localSheetId="10">'N10'!#REF!</definedName>
    <definedName name="_PT11" localSheetId="11">'N11'!#REF!</definedName>
    <definedName name="_PT11" localSheetId="12">'N12'!#REF!</definedName>
    <definedName name="_PT11" localSheetId="2">'N2'!#REF!</definedName>
    <definedName name="_PT11" localSheetId="3">'N3'!#REF!</definedName>
    <definedName name="_PT11" localSheetId="4">'N4'!#REF!</definedName>
    <definedName name="_PT11" localSheetId="5">'N5'!#REF!</definedName>
    <definedName name="_PT11" localSheetId="6">'N6'!#REF!</definedName>
    <definedName name="_PT11" localSheetId="7">'N7'!#REF!</definedName>
    <definedName name="_PT11" localSheetId="8">'N8'!#REF!</definedName>
    <definedName name="_PT11" localSheetId="9">'N9'!#REF!</definedName>
    <definedName name="_PT11" localSheetId="25">Yht1!#REF!</definedName>
    <definedName name="_PT11" localSheetId="34">Yht10!#REF!</definedName>
    <definedName name="_PT11" localSheetId="35">Yht11!#REF!</definedName>
    <definedName name="_PT11" localSheetId="36">Yht12!#REF!</definedName>
    <definedName name="_PT11" localSheetId="26">Yht2!#REF!</definedName>
    <definedName name="_PT11" localSheetId="27">Yht3!#REF!</definedName>
    <definedName name="_PT11" localSheetId="28">Yht4!#REF!</definedName>
    <definedName name="_PT11" localSheetId="29">Yht5!#REF!</definedName>
    <definedName name="_PT11" localSheetId="30">Yht6!#REF!</definedName>
    <definedName name="_PT11" localSheetId="31">Yht7!#REF!</definedName>
    <definedName name="_PT11" localSheetId="32">Yht8!#REF!</definedName>
    <definedName name="_PT11" localSheetId="33">Yht9!#REF!</definedName>
    <definedName name="_PT11">'N1'!#REF!</definedName>
    <definedName name="_PT12" localSheetId="13">'K1'!#REF!</definedName>
    <definedName name="_PT12" localSheetId="22">'K10'!#REF!</definedName>
    <definedName name="_PT12" localSheetId="23">'K11'!#REF!</definedName>
    <definedName name="_PT12" localSheetId="24">'K12'!#REF!</definedName>
    <definedName name="_PT12" localSheetId="14">'K2'!#REF!</definedName>
    <definedName name="_PT12" localSheetId="15">'K3'!#REF!</definedName>
    <definedName name="_PT12" localSheetId="16">'K4'!#REF!</definedName>
    <definedName name="_PT12" localSheetId="17">'K5'!#REF!</definedName>
    <definedName name="_PT12" localSheetId="18">'K6'!#REF!</definedName>
    <definedName name="_PT12" localSheetId="19">'K7'!#REF!</definedName>
    <definedName name="_PT12" localSheetId="20">'K8'!#REF!</definedName>
    <definedName name="_PT12" localSheetId="21">'K9'!#REF!</definedName>
    <definedName name="_PT12" localSheetId="10">'N10'!#REF!</definedName>
    <definedName name="_PT12" localSheetId="11">'N11'!#REF!</definedName>
    <definedName name="_PT12" localSheetId="12">'N12'!#REF!</definedName>
    <definedName name="_PT12" localSheetId="2">'N2'!#REF!</definedName>
    <definedName name="_PT12" localSheetId="3">'N3'!#REF!</definedName>
    <definedName name="_PT12" localSheetId="4">'N4'!#REF!</definedName>
    <definedName name="_PT12" localSheetId="5">'N5'!#REF!</definedName>
    <definedName name="_PT12" localSheetId="6">'N6'!#REF!</definedName>
    <definedName name="_PT12" localSheetId="7">'N7'!#REF!</definedName>
    <definedName name="_PT12" localSheetId="8">'N8'!#REF!</definedName>
    <definedName name="_PT12" localSheetId="9">'N9'!#REF!</definedName>
    <definedName name="_PT12" localSheetId="25">Yht1!#REF!</definedName>
    <definedName name="_PT12" localSheetId="34">Yht10!#REF!</definedName>
    <definedName name="_PT12" localSheetId="35">Yht11!#REF!</definedName>
    <definedName name="_PT12" localSheetId="36">Yht12!#REF!</definedName>
    <definedName name="_PT12" localSheetId="26">Yht2!#REF!</definedName>
    <definedName name="_PT12" localSheetId="27">Yht3!#REF!</definedName>
    <definedName name="_PT12" localSheetId="28">Yht4!#REF!</definedName>
    <definedName name="_PT12" localSheetId="29">Yht5!#REF!</definedName>
    <definedName name="_PT12" localSheetId="30">Yht6!#REF!</definedName>
    <definedName name="_PT12" localSheetId="31">Yht7!#REF!</definedName>
    <definedName name="_PT12" localSheetId="32">Yht8!#REF!</definedName>
    <definedName name="_PT12" localSheetId="33">Yht9!#REF!</definedName>
    <definedName name="_PT12">'N1'!#REF!</definedName>
    <definedName name="_PT2" localSheetId="13">'K1'!#REF!</definedName>
    <definedName name="_PT2" localSheetId="22">'K10'!#REF!</definedName>
    <definedName name="_PT2" localSheetId="23">'K11'!#REF!</definedName>
    <definedName name="_PT2" localSheetId="24">'K12'!#REF!</definedName>
    <definedName name="_PT2" localSheetId="14">'K2'!#REF!</definedName>
    <definedName name="_PT2" localSheetId="15">'K3'!#REF!</definedName>
    <definedName name="_PT2" localSheetId="16">'K4'!#REF!</definedName>
    <definedName name="_PT2" localSheetId="17">'K5'!#REF!</definedName>
    <definedName name="_PT2" localSheetId="18">'K6'!#REF!</definedName>
    <definedName name="_PT2" localSheetId="19">'K7'!#REF!</definedName>
    <definedName name="_PT2" localSheetId="20">'K8'!#REF!</definedName>
    <definedName name="_PT2" localSheetId="21">'K9'!#REF!</definedName>
    <definedName name="_PT2" localSheetId="10">'N10'!#REF!</definedName>
    <definedName name="_PT2" localSheetId="11">'N11'!#REF!</definedName>
    <definedName name="_PT2" localSheetId="12">'N12'!#REF!</definedName>
    <definedName name="_PT2" localSheetId="2">'N2'!#REF!</definedName>
    <definedName name="_PT2" localSheetId="3">'N3'!#REF!</definedName>
    <definedName name="_PT2" localSheetId="4">'N4'!#REF!</definedName>
    <definedName name="_PT2" localSheetId="5">'N5'!#REF!</definedName>
    <definedName name="_PT2" localSheetId="6">'N6'!#REF!</definedName>
    <definedName name="_PT2" localSheetId="7">'N7'!#REF!</definedName>
    <definedName name="_PT2" localSheetId="8">'N8'!#REF!</definedName>
    <definedName name="_PT2" localSheetId="9">'N9'!#REF!</definedName>
    <definedName name="_PT2" localSheetId="25">Yht1!#REF!</definedName>
    <definedName name="_PT2" localSheetId="34">Yht10!#REF!</definedName>
    <definedName name="_PT2" localSheetId="35">Yht11!#REF!</definedName>
    <definedName name="_PT2" localSheetId="36">Yht12!#REF!</definedName>
    <definedName name="_PT2" localSheetId="26">Yht2!#REF!</definedName>
    <definedName name="_PT2" localSheetId="27">Yht3!#REF!</definedName>
    <definedName name="_PT2" localSheetId="28">Yht4!#REF!</definedName>
    <definedName name="_PT2" localSheetId="29">Yht5!#REF!</definedName>
    <definedName name="_PT2" localSheetId="30">Yht6!#REF!</definedName>
    <definedName name="_PT2" localSheetId="31">Yht7!#REF!</definedName>
    <definedName name="_PT2" localSheetId="32">Yht8!#REF!</definedName>
    <definedName name="_PT2" localSheetId="33">Yht9!#REF!</definedName>
    <definedName name="_PT2">'N1'!#REF!</definedName>
    <definedName name="_PT3" localSheetId="13">'K1'!#REF!</definedName>
    <definedName name="_PT3" localSheetId="22">'K10'!#REF!</definedName>
    <definedName name="_PT3" localSheetId="23">'K11'!#REF!</definedName>
    <definedName name="_PT3" localSheetId="24">'K12'!#REF!</definedName>
    <definedName name="_PT3" localSheetId="14">'K2'!#REF!</definedName>
    <definedName name="_PT3" localSheetId="15">'K3'!#REF!</definedName>
    <definedName name="_PT3" localSheetId="16">'K4'!#REF!</definedName>
    <definedName name="_PT3" localSheetId="17">'K5'!#REF!</definedName>
    <definedName name="_PT3" localSheetId="18">'K6'!#REF!</definedName>
    <definedName name="_PT3" localSheetId="19">'K7'!#REF!</definedName>
    <definedName name="_PT3" localSheetId="20">'K8'!#REF!</definedName>
    <definedName name="_PT3" localSheetId="21">'K9'!#REF!</definedName>
    <definedName name="_PT3" localSheetId="10">'N10'!#REF!</definedName>
    <definedName name="_PT3" localSheetId="11">'N11'!#REF!</definedName>
    <definedName name="_PT3" localSheetId="12">'N12'!#REF!</definedName>
    <definedName name="_PT3" localSheetId="2">'N2'!#REF!</definedName>
    <definedName name="_PT3" localSheetId="3">'N3'!#REF!</definedName>
    <definedName name="_PT3" localSheetId="4">'N4'!#REF!</definedName>
    <definedName name="_PT3" localSheetId="5">'N5'!#REF!</definedName>
    <definedName name="_PT3" localSheetId="6">'N6'!#REF!</definedName>
    <definedName name="_PT3" localSheetId="7">'N7'!#REF!</definedName>
    <definedName name="_PT3" localSheetId="8">'N8'!#REF!</definedName>
    <definedName name="_PT3" localSheetId="9">'N9'!#REF!</definedName>
    <definedName name="_PT3" localSheetId="25">Yht1!#REF!</definedName>
    <definedName name="_PT3" localSheetId="34">Yht10!#REF!</definedName>
    <definedName name="_PT3" localSheetId="35">Yht11!#REF!</definedName>
    <definedName name="_PT3" localSheetId="36">Yht12!#REF!</definedName>
    <definedName name="_PT3" localSheetId="26">Yht2!#REF!</definedName>
    <definedName name="_PT3" localSheetId="27">Yht3!#REF!</definedName>
    <definedName name="_PT3" localSheetId="28">Yht4!#REF!</definedName>
    <definedName name="_PT3" localSheetId="29">Yht5!#REF!</definedName>
    <definedName name="_PT3" localSheetId="30">Yht6!#REF!</definedName>
    <definedName name="_PT3" localSheetId="31">Yht7!#REF!</definedName>
    <definedName name="_PT3" localSheetId="32">Yht8!#REF!</definedName>
    <definedName name="_PT3" localSheetId="33">Yht9!#REF!</definedName>
    <definedName name="_PT3">'N1'!#REF!</definedName>
    <definedName name="_PT4" localSheetId="13">'K1'!#REF!</definedName>
    <definedName name="_PT4" localSheetId="22">'K10'!#REF!</definedName>
    <definedName name="_PT4" localSheetId="23">'K11'!#REF!</definedName>
    <definedName name="_PT4" localSheetId="24">'K12'!#REF!</definedName>
    <definedName name="_PT4" localSheetId="14">'K2'!#REF!</definedName>
    <definedName name="_PT4" localSheetId="15">'K3'!#REF!</definedName>
    <definedName name="_PT4" localSheetId="16">'K4'!#REF!</definedName>
    <definedName name="_PT4" localSheetId="17">'K5'!#REF!</definedName>
    <definedName name="_PT4" localSheetId="18">'K6'!#REF!</definedName>
    <definedName name="_PT4" localSheetId="19">'K7'!#REF!</definedName>
    <definedName name="_PT4" localSheetId="20">'K8'!#REF!</definedName>
    <definedName name="_PT4" localSheetId="21">'K9'!#REF!</definedName>
    <definedName name="_PT4" localSheetId="10">'N10'!#REF!</definedName>
    <definedName name="_PT4" localSheetId="11">'N11'!#REF!</definedName>
    <definedName name="_PT4" localSheetId="12">'N12'!#REF!</definedName>
    <definedName name="_PT4" localSheetId="2">'N2'!#REF!</definedName>
    <definedName name="_PT4" localSheetId="3">'N3'!#REF!</definedName>
    <definedName name="_PT4" localSheetId="4">'N4'!#REF!</definedName>
    <definedName name="_PT4" localSheetId="5">'N5'!#REF!</definedName>
    <definedName name="_PT4" localSheetId="6">'N6'!#REF!</definedName>
    <definedName name="_PT4" localSheetId="7">'N7'!#REF!</definedName>
    <definedName name="_PT4" localSheetId="8">'N8'!#REF!</definedName>
    <definedName name="_PT4" localSheetId="9">'N9'!#REF!</definedName>
    <definedName name="_PT4" localSheetId="25">Yht1!#REF!</definedName>
    <definedName name="_PT4" localSheetId="34">Yht10!#REF!</definedName>
    <definedName name="_PT4" localSheetId="35">Yht11!#REF!</definedName>
    <definedName name="_PT4" localSheetId="36">Yht12!#REF!</definedName>
    <definedName name="_PT4" localSheetId="26">Yht2!#REF!</definedName>
    <definedName name="_PT4" localSheetId="27">Yht3!#REF!</definedName>
    <definedName name="_PT4" localSheetId="28">Yht4!#REF!</definedName>
    <definedName name="_PT4" localSheetId="29">Yht5!#REF!</definedName>
    <definedName name="_PT4" localSheetId="30">Yht6!#REF!</definedName>
    <definedName name="_PT4" localSheetId="31">Yht7!#REF!</definedName>
    <definedName name="_PT4" localSheetId="32">Yht8!#REF!</definedName>
    <definedName name="_PT4" localSheetId="33">Yht9!#REF!</definedName>
    <definedName name="_PT4">'N1'!#REF!</definedName>
    <definedName name="_PT5" localSheetId="13">'K1'!#REF!</definedName>
    <definedName name="_PT5" localSheetId="22">'K10'!#REF!</definedName>
    <definedName name="_PT5" localSheetId="23">'K11'!#REF!</definedName>
    <definedName name="_PT5" localSheetId="24">'K12'!#REF!</definedName>
    <definedName name="_PT5" localSheetId="14">'K2'!#REF!</definedName>
    <definedName name="_PT5" localSheetId="15">'K3'!#REF!</definedName>
    <definedName name="_PT5" localSheetId="16">'K4'!#REF!</definedName>
    <definedName name="_PT5" localSheetId="17">'K5'!#REF!</definedName>
    <definedName name="_PT5" localSheetId="18">'K6'!#REF!</definedName>
    <definedName name="_PT5" localSheetId="19">'K7'!#REF!</definedName>
    <definedName name="_PT5" localSheetId="20">'K8'!#REF!</definedName>
    <definedName name="_PT5" localSheetId="21">'K9'!#REF!</definedName>
    <definedName name="_PT5" localSheetId="10">'N10'!#REF!</definedName>
    <definedName name="_PT5" localSheetId="11">'N11'!#REF!</definedName>
    <definedName name="_PT5" localSheetId="12">'N12'!#REF!</definedName>
    <definedName name="_PT5" localSheetId="2">'N2'!#REF!</definedName>
    <definedName name="_PT5" localSheetId="3">'N3'!#REF!</definedName>
    <definedName name="_PT5" localSheetId="4">'N4'!#REF!</definedName>
    <definedName name="_PT5" localSheetId="5">'N5'!#REF!</definedName>
    <definedName name="_PT5" localSheetId="6">'N6'!#REF!</definedName>
    <definedName name="_PT5" localSheetId="7">'N7'!#REF!</definedName>
    <definedName name="_PT5" localSheetId="8">'N8'!#REF!</definedName>
    <definedName name="_PT5" localSheetId="9">'N9'!#REF!</definedName>
    <definedName name="_PT5" localSheetId="25">Yht1!#REF!</definedName>
    <definedName name="_PT5" localSheetId="34">Yht10!#REF!</definedName>
    <definedName name="_PT5" localSheetId="35">Yht11!#REF!</definedName>
    <definedName name="_PT5" localSheetId="36">Yht12!#REF!</definedName>
    <definedName name="_PT5" localSheetId="26">Yht2!#REF!</definedName>
    <definedName name="_PT5" localSheetId="27">Yht3!#REF!</definedName>
    <definedName name="_PT5" localSheetId="28">Yht4!#REF!</definedName>
    <definedName name="_PT5" localSheetId="29">Yht5!#REF!</definedName>
    <definedName name="_PT5" localSheetId="30">Yht6!#REF!</definedName>
    <definedName name="_PT5" localSheetId="31">Yht7!#REF!</definedName>
    <definedName name="_PT5" localSheetId="32">Yht8!#REF!</definedName>
    <definedName name="_PT5" localSheetId="33">Yht9!#REF!</definedName>
    <definedName name="_PT5">'N1'!#REF!</definedName>
    <definedName name="_PT6" localSheetId="13">'K1'!#REF!</definedName>
    <definedName name="_PT6" localSheetId="22">'K10'!#REF!</definedName>
    <definedName name="_PT6" localSheetId="23">'K11'!#REF!</definedName>
    <definedName name="_PT6" localSheetId="24">'K12'!#REF!</definedName>
    <definedName name="_PT6" localSheetId="14">'K2'!#REF!</definedName>
    <definedName name="_PT6" localSheetId="15">'K3'!#REF!</definedName>
    <definedName name="_PT6" localSheetId="16">'K4'!#REF!</definedName>
    <definedName name="_PT6" localSheetId="17">'K5'!#REF!</definedName>
    <definedName name="_PT6" localSheetId="18">'K6'!#REF!</definedName>
    <definedName name="_PT6" localSheetId="19">'K7'!#REF!</definedName>
    <definedName name="_PT6" localSheetId="20">'K8'!#REF!</definedName>
    <definedName name="_PT6" localSheetId="21">'K9'!#REF!</definedName>
    <definedName name="_PT6" localSheetId="10">'N10'!#REF!</definedName>
    <definedName name="_PT6" localSheetId="11">'N11'!#REF!</definedName>
    <definedName name="_PT6" localSheetId="12">'N12'!#REF!</definedName>
    <definedName name="_PT6" localSheetId="2">'N2'!#REF!</definedName>
    <definedName name="_PT6" localSheetId="3">'N3'!#REF!</definedName>
    <definedName name="_PT6" localSheetId="4">'N4'!#REF!</definedName>
    <definedName name="_PT6" localSheetId="5">'N5'!#REF!</definedName>
    <definedName name="_PT6" localSheetId="6">'N6'!#REF!</definedName>
    <definedName name="_PT6" localSheetId="7">'N7'!#REF!</definedName>
    <definedName name="_PT6" localSheetId="8">'N8'!#REF!</definedName>
    <definedName name="_PT6" localSheetId="9">'N9'!#REF!</definedName>
    <definedName name="_PT6" localSheetId="25">Yht1!#REF!</definedName>
    <definedName name="_PT6" localSheetId="34">Yht10!#REF!</definedName>
    <definedName name="_PT6" localSheetId="35">Yht11!#REF!</definedName>
    <definedName name="_PT6" localSheetId="36">Yht12!#REF!</definedName>
    <definedName name="_PT6" localSheetId="26">Yht2!#REF!</definedName>
    <definedName name="_PT6" localSheetId="27">Yht3!#REF!</definedName>
    <definedName name="_PT6" localSheetId="28">Yht4!#REF!</definedName>
    <definedName name="_PT6" localSheetId="29">Yht5!#REF!</definedName>
    <definedName name="_PT6" localSheetId="30">Yht6!#REF!</definedName>
    <definedName name="_PT6" localSheetId="31">Yht7!#REF!</definedName>
    <definedName name="_PT6" localSheetId="32">Yht8!#REF!</definedName>
    <definedName name="_PT6" localSheetId="33">Yht9!#REF!</definedName>
    <definedName name="_PT6">'N1'!#REF!</definedName>
    <definedName name="_PT7" localSheetId="13">'K1'!#REF!</definedName>
    <definedName name="_PT7" localSheetId="22">'K10'!#REF!</definedName>
    <definedName name="_PT7" localSheetId="23">'K11'!#REF!</definedName>
    <definedName name="_PT7" localSheetId="24">'K12'!#REF!</definedName>
    <definedName name="_PT7" localSheetId="14">'K2'!#REF!</definedName>
    <definedName name="_PT7" localSheetId="15">'K3'!#REF!</definedName>
    <definedName name="_PT7" localSheetId="16">'K4'!#REF!</definedName>
    <definedName name="_PT7" localSheetId="17">'K5'!#REF!</definedName>
    <definedName name="_PT7" localSheetId="18">'K6'!#REF!</definedName>
    <definedName name="_PT7" localSheetId="19">'K7'!#REF!</definedName>
    <definedName name="_PT7" localSheetId="20">'K8'!#REF!</definedName>
    <definedName name="_PT7" localSheetId="21">'K9'!#REF!</definedName>
    <definedName name="_PT7" localSheetId="10">'N10'!#REF!</definedName>
    <definedName name="_PT7" localSheetId="11">'N11'!#REF!</definedName>
    <definedName name="_PT7" localSheetId="12">'N12'!#REF!</definedName>
    <definedName name="_PT7" localSheetId="2">'N2'!#REF!</definedName>
    <definedName name="_PT7" localSheetId="3">'N3'!#REF!</definedName>
    <definedName name="_PT7" localSheetId="4">'N4'!#REF!</definedName>
    <definedName name="_PT7" localSheetId="5">'N5'!#REF!</definedName>
    <definedName name="_PT7" localSheetId="6">'N6'!#REF!</definedName>
    <definedName name="_PT7" localSheetId="7">'N7'!#REF!</definedName>
    <definedName name="_PT7" localSheetId="8">'N8'!#REF!</definedName>
    <definedName name="_PT7" localSheetId="9">'N9'!#REF!</definedName>
    <definedName name="_PT7" localSheetId="25">Yht1!#REF!</definedName>
    <definedName name="_PT7" localSheetId="34">Yht10!#REF!</definedName>
    <definedName name="_PT7" localSheetId="35">Yht11!#REF!</definedName>
    <definedName name="_PT7" localSheetId="36">Yht12!#REF!</definedName>
    <definedName name="_PT7" localSheetId="26">Yht2!#REF!</definedName>
    <definedName name="_PT7" localSheetId="27">Yht3!#REF!</definedName>
    <definedName name="_PT7" localSheetId="28">Yht4!#REF!</definedName>
    <definedName name="_PT7" localSheetId="29">Yht5!#REF!</definedName>
    <definedName name="_PT7" localSheetId="30">Yht6!#REF!</definedName>
    <definedName name="_PT7" localSheetId="31">Yht7!#REF!</definedName>
    <definedName name="_PT7" localSheetId="32">Yht8!#REF!</definedName>
    <definedName name="_PT7" localSheetId="33">Yht9!#REF!</definedName>
    <definedName name="_PT7">'N1'!#REF!</definedName>
    <definedName name="_PT8" localSheetId="13">'K1'!#REF!</definedName>
    <definedName name="_PT8" localSheetId="22">'K10'!#REF!</definedName>
    <definedName name="_PT8" localSheetId="23">'K11'!#REF!</definedName>
    <definedName name="_PT8" localSheetId="24">'K12'!#REF!</definedName>
    <definedName name="_PT8" localSheetId="14">'K2'!#REF!</definedName>
    <definedName name="_PT8" localSheetId="15">'K3'!#REF!</definedName>
    <definedName name="_PT8" localSheetId="16">'K4'!#REF!</definedName>
    <definedName name="_PT8" localSheetId="17">'K5'!#REF!</definedName>
    <definedName name="_PT8" localSheetId="18">'K6'!#REF!</definedName>
    <definedName name="_PT8" localSheetId="19">'K7'!#REF!</definedName>
    <definedName name="_PT8" localSheetId="20">'K8'!#REF!</definedName>
    <definedName name="_PT8" localSheetId="21">'K9'!#REF!</definedName>
    <definedName name="_PT8" localSheetId="10">'N10'!#REF!</definedName>
    <definedName name="_PT8" localSheetId="11">'N11'!#REF!</definedName>
    <definedName name="_PT8" localSheetId="12">'N12'!#REF!</definedName>
    <definedName name="_PT8" localSheetId="2">'N2'!#REF!</definedName>
    <definedName name="_PT8" localSheetId="3">'N3'!#REF!</definedName>
    <definedName name="_PT8" localSheetId="4">'N4'!#REF!</definedName>
    <definedName name="_PT8" localSheetId="5">'N5'!#REF!</definedName>
    <definedName name="_PT8" localSheetId="6">'N6'!#REF!</definedName>
    <definedName name="_PT8" localSheetId="7">'N7'!#REF!</definedName>
    <definedName name="_PT8" localSheetId="8">'N8'!#REF!</definedName>
    <definedName name="_PT8" localSheetId="9">'N9'!#REF!</definedName>
    <definedName name="_PT8" localSheetId="25">Yht1!#REF!</definedName>
    <definedName name="_PT8" localSheetId="34">Yht10!#REF!</definedName>
    <definedName name="_PT8" localSheetId="35">Yht11!#REF!</definedName>
    <definedName name="_PT8" localSheetId="36">Yht12!#REF!</definedName>
    <definedName name="_PT8" localSheetId="26">Yht2!#REF!</definedName>
    <definedName name="_PT8" localSheetId="27">Yht3!#REF!</definedName>
    <definedName name="_PT8" localSheetId="28">Yht4!#REF!</definedName>
    <definedName name="_PT8" localSheetId="29">Yht5!#REF!</definedName>
    <definedName name="_PT8" localSheetId="30">Yht6!#REF!</definedName>
    <definedName name="_PT8" localSheetId="31">Yht7!#REF!</definedName>
    <definedName name="_PT8" localSheetId="32">Yht8!#REF!</definedName>
    <definedName name="_PT8" localSheetId="33">Yht9!#REF!</definedName>
    <definedName name="_PT8">'N1'!#REF!</definedName>
    <definedName name="_PT9" localSheetId="13">'K1'!#REF!</definedName>
    <definedName name="_PT9" localSheetId="22">'K10'!#REF!</definedName>
    <definedName name="_PT9" localSheetId="23">'K11'!#REF!</definedName>
    <definedName name="_PT9" localSheetId="24">'K12'!#REF!</definedName>
    <definedName name="_PT9" localSheetId="14">'K2'!#REF!</definedName>
    <definedName name="_PT9" localSheetId="15">'K3'!#REF!</definedName>
    <definedName name="_PT9" localSheetId="16">'K4'!#REF!</definedName>
    <definedName name="_PT9" localSheetId="17">'K5'!#REF!</definedName>
    <definedName name="_PT9" localSheetId="18">'K6'!#REF!</definedName>
    <definedName name="_PT9" localSheetId="19">'K7'!#REF!</definedName>
    <definedName name="_PT9" localSheetId="20">'K8'!#REF!</definedName>
    <definedName name="_PT9" localSheetId="21">'K9'!#REF!</definedName>
    <definedName name="_PT9" localSheetId="10">'N10'!#REF!</definedName>
    <definedName name="_PT9" localSheetId="11">'N11'!#REF!</definedName>
    <definedName name="_PT9" localSheetId="12">'N12'!#REF!</definedName>
    <definedName name="_PT9" localSheetId="2">'N2'!#REF!</definedName>
    <definedName name="_PT9" localSheetId="3">'N3'!#REF!</definedName>
    <definedName name="_PT9" localSheetId="4">'N4'!#REF!</definedName>
    <definedName name="_PT9" localSheetId="5">'N5'!#REF!</definedName>
    <definedName name="_PT9" localSheetId="6">'N6'!#REF!</definedName>
    <definedName name="_PT9" localSheetId="7">'N7'!#REF!</definedName>
    <definedName name="_PT9" localSheetId="8">'N8'!#REF!</definedName>
    <definedName name="_PT9" localSheetId="9">'N9'!#REF!</definedName>
    <definedName name="_PT9" localSheetId="25">Yht1!#REF!</definedName>
    <definedName name="_PT9" localSheetId="34">Yht10!#REF!</definedName>
    <definedName name="_PT9" localSheetId="35">Yht11!#REF!</definedName>
    <definedName name="_PT9" localSheetId="36">Yht12!#REF!</definedName>
    <definedName name="_PT9" localSheetId="26">Yht2!#REF!</definedName>
    <definedName name="_PT9" localSheetId="27">Yht3!#REF!</definedName>
    <definedName name="_PT9" localSheetId="28">Yht4!#REF!</definedName>
    <definedName name="_PT9" localSheetId="29">Yht5!#REF!</definedName>
    <definedName name="_PT9" localSheetId="30">Yht6!#REF!</definedName>
    <definedName name="_PT9" localSheetId="31">Yht7!#REF!</definedName>
    <definedName name="_PT9" localSheetId="32">Yht8!#REF!</definedName>
    <definedName name="_PT9" localSheetId="33">Yht9!#REF!</definedName>
    <definedName name="_PT9">'N1'!#REF!</definedName>
    <definedName name="ACwvu.Perusikkuna." localSheetId="13" hidden="1">'K1'!#REF!</definedName>
    <definedName name="ACwvu.Perusikkuna." localSheetId="22" hidden="1">'K10'!#REF!</definedName>
    <definedName name="ACwvu.Perusikkuna." localSheetId="23" hidden="1">'K11'!#REF!</definedName>
    <definedName name="ACwvu.Perusikkuna." localSheetId="24" hidden="1">'K12'!#REF!</definedName>
    <definedName name="ACwvu.Perusikkuna." localSheetId="14" hidden="1">'K2'!#REF!</definedName>
    <definedName name="ACwvu.Perusikkuna." localSheetId="15" hidden="1">'K3'!#REF!</definedName>
    <definedName name="ACwvu.Perusikkuna." localSheetId="16" hidden="1">'K4'!#REF!</definedName>
    <definedName name="ACwvu.Perusikkuna." localSheetId="17" hidden="1">'K5'!#REF!</definedName>
    <definedName name="ACwvu.Perusikkuna." localSheetId="18" hidden="1">'K6'!#REF!</definedName>
    <definedName name="ACwvu.Perusikkuna." localSheetId="19" hidden="1">'K7'!#REF!</definedName>
    <definedName name="ACwvu.Perusikkuna." localSheetId="20" hidden="1">'K8'!#REF!</definedName>
    <definedName name="ACwvu.Perusikkuna." localSheetId="21" hidden="1">'K9'!#REF!</definedName>
    <definedName name="ACwvu.Perusikkuna." localSheetId="1" hidden="1">'N1'!#REF!</definedName>
    <definedName name="ACwvu.Perusikkuna." localSheetId="10" hidden="1">'N10'!#REF!</definedName>
    <definedName name="ACwvu.Perusikkuna." localSheetId="11" hidden="1">'N11'!#REF!</definedName>
    <definedName name="ACwvu.Perusikkuna." localSheetId="12" hidden="1">'N12'!#REF!</definedName>
    <definedName name="ACwvu.Perusikkuna." localSheetId="2" hidden="1">'N2'!#REF!</definedName>
    <definedName name="ACwvu.Perusikkuna." localSheetId="3" hidden="1">'N3'!#REF!</definedName>
    <definedName name="ACwvu.Perusikkuna." localSheetId="4" hidden="1">'N4'!#REF!</definedName>
    <definedName name="ACwvu.Perusikkuna." localSheetId="5" hidden="1">'N5'!#REF!</definedName>
    <definedName name="ACwvu.Perusikkuna." localSheetId="6" hidden="1">'N6'!#REF!</definedName>
    <definedName name="ACwvu.Perusikkuna." localSheetId="7" hidden="1">'N7'!#REF!</definedName>
    <definedName name="ACwvu.Perusikkuna." localSheetId="8" hidden="1">'N8'!#REF!</definedName>
    <definedName name="ACwvu.Perusikkuna." localSheetId="9" hidden="1">'N9'!#REF!</definedName>
    <definedName name="ACwvu.Perusikkuna." localSheetId="25" hidden="1">Yht1!#REF!</definedName>
    <definedName name="ACwvu.Perusikkuna." localSheetId="34" hidden="1">Yht10!#REF!</definedName>
    <definedName name="ACwvu.Perusikkuna." localSheetId="35" hidden="1">Yht11!#REF!</definedName>
    <definedName name="ACwvu.Perusikkuna." localSheetId="36" hidden="1">Yht12!#REF!</definedName>
    <definedName name="ACwvu.Perusikkuna." localSheetId="26" hidden="1">Yht2!#REF!</definedName>
    <definedName name="ACwvu.Perusikkuna." localSheetId="27" hidden="1">Yht3!#REF!</definedName>
    <definedName name="ACwvu.Perusikkuna." localSheetId="28" hidden="1">Yht4!#REF!</definedName>
    <definedName name="ACwvu.Perusikkuna." localSheetId="29" hidden="1">Yht5!#REF!</definedName>
    <definedName name="ACwvu.Perusikkuna." localSheetId="30" hidden="1">Yht6!#REF!</definedName>
    <definedName name="ACwvu.Perusikkuna." localSheetId="31" hidden="1">Yht7!#REF!</definedName>
    <definedName name="ACwvu.Perusikkuna." localSheetId="32" hidden="1">Yht8!#REF!</definedName>
    <definedName name="ACwvu.Perusikkuna." localSheetId="33" hidden="1">Yht9!#REF!</definedName>
    <definedName name="ACwvu.Tulostusikkuna." localSheetId="13" hidden="1">'K1'!#REF!</definedName>
    <definedName name="ACwvu.Tulostusikkuna." localSheetId="22" hidden="1">'K10'!#REF!</definedName>
    <definedName name="ACwvu.Tulostusikkuna." localSheetId="23" hidden="1">'K11'!#REF!</definedName>
    <definedName name="ACwvu.Tulostusikkuna." localSheetId="24" hidden="1">'K12'!#REF!</definedName>
    <definedName name="ACwvu.Tulostusikkuna." localSheetId="14" hidden="1">'K2'!#REF!</definedName>
    <definedName name="ACwvu.Tulostusikkuna." localSheetId="15" hidden="1">'K3'!#REF!</definedName>
    <definedName name="ACwvu.Tulostusikkuna." localSheetId="16" hidden="1">'K4'!#REF!</definedName>
    <definedName name="ACwvu.Tulostusikkuna." localSheetId="17" hidden="1">'K5'!#REF!</definedName>
    <definedName name="ACwvu.Tulostusikkuna." localSheetId="18" hidden="1">'K6'!#REF!</definedName>
    <definedName name="ACwvu.Tulostusikkuna." localSheetId="19" hidden="1">'K7'!#REF!</definedName>
    <definedName name="ACwvu.Tulostusikkuna." localSheetId="20" hidden="1">'K8'!#REF!</definedName>
    <definedName name="ACwvu.Tulostusikkuna." localSheetId="21" hidden="1">'K9'!#REF!</definedName>
    <definedName name="ACwvu.Tulostusikkuna." localSheetId="1" hidden="1">'N1'!#REF!</definedName>
    <definedName name="ACwvu.Tulostusikkuna." localSheetId="10" hidden="1">'N10'!#REF!</definedName>
    <definedName name="ACwvu.Tulostusikkuna." localSheetId="11" hidden="1">'N11'!#REF!</definedName>
    <definedName name="ACwvu.Tulostusikkuna." localSheetId="12" hidden="1">'N12'!#REF!</definedName>
    <definedName name="ACwvu.Tulostusikkuna." localSheetId="2" hidden="1">'N2'!#REF!</definedName>
    <definedName name="ACwvu.Tulostusikkuna." localSheetId="3" hidden="1">'N3'!#REF!</definedName>
    <definedName name="ACwvu.Tulostusikkuna." localSheetId="4" hidden="1">'N4'!#REF!</definedName>
    <definedName name="ACwvu.Tulostusikkuna." localSheetId="5" hidden="1">'N5'!#REF!</definedName>
    <definedName name="ACwvu.Tulostusikkuna." localSheetId="6" hidden="1">'N6'!#REF!</definedName>
    <definedName name="ACwvu.Tulostusikkuna." localSheetId="7" hidden="1">'N7'!#REF!</definedName>
    <definedName name="ACwvu.Tulostusikkuna." localSheetId="8" hidden="1">'N8'!#REF!</definedName>
    <definedName name="ACwvu.Tulostusikkuna." localSheetId="9" hidden="1">'N9'!#REF!</definedName>
    <definedName name="ACwvu.Tulostusikkuna." localSheetId="25" hidden="1">Yht1!#REF!</definedName>
    <definedName name="ACwvu.Tulostusikkuna." localSheetId="34" hidden="1">Yht10!#REF!</definedName>
    <definedName name="ACwvu.Tulostusikkuna." localSheetId="35" hidden="1">Yht11!#REF!</definedName>
    <definedName name="ACwvu.Tulostusikkuna." localSheetId="36" hidden="1">Yht12!#REF!</definedName>
    <definedName name="ACwvu.Tulostusikkuna." localSheetId="26" hidden="1">Yht2!#REF!</definedName>
    <definedName name="ACwvu.Tulostusikkuna." localSheetId="27" hidden="1">Yht3!#REF!</definedName>
    <definedName name="ACwvu.Tulostusikkuna." localSheetId="28" hidden="1">Yht4!#REF!</definedName>
    <definedName name="ACwvu.Tulostusikkuna." localSheetId="29" hidden="1">Yht5!#REF!</definedName>
    <definedName name="ACwvu.Tulostusikkuna." localSheetId="30" hidden="1">Yht6!#REF!</definedName>
    <definedName name="ACwvu.Tulostusikkuna." localSheetId="31" hidden="1">Yht7!#REF!</definedName>
    <definedName name="ACwvu.Tulostusikkuna." localSheetId="32" hidden="1">Yht8!#REF!</definedName>
    <definedName name="ACwvu.Tulostusikkuna." localSheetId="33" hidden="1">Yht9!#REF!</definedName>
    <definedName name="E" localSheetId="13">'K1'!#REF!</definedName>
    <definedName name="E" localSheetId="22">'K10'!#REF!</definedName>
    <definedName name="E" localSheetId="23">'K11'!#REF!</definedName>
    <definedName name="E" localSheetId="24">'K12'!#REF!</definedName>
    <definedName name="E" localSheetId="14">'K2'!#REF!</definedName>
    <definedName name="E" localSheetId="15">'K3'!#REF!</definedName>
    <definedName name="E" localSheetId="16">'K4'!#REF!</definedName>
    <definedName name="E" localSheetId="17">'K5'!#REF!</definedName>
    <definedName name="E" localSheetId="18">'K6'!#REF!</definedName>
    <definedName name="E" localSheetId="19">'K7'!#REF!</definedName>
    <definedName name="E" localSheetId="20">'K8'!#REF!</definedName>
    <definedName name="E" localSheetId="21">'K9'!#REF!</definedName>
    <definedName name="E" localSheetId="10">'N10'!#REF!</definedName>
    <definedName name="E" localSheetId="11">'N11'!#REF!</definedName>
    <definedName name="E" localSheetId="12">'N12'!#REF!</definedName>
    <definedName name="E" localSheetId="2">'N2'!#REF!</definedName>
    <definedName name="E" localSheetId="3">'N3'!#REF!</definedName>
    <definedName name="E" localSheetId="4">'N4'!#REF!</definedName>
    <definedName name="E" localSheetId="5">'N5'!#REF!</definedName>
    <definedName name="E" localSheetId="6">'N6'!#REF!</definedName>
    <definedName name="E" localSheetId="7">'N7'!#REF!</definedName>
    <definedName name="E" localSheetId="8">'N8'!#REF!</definedName>
    <definedName name="E" localSheetId="9">'N9'!#REF!</definedName>
    <definedName name="E" localSheetId="25">Yht1!#REF!</definedName>
    <definedName name="E" localSheetId="34">Yht10!#REF!</definedName>
    <definedName name="E" localSheetId="35">Yht11!#REF!</definedName>
    <definedName name="E" localSheetId="36">Yht12!#REF!</definedName>
    <definedName name="E" localSheetId="26">Yht2!#REF!</definedName>
    <definedName name="E" localSheetId="27">Yht3!#REF!</definedName>
    <definedName name="E" localSheetId="28">Yht4!#REF!</definedName>
    <definedName name="E" localSheetId="29">Yht5!#REF!</definedName>
    <definedName name="E" localSheetId="30">Yht6!#REF!</definedName>
    <definedName name="E" localSheetId="31">Yht7!#REF!</definedName>
    <definedName name="E" localSheetId="32">Yht8!#REF!</definedName>
    <definedName name="E" localSheetId="33">Yht9!#REF!</definedName>
    <definedName name="E">'N1'!#REF!</definedName>
    <definedName name="KUVAT" localSheetId="13">'K1'!#REF!</definedName>
    <definedName name="KUVAT" localSheetId="22">'K10'!#REF!</definedName>
    <definedName name="KUVAT" localSheetId="23">'K11'!#REF!</definedName>
    <definedName name="KUVAT" localSheetId="24">'K12'!#REF!</definedName>
    <definedName name="KUVAT" localSheetId="14">'K2'!#REF!</definedName>
    <definedName name="KUVAT" localSheetId="15">'K3'!#REF!</definedName>
    <definedName name="KUVAT" localSheetId="16">'K4'!#REF!</definedName>
    <definedName name="KUVAT" localSheetId="17">'K5'!#REF!</definedName>
    <definedName name="KUVAT" localSheetId="18">'K6'!#REF!</definedName>
    <definedName name="KUVAT" localSheetId="19">'K7'!#REF!</definedName>
    <definedName name="KUVAT" localSheetId="20">'K8'!#REF!</definedName>
    <definedName name="KUVAT" localSheetId="21">'K9'!#REF!</definedName>
    <definedName name="KUVAT" localSheetId="10">'N10'!#REF!</definedName>
    <definedName name="KUVAT" localSheetId="11">'N11'!#REF!</definedName>
    <definedName name="KUVAT" localSheetId="12">'N12'!#REF!</definedName>
    <definedName name="KUVAT" localSheetId="2">'N2'!#REF!</definedName>
    <definedName name="KUVAT" localSheetId="3">'N3'!#REF!</definedName>
    <definedName name="KUVAT" localSheetId="4">'N4'!#REF!</definedName>
    <definedName name="KUVAT" localSheetId="5">'N5'!#REF!</definedName>
    <definedName name="KUVAT" localSheetId="6">'N6'!#REF!</definedName>
    <definedName name="KUVAT" localSheetId="7">'N7'!#REF!</definedName>
    <definedName name="KUVAT" localSheetId="8">'N8'!#REF!</definedName>
    <definedName name="KUVAT" localSheetId="9">'N9'!#REF!</definedName>
    <definedName name="KUVAT" localSheetId="25">Yht1!#REF!</definedName>
    <definedName name="KUVAT" localSheetId="34">Yht10!#REF!</definedName>
    <definedName name="KUVAT" localSheetId="35">Yht11!#REF!</definedName>
    <definedName name="KUVAT" localSheetId="36">Yht12!#REF!</definedName>
    <definedName name="KUVAT" localSheetId="26">Yht2!#REF!</definedName>
    <definedName name="KUVAT" localSheetId="27">Yht3!#REF!</definedName>
    <definedName name="KUVAT" localSheetId="28">Yht4!#REF!</definedName>
    <definedName name="KUVAT" localSheetId="29">Yht5!#REF!</definedName>
    <definedName name="KUVAT" localSheetId="30">Yht6!#REF!</definedName>
    <definedName name="KUVAT" localSheetId="31">Yht7!#REF!</definedName>
    <definedName name="KUVAT" localSheetId="32">Yht8!#REF!</definedName>
    <definedName name="KUVAT" localSheetId="33">Yht9!#REF!</definedName>
    <definedName name="KUVAT">'N1'!#REF!</definedName>
    <definedName name="Swvu.Perusikkuna." localSheetId="13" hidden="1">'K1'!#REF!</definedName>
    <definedName name="Swvu.Perusikkuna." localSheetId="22" hidden="1">'K10'!#REF!</definedName>
    <definedName name="Swvu.Perusikkuna." localSheetId="23" hidden="1">'K11'!#REF!</definedName>
    <definedName name="Swvu.Perusikkuna." localSheetId="24" hidden="1">'K12'!#REF!</definedName>
    <definedName name="Swvu.Perusikkuna." localSheetId="14" hidden="1">'K2'!#REF!</definedName>
    <definedName name="Swvu.Perusikkuna." localSheetId="15" hidden="1">'K3'!#REF!</definedName>
    <definedName name="Swvu.Perusikkuna." localSheetId="16" hidden="1">'K4'!#REF!</definedName>
    <definedName name="Swvu.Perusikkuna." localSheetId="17" hidden="1">'K5'!#REF!</definedName>
    <definedName name="Swvu.Perusikkuna." localSheetId="18" hidden="1">'K6'!#REF!</definedName>
    <definedName name="Swvu.Perusikkuna." localSheetId="19" hidden="1">'K7'!#REF!</definedName>
    <definedName name="Swvu.Perusikkuna." localSheetId="20" hidden="1">'K8'!#REF!</definedName>
    <definedName name="Swvu.Perusikkuna." localSheetId="21" hidden="1">'K9'!#REF!</definedName>
    <definedName name="Swvu.Perusikkuna." localSheetId="1" hidden="1">'N1'!#REF!</definedName>
    <definedName name="Swvu.Perusikkuna." localSheetId="10" hidden="1">'N10'!#REF!</definedName>
    <definedName name="Swvu.Perusikkuna." localSheetId="11" hidden="1">'N11'!#REF!</definedName>
    <definedName name="Swvu.Perusikkuna." localSheetId="12" hidden="1">'N12'!#REF!</definedName>
    <definedName name="Swvu.Perusikkuna." localSheetId="2" hidden="1">'N2'!#REF!</definedName>
    <definedName name="Swvu.Perusikkuna." localSheetId="3" hidden="1">'N3'!#REF!</definedName>
    <definedName name="Swvu.Perusikkuna." localSheetId="4" hidden="1">'N4'!#REF!</definedName>
    <definedName name="Swvu.Perusikkuna." localSheetId="5" hidden="1">'N5'!#REF!</definedName>
    <definedName name="Swvu.Perusikkuna." localSheetId="6" hidden="1">'N6'!#REF!</definedName>
    <definedName name="Swvu.Perusikkuna." localSheetId="7" hidden="1">'N7'!#REF!</definedName>
    <definedName name="Swvu.Perusikkuna." localSheetId="8" hidden="1">'N8'!#REF!</definedName>
    <definedName name="Swvu.Perusikkuna." localSheetId="9" hidden="1">'N9'!#REF!</definedName>
    <definedName name="Swvu.Perusikkuna." localSheetId="25" hidden="1">Yht1!#REF!</definedName>
    <definedName name="Swvu.Perusikkuna." localSheetId="34" hidden="1">Yht10!#REF!</definedName>
    <definedName name="Swvu.Perusikkuna." localSheetId="35" hidden="1">Yht11!#REF!</definedName>
    <definedName name="Swvu.Perusikkuna." localSheetId="36" hidden="1">Yht12!#REF!</definedName>
    <definedName name="Swvu.Perusikkuna." localSheetId="26" hidden="1">Yht2!#REF!</definedName>
    <definedName name="Swvu.Perusikkuna." localSheetId="27" hidden="1">Yht3!#REF!</definedName>
    <definedName name="Swvu.Perusikkuna." localSheetId="28" hidden="1">Yht4!#REF!</definedName>
    <definedName name="Swvu.Perusikkuna." localSheetId="29" hidden="1">Yht5!#REF!</definedName>
    <definedName name="Swvu.Perusikkuna." localSheetId="30" hidden="1">Yht6!#REF!</definedName>
    <definedName name="Swvu.Perusikkuna." localSheetId="31" hidden="1">Yht7!#REF!</definedName>
    <definedName name="Swvu.Perusikkuna." localSheetId="32" hidden="1">Yht8!#REF!</definedName>
    <definedName name="Swvu.Perusikkuna." localSheetId="33" hidden="1">Yht9!#REF!</definedName>
    <definedName name="Swvu.Tulostusikkuna." localSheetId="13" hidden="1">'K1'!#REF!</definedName>
    <definedName name="Swvu.Tulostusikkuna." localSheetId="22" hidden="1">'K10'!#REF!</definedName>
    <definedName name="Swvu.Tulostusikkuna." localSheetId="23" hidden="1">'K11'!#REF!</definedName>
    <definedName name="Swvu.Tulostusikkuna." localSheetId="24" hidden="1">'K12'!#REF!</definedName>
    <definedName name="Swvu.Tulostusikkuna." localSheetId="14" hidden="1">'K2'!#REF!</definedName>
    <definedName name="Swvu.Tulostusikkuna." localSheetId="15" hidden="1">'K3'!#REF!</definedName>
    <definedName name="Swvu.Tulostusikkuna." localSheetId="16" hidden="1">'K4'!#REF!</definedName>
    <definedName name="Swvu.Tulostusikkuna." localSheetId="17" hidden="1">'K5'!#REF!</definedName>
    <definedName name="Swvu.Tulostusikkuna." localSheetId="18" hidden="1">'K6'!#REF!</definedName>
    <definedName name="Swvu.Tulostusikkuna." localSheetId="19" hidden="1">'K7'!#REF!</definedName>
    <definedName name="Swvu.Tulostusikkuna." localSheetId="20" hidden="1">'K8'!#REF!</definedName>
    <definedName name="Swvu.Tulostusikkuna." localSheetId="21" hidden="1">'K9'!#REF!</definedName>
    <definedName name="Swvu.Tulostusikkuna." localSheetId="1" hidden="1">'N1'!#REF!</definedName>
    <definedName name="Swvu.Tulostusikkuna." localSheetId="10" hidden="1">'N10'!#REF!</definedName>
    <definedName name="Swvu.Tulostusikkuna." localSheetId="11" hidden="1">'N11'!#REF!</definedName>
    <definedName name="Swvu.Tulostusikkuna." localSheetId="12" hidden="1">'N12'!#REF!</definedName>
    <definedName name="Swvu.Tulostusikkuna." localSheetId="2" hidden="1">'N2'!#REF!</definedName>
    <definedName name="Swvu.Tulostusikkuna." localSheetId="3" hidden="1">'N3'!#REF!</definedName>
    <definedName name="Swvu.Tulostusikkuna." localSheetId="4" hidden="1">'N4'!#REF!</definedName>
    <definedName name="Swvu.Tulostusikkuna." localSheetId="5" hidden="1">'N5'!#REF!</definedName>
    <definedName name="Swvu.Tulostusikkuna." localSheetId="6" hidden="1">'N6'!#REF!</definedName>
    <definedName name="Swvu.Tulostusikkuna." localSheetId="7" hidden="1">'N7'!#REF!</definedName>
    <definedName name="Swvu.Tulostusikkuna." localSheetId="8" hidden="1">'N8'!#REF!</definedName>
    <definedName name="Swvu.Tulostusikkuna." localSheetId="9" hidden="1">'N9'!#REF!</definedName>
    <definedName name="Swvu.Tulostusikkuna." localSheetId="25" hidden="1">Yht1!#REF!</definedName>
    <definedName name="Swvu.Tulostusikkuna." localSheetId="34" hidden="1">Yht10!#REF!</definedName>
    <definedName name="Swvu.Tulostusikkuna." localSheetId="35" hidden="1">Yht11!#REF!</definedName>
    <definedName name="Swvu.Tulostusikkuna." localSheetId="36" hidden="1">Yht12!#REF!</definedName>
    <definedName name="Swvu.Tulostusikkuna." localSheetId="26" hidden="1">Yht2!#REF!</definedName>
    <definedName name="Swvu.Tulostusikkuna." localSheetId="27" hidden="1">Yht3!#REF!</definedName>
    <definedName name="Swvu.Tulostusikkuna." localSheetId="28" hidden="1">Yht4!#REF!</definedName>
    <definedName name="Swvu.Tulostusikkuna." localSheetId="29" hidden="1">Yht5!#REF!</definedName>
    <definedName name="Swvu.Tulostusikkuna." localSheetId="30" hidden="1">Yht6!#REF!</definedName>
    <definedName name="Swvu.Tulostusikkuna." localSheetId="31" hidden="1">Yht7!#REF!</definedName>
    <definedName name="Swvu.Tulostusikkuna." localSheetId="32" hidden="1">Yht8!#REF!</definedName>
    <definedName name="Swvu.Tulostusikkuna." localSheetId="33" hidden="1">Yht9!#REF!</definedName>
    <definedName name="_xlnm.Database" localSheetId="13">'K1'!#REF!</definedName>
    <definedName name="_xlnm.Database" localSheetId="22">'K10'!#REF!</definedName>
    <definedName name="_xlnm.Database" localSheetId="23">'K11'!#REF!</definedName>
    <definedName name="_xlnm.Database" localSheetId="24">'K12'!#REF!</definedName>
    <definedName name="_xlnm.Database" localSheetId="14">'K2'!#REF!</definedName>
    <definedName name="_xlnm.Database" localSheetId="15">'K3'!#REF!</definedName>
    <definedName name="_xlnm.Database" localSheetId="16">'K4'!#REF!</definedName>
    <definedName name="_xlnm.Database" localSheetId="17">'K5'!#REF!</definedName>
    <definedName name="_xlnm.Database" localSheetId="18">'K6'!#REF!</definedName>
    <definedName name="_xlnm.Database" localSheetId="19">'K7'!#REF!</definedName>
    <definedName name="_xlnm.Database" localSheetId="20">'K8'!#REF!</definedName>
    <definedName name="_xlnm.Database" localSheetId="21">'K9'!#REF!</definedName>
    <definedName name="_xlnm.Database" localSheetId="10">'N10'!#REF!</definedName>
    <definedName name="_xlnm.Database" localSheetId="11">'N11'!#REF!</definedName>
    <definedName name="_xlnm.Database" localSheetId="12">'N12'!#REF!</definedName>
    <definedName name="_xlnm.Database" localSheetId="2">'N2'!#REF!</definedName>
    <definedName name="_xlnm.Database" localSheetId="3">'N3'!#REF!</definedName>
    <definedName name="_xlnm.Database" localSheetId="4">'N4'!#REF!</definedName>
    <definedName name="_xlnm.Database" localSheetId="5">'N5'!#REF!</definedName>
    <definedName name="_xlnm.Database" localSheetId="6">'N6'!#REF!</definedName>
    <definedName name="_xlnm.Database" localSheetId="7">'N7'!#REF!</definedName>
    <definedName name="_xlnm.Database" localSheetId="8">'N8'!#REF!</definedName>
    <definedName name="_xlnm.Database" localSheetId="9">'N9'!#REF!</definedName>
    <definedName name="_xlnm.Database" localSheetId="25">Yht1!#REF!</definedName>
    <definedName name="_xlnm.Database" localSheetId="34">Yht10!#REF!</definedName>
    <definedName name="_xlnm.Database" localSheetId="35">Yht11!#REF!</definedName>
    <definedName name="_xlnm.Database" localSheetId="36">Yht12!#REF!</definedName>
    <definedName name="_xlnm.Database" localSheetId="26">Yht2!#REF!</definedName>
    <definedName name="_xlnm.Database" localSheetId="27">Yht3!#REF!</definedName>
    <definedName name="_xlnm.Database" localSheetId="28">Yht4!#REF!</definedName>
    <definedName name="_xlnm.Database" localSheetId="29">Yht5!#REF!</definedName>
    <definedName name="_xlnm.Database" localSheetId="30">Yht6!#REF!</definedName>
    <definedName name="_xlnm.Database" localSheetId="31">Yht7!#REF!</definedName>
    <definedName name="_xlnm.Database" localSheetId="32">Yht8!#REF!</definedName>
    <definedName name="_xlnm.Database" localSheetId="33">Yht9!#REF!</definedName>
    <definedName name="_xlnm.Database">'N1'!#REF!</definedName>
    <definedName name="_xlnm.Print_Area" localSheetId="46">Graf.5!$A$1:$R$30</definedName>
    <definedName name="_xlnm.Print_Area" localSheetId="13">'K1'!$A$1:$AD$41</definedName>
    <definedName name="_xlnm.Print_Area" localSheetId="22">'K10'!$A$1:$AD$41</definedName>
    <definedName name="_xlnm.Print_Area" localSheetId="23">'K11'!$A$1:$AD$41</definedName>
    <definedName name="_xlnm.Print_Area" localSheetId="24">'K12'!$A$1:$AD$41</definedName>
    <definedName name="_xlnm.Print_Area" localSheetId="14">'K2'!$A$1:$AD$41</definedName>
    <definedName name="_xlnm.Print_Area" localSheetId="15">'K3'!$A$1:$AD$41</definedName>
    <definedName name="_xlnm.Print_Area" localSheetId="16">'K4'!$A$1:$AD$41</definedName>
    <definedName name="_xlnm.Print_Area" localSheetId="17">'K5'!$A$1:$AD$41</definedName>
    <definedName name="_xlnm.Print_Area" localSheetId="18">'K6'!$A$1:$AD$41</definedName>
    <definedName name="_xlnm.Print_Area" localSheetId="19">'K7'!$A$1:$AD$41</definedName>
    <definedName name="_xlnm.Print_Area" localSheetId="20">'K8'!$A$1:$AD$41</definedName>
    <definedName name="_xlnm.Print_Area" localSheetId="21">'K9'!$A$1:$AD$41</definedName>
    <definedName name="_xlnm.Print_Area" localSheetId="1">'N1'!$A$1:$AD$41</definedName>
    <definedName name="_xlnm.Print_Area" localSheetId="10">'N10'!$A$1:$AD$41</definedName>
    <definedName name="_xlnm.Print_Area" localSheetId="11">'N11'!$A$1:$AD$41</definedName>
    <definedName name="_xlnm.Print_Area" localSheetId="12">'N12'!$A$1:$AD$41</definedName>
    <definedName name="_xlnm.Print_Area" localSheetId="2">'N2'!$A$1:$AD$41</definedName>
    <definedName name="_xlnm.Print_Area" localSheetId="3">'N3'!$A$1:$AD$41</definedName>
    <definedName name="_xlnm.Print_Area" localSheetId="4">'N4'!$A$1:$AD$41</definedName>
    <definedName name="_xlnm.Print_Area" localSheetId="5">'N5'!$A$1:$AD$41</definedName>
    <definedName name="_xlnm.Print_Area" localSheetId="6">'N6'!$A$1:$AD$41</definedName>
    <definedName name="_xlnm.Print_Area" localSheetId="7">'N7'!$A$1:$AD$41</definedName>
    <definedName name="_xlnm.Print_Area" localSheetId="8">'N8'!$A$1:$AD$41</definedName>
    <definedName name="_xlnm.Print_Area" localSheetId="9">'N9'!$A$1:$AD$41</definedName>
    <definedName name="_xlnm.Print_Area" localSheetId="25">Yht1!$A$1:$AD$41</definedName>
    <definedName name="_xlnm.Print_Area" localSheetId="34">Yht10!$A$1:$AD$41</definedName>
    <definedName name="_xlnm.Print_Area" localSheetId="35">Yht11!$A$1:$AD$41</definedName>
    <definedName name="_xlnm.Print_Area" localSheetId="36">Yht12!$A$1:$AD$41</definedName>
    <definedName name="_xlnm.Print_Area" localSheetId="26">Yht2!$A$1:$AD$41</definedName>
    <definedName name="_xlnm.Print_Area" localSheetId="27">Yht3!$A$1:$AD$41</definedName>
    <definedName name="_xlnm.Print_Area" localSheetId="28">Yht4!$A$1:$AD$41</definedName>
    <definedName name="_xlnm.Print_Area" localSheetId="29">Yht5!$A$1:$AD$41</definedName>
    <definedName name="_xlnm.Print_Area" localSheetId="30">Yht6!$A$1:$AD$41</definedName>
    <definedName name="_xlnm.Print_Area" localSheetId="31">Yht7!$A$1:$AD$41</definedName>
    <definedName name="_xlnm.Print_Area" localSheetId="32">Yht8!$A$1:$AD$41</definedName>
    <definedName name="_xlnm.Print_Area" localSheetId="33">Yht9!$A$1:$AD$41</definedName>
    <definedName name="VERTAILU" localSheetId="13">'K1'!#REF!</definedName>
    <definedName name="VERTAILU" localSheetId="22">'K10'!#REF!</definedName>
    <definedName name="VERTAILU" localSheetId="23">'K11'!#REF!</definedName>
    <definedName name="VERTAILU" localSheetId="24">'K12'!#REF!</definedName>
    <definedName name="VERTAILU" localSheetId="14">'K2'!#REF!</definedName>
    <definedName name="VERTAILU" localSheetId="15">'K3'!#REF!</definedName>
    <definedName name="VERTAILU" localSheetId="16">'K4'!#REF!</definedName>
    <definedName name="VERTAILU" localSheetId="17">'K5'!#REF!</definedName>
    <definedName name="VERTAILU" localSheetId="18">'K6'!#REF!</definedName>
    <definedName name="VERTAILU" localSheetId="19">'K7'!#REF!</definedName>
    <definedName name="VERTAILU" localSheetId="20">'K8'!#REF!</definedName>
    <definedName name="VERTAILU" localSheetId="21">'K9'!#REF!</definedName>
    <definedName name="VERTAILU" localSheetId="10">'N10'!#REF!</definedName>
    <definedName name="VERTAILU" localSheetId="11">'N11'!#REF!</definedName>
    <definedName name="VERTAILU" localSheetId="12">'N12'!#REF!</definedName>
    <definedName name="VERTAILU" localSheetId="2">'N2'!#REF!</definedName>
    <definedName name="VERTAILU" localSheetId="3">'N3'!#REF!</definedName>
    <definedName name="VERTAILU" localSheetId="4">'N4'!#REF!</definedName>
    <definedName name="VERTAILU" localSheetId="5">'N5'!#REF!</definedName>
    <definedName name="VERTAILU" localSheetId="6">'N6'!#REF!</definedName>
    <definedName name="VERTAILU" localSheetId="7">'N7'!#REF!</definedName>
    <definedName name="VERTAILU" localSheetId="8">'N8'!#REF!</definedName>
    <definedName name="VERTAILU" localSheetId="9">'N9'!#REF!</definedName>
    <definedName name="VERTAILU" localSheetId="25">Yht1!#REF!</definedName>
    <definedName name="VERTAILU" localSheetId="34">Yht10!#REF!</definedName>
    <definedName name="VERTAILU" localSheetId="35">Yht11!#REF!</definedName>
    <definedName name="VERTAILU" localSheetId="36">Yht12!#REF!</definedName>
    <definedName name="VERTAILU" localSheetId="26">Yht2!#REF!</definedName>
    <definedName name="VERTAILU" localSheetId="27">Yht3!#REF!</definedName>
    <definedName name="VERTAILU" localSheetId="28">Yht4!#REF!</definedName>
    <definedName name="VERTAILU" localSheetId="29">Yht5!#REF!</definedName>
    <definedName name="VERTAILU" localSheetId="30">Yht6!#REF!</definedName>
    <definedName name="VERTAILU" localSheetId="31">Yht7!#REF!</definedName>
    <definedName name="VERTAILU" localSheetId="32">Yht8!#REF!</definedName>
    <definedName name="VERTAILU" localSheetId="33">Yht9!#REF!</definedName>
    <definedName name="VERTAILU">'N1'!#REF!</definedName>
    <definedName name="wvu.Perusikkuna." localSheetId="13" hidden="1">{TRUE,TRUE,1.6,1,478.8,298.8,FALSE,FALSE,FALSE,TRUE,0,1,#N/A,1,#N/A,22,26.8823529411765,1,FALSE,FALSE,1,TRUE,1,FALSE,75,"Swvu.Perusikkuna.","ACwvu.Perusikkuna.",1,FALSE,FALSE,0,0,1.14173228346457,0.826771653543307,2,"&amp;L&amp;15KORKEASAAREN ELÄINTARHA&amp;C&amp;15KÄVIJÄTILASTO&amp;R&amp;15VUOSI 1994","&amp;L&amp;BLippujen hinnat:&amp;B  Mustikkamaa: aik. 20 mk, lapset 10 mk&amp;CVesibussit: aik. 33 mk,    lapset 16 mk",FALSE,FALSE,FALSE,FALSE,1,85,#N/A,#N/A,"=R1C1:R560C28",FALSE,#N/A,#N/A,FALSE,FALSE}</definedName>
    <definedName name="wvu.Perusikkuna." localSheetId="22" hidden="1">{TRUE,TRUE,1.6,1,478.8,298.8,FALSE,FALSE,FALSE,TRUE,0,1,#N/A,1,#N/A,22,26.8823529411765,1,FALSE,FALSE,1,TRUE,1,FALSE,75,"Swvu.Perusikkuna.","ACwvu.Perusikkuna.",1,FALSE,FALSE,0,0,1.14173228346457,0.826771653543307,2,"&amp;L&amp;15KORKEASAAREN ELÄINTARHA&amp;C&amp;15KÄVIJÄTILASTO&amp;R&amp;15VUOSI 1994","&amp;L&amp;BLippujen hinnat:&amp;B  Mustikkamaa: aik. 20 mk, lapset 10 mk&amp;CVesibussit: aik. 33 mk,    lapset 16 mk",FALSE,FALSE,FALSE,FALSE,1,85,#N/A,#N/A,"=R1C1:R560C28",FALSE,#N/A,#N/A,FALSE,FALSE}</definedName>
    <definedName name="wvu.Perusikkuna." localSheetId="23" hidden="1">{TRUE,TRUE,1.6,1,478.8,298.8,FALSE,FALSE,FALSE,TRUE,0,1,#N/A,1,#N/A,22,26.8823529411765,1,FALSE,FALSE,1,TRUE,1,FALSE,75,"Swvu.Perusikkuna.","ACwvu.Perusikkuna.",1,FALSE,FALSE,0,0,1.14173228346457,0.826771653543307,2,"&amp;L&amp;15KORKEASAAREN ELÄINTARHA&amp;C&amp;15KÄVIJÄTILASTO&amp;R&amp;15VUOSI 1994","&amp;L&amp;BLippujen hinnat:&amp;B  Mustikkamaa: aik. 20 mk, lapset 10 mk&amp;CVesibussit: aik. 33 mk,    lapset 16 mk",FALSE,FALSE,FALSE,FALSE,1,85,#N/A,#N/A,"=R1C1:R560C28",FALSE,#N/A,#N/A,FALSE,FALSE}</definedName>
    <definedName name="wvu.Perusikkuna." localSheetId="24" hidden="1">{TRUE,TRUE,1.6,1,478.8,298.8,FALSE,FALSE,FALSE,TRUE,0,1,#N/A,1,#N/A,22,26.8823529411765,1,FALSE,FALSE,1,TRUE,1,FALSE,75,"Swvu.Perusikkuna.","ACwvu.Perusikkuna.",1,FALSE,FALSE,0,0,1.14173228346457,0.826771653543307,2,"&amp;L&amp;15KORKEASAAREN ELÄINTARHA&amp;C&amp;15KÄVIJÄTILASTO&amp;R&amp;15VUOSI 1994","&amp;L&amp;BLippujen hinnat:&amp;B  Mustikkamaa: aik. 20 mk, lapset 10 mk&amp;CVesibussit: aik. 33 mk,    lapset 16 mk",FALSE,FALSE,FALSE,FALSE,1,85,#N/A,#N/A,"=R1C1:R560C28",FALSE,#N/A,#N/A,FALSE,FALSE}</definedName>
    <definedName name="wvu.Perusikkuna." localSheetId="14" hidden="1">{TRUE,TRUE,1.6,1,478.8,298.8,FALSE,FALSE,FALSE,TRUE,0,1,#N/A,1,#N/A,22,26.8823529411765,1,FALSE,FALSE,1,TRUE,1,FALSE,75,"Swvu.Perusikkuna.","ACwvu.Perusikkuna.",1,FALSE,FALSE,0,0,1.14173228346457,0.826771653543307,2,"&amp;L&amp;15KORKEASAAREN ELÄINTARHA&amp;C&amp;15KÄVIJÄTILASTO&amp;R&amp;15VUOSI 1994","&amp;L&amp;BLippujen hinnat:&amp;B  Mustikkamaa: aik. 20 mk, lapset 10 mk&amp;CVesibussit: aik. 33 mk,    lapset 16 mk",FALSE,FALSE,FALSE,FALSE,1,85,#N/A,#N/A,"=R1C1:R560C28",FALSE,#N/A,#N/A,FALSE,FALSE}</definedName>
    <definedName name="wvu.Perusikkuna." localSheetId="15" hidden="1">{TRUE,TRUE,1.6,1,478.8,298.8,FALSE,FALSE,FALSE,TRUE,0,1,#N/A,1,#N/A,22,26.8823529411765,1,FALSE,FALSE,1,TRUE,1,FALSE,75,"Swvu.Perusikkuna.","ACwvu.Perusikkuna.",1,FALSE,FALSE,0,0,1.14173228346457,0.826771653543307,2,"&amp;L&amp;15KORKEASAAREN ELÄINTARHA&amp;C&amp;15KÄVIJÄTILASTO&amp;R&amp;15VUOSI 1994","&amp;L&amp;BLippujen hinnat:&amp;B  Mustikkamaa: aik. 20 mk, lapset 10 mk&amp;CVesibussit: aik. 33 mk,    lapset 16 mk",FALSE,FALSE,FALSE,FALSE,1,85,#N/A,#N/A,"=R1C1:R560C28",FALSE,#N/A,#N/A,FALSE,FALSE}</definedName>
    <definedName name="wvu.Perusikkuna." localSheetId="16" hidden="1">{TRUE,TRUE,1.6,1,478.8,298.8,FALSE,FALSE,FALSE,TRUE,0,1,#N/A,1,#N/A,22,26.8823529411765,1,FALSE,FALSE,1,TRUE,1,FALSE,75,"Swvu.Perusikkuna.","ACwvu.Perusikkuna.",1,FALSE,FALSE,0,0,1.14173228346457,0.826771653543307,2,"&amp;L&amp;15KORKEASAAREN ELÄINTARHA&amp;C&amp;15KÄVIJÄTILASTO&amp;R&amp;15VUOSI 1994","&amp;L&amp;BLippujen hinnat:&amp;B  Mustikkamaa: aik. 20 mk, lapset 10 mk&amp;CVesibussit: aik. 33 mk,    lapset 16 mk",FALSE,FALSE,FALSE,FALSE,1,85,#N/A,#N/A,"=R1C1:R560C28",FALSE,#N/A,#N/A,FALSE,FALSE}</definedName>
    <definedName name="wvu.Perusikkuna." localSheetId="17" hidden="1">{TRUE,TRUE,1.6,1,478.8,298.8,FALSE,FALSE,FALSE,TRUE,0,1,#N/A,1,#N/A,22,26.8823529411765,1,FALSE,FALSE,1,TRUE,1,FALSE,75,"Swvu.Perusikkuna.","ACwvu.Perusikkuna.",1,FALSE,FALSE,0,0,1.14173228346457,0.826771653543307,2,"&amp;L&amp;15KORKEASAAREN ELÄINTARHA&amp;C&amp;15KÄVIJÄTILASTO&amp;R&amp;15VUOSI 1994","&amp;L&amp;BLippujen hinnat:&amp;B  Mustikkamaa: aik. 20 mk, lapset 10 mk&amp;CVesibussit: aik. 33 mk,    lapset 16 mk",FALSE,FALSE,FALSE,FALSE,1,85,#N/A,#N/A,"=R1C1:R560C28",FALSE,#N/A,#N/A,FALSE,FALSE}</definedName>
    <definedName name="wvu.Perusikkuna." localSheetId="18" hidden="1">{TRUE,TRUE,1.6,1,478.8,298.8,FALSE,FALSE,FALSE,TRUE,0,1,#N/A,1,#N/A,22,26.8823529411765,1,FALSE,FALSE,1,TRUE,1,FALSE,75,"Swvu.Perusikkuna.","ACwvu.Perusikkuna.",1,FALSE,FALSE,0,0,1.14173228346457,0.826771653543307,2,"&amp;L&amp;15KORKEASAAREN ELÄINTARHA&amp;C&amp;15KÄVIJÄTILASTO&amp;R&amp;15VUOSI 1994","&amp;L&amp;BLippujen hinnat:&amp;B  Mustikkamaa: aik. 20 mk, lapset 10 mk&amp;CVesibussit: aik. 33 mk,    lapset 16 mk",FALSE,FALSE,FALSE,FALSE,1,85,#N/A,#N/A,"=R1C1:R560C28",FALSE,#N/A,#N/A,FALSE,FALSE}</definedName>
    <definedName name="wvu.Perusikkuna." localSheetId="19" hidden="1">{TRUE,TRUE,1.6,1,478.8,298.8,FALSE,FALSE,FALSE,TRUE,0,1,#N/A,1,#N/A,22,26.8823529411765,1,FALSE,FALSE,1,TRUE,1,FALSE,75,"Swvu.Perusikkuna.","ACwvu.Perusikkuna.",1,FALSE,FALSE,0,0,1.14173228346457,0.826771653543307,2,"&amp;L&amp;15KORKEASAAREN ELÄINTARHA&amp;C&amp;15KÄVIJÄTILASTO&amp;R&amp;15VUOSI 1994","&amp;L&amp;BLippujen hinnat:&amp;B  Mustikkamaa: aik. 20 mk, lapset 10 mk&amp;CVesibussit: aik. 33 mk,    lapset 16 mk",FALSE,FALSE,FALSE,FALSE,1,85,#N/A,#N/A,"=R1C1:R560C28",FALSE,#N/A,#N/A,FALSE,FALSE}</definedName>
    <definedName name="wvu.Perusikkuna." localSheetId="20" hidden="1">{TRUE,TRUE,1.6,1,478.8,298.8,FALSE,FALSE,FALSE,TRUE,0,1,#N/A,1,#N/A,22,26.8823529411765,1,FALSE,FALSE,1,TRUE,1,FALSE,75,"Swvu.Perusikkuna.","ACwvu.Perusikkuna.",1,FALSE,FALSE,0,0,1.14173228346457,0.826771653543307,2,"&amp;L&amp;15KORKEASAAREN ELÄINTARHA&amp;C&amp;15KÄVIJÄTILASTO&amp;R&amp;15VUOSI 1994","&amp;L&amp;BLippujen hinnat:&amp;B  Mustikkamaa: aik. 20 mk, lapset 10 mk&amp;CVesibussit: aik. 33 mk,    lapset 16 mk",FALSE,FALSE,FALSE,FALSE,1,85,#N/A,#N/A,"=R1C1:R560C28",FALSE,#N/A,#N/A,FALSE,FALSE}</definedName>
    <definedName name="wvu.Perusikkuna." localSheetId="21" hidden="1">{TRUE,TRUE,1.6,1,478.8,298.8,FALSE,FALSE,FALSE,TRUE,0,1,#N/A,1,#N/A,22,26.8823529411765,1,FALSE,FALSE,1,TRUE,1,FALSE,75,"Swvu.Perusikkuna.","ACwvu.Perusikkuna.",1,FALSE,FALSE,0,0,1.14173228346457,0.826771653543307,2,"&amp;L&amp;15KORKEASAAREN ELÄINTARHA&amp;C&amp;15KÄVIJÄTILASTO&amp;R&amp;15VUOSI 1994","&amp;L&amp;BLippujen hinnat:&amp;B  Mustikkamaa: aik. 20 mk, lapset 10 mk&amp;CVesibussit: aik. 33 mk,    lapset 16 mk",FALSE,FALSE,FALSE,FALSE,1,85,#N/A,#N/A,"=R1C1:R560C28",FALSE,#N/A,#N/A,FALSE,FALSE}</definedName>
    <definedName name="wvu.Perusikkuna." localSheetId="1" hidden="1">{TRUE,TRUE,1.6,1,478.8,298.8,FALSE,FALSE,FALSE,TRUE,0,1,#N/A,1,#N/A,22,26.8823529411765,1,FALSE,FALSE,1,TRUE,1,FALSE,75,"Swvu.Perusikkuna.","ACwvu.Perusikkuna.",1,FALSE,FALSE,0,0,1.14173228346457,0.826771653543307,2,"&amp;L&amp;15KORKEASAAREN ELÄINTARHA&amp;C&amp;15KÄVIJÄTILASTO&amp;R&amp;15VUOSI 1994","&amp;L&amp;BLippujen hinnat:&amp;B  Mustikkamaa: aik. 20 mk, lapset 10 mk&amp;CVesibussit: aik. 33 mk,    lapset 16 mk",FALSE,FALSE,FALSE,FALSE,1,85,#N/A,#N/A,"=R1C1:R560C28",FALSE,#N/A,#N/A,FALSE,FALSE}</definedName>
    <definedName name="wvu.Perusikkuna." localSheetId="10" hidden="1">{TRUE,TRUE,1.6,1,478.8,298.8,FALSE,FALSE,FALSE,TRUE,0,1,#N/A,1,#N/A,22,26.8823529411765,1,FALSE,FALSE,1,TRUE,1,FALSE,75,"Swvu.Perusikkuna.","ACwvu.Perusikkuna.",1,FALSE,FALSE,0,0,1.14173228346457,0.826771653543307,2,"&amp;L&amp;15KORKEASAAREN ELÄINTARHA&amp;C&amp;15KÄVIJÄTILASTO&amp;R&amp;15VUOSI 1994","&amp;L&amp;BLippujen hinnat:&amp;B  Mustikkamaa: aik. 20 mk, lapset 10 mk&amp;CVesibussit: aik. 33 mk,    lapset 16 mk",FALSE,FALSE,FALSE,FALSE,1,85,#N/A,#N/A,"=R1C1:R560C28",FALSE,#N/A,#N/A,FALSE,FALSE}</definedName>
    <definedName name="wvu.Perusikkuna." localSheetId="11" hidden="1">{TRUE,TRUE,1.6,1,478.8,298.8,FALSE,FALSE,FALSE,TRUE,0,1,#N/A,1,#N/A,22,26.8823529411765,1,FALSE,FALSE,1,TRUE,1,FALSE,75,"Swvu.Perusikkuna.","ACwvu.Perusikkuna.",1,FALSE,FALSE,0,0,1.14173228346457,0.826771653543307,2,"&amp;L&amp;15KORKEASAAREN ELÄINTARHA&amp;C&amp;15KÄVIJÄTILASTO&amp;R&amp;15VUOSI 1994","&amp;L&amp;BLippujen hinnat:&amp;B  Mustikkamaa: aik. 20 mk, lapset 10 mk&amp;CVesibussit: aik. 33 mk,    lapset 16 mk",FALSE,FALSE,FALSE,FALSE,1,85,#N/A,#N/A,"=R1C1:R560C28",FALSE,#N/A,#N/A,FALSE,FALSE}</definedName>
    <definedName name="wvu.Perusikkuna." localSheetId="12" hidden="1">{TRUE,TRUE,1.6,1,478.8,298.8,FALSE,FALSE,FALSE,TRUE,0,1,#N/A,1,#N/A,22,26.8823529411765,1,FALSE,FALSE,1,TRUE,1,FALSE,75,"Swvu.Perusikkuna.","ACwvu.Perusikkuna.",1,FALSE,FALSE,0,0,1.14173228346457,0.826771653543307,2,"&amp;L&amp;15KORKEASAAREN ELÄINTARHA&amp;C&amp;15KÄVIJÄTILASTO&amp;R&amp;15VUOSI 1994","&amp;L&amp;BLippujen hinnat:&amp;B  Mustikkamaa: aik. 20 mk, lapset 10 mk&amp;CVesibussit: aik. 33 mk,    lapset 16 mk",FALSE,FALSE,FALSE,FALSE,1,85,#N/A,#N/A,"=R1C1:R560C28",FALSE,#N/A,#N/A,FALSE,FALSE}</definedName>
    <definedName name="wvu.Perusikkuna." localSheetId="2" hidden="1">{TRUE,TRUE,1.6,1,478.8,298.8,FALSE,FALSE,FALSE,TRUE,0,1,#N/A,1,#N/A,22,26.8823529411765,1,FALSE,FALSE,1,TRUE,1,FALSE,75,"Swvu.Perusikkuna.","ACwvu.Perusikkuna.",1,FALSE,FALSE,0,0,1.14173228346457,0.826771653543307,2,"&amp;L&amp;15KORKEASAAREN ELÄINTARHA&amp;C&amp;15KÄVIJÄTILASTO&amp;R&amp;15VUOSI 1994","&amp;L&amp;BLippujen hinnat:&amp;B  Mustikkamaa: aik. 20 mk, lapset 10 mk&amp;CVesibussit: aik. 33 mk,    lapset 16 mk",FALSE,FALSE,FALSE,FALSE,1,85,#N/A,#N/A,"=R1C1:R560C28",FALSE,#N/A,#N/A,FALSE,FALSE}</definedName>
    <definedName name="wvu.Perusikkuna." localSheetId="3" hidden="1">{TRUE,TRUE,1.6,1,478.8,298.8,FALSE,FALSE,FALSE,TRUE,0,1,#N/A,1,#N/A,22,26.8823529411765,1,FALSE,FALSE,1,TRUE,1,FALSE,75,"Swvu.Perusikkuna.","ACwvu.Perusikkuna.",1,FALSE,FALSE,0,0,1.14173228346457,0.826771653543307,2,"&amp;L&amp;15KORKEASAAREN ELÄINTARHA&amp;C&amp;15KÄVIJÄTILASTO&amp;R&amp;15VUOSI 1994","&amp;L&amp;BLippujen hinnat:&amp;B  Mustikkamaa: aik. 20 mk, lapset 10 mk&amp;CVesibussit: aik. 33 mk,    lapset 16 mk",FALSE,FALSE,FALSE,FALSE,1,85,#N/A,#N/A,"=R1C1:R560C28",FALSE,#N/A,#N/A,FALSE,FALSE}</definedName>
    <definedName name="wvu.Perusikkuna." localSheetId="4" hidden="1">{TRUE,TRUE,1.6,1,478.8,298.8,FALSE,FALSE,FALSE,TRUE,0,1,#N/A,1,#N/A,22,26.8823529411765,1,FALSE,FALSE,1,TRUE,1,FALSE,75,"Swvu.Perusikkuna.","ACwvu.Perusikkuna.",1,FALSE,FALSE,0,0,1.14173228346457,0.826771653543307,2,"&amp;L&amp;15KORKEASAAREN ELÄINTARHA&amp;C&amp;15KÄVIJÄTILASTO&amp;R&amp;15VUOSI 1994","&amp;L&amp;BLippujen hinnat:&amp;B  Mustikkamaa: aik. 20 mk, lapset 10 mk&amp;CVesibussit: aik. 33 mk,    lapset 16 mk",FALSE,FALSE,FALSE,FALSE,1,85,#N/A,#N/A,"=R1C1:R560C28",FALSE,#N/A,#N/A,FALSE,FALSE}</definedName>
    <definedName name="wvu.Perusikkuna." localSheetId="5" hidden="1">{TRUE,TRUE,1.6,1,478.8,298.8,FALSE,FALSE,FALSE,TRUE,0,1,#N/A,1,#N/A,22,26.8823529411765,1,FALSE,FALSE,1,TRUE,1,FALSE,75,"Swvu.Perusikkuna.","ACwvu.Perusikkuna.",1,FALSE,FALSE,0,0,1.14173228346457,0.826771653543307,2,"&amp;L&amp;15KORKEASAAREN ELÄINTARHA&amp;C&amp;15KÄVIJÄTILASTO&amp;R&amp;15VUOSI 1994","&amp;L&amp;BLippujen hinnat:&amp;B  Mustikkamaa: aik. 20 mk, lapset 10 mk&amp;CVesibussit: aik. 33 mk,    lapset 16 mk",FALSE,FALSE,FALSE,FALSE,1,85,#N/A,#N/A,"=R1C1:R560C28",FALSE,#N/A,#N/A,FALSE,FALSE}</definedName>
    <definedName name="wvu.Perusikkuna." localSheetId="6" hidden="1">{TRUE,TRUE,1.6,1,478.8,298.8,FALSE,FALSE,FALSE,TRUE,0,1,#N/A,1,#N/A,22,26.8823529411765,1,FALSE,FALSE,1,TRUE,1,FALSE,75,"Swvu.Perusikkuna.","ACwvu.Perusikkuna.",1,FALSE,FALSE,0,0,1.14173228346457,0.826771653543307,2,"&amp;L&amp;15KORKEASAAREN ELÄINTARHA&amp;C&amp;15KÄVIJÄTILASTO&amp;R&amp;15VUOSI 1994","&amp;L&amp;BLippujen hinnat:&amp;B  Mustikkamaa: aik. 20 mk, lapset 10 mk&amp;CVesibussit: aik. 33 mk,    lapset 16 mk",FALSE,FALSE,FALSE,FALSE,1,85,#N/A,#N/A,"=R1C1:R560C28",FALSE,#N/A,#N/A,FALSE,FALSE}</definedName>
    <definedName name="wvu.Perusikkuna." localSheetId="7" hidden="1">{TRUE,TRUE,1.6,1,478.8,298.8,FALSE,FALSE,FALSE,TRUE,0,1,#N/A,1,#N/A,22,26.8823529411765,1,FALSE,FALSE,1,TRUE,1,FALSE,75,"Swvu.Perusikkuna.","ACwvu.Perusikkuna.",1,FALSE,FALSE,0,0,1.14173228346457,0.826771653543307,2,"&amp;L&amp;15KORKEASAAREN ELÄINTARHA&amp;C&amp;15KÄVIJÄTILASTO&amp;R&amp;15VUOSI 1994","&amp;L&amp;BLippujen hinnat:&amp;B  Mustikkamaa: aik. 20 mk, lapset 10 mk&amp;CVesibussit: aik. 33 mk,    lapset 16 mk",FALSE,FALSE,FALSE,FALSE,1,85,#N/A,#N/A,"=R1C1:R560C28",FALSE,#N/A,#N/A,FALSE,FALSE}</definedName>
    <definedName name="wvu.Perusikkuna." localSheetId="8" hidden="1">{TRUE,TRUE,1.6,1,478.8,298.8,FALSE,FALSE,FALSE,TRUE,0,1,#N/A,1,#N/A,22,26.8823529411765,1,FALSE,FALSE,1,TRUE,1,FALSE,75,"Swvu.Perusikkuna.","ACwvu.Perusikkuna.",1,FALSE,FALSE,0,0,1.14173228346457,0.826771653543307,2,"&amp;L&amp;15KORKEASAAREN ELÄINTARHA&amp;C&amp;15KÄVIJÄTILASTO&amp;R&amp;15VUOSI 1994","&amp;L&amp;BLippujen hinnat:&amp;B  Mustikkamaa: aik. 20 mk, lapset 10 mk&amp;CVesibussit: aik. 33 mk,    lapset 16 mk",FALSE,FALSE,FALSE,FALSE,1,85,#N/A,#N/A,"=R1C1:R560C28",FALSE,#N/A,#N/A,FALSE,FALSE}</definedName>
    <definedName name="wvu.Perusikkuna." localSheetId="9" hidden="1">{TRUE,TRUE,1.6,1,478.8,298.8,FALSE,FALSE,FALSE,TRUE,0,1,#N/A,1,#N/A,22,26.8823529411765,1,FALSE,FALSE,1,TRUE,1,FALSE,75,"Swvu.Perusikkuna.","ACwvu.Perusikkuna.",1,FALSE,FALSE,0,0,1.14173228346457,0.826771653543307,2,"&amp;L&amp;15KORKEASAAREN ELÄINTARHA&amp;C&amp;15KÄVIJÄTILASTO&amp;R&amp;15VUOSI 1994","&amp;L&amp;BLippujen hinnat:&amp;B  Mustikkamaa: aik. 20 mk, lapset 10 mk&amp;CVesibussit: aik. 33 mk,    lapset 16 mk",FALSE,FALSE,FALSE,FALSE,1,85,#N/A,#N/A,"=R1C1:R560C28",FALSE,#N/A,#N/A,FALSE,FALSE}</definedName>
    <definedName name="wvu.Perusikkuna." localSheetId="25" hidden="1">{TRUE,TRUE,1.6,1,478.8,298.8,FALSE,FALSE,FALSE,TRUE,0,1,#N/A,1,#N/A,22,26.8823529411765,1,FALSE,FALSE,1,TRUE,1,FALSE,75,"Swvu.Perusikkuna.","ACwvu.Perusikkuna.",1,FALSE,FALSE,0,0,1.14173228346457,0.826771653543307,2,"&amp;L&amp;15KORKEASAAREN ELÄINTARHA&amp;C&amp;15KÄVIJÄTILASTO&amp;R&amp;15VUOSI 1994","&amp;L&amp;BLippujen hinnat:&amp;B  Mustikkamaa: aik. 20 mk, lapset 10 mk&amp;CVesibussit: aik. 33 mk,    lapset 16 mk",FALSE,FALSE,FALSE,FALSE,1,85,#N/A,#N/A,"=R1C1:R560C28",FALSE,#N/A,#N/A,FALSE,FALSE}</definedName>
    <definedName name="wvu.Perusikkuna." localSheetId="34" hidden="1">{TRUE,TRUE,1.6,1,478.8,298.8,FALSE,FALSE,FALSE,TRUE,0,1,#N/A,1,#N/A,22,26.8823529411765,1,FALSE,FALSE,1,TRUE,1,FALSE,75,"Swvu.Perusikkuna.","ACwvu.Perusikkuna.",1,FALSE,FALSE,0,0,1.14173228346457,0.826771653543307,2,"&amp;L&amp;15KORKEASAAREN ELÄINTARHA&amp;C&amp;15KÄVIJÄTILASTO&amp;R&amp;15VUOSI 1994","&amp;L&amp;BLippujen hinnat:&amp;B  Mustikkamaa: aik. 20 mk, lapset 10 mk&amp;CVesibussit: aik. 33 mk,    lapset 16 mk",FALSE,FALSE,FALSE,FALSE,1,85,#N/A,#N/A,"=R1C1:R560C28",FALSE,#N/A,#N/A,FALSE,FALSE}</definedName>
    <definedName name="wvu.Perusikkuna." localSheetId="35" hidden="1">{TRUE,TRUE,1.6,1,478.8,298.8,FALSE,FALSE,FALSE,TRUE,0,1,#N/A,1,#N/A,22,26.8823529411765,1,FALSE,FALSE,1,TRUE,1,FALSE,75,"Swvu.Perusikkuna.","ACwvu.Perusikkuna.",1,FALSE,FALSE,0,0,1.14173228346457,0.826771653543307,2,"&amp;L&amp;15KORKEASAAREN ELÄINTARHA&amp;C&amp;15KÄVIJÄTILASTO&amp;R&amp;15VUOSI 1994","&amp;L&amp;BLippujen hinnat:&amp;B  Mustikkamaa: aik. 20 mk, lapset 10 mk&amp;CVesibussit: aik. 33 mk,    lapset 16 mk",FALSE,FALSE,FALSE,FALSE,1,85,#N/A,#N/A,"=R1C1:R560C28",FALSE,#N/A,#N/A,FALSE,FALSE}</definedName>
    <definedName name="wvu.Perusikkuna." localSheetId="36" hidden="1">{TRUE,TRUE,1.6,1,478.8,298.8,FALSE,FALSE,FALSE,TRUE,0,1,#N/A,1,#N/A,22,26.8823529411765,1,FALSE,FALSE,1,TRUE,1,FALSE,75,"Swvu.Perusikkuna.","ACwvu.Perusikkuna.",1,FALSE,FALSE,0,0,1.14173228346457,0.826771653543307,2,"&amp;L&amp;15KORKEASAAREN ELÄINTARHA&amp;C&amp;15KÄVIJÄTILASTO&amp;R&amp;15VUOSI 1994","&amp;L&amp;BLippujen hinnat:&amp;B  Mustikkamaa: aik. 20 mk, lapset 10 mk&amp;CVesibussit: aik. 33 mk,    lapset 16 mk",FALSE,FALSE,FALSE,FALSE,1,85,#N/A,#N/A,"=R1C1:R560C28",FALSE,#N/A,#N/A,FALSE,FALSE}</definedName>
    <definedName name="wvu.Perusikkuna." localSheetId="26" hidden="1">{TRUE,TRUE,1.6,1,478.8,298.8,FALSE,FALSE,FALSE,TRUE,0,1,#N/A,1,#N/A,22,26.8823529411765,1,FALSE,FALSE,1,TRUE,1,FALSE,75,"Swvu.Perusikkuna.","ACwvu.Perusikkuna.",1,FALSE,FALSE,0,0,1.14173228346457,0.826771653543307,2,"&amp;L&amp;15KORKEASAAREN ELÄINTARHA&amp;C&amp;15KÄVIJÄTILASTO&amp;R&amp;15VUOSI 1994","&amp;L&amp;BLippujen hinnat:&amp;B  Mustikkamaa: aik. 20 mk, lapset 10 mk&amp;CVesibussit: aik. 33 mk,    lapset 16 mk",FALSE,FALSE,FALSE,FALSE,1,85,#N/A,#N/A,"=R1C1:R560C28",FALSE,#N/A,#N/A,FALSE,FALSE}</definedName>
    <definedName name="wvu.Perusikkuna." localSheetId="27" hidden="1">{TRUE,TRUE,1.6,1,478.8,298.8,FALSE,FALSE,FALSE,TRUE,0,1,#N/A,1,#N/A,22,26.8823529411765,1,FALSE,FALSE,1,TRUE,1,FALSE,75,"Swvu.Perusikkuna.","ACwvu.Perusikkuna.",1,FALSE,FALSE,0,0,1.14173228346457,0.826771653543307,2,"&amp;L&amp;15KORKEASAAREN ELÄINTARHA&amp;C&amp;15KÄVIJÄTILASTO&amp;R&amp;15VUOSI 1994","&amp;L&amp;BLippujen hinnat:&amp;B  Mustikkamaa: aik. 20 mk, lapset 10 mk&amp;CVesibussit: aik. 33 mk,    lapset 16 mk",FALSE,FALSE,FALSE,FALSE,1,85,#N/A,#N/A,"=R1C1:R560C28",FALSE,#N/A,#N/A,FALSE,FALSE}</definedName>
    <definedName name="wvu.Perusikkuna." localSheetId="28" hidden="1">{TRUE,TRUE,1.6,1,478.8,298.8,FALSE,FALSE,FALSE,TRUE,0,1,#N/A,1,#N/A,22,26.8823529411765,1,FALSE,FALSE,1,TRUE,1,FALSE,75,"Swvu.Perusikkuna.","ACwvu.Perusikkuna.",1,FALSE,FALSE,0,0,1.14173228346457,0.826771653543307,2,"&amp;L&amp;15KORKEASAAREN ELÄINTARHA&amp;C&amp;15KÄVIJÄTILASTO&amp;R&amp;15VUOSI 1994","&amp;L&amp;BLippujen hinnat:&amp;B  Mustikkamaa: aik. 20 mk, lapset 10 mk&amp;CVesibussit: aik. 33 mk,    lapset 16 mk",FALSE,FALSE,FALSE,FALSE,1,85,#N/A,#N/A,"=R1C1:R560C28",FALSE,#N/A,#N/A,FALSE,FALSE}</definedName>
    <definedName name="wvu.Perusikkuna." localSheetId="29" hidden="1">{TRUE,TRUE,1.6,1,478.8,298.8,FALSE,FALSE,FALSE,TRUE,0,1,#N/A,1,#N/A,22,26.8823529411765,1,FALSE,FALSE,1,TRUE,1,FALSE,75,"Swvu.Perusikkuna.","ACwvu.Perusikkuna.",1,FALSE,FALSE,0,0,1.14173228346457,0.826771653543307,2,"&amp;L&amp;15KORKEASAAREN ELÄINTARHA&amp;C&amp;15KÄVIJÄTILASTO&amp;R&amp;15VUOSI 1994","&amp;L&amp;BLippujen hinnat:&amp;B  Mustikkamaa: aik. 20 mk, lapset 10 mk&amp;CVesibussit: aik. 33 mk,    lapset 16 mk",FALSE,FALSE,FALSE,FALSE,1,85,#N/A,#N/A,"=R1C1:R560C28",FALSE,#N/A,#N/A,FALSE,FALSE}</definedName>
    <definedName name="wvu.Perusikkuna." localSheetId="30" hidden="1">{TRUE,TRUE,1.6,1,478.8,298.8,FALSE,FALSE,FALSE,TRUE,0,1,#N/A,1,#N/A,22,26.8823529411765,1,FALSE,FALSE,1,TRUE,1,FALSE,75,"Swvu.Perusikkuna.","ACwvu.Perusikkuna.",1,FALSE,FALSE,0,0,1.14173228346457,0.826771653543307,2,"&amp;L&amp;15KORKEASAAREN ELÄINTARHA&amp;C&amp;15KÄVIJÄTILASTO&amp;R&amp;15VUOSI 1994","&amp;L&amp;BLippujen hinnat:&amp;B  Mustikkamaa: aik. 20 mk, lapset 10 mk&amp;CVesibussit: aik. 33 mk,    lapset 16 mk",FALSE,FALSE,FALSE,FALSE,1,85,#N/A,#N/A,"=R1C1:R560C28",FALSE,#N/A,#N/A,FALSE,FALSE}</definedName>
    <definedName name="wvu.Perusikkuna." localSheetId="31" hidden="1">{TRUE,TRUE,1.6,1,478.8,298.8,FALSE,FALSE,FALSE,TRUE,0,1,#N/A,1,#N/A,22,26.8823529411765,1,FALSE,FALSE,1,TRUE,1,FALSE,75,"Swvu.Perusikkuna.","ACwvu.Perusikkuna.",1,FALSE,FALSE,0,0,1.14173228346457,0.826771653543307,2,"&amp;L&amp;15KORKEASAAREN ELÄINTARHA&amp;C&amp;15KÄVIJÄTILASTO&amp;R&amp;15VUOSI 1994","&amp;L&amp;BLippujen hinnat:&amp;B  Mustikkamaa: aik. 20 mk, lapset 10 mk&amp;CVesibussit: aik. 33 mk,    lapset 16 mk",FALSE,FALSE,FALSE,FALSE,1,85,#N/A,#N/A,"=R1C1:R560C28",FALSE,#N/A,#N/A,FALSE,FALSE}</definedName>
    <definedName name="wvu.Perusikkuna." localSheetId="32" hidden="1">{TRUE,TRUE,1.6,1,478.8,298.8,FALSE,FALSE,FALSE,TRUE,0,1,#N/A,1,#N/A,22,26.8823529411765,1,FALSE,FALSE,1,TRUE,1,FALSE,75,"Swvu.Perusikkuna.","ACwvu.Perusikkuna.",1,FALSE,FALSE,0,0,1.14173228346457,0.826771653543307,2,"&amp;L&amp;15KORKEASAAREN ELÄINTARHA&amp;C&amp;15KÄVIJÄTILASTO&amp;R&amp;15VUOSI 1994","&amp;L&amp;BLippujen hinnat:&amp;B  Mustikkamaa: aik. 20 mk, lapset 10 mk&amp;CVesibussit: aik. 33 mk,    lapset 16 mk",FALSE,FALSE,FALSE,FALSE,1,85,#N/A,#N/A,"=R1C1:R560C28",FALSE,#N/A,#N/A,FALSE,FALSE}</definedName>
    <definedName name="wvu.Perusikkuna." localSheetId="33" hidden="1">{TRUE,TRUE,1.6,1,478.8,298.8,FALSE,FALSE,FALSE,TRUE,0,1,#N/A,1,#N/A,22,26.8823529411765,1,FALSE,FALSE,1,TRUE,1,FALSE,75,"Swvu.Perusikkuna.","ACwvu.Perusikkuna.",1,FALSE,FALSE,0,0,1.14173228346457,0.826771653543307,2,"&amp;L&amp;15KORKEASAAREN ELÄINTARHA&amp;C&amp;15KÄVIJÄTILASTO&amp;R&amp;15VUOSI 1994","&amp;L&amp;BLippujen hinnat:&amp;B  Mustikkamaa: aik. 20 mk, lapset 10 mk&amp;CVesibussit: aik. 33 mk,    lapset 16 mk",FALSE,FALSE,FALSE,FALSE,1,85,#N/A,#N/A,"=R1C1:R560C28",FALSE,#N/A,#N/A,FALSE,FALSE}</definedName>
    <definedName name="wvu.Tulostusikkuna." localSheetId="13" hidden="1">{TRUE,TRUE,1.6,4.6,388.8,206.4,FALSE,FALSE,TRUE,TRUE,0,42,#N/A,1,#N/A,9.01515151515152,16.7647058823529,1,FALSE,FALSE,1,TRUE,1,FALSE,75,"Swvu.Tulostusikkuna.","ACwvu.Tulostusikkuna.",1,FALSE,FALSE,0,0,1.14173228346457,0.826771653543307,2,"&amp;L&amp;15KORKEASAAREN ELÄINTARHA&amp;C&amp;15KÄVIJÄTILASTO&amp;R&amp;15VUOSI 1994","&amp;L&amp;BLippujen hinnat:&amp;B  Mustikkamaa: aik. 20 mk, lapset 10 mk&amp;CVesibussit: aik. 33 mk,    lapset 16 mk",FALSE,FALSE,FALSE,FALSE,1,85,#N/A,#N/A,"=R1C1:R560C28",FALSE,#N/A,#N/A,FALSE,FALSE}</definedName>
    <definedName name="wvu.Tulostusikkuna." localSheetId="22" hidden="1">{TRUE,TRUE,1.6,4.6,388.8,206.4,FALSE,FALSE,TRUE,TRUE,0,42,#N/A,1,#N/A,9.01515151515152,16.7647058823529,1,FALSE,FALSE,1,TRUE,1,FALSE,75,"Swvu.Tulostusikkuna.","ACwvu.Tulostusikkuna.",1,FALSE,FALSE,0,0,1.14173228346457,0.826771653543307,2,"&amp;L&amp;15KORKEASAAREN ELÄINTARHA&amp;C&amp;15KÄVIJÄTILASTO&amp;R&amp;15VUOSI 1994","&amp;L&amp;BLippujen hinnat:&amp;B  Mustikkamaa: aik. 20 mk, lapset 10 mk&amp;CVesibussit: aik. 33 mk,    lapset 16 mk",FALSE,FALSE,FALSE,FALSE,1,85,#N/A,#N/A,"=R1C1:R560C28",FALSE,#N/A,#N/A,FALSE,FALSE}</definedName>
    <definedName name="wvu.Tulostusikkuna." localSheetId="23" hidden="1">{TRUE,TRUE,1.6,4.6,388.8,206.4,FALSE,FALSE,TRUE,TRUE,0,42,#N/A,1,#N/A,9.01515151515152,16.7647058823529,1,FALSE,FALSE,1,TRUE,1,FALSE,75,"Swvu.Tulostusikkuna.","ACwvu.Tulostusikkuna.",1,FALSE,FALSE,0,0,1.14173228346457,0.826771653543307,2,"&amp;L&amp;15KORKEASAAREN ELÄINTARHA&amp;C&amp;15KÄVIJÄTILASTO&amp;R&amp;15VUOSI 1994","&amp;L&amp;BLippujen hinnat:&amp;B  Mustikkamaa: aik. 20 mk, lapset 10 mk&amp;CVesibussit: aik. 33 mk,    lapset 16 mk",FALSE,FALSE,FALSE,FALSE,1,85,#N/A,#N/A,"=R1C1:R560C28",FALSE,#N/A,#N/A,FALSE,FALSE}</definedName>
    <definedName name="wvu.Tulostusikkuna." localSheetId="24" hidden="1">{TRUE,TRUE,1.6,4.6,388.8,206.4,FALSE,FALSE,TRUE,TRUE,0,42,#N/A,1,#N/A,9.01515151515152,16.7647058823529,1,FALSE,FALSE,1,TRUE,1,FALSE,75,"Swvu.Tulostusikkuna.","ACwvu.Tulostusikkuna.",1,FALSE,FALSE,0,0,1.14173228346457,0.826771653543307,2,"&amp;L&amp;15KORKEASAAREN ELÄINTARHA&amp;C&amp;15KÄVIJÄTILASTO&amp;R&amp;15VUOSI 1994","&amp;L&amp;BLippujen hinnat:&amp;B  Mustikkamaa: aik. 20 mk, lapset 10 mk&amp;CVesibussit: aik. 33 mk,    lapset 16 mk",FALSE,FALSE,FALSE,FALSE,1,85,#N/A,#N/A,"=R1C1:R560C28",FALSE,#N/A,#N/A,FALSE,FALSE}</definedName>
    <definedName name="wvu.Tulostusikkuna." localSheetId="14" hidden="1">{TRUE,TRUE,1.6,4.6,388.8,206.4,FALSE,FALSE,TRUE,TRUE,0,42,#N/A,1,#N/A,9.01515151515152,16.7647058823529,1,FALSE,FALSE,1,TRUE,1,FALSE,75,"Swvu.Tulostusikkuna.","ACwvu.Tulostusikkuna.",1,FALSE,FALSE,0,0,1.14173228346457,0.826771653543307,2,"&amp;L&amp;15KORKEASAAREN ELÄINTARHA&amp;C&amp;15KÄVIJÄTILASTO&amp;R&amp;15VUOSI 1994","&amp;L&amp;BLippujen hinnat:&amp;B  Mustikkamaa: aik. 20 mk, lapset 10 mk&amp;CVesibussit: aik. 33 mk,    lapset 16 mk",FALSE,FALSE,FALSE,FALSE,1,85,#N/A,#N/A,"=R1C1:R560C28",FALSE,#N/A,#N/A,FALSE,FALSE}</definedName>
    <definedName name="wvu.Tulostusikkuna." localSheetId="15" hidden="1">{TRUE,TRUE,1.6,4.6,388.8,206.4,FALSE,FALSE,TRUE,TRUE,0,42,#N/A,1,#N/A,9.01515151515152,16.7647058823529,1,FALSE,FALSE,1,TRUE,1,FALSE,75,"Swvu.Tulostusikkuna.","ACwvu.Tulostusikkuna.",1,FALSE,FALSE,0,0,1.14173228346457,0.826771653543307,2,"&amp;L&amp;15KORKEASAAREN ELÄINTARHA&amp;C&amp;15KÄVIJÄTILASTO&amp;R&amp;15VUOSI 1994","&amp;L&amp;BLippujen hinnat:&amp;B  Mustikkamaa: aik. 20 mk, lapset 10 mk&amp;CVesibussit: aik. 33 mk,    lapset 16 mk",FALSE,FALSE,FALSE,FALSE,1,85,#N/A,#N/A,"=R1C1:R560C28",FALSE,#N/A,#N/A,FALSE,FALSE}</definedName>
    <definedName name="wvu.Tulostusikkuna." localSheetId="16" hidden="1">{TRUE,TRUE,1.6,4.6,388.8,206.4,FALSE,FALSE,TRUE,TRUE,0,42,#N/A,1,#N/A,9.01515151515152,16.7647058823529,1,FALSE,FALSE,1,TRUE,1,FALSE,75,"Swvu.Tulostusikkuna.","ACwvu.Tulostusikkuna.",1,FALSE,FALSE,0,0,1.14173228346457,0.826771653543307,2,"&amp;L&amp;15KORKEASAAREN ELÄINTARHA&amp;C&amp;15KÄVIJÄTILASTO&amp;R&amp;15VUOSI 1994","&amp;L&amp;BLippujen hinnat:&amp;B  Mustikkamaa: aik. 20 mk, lapset 10 mk&amp;CVesibussit: aik. 33 mk,    lapset 16 mk",FALSE,FALSE,FALSE,FALSE,1,85,#N/A,#N/A,"=R1C1:R560C28",FALSE,#N/A,#N/A,FALSE,FALSE}</definedName>
    <definedName name="wvu.Tulostusikkuna." localSheetId="17" hidden="1">{TRUE,TRUE,1.6,4.6,388.8,206.4,FALSE,FALSE,TRUE,TRUE,0,42,#N/A,1,#N/A,9.01515151515152,16.7647058823529,1,FALSE,FALSE,1,TRUE,1,FALSE,75,"Swvu.Tulostusikkuna.","ACwvu.Tulostusikkuna.",1,FALSE,FALSE,0,0,1.14173228346457,0.826771653543307,2,"&amp;L&amp;15KORKEASAAREN ELÄINTARHA&amp;C&amp;15KÄVIJÄTILASTO&amp;R&amp;15VUOSI 1994","&amp;L&amp;BLippujen hinnat:&amp;B  Mustikkamaa: aik. 20 mk, lapset 10 mk&amp;CVesibussit: aik. 33 mk,    lapset 16 mk",FALSE,FALSE,FALSE,FALSE,1,85,#N/A,#N/A,"=R1C1:R560C28",FALSE,#N/A,#N/A,FALSE,FALSE}</definedName>
    <definedName name="wvu.Tulostusikkuna." localSheetId="18" hidden="1">{TRUE,TRUE,1.6,4.6,388.8,206.4,FALSE,FALSE,TRUE,TRUE,0,42,#N/A,1,#N/A,9.01515151515152,16.7647058823529,1,FALSE,FALSE,1,TRUE,1,FALSE,75,"Swvu.Tulostusikkuna.","ACwvu.Tulostusikkuna.",1,FALSE,FALSE,0,0,1.14173228346457,0.826771653543307,2,"&amp;L&amp;15KORKEASAAREN ELÄINTARHA&amp;C&amp;15KÄVIJÄTILASTO&amp;R&amp;15VUOSI 1994","&amp;L&amp;BLippujen hinnat:&amp;B  Mustikkamaa: aik. 20 mk, lapset 10 mk&amp;CVesibussit: aik. 33 mk,    lapset 16 mk",FALSE,FALSE,FALSE,FALSE,1,85,#N/A,#N/A,"=R1C1:R560C28",FALSE,#N/A,#N/A,FALSE,FALSE}</definedName>
    <definedName name="wvu.Tulostusikkuna." localSheetId="19" hidden="1">{TRUE,TRUE,1.6,4.6,388.8,206.4,FALSE,FALSE,TRUE,TRUE,0,42,#N/A,1,#N/A,9.01515151515152,16.7647058823529,1,FALSE,FALSE,1,TRUE,1,FALSE,75,"Swvu.Tulostusikkuna.","ACwvu.Tulostusikkuna.",1,FALSE,FALSE,0,0,1.14173228346457,0.826771653543307,2,"&amp;L&amp;15KORKEASAAREN ELÄINTARHA&amp;C&amp;15KÄVIJÄTILASTO&amp;R&amp;15VUOSI 1994","&amp;L&amp;BLippujen hinnat:&amp;B  Mustikkamaa: aik. 20 mk, lapset 10 mk&amp;CVesibussit: aik. 33 mk,    lapset 16 mk",FALSE,FALSE,FALSE,FALSE,1,85,#N/A,#N/A,"=R1C1:R560C28",FALSE,#N/A,#N/A,FALSE,FALSE}</definedName>
    <definedName name="wvu.Tulostusikkuna." localSheetId="20" hidden="1">{TRUE,TRUE,1.6,4.6,388.8,206.4,FALSE,FALSE,TRUE,TRUE,0,42,#N/A,1,#N/A,9.01515151515152,16.7647058823529,1,FALSE,FALSE,1,TRUE,1,FALSE,75,"Swvu.Tulostusikkuna.","ACwvu.Tulostusikkuna.",1,FALSE,FALSE,0,0,1.14173228346457,0.826771653543307,2,"&amp;L&amp;15KORKEASAAREN ELÄINTARHA&amp;C&amp;15KÄVIJÄTILASTO&amp;R&amp;15VUOSI 1994","&amp;L&amp;BLippujen hinnat:&amp;B  Mustikkamaa: aik. 20 mk, lapset 10 mk&amp;CVesibussit: aik. 33 mk,    lapset 16 mk",FALSE,FALSE,FALSE,FALSE,1,85,#N/A,#N/A,"=R1C1:R560C28",FALSE,#N/A,#N/A,FALSE,FALSE}</definedName>
    <definedName name="wvu.Tulostusikkuna." localSheetId="21" hidden="1">{TRUE,TRUE,1.6,4.6,388.8,206.4,FALSE,FALSE,TRUE,TRUE,0,42,#N/A,1,#N/A,9.01515151515152,16.7647058823529,1,FALSE,FALSE,1,TRUE,1,FALSE,75,"Swvu.Tulostusikkuna.","ACwvu.Tulostusikkuna.",1,FALSE,FALSE,0,0,1.14173228346457,0.826771653543307,2,"&amp;L&amp;15KORKEASAAREN ELÄINTARHA&amp;C&amp;15KÄVIJÄTILASTO&amp;R&amp;15VUOSI 1994","&amp;L&amp;BLippujen hinnat:&amp;B  Mustikkamaa: aik. 20 mk, lapset 10 mk&amp;CVesibussit: aik. 33 mk,    lapset 16 mk",FALSE,FALSE,FALSE,FALSE,1,85,#N/A,#N/A,"=R1C1:R560C28",FALSE,#N/A,#N/A,FALSE,FALSE}</definedName>
    <definedName name="wvu.Tulostusikkuna." localSheetId="1" hidden="1">{TRUE,TRUE,1.6,4.6,388.8,206.4,FALSE,FALSE,TRUE,TRUE,0,42,#N/A,1,#N/A,9.01515151515152,16.7647058823529,1,FALSE,FALSE,1,TRUE,1,FALSE,75,"Swvu.Tulostusikkuna.","ACwvu.Tulostusikkuna.",1,FALSE,FALSE,0,0,1.14173228346457,0.826771653543307,2,"&amp;L&amp;15KORKEASAAREN ELÄINTARHA&amp;C&amp;15KÄVIJÄTILASTO&amp;R&amp;15VUOSI 1994","&amp;L&amp;BLippujen hinnat:&amp;B  Mustikkamaa: aik. 20 mk, lapset 10 mk&amp;CVesibussit: aik. 33 mk,    lapset 16 mk",FALSE,FALSE,FALSE,FALSE,1,85,#N/A,#N/A,"=R1C1:R560C28",FALSE,#N/A,#N/A,FALSE,FALSE}</definedName>
    <definedName name="wvu.Tulostusikkuna." localSheetId="10" hidden="1">{TRUE,TRUE,1.6,4.6,388.8,206.4,FALSE,FALSE,TRUE,TRUE,0,42,#N/A,1,#N/A,9.01515151515152,16.7647058823529,1,FALSE,FALSE,1,TRUE,1,FALSE,75,"Swvu.Tulostusikkuna.","ACwvu.Tulostusikkuna.",1,FALSE,FALSE,0,0,1.14173228346457,0.826771653543307,2,"&amp;L&amp;15KORKEASAAREN ELÄINTARHA&amp;C&amp;15KÄVIJÄTILASTO&amp;R&amp;15VUOSI 1994","&amp;L&amp;BLippujen hinnat:&amp;B  Mustikkamaa: aik. 20 mk, lapset 10 mk&amp;CVesibussit: aik. 33 mk,    lapset 16 mk",FALSE,FALSE,FALSE,FALSE,1,85,#N/A,#N/A,"=R1C1:R560C28",FALSE,#N/A,#N/A,FALSE,FALSE}</definedName>
    <definedName name="wvu.Tulostusikkuna." localSheetId="11" hidden="1">{TRUE,TRUE,1.6,4.6,388.8,206.4,FALSE,FALSE,TRUE,TRUE,0,42,#N/A,1,#N/A,9.01515151515152,16.7647058823529,1,FALSE,FALSE,1,TRUE,1,FALSE,75,"Swvu.Tulostusikkuna.","ACwvu.Tulostusikkuna.",1,FALSE,FALSE,0,0,1.14173228346457,0.826771653543307,2,"&amp;L&amp;15KORKEASAAREN ELÄINTARHA&amp;C&amp;15KÄVIJÄTILASTO&amp;R&amp;15VUOSI 1994","&amp;L&amp;BLippujen hinnat:&amp;B  Mustikkamaa: aik. 20 mk, lapset 10 mk&amp;CVesibussit: aik. 33 mk,    lapset 16 mk",FALSE,FALSE,FALSE,FALSE,1,85,#N/A,#N/A,"=R1C1:R560C28",FALSE,#N/A,#N/A,FALSE,FALSE}</definedName>
    <definedName name="wvu.Tulostusikkuna." localSheetId="12" hidden="1">{TRUE,TRUE,1.6,4.6,388.8,206.4,FALSE,FALSE,TRUE,TRUE,0,42,#N/A,1,#N/A,9.01515151515152,16.7647058823529,1,FALSE,FALSE,1,TRUE,1,FALSE,75,"Swvu.Tulostusikkuna.","ACwvu.Tulostusikkuna.",1,FALSE,FALSE,0,0,1.14173228346457,0.826771653543307,2,"&amp;L&amp;15KORKEASAAREN ELÄINTARHA&amp;C&amp;15KÄVIJÄTILASTO&amp;R&amp;15VUOSI 1994","&amp;L&amp;BLippujen hinnat:&amp;B  Mustikkamaa: aik. 20 mk, lapset 10 mk&amp;CVesibussit: aik. 33 mk,    lapset 16 mk",FALSE,FALSE,FALSE,FALSE,1,85,#N/A,#N/A,"=R1C1:R560C28",FALSE,#N/A,#N/A,FALSE,FALSE}</definedName>
    <definedName name="wvu.Tulostusikkuna." localSheetId="2" hidden="1">{TRUE,TRUE,1.6,4.6,388.8,206.4,FALSE,FALSE,TRUE,TRUE,0,42,#N/A,1,#N/A,9.01515151515152,16.7647058823529,1,FALSE,FALSE,1,TRUE,1,FALSE,75,"Swvu.Tulostusikkuna.","ACwvu.Tulostusikkuna.",1,FALSE,FALSE,0,0,1.14173228346457,0.826771653543307,2,"&amp;L&amp;15KORKEASAAREN ELÄINTARHA&amp;C&amp;15KÄVIJÄTILASTO&amp;R&amp;15VUOSI 1994","&amp;L&amp;BLippujen hinnat:&amp;B  Mustikkamaa: aik. 20 mk, lapset 10 mk&amp;CVesibussit: aik. 33 mk,    lapset 16 mk",FALSE,FALSE,FALSE,FALSE,1,85,#N/A,#N/A,"=R1C1:R560C28",FALSE,#N/A,#N/A,FALSE,FALSE}</definedName>
    <definedName name="wvu.Tulostusikkuna." localSheetId="3" hidden="1">{TRUE,TRUE,1.6,4.6,388.8,206.4,FALSE,FALSE,TRUE,TRUE,0,42,#N/A,1,#N/A,9.01515151515152,16.7647058823529,1,FALSE,FALSE,1,TRUE,1,FALSE,75,"Swvu.Tulostusikkuna.","ACwvu.Tulostusikkuna.",1,FALSE,FALSE,0,0,1.14173228346457,0.826771653543307,2,"&amp;L&amp;15KORKEASAAREN ELÄINTARHA&amp;C&amp;15KÄVIJÄTILASTO&amp;R&amp;15VUOSI 1994","&amp;L&amp;BLippujen hinnat:&amp;B  Mustikkamaa: aik. 20 mk, lapset 10 mk&amp;CVesibussit: aik. 33 mk,    lapset 16 mk",FALSE,FALSE,FALSE,FALSE,1,85,#N/A,#N/A,"=R1C1:R560C28",FALSE,#N/A,#N/A,FALSE,FALSE}</definedName>
    <definedName name="wvu.Tulostusikkuna." localSheetId="4" hidden="1">{TRUE,TRUE,1.6,4.6,388.8,206.4,FALSE,FALSE,TRUE,TRUE,0,42,#N/A,1,#N/A,9.01515151515152,16.7647058823529,1,FALSE,FALSE,1,TRUE,1,FALSE,75,"Swvu.Tulostusikkuna.","ACwvu.Tulostusikkuna.",1,FALSE,FALSE,0,0,1.14173228346457,0.826771653543307,2,"&amp;L&amp;15KORKEASAAREN ELÄINTARHA&amp;C&amp;15KÄVIJÄTILASTO&amp;R&amp;15VUOSI 1994","&amp;L&amp;BLippujen hinnat:&amp;B  Mustikkamaa: aik. 20 mk, lapset 10 mk&amp;CVesibussit: aik. 33 mk,    lapset 16 mk",FALSE,FALSE,FALSE,FALSE,1,85,#N/A,#N/A,"=R1C1:R560C28",FALSE,#N/A,#N/A,FALSE,FALSE}</definedName>
    <definedName name="wvu.Tulostusikkuna." localSheetId="5" hidden="1">{TRUE,TRUE,1.6,4.6,388.8,206.4,FALSE,FALSE,TRUE,TRUE,0,42,#N/A,1,#N/A,9.01515151515152,16.7647058823529,1,FALSE,FALSE,1,TRUE,1,FALSE,75,"Swvu.Tulostusikkuna.","ACwvu.Tulostusikkuna.",1,FALSE,FALSE,0,0,1.14173228346457,0.826771653543307,2,"&amp;L&amp;15KORKEASAAREN ELÄINTARHA&amp;C&amp;15KÄVIJÄTILASTO&amp;R&amp;15VUOSI 1994","&amp;L&amp;BLippujen hinnat:&amp;B  Mustikkamaa: aik. 20 mk, lapset 10 mk&amp;CVesibussit: aik. 33 mk,    lapset 16 mk",FALSE,FALSE,FALSE,FALSE,1,85,#N/A,#N/A,"=R1C1:R560C28",FALSE,#N/A,#N/A,FALSE,FALSE}</definedName>
    <definedName name="wvu.Tulostusikkuna." localSheetId="6" hidden="1">{TRUE,TRUE,1.6,4.6,388.8,206.4,FALSE,FALSE,TRUE,TRUE,0,42,#N/A,1,#N/A,9.01515151515152,16.7647058823529,1,FALSE,FALSE,1,TRUE,1,FALSE,75,"Swvu.Tulostusikkuna.","ACwvu.Tulostusikkuna.",1,FALSE,FALSE,0,0,1.14173228346457,0.826771653543307,2,"&amp;L&amp;15KORKEASAAREN ELÄINTARHA&amp;C&amp;15KÄVIJÄTILASTO&amp;R&amp;15VUOSI 1994","&amp;L&amp;BLippujen hinnat:&amp;B  Mustikkamaa: aik. 20 mk, lapset 10 mk&amp;CVesibussit: aik. 33 mk,    lapset 16 mk",FALSE,FALSE,FALSE,FALSE,1,85,#N/A,#N/A,"=R1C1:R560C28",FALSE,#N/A,#N/A,FALSE,FALSE}</definedName>
    <definedName name="wvu.Tulostusikkuna." localSheetId="7" hidden="1">{TRUE,TRUE,1.6,4.6,388.8,206.4,FALSE,FALSE,TRUE,TRUE,0,42,#N/A,1,#N/A,9.01515151515152,16.7647058823529,1,FALSE,FALSE,1,TRUE,1,FALSE,75,"Swvu.Tulostusikkuna.","ACwvu.Tulostusikkuna.",1,FALSE,FALSE,0,0,1.14173228346457,0.826771653543307,2,"&amp;L&amp;15KORKEASAAREN ELÄINTARHA&amp;C&amp;15KÄVIJÄTILASTO&amp;R&amp;15VUOSI 1994","&amp;L&amp;BLippujen hinnat:&amp;B  Mustikkamaa: aik. 20 mk, lapset 10 mk&amp;CVesibussit: aik. 33 mk,    lapset 16 mk",FALSE,FALSE,FALSE,FALSE,1,85,#N/A,#N/A,"=R1C1:R560C28",FALSE,#N/A,#N/A,FALSE,FALSE}</definedName>
    <definedName name="wvu.Tulostusikkuna." localSheetId="8" hidden="1">{TRUE,TRUE,1.6,4.6,388.8,206.4,FALSE,FALSE,TRUE,TRUE,0,42,#N/A,1,#N/A,9.01515151515152,16.7647058823529,1,FALSE,FALSE,1,TRUE,1,FALSE,75,"Swvu.Tulostusikkuna.","ACwvu.Tulostusikkuna.",1,FALSE,FALSE,0,0,1.14173228346457,0.826771653543307,2,"&amp;L&amp;15KORKEASAAREN ELÄINTARHA&amp;C&amp;15KÄVIJÄTILASTO&amp;R&amp;15VUOSI 1994","&amp;L&amp;BLippujen hinnat:&amp;B  Mustikkamaa: aik. 20 mk, lapset 10 mk&amp;CVesibussit: aik. 33 mk,    lapset 16 mk",FALSE,FALSE,FALSE,FALSE,1,85,#N/A,#N/A,"=R1C1:R560C28",FALSE,#N/A,#N/A,FALSE,FALSE}</definedName>
    <definedName name="wvu.Tulostusikkuna." localSheetId="9" hidden="1">{TRUE,TRUE,1.6,4.6,388.8,206.4,FALSE,FALSE,TRUE,TRUE,0,42,#N/A,1,#N/A,9.01515151515152,16.7647058823529,1,FALSE,FALSE,1,TRUE,1,FALSE,75,"Swvu.Tulostusikkuna.","ACwvu.Tulostusikkuna.",1,FALSE,FALSE,0,0,1.14173228346457,0.826771653543307,2,"&amp;L&amp;15KORKEASAAREN ELÄINTARHA&amp;C&amp;15KÄVIJÄTILASTO&amp;R&amp;15VUOSI 1994","&amp;L&amp;BLippujen hinnat:&amp;B  Mustikkamaa: aik. 20 mk, lapset 10 mk&amp;CVesibussit: aik. 33 mk,    lapset 16 mk",FALSE,FALSE,FALSE,FALSE,1,85,#N/A,#N/A,"=R1C1:R560C28",FALSE,#N/A,#N/A,FALSE,FALSE}</definedName>
    <definedName name="wvu.Tulostusikkuna." localSheetId="25" hidden="1">{TRUE,TRUE,1.6,4.6,388.8,206.4,FALSE,FALSE,TRUE,TRUE,0,42,#N/A,1,#N/A,9.01515151515152,16.7647058823529,1,FALSE,FALSE,1,TRUE,1,FALSE,75,"Swvu.Tulostusikkuna.","ACwvu.Tulostusikkuna.",1,FALSE,FALSE,0,0,1.14173228346457,0.826771653543307,2,"&amp;L&amp;15KORKEASAAREN ELÄINTARHA&amp;C&amp;15KÄVIJÄTILASTO&amp;R&amp;15VUOSI 1994","&amp;L&amp;BLippujen hinnat:&amp;B  Mustikkamaa: aik. 20 mk, lapset 10 mk&amp;CVesibussit: aik. 33 mk,    lapset 16 mk",FALSE,FALSE,FALSE,FALSE,1,85,#N/A,#N/A,"=R1C1:R560C28",FALSE,#N/A,#N/A,FALSE,FALSE}</definedName>
    <definedName name="wvu.Tulostusikkuna." localSheetId="34" hidden="1">{TRUE,TRUE,1.6,4.6,388.8,206.4,FALSE,FALSE,TRUE,TRUE,0,42,#N/A,1,#N/A,9.01515151515152,16.7647058823529,1,FALSE,FALSE,1,TRUE,1,FALSE,75,"Swvu.Tulostusikkuna.","ACwvu.Tulostusikkuna.",1,FALSE,FALSE,0,0,1.14173228346457,0.826771653543307,2,"&amp;L&amp;15KORKEASAAREN ELÄINTARHA&amp;C&amp;15KÄVIJÄTILASTO&amp;R&amp;15VUOSI 1994","&amp;L&amp;BLippujen hinnat:&amp;B  Mustikkamaa: aik. 20 mk, lapset 10 mk&amp;CVesibussit: aik. 33 mk,    lapset 16 mk",FALSE,FALSE,FALSE,FALSE,1,85,#N/A,#N/A,"=R1C1:R560C28",FALSE,#N/A,#N/A,FALSE,FALSE}</definedName>
    <definedName name="wvu.Tulostusikkuna." localSheetId="35" hidden="1">{TRUE,TRUE,1.6,4.6,388.8,206.4,FALSE,FALSE,TRUE,TRUE,0,42,#N/A,1,#N/A,9.01515151515152,16.7647058823529,1,FALSE,FALSE,1,TRUE,1,FALSE,75,"Swvu.Tulostusikkuna.","ACwvu.Tulostusikkuna.",1,FALSE,FALSE,0,0,1.14173228346457,0.826771653543307,2,"&amp;L&amp;15KORKEASAAREN ELÄINTARHA&amp;C&amp;15KÄVIJÄTILASTO&amp;R&amp;15VUOSI 1994","&amp;L&amp;BLippujen hinnat:&amp;B  Mustikkamaa: aik. 20 mk, lapset 10 mk&amp;CVesibussit: aik. 33 mk,    lapset 16 mk",FALSE,FALSE,FALSE,FALSE,1,85,#N/A,#N/A,"=R1C1:R560C28",FALSE,#N/A,#N/A,FALSE,FALSE}</definedName>
    <definedName name="wvu.Tulostusikkuna." localSheetId="36" hidden="1">{TRUE,TRUE,1.6,4.6,388.8,206.4,FALSE,FALSE,TRUE,TRUE,0,42,#N/A,1,#N/A,9.01515151515152,16.7647058823529,1,FALSE,FALSE,1,TRUE,1,FALSE,75,"Swvu.Tulostusikkuna.","ACwvu.Tulostusikkuna.",1,FALSE,FALSE,0,0,1.14173228346457,0.826771653543307,2,"&amp;L&amp;15KORKEASAAREN ELÄINTARHA&amp;C&amp;15KÄVIJÄTILASTO&amp;R&amp;15VUOSI 1994","&amp;L&amp;BLippujen hinnat:&amp;B  Mustikkamaa: aik. 20 mk, lapset 10 mk&amp;CVesibussit: aik. 33 mk,    lapset 16 mk",FALSE,FALSE,FALSE,FALSE,1,85,#N/A,#N/A,"=R1C1:R560C28",FALSE,#N/A,#N/A,FALSE,FALSE}</definedName>
    <definedName name="wvu.Tulostusikkuna." localSheetId="26" hidden="1">{TRUE,TRUE,1.6,4.6,388.8,206.4,FALSE,FALSE,TRUE,TRUE,0,42,#N/A,1,#N/A,9.01515151515152,16.7647058823529,1,FALSE,FALSE,1,TRUE,1,FALSE,75,"Swvu.Tulostusikkuna.","ACwvu.Tulostusikkuna.",1,FALSE,FALSE,0,0,1.14173228346457,0.826771653543307,2,"&amp;L&amp;15KORKEASAAREN ELÄINTARHA&amp;C&amp;15KÄVIJÄTILASTO&amp;R&amp;15VUOSI 1994","&amp;L&amp;BLippujen hinnat:&amp;B  Mustikkamaa: aik. 20 mk, lapset 10 mk&amp;CVesibussit: aik. 33 mk,    lapset 16 mk",FALSE,FALSE,FALSE,FALSE,1,85,#N/A,#N/A,"=R1C1:R560C28",FALSE,#N/A,#N/A,FALSE,FALSE}</definedName>
    <definedName name="wvu.Tulostusikkuna." localSheetId="27" hidden="1">{TRUE,TRUE,1.6,4.6,388.8,206.4,FALSE,FALSE,TRUE,TRUE,0,42,#N/A,1,#N/A,9.01515151515152,16.7647058823529,1,FALSE,FALSE,1,TRUE,1,FALSE,75,"Swvu.Tulostusikkuna.","ACwvu.Tulostusikkuna.",1,FALSE,FALSE,0,0,1.14173228346457,0.826771653543307,2,"&amp;L&amp;15KORKEASAAREN ELÄINTARHA&amp;C&amp;15KÄVIJÄTILASTO&amp;R&amp;15VUOSI 1994","&amp;L&amp;BLippujen hinnat:&amp;B  Mustikkamaa: aik. 20 mk, lapset 10 mk&amp;CVesibussit: aik. 33 mk,    lapset 16 mk",FALSE,FALSE,FALSE,FALSE,1,85,#N/A,#N/A,"=R1C1:R560C28",FALSE,#N/A,#N/A,FALSE,FALSE}</definedName>
    <definedName name="wvu.Tulostusikkuna." localSheetId="28" hidden="1">{TRUE,TRUE,1.6,4.6,388.8,206.4,FALSE,FALSE,TRUE,TRUE,0,42,#N/A,1,#N/A,9.01515151515152,16.7647058823529,1,FALSE,FALSE,1,TRUE,1,FALSE,75,"Swvu.Tulostusikkuna.","ACwvu.Tulostusikkuna.",1,FALSE,FALSE,0,0,1.14173228346457,0.826771653543307,2,"&amp;L&amp;15KORKEASAAREN ELÄINTARHA&amp;C&amp;15KÄVIJÄTILASTO&amp;R&amp;15VUOSI 1994","&amp;L&amp;BLippujen hinnat:&amp;B  Mustikkamaa: aik. 20 mk, lapset 10 mk&amp;CVesibussit: aik. 33 mk,    lapset 16 mk",FALSE,FALSE,FALSE,FALSE,1,85,#N/A,#N/A,"=R1C1:R560C28",FALSE,#N/A,#N/A,FALSE,FALSE}</definedName>
    <definedName name="wvu.Tulostusikkuna." localSheetId="29" hidden="1">{TRUE,TRUE,1.6,4.6,388.8,206.4,FALSE,FALSE,TRUE,TRUE,0,42,#N/A,1,#N/A,9.01515151515152,16.7647058823529,1,FALSE,FALSE,1,TRUE,1,FALSE,75,"Swvu.Tulostusikkuna.","ACwvu.Tulostusikkuna.",1,FALSE,FALSE,0,0,1.14173228346457,0.826771653543307,2,"&amp;L&amp;15KORKEASAAREN ELÄINTARHA&amp;C&amp;15KÄVIJÄTILASTO&amp;R&amp;15VUOSI 1994","&amp;L&amp;BLippujen hinnat:&amp;B  Mustikkamaa: aik. 20 mk, lapset 10 mk&amp;CVesibussit: aik. 33 mk,    lapset 16 mk",FALSE,FALSE,FALSE,FALSE,1,85,#N/A,#N/A,"=R1C1:R560C28",FALSE,#N/A,#N/A,FALSE,FALSE}</definedName>
    <definedName name="wvu.Tulostusikkuna." localSheetId="30" hidden="1">{TRUE,TRUE,1.6,4.6,388.8,206.4,FALSE,FALSE,TRUE,TRUE,0,42,#N/A,1,#N/A,9.01515151515152,16.7647058823529,1,FALSE,FALSE,1,TRUE,1,FALSE,75,"Swvu.Tulostusikkuna.","ACwvu.Tulostusikkuna.",1,FALSE,FALSE,0,0,1.14173228346457,0.826771653543307,2,"&amp;L&amp;15KORKEASAAREN ELÄINTARHA&amp;C&amp;15KÄVIJÄTILASTO&amp;R&amp;15VUOSI 1994","&amp;L&amp;BLippujen hinnat:&amp;B  Mustikkamaa: aik. 20 mk, lapset 10 mk&amp;CVesibussit: aik. 33 mk,    lapset 16 mk",FALSE,FALSE,FALSE,FALSE,1,85,#N/A,#N/A,"=R1C1:R560C28",FALSE,#N/A,#N/A,FALSE,FALSE}</definedName>
    <definedName name="wvu.Tulostusikkuna." localSheetId="31" hidden="1">{TRUE,TRUE,1.6,4.6,388.8,206.4,FALSE,FALSE,TRUE,TRUE,0,42,#N/A,1,#N/A,9.01515151515152,16.7647058823529,1,FALSE,FALSE,1,TRUE,1,FALSE,75,"Swvu.Tulostusikkuna.","ACwvu.Tulostusikkuna.",1,FALSE,FALSE,0,0,1.14173228346457,0.826771653543307,2,"&amp;L&amp;15KORKEASAAREN ELÄINTARHA&amp;C&amp;15KÄVIJÄTILASTO&amp;R&amp;15VUOSI 1994","&amp;L&amp;BLippujen hinnat:&amp;B  Mustikkamaa: aik. 20 mk, lapset 10 mk&amp;CVesibussit: aik. 33 mk,    lapset 16 mk",FALSE,FALSE,FALSE,FALSE,1,85,#N/A,#N/A,"=R1C1:R560C28",FALSE,#N/A,#N/A,FALSE,FALSE}</definedName>
    <definedName name="wvu.Tulostusikkuna." localSheetId="32" hidden="1">{TRUE,TRUE,1.6,4.6,388.8,206.4,FALSE,FALSE,TRUE,TRUE,0,42,#N/A,1,#N/A,9.01515151515152,16.7647058823529,1,FALSE,FALSE,1,TRUE,1,FALSE,75,"Swvu.Tulostusikkuna.","ACwvu.Tulostusikkuna.",1,FALSE,FALSE,0,0,1.14173228346457,0.826771653543307,2,"&amp;L&amp;15KORKEASAAREN ELÄINTARHA&amp;C&amp;15KÄVIJÄTILASTO&amp;R&amp;15VUOSI 1994","&amp;L&amp;BLippujen hinnat:&amp;B  Mustikkamaa: aik. 20 mk, lapset 10 mk&amp;CVesibussit: aik. 33 mk,    lapset 16 mk",FALSE,FALSE,FALSE,FALSE,1,85,#N/A,#N/A,"=R1C1:R560C28",FALSE,#N/A,#N/A,FALSE,FALSE}</definedName>
    <definedName name="wvu.Tulostusikkuna." localSheetId="33" hidden="1">{TRUE,TRUE,1.6,4.6,388.8,206.4,FALSE,FALSE,TRUE,TRUE,0,42,#N/A,1,#N/A,9.01515151515152,16.7647058823529,1,FALSE,FALSE,1,TRUE,1,FALSE,75,"Swvu.Tulostusikkuna.","ACwvu.Tulostusikkuna.",1,FALSE,FALSE,0,0,1.14173228346457,0.826771653543307,2,"&amp;L&amp;15KORKEASAAREN ELÄINTARHA&amp;C&amp;15KÄVIJÄTILASTO&amp;R&amp;15VUOSI 1994","&amp;L&amp;BLippujen hinnat:&amp;B  Mustikkamaa: aik. 20 mk, lapset 10 mk&amp;CVesibussit: aik. 33 mk,    lapset 16 mk",FALSE,FALSE,FALSE,FALSE,1,85,#N/A,#N/A,"=R1C1:R560C28",FALSE,#N/A,#N/A,FALSE,FALSE}</definedName>
    <definedName name="Z_1FA7E080_DAEE_11D3_A55E_00004B48144D_.wvu.PrintArea" localSheetId="13" hidden="1">'K1'!$A$1:$AB$41</definedName>
    <definedName name="Z_1FA7E080_DAEE_11D3_A55E_00004B48144D_.wvu.PrintArea" localSheetId="22" hidden="1">'K10'!$A$1:$AB$41</definedName>
    <definedName name="Z_1FA7E080_DAEE_11D3_A55E_00004B48144D_.wvu.PrintArea" localSheetId="23" hidden="1">'K11'!$A$1:$AB$41</definedName>
    <definedName name="Z_1FA7E080_DAEE_11D3_A55E_00004B48144D_.wvu.PrintArea" localSheetId="24" hidden="1">'K12'!$A$1:$AB$41</definedName>
    <definedName name="Z_1FA7E080_DAEE_11D3_A55E_00004B48144D_.wvu.PrintArea" localSheetId="14" hidden="1">'K2'!$A$1:$AB$41</definedName>
    <definedName name="Z_1FA7E080_DAEE_11D3_A55E_00004B48144D_.wvu.PrintArea" localSheetId="15" hidden="1">'K3'!$A$1:$AB$41</definedName>
    <definedName name="Z_1FA7E080_DAEE_11D3_A55E_00004B48144D_.wvu.PrintArea" localSheetId="16" hidden="1">'K4'!$A$1:$AB$41</definedName>
    <definedName name="Z_1FA7E080_DAEE_11D3_A55E_00004B48144D_.wvu.PrintArea" localSheetId="17" hidden="1">'K5'!$A$1:$AB$41</definedName>
    <definedName name="Z_1FA7E080_DAEE_11D3_A55E_00004B48144D_.wvu.PrintArea" localSheetId="18" hidden="1">'K6'!$A$1:$AB$41</definedName>
    <definedName name="Z_1FA7E080_DAEE_11D3_A55E_00004B48144D_.wvu.PrintArea" localSheetId="19" hidden="1">'K7'!$A$1:$AB$41</definedName>
    <definedName name="Z_1FA7E080_DAEE_11D3_A55E_00004B48144D_.wvu.PrintArea" localSheetId="20" hidden="1">'K8'!$A$1:$AB$41</definedName>
    <definedName name="Z_1FA7E080_DAEE_11D3_A55E_00004B48144D_.wvu.PrintArea" localSheetId="21" hidden="1">'K9'!$A$1:$AB$41</definedName>
    <definedName name="Z_1FA7E080_DAEE_11D3_A55E_00004B48144D_.wvu.PrintArea" localSheetId="1" hidden="1">'N1'!$A$1:$AB$41</definedName>
    <definedName name="Z_1FA7E080_DAEE_11D3_A55E_00004B48144D_.wvu.PrintArea" localSheetId="10" hidden="1">'N10'!$A$1:$AB$41</definedName>
    <definedName name="Z_1FA7E080_DAEE_11D3_A55E_00004B48144D_.wvu.PrintArea" localSheetId="11" hidden="1">'N11'!$A$1:$AB$41</definedName>
    <definedName name="Z_1FA7E080_DAEE_11D3_A55E_00004B48144D_.wvu.PrintArea" localSheetId="12" hidden="1">'N12'!$A$1:$AB$41</definedName>
    <definedName name="Z_1FA7E080_DAEE_11D3_A55E_00004B48144D_.wvu.PrintArea" localSheetId="2" hidden="1">'N2'!$A$1:$AB$41</definedName>
    <definedName name="Z_1FA7E080_DAEE_11D3_A55E_00004B48144D_.wvu.PrintArea" localSheetId="3" hidden="1">'N3'!$A$1:$AB$41</definedName>
    <definedName name="Z_1FA7E080_DAEE_11D3_A55E_00004B48144D_.wvu.PrintArea" localSheetId="4" hidden="1">'N4'!$A$1:$AB$41</definedName>
    <definedName name="Z_1FA7E080_DAEE_11D3_A55E_00004B48144D_.wvu.PrintArea" localSheetId="5" hidden="1">'N5'!$A$1:$AB$41</definedName>
    <definedName name="Z_1FA7E080_DAEE_11D3_A55E_00004B48144D_.wvu.PrintArea" localSheetId="6" hidden="1">'N6'!$A$1:$AB$41</definedName>
    <definedName name="Z_1FA7E080_DAEE_11D3_A55E_00004B48144D_.wvu.PrintArea" localSheetId="7" hidden="1">'N7'!$A$1:$AB$41</definedName>
    <definedName name="Z_1FA7E080_DAEE_11D3_A55E_00004B48144D_.wvu.PrintArea" localSheetId="8" hidden="1">'N8'!$A$1:$AB$41</definedName>
    <definedName name="Z_1FA7E080_DAEE_11D3_A55E_00004B48144D_.wvu.PrintArea" localSheetId="9" hidden="1">'N9'!$A$1:$AB$41</definedName>
    <definedName name="Z_1FA7E080_DAEE_11D3_A55E_00004B48144D_.wvu.PrintArea" localSheetId="25" hidden="1">Yht1!$A$1:$AB$41</definedName>
    <definedName name="Z_1FA7E080_DAEE_11D3_A55E_00004B48144D_.wvu.PrintArea" localSheetId="34" hidden="1">Yht10!$A$1:$AB$41</definedName>
    <definedName name="Z_1FA7E080_DAEE_11D3_A55E_00004B48144D_.wvu.PrintArea" localSheetId="35" hidden="1">Yht11!$A$1:$AB$41</definedName>
    <definedName name="Z_1FA7E080_DAEE_11D3_A55E_00004B48144D_.wvu.PrintArea" localSheetId="36" hidden="1">Yht12!$A$1:$AB$41</definedName>
    <definedName name="Z_1FA7E080_DAEE_11D3_A55E_00004B48144D_.wvu.PrintArea" localSheetId="26" hidden="1">Yht2!$A$1:$AB$41</definedName>
    <definedName name="Z_1FA7E080_DAEE_11D3_A55E_00004B48144D_.wvu.PrintArea" localSheetId="27" hidden="1">Yht3!$A$1:$AB$41</definedName>
    <definedName name="Z_1FA7E080_DAEE_11D3_A55E_00004B48144D_.wvu.PrintArea" localSheetId="28" hidden="1">Yht4!$A$1:$AB$41</definedName>
    <definedName name="Z_1FA7E080_DAEE_11D3_A55E_00004B48144D_.wvu.PrintArea" localSheetId="29" hidden="1">Yht5!$A$1:$AB$41</definedName>
    <definedName name="Z_1FA7E080_DAEE_11D3_A55E_00004B48144D_.wvu.PrintArea" localSheetId="30" hidden="1">Yht6!$A$1:$AB$41</definedName>
    <definedName name="Z_1FA7E080_DAEE_11D3_A55E_00004B48144D_.wvu.PrintArea" localSheetId="31" hidden="1">Yht7!$A$1:$AB$41</definedName>
    <definedName name="Z_1FA7E080_DAEE_11D3_A55E_00004B48144D_.wvu.PrintArea" localSheetId="32" hidden="1">Yht8!$A$1:$AB$41</definedName>
    <definedName name="Z_1FA7E080_DAEE_11D3_A55E_00004B48144D_.wvu.PrintArea" localSheetId="33" hidden="1">Yht9!$A$1:$AB$41</definedName>
    <definedName name="Z_1FA7E081_DAEE_11D3_A55E_00004B48144D_.wvu.PrintArea" localSheetId="13" hidden="1">'K1'!$A$1:$AB$41</definedName>
    <definedName name="Z_1FA7E081_DAEE_11D3_A55E_00004B48144D_.wvu.PrintArea" localSheetId="22" hidden="1">'K10'!$A$1:$AB$41</definedName>
    <definedName name="Z_1FA7E081_DAEE_11D3_A55E_00004B48144D_.wvu.PrintArea" localSheetId="23" hidden="1">'K11'!$A$1:$AB$41</definedName>
    <definedName name="Z_1FA7E081_DAEE_11D3_A55E_00004B48144D_.wvu.PrintArea" localSheetId="24" hidden="1">'K12'!$A$1:$AB$41</definedName>
    <definedName name="Z_1FA7E081_DAEE_11D3_A55E_00004B48144D_.wvu.PrintArea" localSheetId="14" hidden="1">'K2'!$A$1:$AB$41</definedName>
    <definedName name="Z_1FA7E081_DAEE_11D3_A55E_00004B48144D_.wvu.PrintArea" localSheetId="15" hidden="1">'K3'!$A$1:$AB$41</definedName>
    <definedName name="Z_1FA7E081_DAEE_11D3_A55E_00004B48144D_.wvu.PrintArea" localSheetId="16" hidden="1">'K4'!$A$1:$AB$41</definedName>
    <definedName name="Z_1FA7E081_DAEE_11D3_A55E_00004B48144D_.wvu.PrintArea" localSheetId="17" hidden="1">'K5'!$A$1:$AB$41</definedName>
    <definedName name="Z_1FA7E081_DAEE_11D3_A55E_00004B48144D_.wvu.PrintArea" localSheetId="18" hidden="1">'K6'!$A$1:$AB$41</definedName>
    <definedName name="Z_1FA7E081_DAEE_11D3_A55E_00004B48144D_.wvu.PrintArea" localSheetId="19" hidden="1">'K7'!$A$1:$AB$41</definedName>
    <definedName name="Z_1FA7E081_DAEE_11D3_A55E_00004B48144D_.wvu.PrintArea" localSheetId="20" hidden="1">'K8'!$A$1:$AB$41</definedName>
    <definedName name="Z_1FA7E081_DAEE_11D3_A55E_00004B48144D_.wvu.PrintArea" localSheetId="21" hidden="1">'K9'!$A$1:$AB$41</definedName>
    <definedName name="Z_1FA7E081_DAEE_11D3_A55E_00004B48144D_.wvu.PrintArea" localSheetId="1" hidden="1">'N1'!$A$1:$AB$41</definedName>
    <definedName name="Z_1FA7E081_DAEE_11D3_A55E_00004B48144D_.wvu.PrintArea" localSheetId="10" hidden="1">'N10'!$A$1:$AB$41</definedName>
    <definedName name="Z_1FA7E081_DAEE_11D3_A55E_00004B48144D_.wvu.PrintArea" localSheetId="11" hidden="1">'N11'!$A$1:$AB$41</definedName>
    <definedName name="Z_1FA7E081_DAEE_11D3_A55E_00004B48144D_.wvu.PrintArea" localSheetId="12" hidden="1">'N12'!$A$1:$AB$41</definedName>
    <definedName name="Z_1FA7E081_DAEE_11D3_A55E_00004B48144D_.wvu.PrintArea" localSheetId="2" hidden="1">'N2'!$A$1:$AB$41</definedName>
    <definedName name="Z_1FA7E081_DAEE_11D3_A55E_00004B48144D_.wvu.PrintArea" localSheetId="3" hidden="1">'N3'!$A$1:$AB$41</definedName>
    <definedName name="Z_1FA7E081_DAEE_11D3_A55E_00004B48144D_.wvu.PrintArea" localSheetId="4" hidden="1">'N4'!$A$1:$AB$41</definedName>
    <definedName name="Z_1FA7E081_DAEE_11D3_A55E_00004B48144D_.wvu.PrintArea" localSheetId="5" hidden="1">'N5'!$A$1:$AB$41</definedName>
    <definedName name="Z_1FA7E081_DAEE_11D3_A55E_00004B48144D_.wvu.PrintArea" localSheetId="6" hidden="1">'N6'!$A$1:$AB$41</definedName>
    <definedName name="Z_1FA7E081_DAEE_11D3_A55E_00004B48144D_.wvu.PrintArea" localSheetId="7" hidden="1">'N7'!$A$1:$AB$41</definedName>
    <definedName name="Z_1FA7E081_DAEE_11D3_A55E_00004B48144D_.wvu.PrintArea" localSheetId="8" hidden="1">'N8'!$A$1:$AB$41</definedName>
    <definedName name="Z_1FA7E081_DAEE_11D3_A55E_00004B48144D_.wvu.PrintArea" localSheetId="9" hidden="1">'N9'!$A$1:$AB$41</definedName>
    <definedName name="Z_1FA7E081_DAEE_11D3_A55E_00004B48144D_.wvu.PrintArea" localSheetId="25" hidden="1">Yht1!$A$1:$AB$41</definedName>
    <definedName name="Z_1FA7E081_DAEE_11D3_A55E_00004B48144D_.wvu.PrintArea" localSheetId="34" hidden="1">Yht10!$A$1:$AB$41</definedName>
    <definedName name="Z_1FA7E081_DAEE_11D3_A55E_00004B48144D_.wvu.PrintArea" localSheetId="35" hidden="1">Yht11!$A$1:$AB$41</definedName>
    <definedName name="Z_1FA7E081_DAEE_11D3_A55E_00004B48144D_.wvu.PrintArea" localSheetId="36" hidden="1">Yht12!$A$1:$AB$41</definedName>
    <definedName name="Z_1FA7E081_DAEE_11D3_A55E_00004B48144D_.wvu.PrintArea" localSheetId="26" hidden="1">Yht2!$A$1:$AB$41</definedName>
    <definedName name="Z_1FA7E081_DAEE_11D3_A55E_00004B48144D_.wvu.PrintArea" localSheetId="27" hidden="1">Yht3!$A$1:$AB$41</definedName>
    <definedName name="Z_1FA7E081_DAEE_11D3_A55E_00004B48144D_.wvu.PrintArea" localSheetId="28" hidden="1">Yht4!$A$1:$AB$41</definedName>
    <definedName name="Z_1FA7E081_DAEE_11D3_A55E_00004B48144D_.wvu.PrintArea" localSheetId="29" hidden="1">Yht5!$A$1:$AB$41</definedName>
    <definedName name="Z_1FA7E081_DAEE_11D3_A55E_00004B48144D_.wvu.PrintArea" localSheetId="30" hidden="1">Yht6!$A$1:$AB$41</definedName>
    <definedName name="Z_1FA7E081_DAEE_11D3_A55E_00004B48144D_.wvu.PrintArea" localSheetId="31" hidden="1">Yht7!$A$1:$AB$41</definedName>
    <definedName name="Z_1FA7E081_DAEE_11D3_A55E_00004B48144D_.wvu.PrintArea" localSheetId="32" hidden="1">Yht8!$A$1:$AB$41</definedName>
    <definedName name="Z_1FA7E081_DAEE_11D3_A55E_00004B48144D_.wvu.PrintArea" localSheetId="33" hidden="1">Yht9!$A$1:$AB$41</definedName>
  </definedNames>
  <calcPr calcId="145621"/>
  <customWorkbookViews>
    <customWorkbookView name="Perusikkuna (KÄVTIL)" guid="{1FA7E080-DAEE-11D3-A55E-00004B48144D}" xWindow="5" yWindow="24" windowWidth="628" windowHeight="369" activeSheetId="1"/>
    <customWorkbookView name="Tulostusikkuna (KÄVTIL)" guid="{1FA7E081-DAEE-11D3-A55E-00004B48144D}" xWindow="5" yWindow="28" windowWidth="508" windowHeight="246" activeSheetId="1"/>
  </customWorkbookViews>
</workbook>
</file>

<file path=xl/calcChain.xml><?xml version="1.0" encoding="utf-8"?>
<calcChain xmlns="http://schemas.openxmlformats.org/spreadsheetml/2006/main">
  <c r="G33" i="32" l="1"/>
  <c r="F33" i="32"/>
  <c r="D33" i="32"/>
  <c r="C33" i="32"/>
  <c r="C26" i="32"/>
  <c r="H25" i="32"/>
  <c r="C25" i="32"/>
  <c r="G25" i="32"/>
  <c r="E25" i="32"/>
  <c r="D25" i="32"/>
  <c r="C13" i="32"/>
  <c r="C13" i="39"/>
  <c r="G12" i="32"/>
  <c r="F12" i="32"/>
  <c r="C12" i="32"/>
  <c r="G11" i="32"/>
  <c r="D11" i="32"/>
  <c r="C11" i="32"/>
  <c r="H10" i="32"/>
  <c r="F10" i="32"/>
  <c r="D10" i="32"/>
  <c r="C10" i="32"/>
  <c r="C9" i="32"/>
  <c r="C7" i="32"/>
  <c r="C6" i="39"/>
  <c r="C6" i="32"/>
  <c r="C5" i="32"/>
  <c r="L5" i="31"/>
  <c r="H34" i="31"/>
  <c r="D34" i="31"/>
  <c r="C34" i="31"/>
  <c r="C32" i="31"/>
  <c r="C30" i="31"/>
  <c r="C26" i="31"/>
  <c r="F25" i="31"/>
  <c r="C25" i="31"/>
  <c r="C22" i="38"/>
  <c r="C22" i="31"/>
  <c r="G19" i="31"/>
  <c r="F19" i="31"/>
  <c r="C19" i="31"/>
  <c r="C18" i="31"/>
  <c r="H17" i="31"/>
  <c r="G17" i="31"/>
  <c r="C17" i="31"/>
  <c r="H14" i="31"/>
  <c r="D14" i="31"/>
  <c r="C14" i="31"/>
  <c r="H13" i="31"/>
  <c r="F13" i="31"/>
  <c r="D13" i="31"/>
  <c r="C13" i="31"/>
  <c r="H9" i="31"/>
  <c r="G9" i="31"/>
  <c r="I7" i="31"/>
  <c r="H7" i="31"/>
  <c r="G7" i="31"/>
  <c r="F7" i="31"/>
  <c r="E7" i="31"/>
  <c r="D7" i="31"/>
  <c r="C7" i="31"/>
  <c r="H6" i="31"/>
  <c r="G6" i="31"/>
  <c r="D6" i="31"/>
  <c r="C6" i="31"/>
  <c r="H5" i="31"/>
  <c r="D5" i="31"/>
  <c r="C5" i="31"/>
  <c r="H34" i="30"/>
  <c r="G34" i="30"/>
  <c r="C34" i="30"/>
  <c r="F31" i="30"/>
  <c r="C31" i="30"/>
  <c r="C28" i="30"/>
  <c r="F28" i="30"/>
  <c r="H28" i="30"/>
  <c r="D28" i="30"/>
  <c r="H27" i="30"/>
  <c r="G27" i="30"/>
  <c r="F27" i="30"/>
  <c r="E27" i="30"/>
  <c r="D27" i="30"/>
  <c r="C27" i="30"/>
  <c r="C25" i="30"/>
  <c r="C25" i="37"/>
  <c r="F24" i="30"/>
  <c r="C24" i="30"/>
  <c r="C23" i="30"/>
  <c r="H22" i="30"/>
  <c r="C22" i="30"/>
  <c r="H21" i="30"/>
  <c r="G21" i="30"/>
  <c r="D21" i="30"/>
  <c r="C21" i="30"/>
  <c r="C18" i="37"/>
  <c r="H18" i="30"/>
  <c r="G18" i="30"/>
  <c r="F18" i="30"/>
  <c r="C18" i="30"/>
  <c r="H15" i="30"/>
  <c r="D15" i="30"/>
  <c r="C15" i="30"/>
  <c r="H14" i="30"/>
  <c r="G14" i="30"/>
  <c r="D14" i="30"/>
  <c r="C14" i="30"/>
  <c r="U5" i="30"/>
  <c r="H13" i="30"/>
  <c r="G13" i="30"/>
  <c r="D13" i="30"/>
  <c r="C13" i="30"/>
  <c r="C29" i="29"/>
  <c r="C31" i="29"/>
  <c r="C33" i="29"/>
  <c r="C7" i="30"/>
  <c r="H12" i="30"/>
  <c r="G12" i="30"/>
  <c r="F12" i="30"/>
  <c r="C12" i="30"/>
  <c r="C11" i="37"/>
  <c r="C11" i="30"/>
  <c r="H11" i="30"/>
  <c r="G11" i="30"/>
  <c r="F11" i="30"/>
  <c r="D10" i="30"/>
  <c r="H10" i="30"/>
  <c r="F10" i="30"/>
  <c r="C10" i="30"/>
  <c r="F9" i="30"/>
  <c r="C9" i="30"/>
  <c r="H7" i="30"/>
  <c r="F7" i="30"/>
  <c r="H6" i="30"/>
  <c r="G6" i="30"/>
  <c r="F6" i="30"/>
  <c r="C6" i="30"/>
  <c r="H5" i="30"/>
  <c r="G5" i="30"/>
  <c r="C5" i="30"/>
  <c r="C34" i="36"/>
  <c r="F34" i="29"/>
  <c r="C34" i="29"/>
  <c r="G33" i="29"/>
  <c r="F33" i="29"/>
  <c r="H32" i="29"/>
  <c r="G32" i="29"/>
  <c r="F32" i="29"/>
  <c r="C32" i="29"/>
  <c r="H31" i="29"/>
  <c r="G31" i="29"/>
  <c r="F31" i="29"/>
  <c r="H30" i="29"/>
  <c r="F30" i="29"/>
  <c r="C30" i="29"/>
  <c r="H29" i="29"/>
  <c r="G29" i="29"/>
  <c r="F29" i="29"/>
  <c r="H28" i="29"/>
  <c r="G28" i="29"/>
  <c r="F28" i="29"/>
  <c r="C28" i="29"/>
  <c r="H27" i="29"/>
  <c r="C27" i="29"/>
  <c r="C26" i="29"/>
  <c r="L33" i="29"/>
  <c r="L27" i="29"/>
  <c r="L26" i="29"/>
  <c r="L22" i="29"/>
  <c r="L19" i="29"/>
  <c r="L18" i="29"/>
  <c r="L16" i="29"/>
  <c r="L14" i="29"/>
  <c r="L11" i="29"/>
  <c r="L9" i="29"/>
  <c r="L6" i="29"/>
  <c r="L5" i="29"/>
  <c r="U35" i="28"/>
  <c r="L35" i="28"/>
  <c r="L30" i="28"/>
  <c r="U25" i="28"/>
  <c r="L25" i="28"/>
  <c r="U24" i="28"/>
  <c r="L24" i="28"/>
  <c r="U21" i="28"/>
  <c r="L21" i="28"/>
  <c r="U20" i="28"/>
  <c r="L19" i="28"/>
  <c r="L17" i="28"/>
  <c r="U17" i="28"/>
  <c r="U15" i="28"/>
  <c r="L15" i="28"/>
  <c r="U14" i="28"/>
  <c r="L14" i="28"/>
  <c r="U10" i="28"/>
  <c r="L10" i="28"/>
  <c r="U35" i="27"/>
  <c r="U34" i="27"/>
  <c r="L34" i="27"/>
  <c r="L28" i="27"/>
  <c r="U27" i="27"/>
  <c r="L27" i="27"/>
  <c r="U26" i="27"/>
  <c r="L26" i="27"/>
  <c r="U25" i="27"/>
  <c r="L25" i="27"/>
  <c r="L24" i="27"/>
  <c r="U24" i="27"/>
  <c r="L23" i="27"/>
  <c r="U20" i="27"/>
  <c r="L20" i="27"/>
  <c r="U19" i="27"/>
  <c r="L19" i="27"/>
  <c r="L15" i="27"/>
  <c r="U15" i="27"/>
  <c r="U14" i="27"/>
  <c r="L14" i="27"/>
  <c r="U13" i="27"/>
  <c r="L13" i="27"/>
  <c r="U10" i="27"/>
  <c r="L10" i="27"/>
  <c r="L8" i="27"/>
  <c r="U8" i="27"/>
  <c r="E18" i="24"/>
  <c r="L6" i="27"/>
  <c r="U6" i="27"/>
  <c r="L5" i="27"/>
  <c r="U5" i="27"/>
  <c r="L34" i="24"/>
  <c r="U34" i="24"/>
  <c r="U28" i="24"/>
  <c r="L28" i="24"/>
  <c r="U23" i="24"/>
  <c r="L23" i="24"/>
  <c r="L20" i="24"/>
  <c r="L19" i="24"/>
  <c r="M15" i="24"/>
  <c r="L15" i="24"/>
  <c r="L17" i="24"/>
  <c r="L16" i="24"/>
  <c r="U15" i="24"/>
  <c r="U14" i="24"/>
  <c r="U13" i="24"/>
  <c r="L13" i="24"/>
  <c r="S12" i="24"/>
  <c r="L12" i="24"/>
  <c r="U12" i="24"/>
  <c r="L11" i="24"/>
  <c r="L9" i="24"/>
  <c r="U9" i="24"/>
  <c r="U8" i="24"/>
  <c r="S8" i="24"/>
  <c r="R8" i="24"/>
  <c r="L8" i="24"/>
  <c r="U7" i="24"/>
  <c r="L7" i="24"/>
  <c r="L34" i="19"/>
  <c r="L33" i="19"/>
  <c r="L29" i="19"/>
  <c r="L28" i="19"/>
  <c r="L24" i="19"/>
  <c r="U23" i="19"/>
  <c r="L23" i="19"/>
  <c r="L18" i="19"/>
  <c r="L13" i="19"/>
  <c r="L12" i="19"/>
  <c r="L11" i="19"/>
  <c r="L7" i="19"/>
  <c r="L6" i="19"/>
  <c r="D1" i="5"/>
  <c r="L1" i="46"/>
  <c r="C41" i="1" l="1"/>
  <c r="C40" i="1"/>
  <c r="C39" i="1"/>
  <c r="C41" i="12"/>
  <c r="C40" i="12"/>
  <c r="C39" i="12"/>
  <c r="C41" i="15"/>
  <c r="C40" i="15"/>
  <c r="C39" i="15"/>
  <c r="C41" i="18"/>
  <c r="C40" i="18"/>
  <c r="C39" i="18"/>
  <c r="C41" i="19"/>
  <c r="C40" i="19"/>
  <c r="C39" i="19"/>
  <c r="C41" i="24"/>
  <c r="C40" i="24"/>
  <c r="C39" i="24"/>
  <c r="C41" i="27"/>
  <c r="C40" i="27"/>
  <c r="C39" i="27"/>
  <c r="C41" i="28"/>
  <c r="C40" i="28"/>
  <c r="C39" i="28"/>
  <c r="C41" i="29"/>
  <c r="C40" i="29"/>
  <c r="C39" i="29"/>
  <c r="C41" i="30"/>
  <c r="C40" i="30"/>
  <c r="C39" i="30"/>
  <c r="C41" i="31"/>
  <c r="C40" i="31"/>
  <c r="C39" i="31"/>
  <c r="C41" i="32"/>
  <c r="C40" i="32"/>
  <c r="C39" i="32"/>
  <c r="C41" i="9"/>
  <c r="C40" i="9"/>
  <c r="C39" i="9"/>
  <c r="C41" i="16"/>
  <c r="C40" i="16"/>
  <c r="C39" i="16"/>
  <c r="C41" i="20"/>
  <c r="C40" i="20"/>
  <c r="C39" i="20"/>
  <c r="C41" i="21"/>
  <c r="C40" i="21"/>
  <c r="C39" i="21"/>
  <c r="C41" i="33"/>
  <c r="C40" i="33"/>
  <c r="C39" i="33"/>
  <c r="C41" i="34"/>
  <c r="C40" i="34"/>
  <c r="C39" i="34"/>
  <c r="C41" i="35"/>
  <c r="C40" i="35"/>
  <c r="C39" i="35"/>
  <c r="C41" i="36"/>
  <c r="C40" i="36"/>
  <c r="C39" i="36"/>
  <c r="C41" i="37"/>
  <c r="C40" i="37"/>
  <c r="C39" i="37"/>
  <c r="C41" i="38"/>
  <c r="C40" i="38"/>
  <c r="C39" i="38"/>
  <c r="C41" i="39"/>
  <c r="C40" i="39"/>
  <c r="C39" i="39"/>
  <c r="C41" i="10"/>
  <c r="C40" i="10"/>
  <c r="C39" i="10"/>
  <c r="C41" i="14"/>
  <c r="C40" i="14"/>
  <c r="C39" i="14"/>
  <c r="C41" i="17"/>
  <c r="C40" i="17"/>
  <c r="C39" i="17"/>
  <c r="C41" i="22"/>
  <c r="C40" i="22"/>
  <c r="C39" i="22"/>
  <c r="C41" i="23"/>
  <c r="C40" i="23"/>
  <c r="C39" i="23"/>
  <c r="C41" i="40"/>
  <c r="C40" i="40"/>
  <c r="C39" i="40"/>
  <c r="C41" i="41"/>
  <c r="C40" i="41"/>
  <c r="C39" i="41"/>
  <c r="E2" i="2" l="1"/>
  <c r="A1" i="2"/>
  <c r="C1" i="2" s="1"/>
  <c r="A1" i="53"/>
  <c r="B1" i="2" l="1"/>
  <c r="A2" i="2"/>
  <c r="B2" i="2" l="1"/>
  <c r="A3" i="2"/>
  <c r="C2" i="2"/>
  <c r="A4" i="2" l="1"/>
  <c r="B3" i="2"/>
  <c r="C3" i="2"/>
  <c r="A368" i="52"/>
  <c r="C4" i="2" l="1"/>
  <c r="A5" i="2"/>
  <c r="B4" i="2"/>
  <c r="B368" i="52"/>
  <c r="C368" i="52"/>
  <c r="D368" i="52"/>
  <c r="A6" i="2" l="1"/>
  <c r="B5" i="2"/>
  <c r="C5" i="2"/>
  <c r="C6" i="2" l="1"/>
  <c r="A7" i="2"/>
  <c r="B6" i="2"/>
  <c r="A8" i="2" l="1"/>
  <c r="B7" i="2"/>
  <c r="C7" i="2"/>
  <c r="C8" i="2" l="1"/>
  <c r="A9" i="2"/>
  <c r="B8" i="2"/>
  <c r="A10" i="2" l="1"/>
  <c r="B9" i="2"/>
  <c r="C9" i="2"/>
  <c r="C10" i="2" l="1"/>
  <c r="A11" i="2"/>
  <c r="B10" i="2"/>
  <c r="A12" i="2" l="1"/>
  <c r="B11" i="2"/>
  <c r="C11" i="2"/>
  <c r="C12" i="2" l="1"/>
  <c r="A13" i="2"/>
  <c r="B12" i="2"/>
  <c r="A14" i="2" l="1"/>
  <c r="B13" i="2"/>
  <c r="C13" i="2"/>
  <c r="C14" i="2" l="1"/>
  <c r="A15" i="2"/>
  <c r="B14" i="2"/>
  <c r="A16" i="2" l="1"/>
  <c r="B15" i="2"/>
  <c r="C15" i="2"/>
  <c r="C16" i="2" l="1"/>
  <c r="A17" i="2"/>
  <c r="B16" i="2"/>
  <c r="A18" i="2" l="1"/>
  <c r="B17" i="2"/>
  <c r="C17" i="2"/>
  <c r="C18" i="2" l="1"/>
  <c r="A19" i="2"/>
  <c r="B18" i="2"/>
  <c r="A20" i="2" l="1"/>
  <c r="B19" i="2"/>
  <c r="C19" i="2"/>
  <c r="C20" i="2" l="1"/>
  <c r="A21" i="2"/>
  <c r="B20" i="2"/>
  <c r="A22" i="2" l="1"/>
  <c r="B21" i="2"/>
  <c r="C21" i="2"/>
  <c r="C22" i="2" l="1"/>
  <c r="A23" i="2"/>
  <c r="B22" i="2"/>
  <c r="A24" i="2" l="1"/>
  <c r="B23" i="2"/>
  <c r="C23" i="2"/>
  <c r="C24" i="2" l="1"/>
  <c r="A25" i="2"/>
  <c r="B24" i="2"/>
  <c r="A26" i="2" l="1"/>
  <c r="B25" i="2"/>
  <c r="C25" i="2"/>
  <c r="C26" i="2" l="1"/>
  <c r="A27" i="2"/>
  <c r="B26" i="2"/>
  <c r="A28" i="2" l="1"/>
  <c r="B27" i="2"/>
  <c r="C27" i="2"/>
  <c r="C28" i="2" l="1"/>
  <c r="A29" i="2"/>
  <c r="B28" i="2"/>
  <c r="A28" i="52"/>
  <c r="D28" i="52" s="1"/>
  <c r="A30" i="2" l="1"/>
  <c r="B29" i="2"/>
  <c r="C29" i="2"/>
  <c r="A29" i="52"/>
  <c r="C28" i="52"/>
  <c r="B28" i="52"/>
  <c r="A27" i="52"/>
  <c r="D27" i="52" s="1"/>
  <c r="D29" i="52" l="1"/>
  <c r="B29" i="52"/>
  <c r="C29" i="52"/>
  <c r="C30" i="2"/>
  <c r="A31" i="2"/>
  <c r="B30" i="2"/>
  <c r="A30" i="52"/>
  <c r="C27" i="52"/>
  <c r="B27" i="52"/>
  <c r="A26" i="52"/>
  <c r="D26" i="52" s="1"/>
  <c r="A25" i="52"/>
  <c r="C25" i="52" s="1"/>
  <c r="C30" i="52" l="1"/>
  <c r="D30" i="52"/>
  <c r="B30" i="52"/>
  <c r="A32" i="2"/>
  <c r="B31" i="2"/>
  <c r="C31" i="2"/>
  <c r="A31" i="52"/>
  <c r="D25" i="52"/>
  <c r="B25" i="52"/>
  <c r="C26" i="52"/>
  <c r="B26" i="52"/>
  <c r="A24" i="52"/>
  <c r="D24" i="52" s="1"/>
  <c r="C32" i="2" l="1"/>
  <c r="A33" i="2"/>
  <c r="B32" i="2"/>
  <c r="A32" i="52"/>
  <c r="D31" i="52"/>
  <c r="B31" i="52"/>
  <c r="C31" i="52"/>
  <c r="C24" i="52"/>
  <c r="B24" i="52"/>
  <c r="A23" i="52"/>
  <c r="D23" i="52" s="1"/>
  <c r="C32" i="52" l="1"/>
  <c r="B32" i="52"/>
  <c r="D32" i="52"/>
  <c r="A34" i="2"/>
  <c r="B33" i="2"/>
  <c r="C33" i="2"/>
  <c r="A33" i="52"/>
  <c r="C23" i="52"/>
  <c r="B23" i="52"/>
  <c r="A22" i="52"/>
  <c r="D22" i="52" s="1"/>
  <c r="A21" i="52"/>
  <c r="C21" i="52" s="1"/>
  <c r="C34" i="2" l="1"/>
  <c r="A35" i="2"/>
  <c r="B34" i="2"/>
  <c r="A34" i="52"/>
  <c r="D33" i="52"/>
  <c r="B33" i="52"/>
  <c r="C33" i="52"/>
  <c r="D21" i="52"/>
  <c r="B21" i="52"/>
  <c r="C22" i="52"/>
  <c r="B22" i="52"/>
  <c r="A20" i="52"/>
  <c r="D20" i="52" s="1"/>
  <c r="A36" i="2" l="1"/>
  <c r="B35" i="2"/>
  <c r="C35" i="2"/>
  <c r="A35" i="52"/>
  <c r="D34" i="52"/>
  <c r="B34" i="52"/>
  <c r="C34" i="52"/>
  <c r="C20" i="52"/>
  <c r="B20" i="52"/>
  <c r="A19" i="52"/>
  <c r="D19" i="52" s="1"/>
  <c r="D35" i="52" l="1"/>
  <c r="B35" i="52"/>
  <c r="C35" i="52"/>
  <c r="C36" i="2"/>
  <c r="A37" i="2"/>
  <c r="B36" i="2"/>
  <c r="A36" i="52"/>
  <c r="C19" i="52"/>
  <c r="B19" i="52"/>
  <c r="A18" i="52"/>
  <c r="D18" i="52" s="1"/>
  <c r="A17" i="52"/>
  <c r="C17" i="52" s="1"/>
  <c r="D36" i="52" l="1"/>
  <c r="B36" i="52"/>
  <c r="C36" i="52"/>
  <c r="A38" i="2"/>
  <c r="B37" i="2"/>
  <c r="C37" i="2"/>
  <c r="A37" i="52"/>
  <c r="D17" i="52"/>
  <c r="B17" i="52"/>
  <c r="C18" i="52"/>
  <c r="B18" i="52"/>
  <c r="A16" i="52"/>
  <c r="D16" i="52" s="1"/>
  <c r="C38" i="2" l="1"/>
  <c r="A39" i="2"/>
  <c r="B38" i="2"/>
  <c r="A38" i="52"/>
  <c r="D37" i="52"/>
  <c r="B37" i="52"/>
  <c r="C37" i="52"/>
  <c r="C16" i="52"/>
  <c r="B16" i="52"/>
  <c r="A15" i="52"/>
  <c r="D15" i="52" s="1"/>
  <c r="D38" i="52" l="1"/>
  <c r="B38" i="52"/>
  <c r="C38" i="52"/>
  <c r="A40" i="2"/>
  <c r="B39" i="2"/>
  <c r="C39" i="2"/>
  <c r="A39" i="52"/>
  <c r="C15" i="52"/>
  <c r="B15" i="52"/>
  <c r="A14" i="52"/>
  <c r="D14" i="52" s="1"/>
  <c r="C40" i="2" l="1"/>
  <c r="A41" i="2"/>
  <c r="B40" i="2"/>
  <c r="A40" i="52"/>
  <c r="D39" i="52"/>
  <c r="C39" i="52"/>
  <c r="B39" i="52"/>
  <c r="C14" i="52"/>
  <c r="B14" i="52"/>
  <c r="A13" i="52"/>
  <c r="D13" i="52" s="1"/>
  <c r="A12" i="52"/>
  <c r="C12" i="52" s="1"/>
  <c r="C40" i="52" l="1"/>
  <c r="B40" i="52"/>
  <c r="D40" i="52"/>
  <c r="A42" i="2"/>
  <c r="B41" i="2"/>
  <c r="C41" i="2"/>
  <c r="A41" i="52"/>
  <c r="D12" i="52"/>
  <c r="B12" i="52"/>
  <c r="C13" i="52"/>
  <c r="B13" i="52"/>
  <c r="A11" i="52"/>
  <c r="D11" i="52" s="1"/>
  <c r="A10" i="52"/>
  <c r="C10" i="52" s="1"/>
  <c r="C42" i="2" l="1"/>
  <c r="A43" i="2"/>
  <c r="B42" i="2"/>
  <c r="A42" i="52"/>
  <c r="D41" i="52"/>
  <c r="C41" i="52"/>
  <c r="B41" i="52"/>
  <c r="B10" i="52"/>
  <c r="D10" i="52"/>
  <c r="C11" i="52"/>
  <c r="B11" i="52"/>
  <c r="A9" i="52"/>
  <c r="D9" i="52" s="1"/>
  <c r="A44" i="2" l="1"/>
  <c r="B43" i="2"/>
  <c r="C43" i="2"/>
  <c r="A43" i="52"/>
  <c r="C42" i="52"/>
  <c r="D42" i="52"/>
  <c r="B42" i="52"/>
  <c r="C9" i="52"/>
  <c r="B9" i="52"/>
  <c r="A8" i="52"/>
  <c r="D8" i="52" s="1"/>
  <c r="D43" i="52" l="1"/>
  <c r="B43" i="52"/>
  <c r="C43" i="52"/>
  <c r="C44" i="2"/>
  <c r="A45" i="2"/>
  <c r="B44" i="2"/>
  <c r="A44" i="52"/>
  <c r="C8" i="52"/>
  <c r="B8" i="52"/>
  <c r="A7" i="52"/>
  <c r="D7" i="52" s="1"/>
  <c r="D44" i="52" l="1"/>
  <c r="B44" i="52"/>
  <c r="C44" i="52"/>
  <c r="A46" i="2"/>
  <c r="B45" i="2"/>
  <c r="C45" i="2"/>
  <c r="A45" i="52"/>
  <c r="C7" i="52"/>
  <c r="B7" i="52"/>
  <c r="A6" i="52"/>
  <c r="D6" i="52" s="1"/>
  <c r="D45" i="52" l="1"/>
  <c r="B45" i="52"/>
  <c r="C45" i="52"/>
  <c r="C46" i="2"/>
  <c r="A47" i="2"/>
  <c r="B46" i="2"/>
  <c r="A46" i="52"/>
  <c r="C6" i="52"/>
  <c r="B6" i="52"/>
  <c r="A5" i="52"/>
  <c r="D5" i="52" s="1"/>
  <c r="A48" i="2" l="1"/>
  <c r="B47" i="2"/>
  <c r="C47" i="2"/>
  <c r="A47" i="52"/>
  <c r="D46" i="52"/>
  <c r="B46" i="52"/>
  <c r="C46" i="52"/>
  <c r="C5" i="52"/>
  <c r="B5" i="52"/>
  <c r="A4" i="52"/>
  <c r="D4" i="52" s="1"/>
  <c r="C48" i="2" l="1"/>
  <c r="A49" i="2"/>
  <c r="B48" i="2"/>
  <c r="A48" i="52"/>
  <c r="C47" i="52"/>
  <c r="D47" i="52"/>
  <c r="B47" i="52"/>
  <c r="C4" i="52"/>
  <c r="B4" i="52"/>
  <c r="A3" i="52"/>
  <c r="C3" i="52" s="1"/>
  <c r="A2" i="52"/>
  <c r="C2" i="52" s="1"/>
  <c r="A1" i="52"/>
  <c r="C1" i="52" s="1"/>
  <c r="N37" i="47"/>
  <c r="M37" i="47"/>
  <c r="L37" i="47"/>
  <c r="K37" i="47"/>
  <c r="J37" i="47"/>
  <c r="I37" i="47"/>
  <c r="H37" i="47"/>
  <c r="G37" i="47"/>
  <c r="F37" i="47"/>
  <c r="E37" i="47"/>
  <c r="D37" i="47"/>
  <c r="C37" i="47"/>
  <c r="B37" i="47"/>
  <c r="D1" i="47"/>
  <c r="I18" i="54"/>
  <c r="H18" i="54"/>
  <c r="E2" i="54"/>
  <c r="A1" i="54"/>
  <c r="C1" i="54" s="1"/>
  <c r="E2" i="53"/>
  <c r="A2" i="53"/>
  <c r="A3" i="53" s="1"/>
  <c r="C1" i="53"/>
  <c r="B1" i="53"/>
  <c r="A2" i="54" l="1"/>
  <c r="A3" i="54" s="1"/>
  <c r="B3" i="54" s="1"/>
  <c r="B1" i="54"/>
  <c r="A4" i="54"/>
  <c r="B2" i="53"/>
  <c r="C2" i="54"/>
  <c r="B2" i="54" s="1"/>
  <c r="D48" i="52"/>
  <c r="B48" i="52"/>
  <c r="C48" i="52"/>
  <c r="A50" i="2"/>
  <c r="B49" i="2"/>
  <c r="C49" i="2"/>
  <c r="A49" i="52"/>
  <c r="A4" i="53"/>
  <c r="B3" i="53"/>
  <c r="C3" i="53"/>
  <c r="C2" i="53"/>
  <c r="B2" i="52"/>
  <c r="D2" i="52"/>
  <c r="B1" i="52"/>
  <c r="D1" i="52"/>
  <c r="B3" i="52"/>
  <c r="D3" i="52"/>
  <c r="C3" i="54" l="1"/>
  <c r="C4" i="54"/>
  <c r="A5" i="54"/>
  <c r="B4" i="54"/>
  <c r="D49" i="52"/>
  <c r="B49" i="52"/>
  <c r="C49" i="52"/>
  <c r="C50" i="2"/>
  <c r="A51" i="2"/>
  <c r="B50" i="2"/>
  <c r="A50" i="52"/>
  <c r="C4" i="53"/>
  <c r="A5" i="53"/>
  <c r="B4" i="53"/>
  <c r="C41" i="46"/>
  <c r="C40" i="46"/>
  <c r="C39" i="46"/>
  <c r="C38" i="46"/>
  <c r="AB35" i="46"/>
  <c r="AA35" i="46"/>
  <c r="Z35" i="46"/>
  <c r="Y35" i="46"/>
  <c r="X35" i="46"/>
  <c r="W35" i="46"/>
  <c r="V35" i="46"/>
  <c r="U35" i="46"/>
  <c r="S35" i="46"/>
  <c r="R35" i="46"/>
  <c r="Q35" i="46"/>
  <c r="P35" i="46"/>
  <c r="O35" i="46"/>
  <c r="N35" i="46"/>
  <c r="M35" i="46"/>
  <c r="L35" i="46"/>
  <c r="J35" i="46"/>
  <c r="I35" i="46"/>
  <c r="H35" i="46"/>
  <c r="G35" i="46"/>
  <c r="F35" i="46"/>
  <c r="E35" i="46"/>
  <c r="D35" i="46"/>
  <c r="C35" i="46"/>
  <c r="AB34" i="46"/>
  <c r="AA34" i="46"/>
  <c r="Z34" i="46"/>
  <c r="Y34" i="46"/>
  <c r="X34" i="46"/>
  <c r="W34" i="46"/>
  <c r="V34" i="46"/>
  <c r="U34" i="46"/>
  <c r="S34" i="46"/>
  <c r="R34" i="46"/>
  <c r="Q34" i="46"/>
  <c r="P34" i="46"/>
  <c r="O34" i="46"/>
  <c r="N34" i="46"/>
  <c r="M34" i="46"/>
  <c r="L34" i="46"/>
  <c r="J34" i="46"/>
  <c r="I34" i="46"/>
  <c r="H34" i="46"/>
  <c r="G34" i="46"/>
  <c r="F34" i="46"/>
  <c r="E34" i="46"/>
  <c r="D34" i="46"/>
  <c r="C34" i="46"/>
  <c r="AB33" i="46"/>
  <c r="AA33" i="46"/>
  <c r="Z33" i="46"/>
  <c r="Y33" i="46"/>
  <c r="X33" i="46"/>
  <c r="W33" i="46"/>
  <c r="V33" i="46"/>
  <c r="U33" i="46"/>
  <c r="S33" i="46"/>
  <c r="R33" i="46"/>
  <c r="Q33" i="46"/>
  <c r="P33" i="46"/>
  <c r="O33" i="46"/>
  <c r="N33" i="46"/>
  <c r="M33" i="46"/>
  <c r="L33" i="46"/>
  <c r="J33" i="46"/>
  <c r="I33" i="46"/>
  <c r="H33" i="46"/>
  <c r="G33" i="46"/>
  <c r="F33" i="46"/>
  <c r="E33" i="46"/>
  <c r="D33" i="46"/>
  <c r="C33" i="46"/>
  <c r="AB32" i="46"/>
  <c r="AA32" i="46"/>
  <c r="Z32" i="46"/>
  <c r="Y32" i="46"/>
  <c r="X32" i="46"/>
  <c r="W32" i="46"/>
  <c r="V32" i="46"/>
  <c r="U32" i="46"/>
  <c r="S32" i="46"/>
  <c r="R32" i="46"/>
  <c r="Q32" i="46"/>
  <c r="P32" i="46"/>
  <c r="O32" i="46"/>
  <c r="N32" i="46"/>
  <c r="M32" i="46"/>
  <c r="L32" i="46"/>
  <c r="J32" i="46"/>
  <c r="I32" i="46"/>
  <c r="H32" i="46"/>
  <c r="G32" i="46"/>
  <c r="F32" i="46"/>
  <c r="E32" i="46"/>
  <c r="D32" i="46"/>
  <c r="C32" i="46"/>
  <c r="AB31" i="46"/>
  <c r="AA31" i="46"/>
  <c r="Z31" i="46"/>
  <c r="Y31" i="46"/>
  <c r="X31" i="46"/>
  <c r="W31" i="46"/>
  <c r="V31" i="46"/>
  <c r="U31" i="46"/>
  <c r="S31" i="46"/>
  <c r="R31" i="46"/>
  <c r="Q31" i="46"/>
  <c r="P31" i="46"/>
  <c r="O31" i="46"/>
  <c r="N31" i="46"/>
  <c r="M31" i="46"/>
  <c r="L31" i="46"/>
  <c r="J31" i="46"/>
  <c r="I31" i="46"/>
  <c r="H31" i="46"/>
  <c r="G31" i="46"/>
  <c r="F31" i="46"/>
  <c r="E31" i="46"/>
  <c r="D31" i="46"/>
  <c r="C31" i="46"/>
  <c r="AB30" i="46"/>
  <c r="AA30" i="46"/>
  <c r="Z30" i="46"/>
  <c r="Y30" i="46"/>
  <c r="X30" i="46"/>
  <c r="W30" i="46"/>
  <c r="V30" i="46"/>
  <c r="U30" i="46"/>
  <c r="S30" i="46"/>
  <c r="R30" i="46"/>
  <c r="Q30" i="46"/>
  <c r="P30" i="46"/>
  <c r="O30" i="46"/>
  <c r="N30" i="46"/>
  <c r="M30" i="46"/>
  <c r="L30" i="46"/>
  <c r="J30" i="46"/>
  <c r="I30" i="46"/>
  <c r="H30" i="46"/>
  <c r="G30" i="46"/>
  <c r="F30" i="46"/>
  <c r="E30" i="46"/>
  <c r="D30" i="46"/>
  <c r="C30" i="46"/>
  <c r="AB29" i="46"/>
  <c r="AA29" i="46"/>
  <c r="Z29" i="46"/>
  <c r="Y29" i="46"/>
  <c r="X29" i="46"/>
  <c r="W29" i="46"/>
  <c r="V29" i="46"/>
  <c r="U29" i="46"/>
  <c r="S29" i="46"/>
  <c r="R29" i="46"/>
  <c r="Q29" i="46"/>
  <c r="P29" i="46"/>
  <c r="O29" i="46"/>
  <c r="N29" i="46"/>
  <c r="M29" i="46"/>
  <c r="L29" i="46"/>
  <c r="J29" i="46"/>
  <c r="I29" i="46"/>
  <c r="H29" i="46"/>
  <c r="G29" i="46"/>
  <c r="F29" i="46"/>
  <c r="E29" i="46"/>
  <c r="D29" i="46"/>
  <c r="C29" i="46"/>
  <c r="AB28" i="46"/>
  <c r="AA28" i="46"/>
  <c r="Z28" i="46"/>
  <c r="Y28" i="46"/>
  <c r="X28" i="46"/>
  <c r="W28" i="46"/>
  <c r="V28" i="46"/>
  <c r="U28" i="46"/>
  <c r="S28" i="46"/>
  <c r="R28" i="46"/>
  <c r="Q28" i="46"/>
  <c r="P28" i="46"/>
  <c r="O28" i="46"/>
  <c r="N28" i="46"/>
  <c r="M28" i="46"/>
  <c r="L28" i="46"/>
  <c r="J28" i="46"/>
  <c r="I28" i="46"/>
  <c r="H28" i="46"/>
  <c r="G28" i="46"/>
  <c r="F28" i="46"/>
  <c r="E28" i="46"/>
  <c r="D28" i="46"/>
  <c r="C28" i="46"/>
  <c r="AB27" i="46"/>
  <c r="AA27" i="46"/>
  <c r="Z27" i="46"/>
  <c r="Y27" i="46"/>
  <c r="X27" i="46"/>
  <c r="W27" i="46"/>
  <c r="V27" i="46"/>
  <c r="U27" i="46"/>
  <c r="S27" i="46"/>
  <c r="R27" i="46"/>
  <c r="Q27" i="46"/>
  <c r="P27" i="46"/>
  <c r="O27" i="46"/>
  <c r="N27" i="46"/>
  <c r="M27" i="46"/>
  <c r="L27" i="46"/>
  <c r="J27" i="46"/>
  <c r="I27" i="46"/>
  <c r="H27" i="46"/>
  <c r="G27" i="46"/>
  <c r="F27" i="46"/>
  <c r="E27" i="46"/>
  <c r="D27" i="46"/>
  <c r="C27" i="46"/>
  <c r="AB26" i="46"/>
  <c r="AA26" i="46"/>
  <c r="Z26" i="46"/>
  <c r="Y26" i="46"/>
  <c r="X26" i="46"/>
  <c r="W26" i="46"/>
  <c r="V26" i="46"/>
  <c r="U26" i="46"/>
  <c r="S26" i="46"/>
  <c r="R26" i="46"/>
  <c r="Q26" i="46"/>
  <c r="P26" i="46"/>
  <c r="O26" i="46"/>
  <c r="N26" i="46"/>
  <c r="M26" i="46"/>
  <c r="L26" i="46"/>
  <c r="J26" i="46"/>
  <c r="I26" i="46"/>
  <c r="H26" i="46"/>
  <c r="G26" i="46"/>
  <c r="F26" i="46"/>
  <c r="E26" i="46"/>
  <c r="D26" i="46"/>
  <c r="C26" i="46"/>
  <c r="A6" i="54" l="1"/>
  <c r="B5" i="54"/>
  <c r="C5" i="54"/>
  <c r="D50" i="52"/>
  <c r="B50" i="52"/>
  <c r="C50" i="52"/>
  <c r="A52" i="2"/>
  <c r="B51" i="2"/>
  <c r="C51" i="2"/>
  <c r="A51" i="52"/>
  <c r="A6" i="53"/>
  <c r="B5" i="53"/>
  <c r="C5" i="53"/>
  <c r="AB25" i="46"/>
  <c r="AA25" i="46"/>
  <c r="Z25" i="46"/>
  <c r="Y25" i="46"/>
  <c r="X25" i="46"/>
  <c r="W25" i="46"/>
  <c r="V25" i="46"/>
  <c r="U25" i="46"/>
  <c r="S25" i="46"/>
  <c r="R25" i="46"/>
  <c r="Q25" i="46"/>
  <c r="P25" i="46"/>
  <c r="O25" i="46"/>
  <c r="N25" i="46"/>
  <c r="M25" i="46"/>
  <c r="L25" i="46"/>
  <c r="J25" i="46"/>
  <c r="I25" i="46"/>
  <c r="H25" i="46"/>
  <c r="G25" i="46"/>
  <c r="F25" i="46"/>
  <c r="E25" i="46"/>
  <c r="D25" i="46"/>
  <c r="C25" i="46"/>
  <c r="AB24" i="46"/>
  <c r="AA24" i="46"/>
  <c r="Z24" i="46"/>
  <c r="Y24" i="46"/>
  <c r="X24" i="46"/>
  <c r="W24" i="46"/>
  <c r="V24" i="46"/>
  <c r="U24" i="46"/>
  <c r="S24" i="46"/>
  <c r="R24" i="46"/>
  <c r="Q24" i="46"/>
  <c r="P24" i="46"/>
  <c r="O24" i="46"/>
  <c r="N24" i="46"/>
  <c r="M24" i="46"/>
  <c r="L24" i="46"/>
  <c r="J24" i="46"/>
  <c r="I24" i="46"/>
  <c r="H24" i="46"/>
  <c r="G24" i="46"/>
  <c r="F24" i="46"/>
  <c r="E24" i="46"/>
  <c r="D24" i="46"/>
  <c r="C24" i="46"/>
  <c r="AB23" i="46"/>
  <c r="AA23" i="46"/>
  <c r="Z23" i="46"/>
  <c r="Y23" i="46"/>
  <c r="X23" i="46"/>
  <c r="W23" i="46"/>
  <c r="V23" i="46"/>
  <c r="U23" i="46"/>
  <c r="S23" i="46"/>
  <c r="R23" i="46"/>
  <c r="Q23" i="46"/>
  <c r="P23" i="46"/>
  <c r="O23" i="46"/>
  <c r="N23" i="46"/>
  <c r="M23" i="46"/>
  <c r="L23" i="46"/>
  <c r="J23" i="46"/>
  <c r="I23" i="46"/>
  <c r="H23" i="46"/>
  <c r="G23" i="46"/>
  <c r="F23" i="46"/>
  <c r="E23" i="46"/>
  <c r="D23" i="46"/>
  <c r="C23" i="46"/>
  <c r="C6" i="54" l="1"/>
  <c r="A7" i="54"/>
  <c r="B6" i="54"/>
  <c r="C52" i="2"/>
  <c r="A53" i="2"/>
  <c r="B52" i="2"/>
  <c r="A52" i="52"/>
  <c r="D51" i="52"/>
  <c r="B51" i="52"/>
  <c r="C51" i="52"/>
  <c r="C6" i="53"/>
  <c r="A7" i="53"/>
  <c r="B6" i="53"/>
  <c r="AB22" i="46"/>
  <c r="AA22" i="46"/>
  <c r="Z22" i="46"/>
  <c r="Y22" i="46"/>
  <c r="X22" i="46"/>
  <c r="W22" i="46"/>
  <c r="V22" i="46"/>
  <c r="U22" i="46"/>
  <c r="S22" i="46"/>
  <c r="R22" i="46"/>
  <c r="Q22" i="46"/>
  <c r="P22" i="46"/>
  <c r="O22" i="46"/>
  <c r="N22" i="46"/>
  <c r="M22" i="46"/>
  <c r="L22" i="46"/>
  <c r="J22" i="46"/>
  <c r="I22" i="46"/>
  <c r="H22" i="46"/>
  <c r="G22" i="46"/>
  <c r="F22" i="46"/>
  <c r="E22" i="46"/>
  <c r="D22" i="46"/>
  <c r="C22" i="46"/>
  <c r="AB21" i="46"/>
  <c r="AA21" i="46"/>
  <c r="Z21" i="46"/>
  <c r="Y21" i="46"/>
  <c r="X21" i="46"/>
  <c r="W21" i="46"/>
  <c r="V21" i="46"/>
  <c r="U21" i="46"/>
  <c r="S21" i="46"/>
  <c r="R21" i="46"/>
  <c r="Q21" i="46"/>
  <c r="P21" i="46"/>
  <c r="O21" i="46"/>
  <c r="N21" i="46"/>
  <c r="M21" i="46"/>
  <c r="L21" i="46"/>
  <c r="J21" i="46"/>
  <c r="I21" i="46"/>
  <c r="H21" i="46"/>
  <c r="G21" i="46"/>
  <c r="F21" i="46"/>
  <c r="E21" i="46"/>
  <c r="D21" i="46"/>
  <c r="C21" i="46"/>
  <c r="AB20" i="46"/>
  <c r="AA20" i="46"/>
  <c r="Z20" i="46"/>
  <c r="Y20" i="46"/>
  <c r="X20" i="46"/>
  <c r="W20" i="46"/>
  <c r="V20" i="46"/>
  <c r="U20" i="46"/>
  <c r="S20" i="46"/>
  <c r="R20" i="46"/>
  <c r="Q20" i="46"/>
  <c r="P20" i="46"/>
  <c r="O20" i="46"/>
  <c r="N20" i="46"/>
  <c r="M20" i="46"/>
  <c r="L20" i="46"/>
  <c r="J20" i="46"/>
  <c r="I20" i="46"/>
  <c r="H20" i="46"/>
  <c r="G20" i="46"/>
  <c r="F20" i="46"/>
  <c r="E20" i="46"/>
  <c r="D20" i="46"/>
  <c r="C20" i="46"/>
  <c r="AB19" i="46"/>
  <c r="AA19" i="46"/>
  <c r="Z19" i="46"/>
  <c r="Y19" i="46"/>
  <c r="X19" i="46"/>
  <c r="W19" i="46"/>
  <c r="V19" i="46"/>
  <c r="U19" i="46"/>
  <c r="S19" i="46"/>
  <c r="R19" i="46"/>
  <c r="Q19" i="46"/>
  <c r="P19" i="46"/>
  <c r="O19" i="46"/>
  <c r="N19" i="46"/>
  <c r="M19" i="46"/>
  <c r="L19" i="46"/>
  <c r="J19" i="46"/>
  <c r="I19" i="46"/>
  <c r="H19" i="46"/>
  <c r="G19" i="46"/>
  <c r="F19" i="46"/>
  <c r="E19" i="46"/>
  <c r="D19" i="46"/>
  <c r="C19" i="46"/>
  <c r="AB18" i="46"/>
  <c r="AA18" i="46"/>
  <c r="Z18" i="46"/>
  <c r="Y18" i="46"/>
  <c r="X18" i="46"/>
  <c r="W18" i="46"/>
  <c r="V18" i="46"/>
  <c r="U18" i="46"/>
  <c r="S18" i="46"/>
  <c r="R18" i="46"/>
  <c r="Q18" i="46"/>
  <c r="P18" i="46"/>
  <c r="O18" i="46"/>
  <c r="N18" i="46"/>
  <c r="M18" i="46"/>
  <c r="L18" i="46"/>
  <c r="J18" i="46"/>
  <c r="I18" i="46"/>
  <c r="H18" i="46"/>
  <c r="G18" i="46"/>
  <c r="F18" i="46"/>
  <c r="E18" i="46"/>
  <c r="D18" i="46"/>
  <c r="C18" i="46"/>
  <c r="AB17" i="46"/>
  <c r="AA17" i="46"/>
  <c r="Z17" i="46"/>
  <c r="Y17" i="46"/>
  <c r="X17" i="46"/>
  <c r="W17" i="46"/>
  <c r="V17" i="46"/>
  <c r="U17" i="46"/>
  <c r="S17" i="46"/>
  <c r="R17" i="46"/>
  <c r="Q17" i="46"/>
  <c r="P17" i="46"/>
  <c r="O17" i="46"/>
  <c r="N17" i="46"/>
  <c r="M17" i="46"/>
  <c r="L17" i="46"/>
  <c r="J17" i="46"/>
  <c r="I17" i="46"/>
  <c r="H17" i="46"/>
  <c r="G17" i="46"/>
  <c r="F17" i="46"/>
  <c r="E17" i="46"/>
  <c r="D17" i="46"/>
  <c r="C17" i="46"/>
  <c r="AB16" i="46"/>
  <c r="AA16" i="46"/>
  <c r="Z16" i="46"/>
  <c r="Y16" i="46"/>
  <c r="X16" i="46"/>
  <c r="W16" i="46"/>
  <c r="V16" i="46"/>
  <c r="U16" i="46"/>
  <c r="S16" i="46"/>
  <c r="R16" i="46"/>
  <c r="Q16" i="46"/>
  <c r="P16" i="46"/>
  <c r="O16" i="46"/>
  <c r="N16" i="46"/>
  <c r="M16" i="46"/>
  <c r="L16" i="46"/>
  <c r="J16" i="46"/>
  <c r="I16" i="46"/>
  <c r="H16" i="46"/>
  <c r="G16" i="46"/>
  <c r="F16" i="46"/>
  <c r="E16" i="46"/>
  <c r="D16" i="46"/>
  <c r="C16" i="46"/>
  <c r="A8" i="54" l="1"/>
  <c r="B7" i="54"/>
  <c r="C7" i="54"/>
  <c r="D52" i="52"/>
  <c r="B52" i="52"/>
  <c r="C52" i="52"/>
  <c r="A54" i="2"/>
  <c r="B53" i="2"/>
  <c r="C53" i="2"/>
  <c r="A53" i="52"/>
  <c r="A8" i="53"/>
  <c r="B7" i="53"/>
  <c r="C7" i="53"/>
  <c r="AB15" i="46"/>
  <c r="AA15" i="46"/>
  <c r="Z15" i="46"/>
  <c r="Y15" i="46"/>
  <c r="X15" i="46"/>
  <c r="W15" i="46"/>
  <c r="V15" i="46"/>
  <c r="U15" i="46"/>
  <c r="S15" i="46"/>
  <c r="R15" i="46"/>
  <c r="Q15" i="46"/>
  <c r="P15" i="46"/>
  <c r="O15" i="46"/>
  <c r="N15" i="46"/>
  <c r="M15" i="46"/>
  <c r="L15" i="46"/>
  <c r="J15" i="46"/>
  <c r="I15" i="46"/>
  <c r="H15" i="46"/>
  <c r="G15" i="46"/>
  <c r="F15" i="46"/>
  <c r="E15" i="46"/>
  <c r="D15" i="46"/>
  <c r="C15" i="46"/>
  <c r="AB14" i="46"/>
  <c r="AA14" i="46"/>
  <c r="Z14" i="46"/>
  <c r="Y14" i="46"/>
  <c r="X14" i="46"/>
  <c r="W14" i="46"/>
  <c r="V14" i="46"/>
  <c r="U14" i="46"/>
  <c r="S14" i="46"/>
  <c r="R14" i="46"/>
  <c r="Q14" i="46"/>
  <c r="P14" i="46"/>
  <c r="O14" i="46"/>
  <c r="N14" i="46"/>
  <c r="M14" i="46"/>
  <c r="L14" i="46"/>
  <c r="J14" i="46"/>
  <c r="I14" i="46"/>
  <c r="H14" i="46"/>
  <c r="G14" i="46"/>
  <c r="F14" i="46"/>
  <c r="E14" i="46"/>
  <c r="D14" i="46"/>
  <c r="C14" i="46"/>
  <c r="AB13" i="46"/>
  <c r="AA13" i="46"/>
  <c r="Z13" i="46"/>
  <c r="Y13" i="46"/>
  <c r="X13" i="46"/>
  <c r="W13" i="46"/>
  <c r="V13" i="46"/>
  <c r="U13" i="46"/>
  <c r="S13" i="46"/>
  <c r="R13" i="46"/>
  <c r="Q13" i="46"/>
  <c r="P13" i="46"/>
  <c r="O13" i="46"/>
  <c r="N13" i="46"/>
  <c r="M13" i="46"/>
  <c r="L13" i="46"/>
  <c r="J13" i="46"/>
  <c r="I13" i="46"/>
  <c r="H13" i="46"/>
  <c r="G13" i="46"/>
  <c r="F13" i="46"/>
  <c r="E13" i="46"/>
  <c r="D13" i="46"/>
  <c r="C13" i="46"/>
  <c r="AB12" i="46"/>
  <c r="AA12" i="46"/>
  <c r="Z12" i="46"/>
  <c r="Y12" i="46"/>
  <c r="X12" i="46"/>
  <c r="W12" i="46"/>
  <c r="V12" i="46"/>
  <c r="U12" i="46"/>
  <c r="S12" i="46"/>
  <c r="R12" i="46"/>
  <c r="Q12" i="46"/>
  <c r="P12" i="46"/>
  <c r="O12" i="46"/>
  <c r="N12" i="46"/>
  <c r="M12" i="46"/>
  <c r="L12" i="46"/>
  <c r="J12" i="46"/>
  <c r="I12" i="46"/>
  <c r="H12" i="46"/>
  <c r="G12" i="46"/>
  <c r="F12" i="46"/>
  <c r="E12" i="46"/>
  <c r="D12" i="46"/>
  <c r="C12" i="46"/>
  <c r="AB11" i="46"/>
  <c r="AA11" i="46"/>
  <c r="Z11" i="46"/>
  <c r="Y11" i="46"/>
  <c r="X11" i="46"/>
  <c r="W11" i="46"/>
  <c r="V11" i="46"/>
  <c r="U11" i="46"/>
  <c r="S11" i="46"/>
  <c r="R11" i="46"/>
  <c r="Q11" i="46"/>
  <c r="P11" i="46"/>
  <c r="O11" i="46"/>
  <c r="N11" i="46"/>
  <c r="M11" i="46"/>
  <c r="L11" i="46"/>
  <c r="J11" i="46"/>
  <c r="I11" i="46"/>
  <c r="H11" i="46"/>
  <c r="G11" i="46"/>
  <c r="F11" i="46"/>
  <c r="E11" i="46"/>
  <c r="D11" i="46"/>
  <c r="C11" i="46"/>
  <c r="AB10" i="46"/>
  <c r="AA10" i="46"/>
  <c r="Z10" i="46"/>
  <c r="Y10" i="46"/>
  <c r="X10" i="46"/>
  <c r="W10" i="46"/>
  <c r="V10" i="46"/>
  <c r="U10" i="46"/>
  <c r="S10" i="46"/>
  <c r="R10" i="46"/>
  <c r="Q10" i="46"/>
  <c r="P10" i="46"/>
  <c r="O10" i="46"/>
  <c r="N10" i="46"/>
  <c r="M10" i="46"/>
  <c r="L10" i="46"/>
  <c r="J10" i="46"/>
  <c r="I10" i="46"/>
  <c r="H10" i="46"/>
  <c r="G10" i="46"/>
  <c r="F10" i="46"/>
  <c r="E10" i="46"/>
  <c r="D10" i="46"/>
  <c r="C10" i="46"/>
  <c r="AB9" i="46"/>
  <c r="AA9" i="46"/>
  <c r="Z9" i="46"/>
  <c r="Y9" i="46"/>
  <c r="X9" i="46"/>
  <c r="W9" i="46"/>
  <c r="V9" i="46"/>
  <c r="U9" i="46"/>
  <c r="S9" i="46"/>
  <c r="R9" i="46"/>
  <c r="Q9" i="46"/>
  <c r="P9" i="46"/>
  <c r="O9" i="46"/>
  <c r="N9" i="46"/>
  <c r="M9" i="46"/>
  <c r="L9" i="46"/>
  <c r="J9" i="46"/>
  <c r="I9" i="46"/>
  <c r="H9" i="46"/>
  <c r="G9" i="46"/>
  <c r="F9" i="46"/>
  <c r="E9" i="46"/>
  <c r="D9" i="46"/>
  <c r="C9" i="46"/>
  <c r="AB8" i="46"/>
  <c r="AA8" i="46"/>
  <c r="Z8" i="46"/>
  <c r="Y8" i="46"/>
  <c r="X8" i="46"/>
  <c r="W8" i="46"/>
  <c r="V8" i="46"/>
  <c r="U8" i="46"/>
  <c r="S8" i="46"/>
  <c r="R8" i="46"/>
  <c r="Q8" i="46"/>
  <c r="P8" i="46"/>
  <c r="O8" i="46"/>
  <c r="N8" i="46"/>
  <c r="M8" i="46"/>
  <c r="L8" i="46"/>
  <c r="J8" i="46"/>
  <c r="I8" i="46"/>
  <c r="H8" i="46"/>
  <c r="G8" i="46"/>
  <c r="F8" i="46"/>
  <c r="E8" i="46"/>
  <c r="D8" i="46"/>
  <c r="C8" i="46"/>
  <c r="AB7" i="46"/>
  <c r="AA7" i="46"/>
  <c r="Z7" i="46"/>
  <c r="Y7" i="46"/>
  <c r="X7" i="46"/>
  <c r="W7" i="46"/>
  <c r="V7" i="46"/>
  <c r="U7" i="46"/>
  <c r="S7" i="46"/>
  <c r="R7" i="46"/>
  <c r="Q7" i="46"/>
  <c r="P7" i="46"/>
  <c r="O7" i="46"/>
  <c r="N7" i="46"/>
  <c r="M7" i="46"/>
  <c r="L7" i="46"/>
  <c r="J7" i="46"/>
  <c r="I7" i="46"/>
  <c r="H7" i="46"/>
  <c r="G7" i="46"/>
  <c r="F7" i="46"/>
  <c r="E7" i="46"/>
  <c r="D7" i="46"/>
  <c r="C7" i="46"/>
  <c r="AB6" i="46"/>
  <c r="AA6" i="46"/>
  <c r="Z6" i="46"/>
  <c r="Y6" i="46"/>
  <c r="X6" i="46"/>
  <c r="W6" i="46"/>
  <c r="V6" i="46"/>
  <c r="U6" i="46"/>
  <c r="S6" i="46"/>
  <c r="R6" i="46"/>
  <c r="Q6" i="46"/>
  <c r="P6" i="46"/>
  <c r="O6" i="46"/>
  <c r="N6" i="46"/>
  <c r="M6" i="46"/>
  <c r="L6" i="46"/>
  <c r="J6" i="46"/>
  <c r="I6" i="46"/>
  <c r="H6" i="46"/>
  <c r="G6" i="46"/>
  <c r="F6" i="46"/>
  <c r="E6" i="46"/>
  <c r="D6" i="46"/>
  <c r="C6" i="46"/>
  <c r="AB5" i="46"/>
  <c r="AA5" i="46"/>
  <c r="Z5" i="46"/>
  <c r="Y5" i="46"/>
  <c r="X5" i="46"/>
  <c r="W5" i="46"/>
  <c r="V5" i="46"/>
  <c r="U5" i="46"/>
  <c r="S5" i="46"/>
  <c r="R5" i="46"/>
  <c r="Q5" i="46"/>
  <c r="P5" i="46"/>
  <c r="O5" i="46"/>
  <c r="N5" i="46"/>
  <c r="M5" i="46"/>
  <c r="L5" i="46"/>
  <c r="J5" i="46"/>
  <c r="I5" i="46"/>
  <c r="H5" i="46"/>
  <c r="G5" i="46"/>
  <c r="F5" i="46"/>
  <c r="E5" i="46"/>
  <c r="D5" i="46"/>
  <c r="C5" i="46"/>
  <c r="C41" i="45"/>
  <c r="C40" i="45"/>
  <c r="C39" i="45"/>
  <c r="C38" i="45"/>
  <c r="AB35" i="45"/>
  <c r="AA35" i="45"/>
  <c r="Z35" i="45"/>
  <c r="Y35" i="45"/>
  <c r="X35" i="45"/>
  <c r="W35" i="45"/>
  <c r="V35" i="45"/>
  <c r="U35" i="45"/>
  <c r="S35" i="45"/>
  <c r="R35" i="45"/>
  <c r="Q35" i="45"/>
  <c r="P35" i="45"/>
  <c r="O35" i="45"/>
  <c r="N35" i="45"/>
  <c r="M35" i="45"/>
  <c r="L35" i="45"/>
  <c r="J35" i="45"/>
  <c r="I35" i="45"/>
  <c r="H35" i="45"/>
  <c r="G35" i="45"/>
  <c r="F35" i="45"/>
  <c r="E35" i="45"/>
  <c r="D35" i="45"/>
  <c r="C35" i="45"/>
  <c r="AB34" i="45"/>
  <c r="AA34" i="45"/>
  <c r="Z34" i="45"/>
  <c r="Y34" i="45"/>
  <c r="X34" i="45"/>
  <c r="W34" i="45"/>
  <c r="V34" i="45"/>
  <c r="U34" i="45"/>
  <c r="S34" i="45"/>
  <c r="R34" i="45"/>
  <c r="Q34" i="45"/>
  <c r="P34" i="45"/>
  <c r="O34" i="45"/>
  <c r="N34" i="45"/>
  <c r="M34" i="45"/>
  <c r="L34" i="45"/>
  <c r="J34" i="45"/>
  <c r="I34" i="45"/>
  <c r="H34" i="45"/>
  <c r="G34" i="45"/>
  <c r="F34" i="45"/>
  <c r="E34" i="45"/>
  <c r="D34" i="45"/>
  <c r="C34" i="45"/>
  <c r="AB33" i="45"/>
  <c r="AA33" i="45"/>
  <c r="Z33" i="45"/>
  <c r="Y33" i="45"/>
  <c r="X33" i="45"/>
  <c r="W33" i="45"/>
  <c r="V33" i="45"/>
  <c r="U33" i="45"/>
  <c r="S33" i="45"/>
  <c r="R33" i="45"/>
  <c r="Q33" i="45"/>
  <c r="P33" i="45"/>
  <c r="O33" i="45"/>
  <c r="N33" i="45"/>
  <c r="M33" i="45"/>
  <c r="L33" i="45"/>
  <c r="J33" i="45"/>
  <c r="I33" i="45"/>
  <c r="H33" i="45"/>
  <c r="G33" i="45"/>
  <c r="F33" i="45"/>
  <c r="E33" i="45"/>
  <c r="D33" i="45"/>
  <c r="C33" i="45"/>
  <c r="AB32" i="45"/>
  <c r="AA32" i="45"/>
  <c r="Z32" i="45"/>
  <c r="Y32" i="45"/>
  <c r="X32" i="45"/>
  <c r="W32" i="45"/>
  <c r="V32" i="45"/>
  <c r="U32" i="45"/>
  <c r="S32" i="45"/>
  <c r="R32" i="45"/>
  <c r="Q32" i="45"/>
  <c r="P32" i="45"/>
  <c r="O32" i="45"/>
  <c r="N32" i="45"/>
  <c r="M32" i="45"/>
  <c r="L32" i="45"/>
  <c r="J32" i="45"/>
  <c r="I32" i="45"/>
  <c r="H32" i="45"/>
  <c r="G32" i="45"/>
  <c r="F32" i="45"/>
  <c r="E32" i="45"/>
  <c r="D32" i="45"/>
  <c r="C32" i="45"/>
  <c r="AB31" i="45"/>
  <c r="AA31" i="45"/>
  <c r="Z31" i="45"/>
  <c r="Y31" i="45"/>
  <c r="X31" i="45"/>
  <c r="W31" i="45"/>
  <c r="V31" i="45"/>
  <c r="U31" i="45"/>
  <c r="S31" i="45"/>
  <c r="R31" i="45"/>
  <c r="Q31" i="45"/>
  <c r="P31" i="45"/>
  <c r="O31" i="45"/>
  <c r="N31" i="45"/>
  <c r="M31" i="45"/>
  <c r="L31" i="45"/>
  <c r="J31" i="45"/>
  <c r="I31" i="45"/>
  <c r="H31" i="45"/>
  <c r="G31" i="45"/>
  <c r="F31" i="45"/>
  <c r="E31" i="45"/>
  <c r="D31" i="45"/>
  <c r="C31" i="45"/>
  <c r="AB30" i="45"/>
  <c r="AA30" i="45"/>
  <c r="Z30" i="45"/>
  <c r="Y30" i="45"/>
  <c r="X30" i="45"/>
  <c r="W30" i="45"/>
  <c r="V30" i="45"/>
  <c r="U30" i="45"/>
  <c r="S30" i="45"/>
  <c r="R30" i="45"/>
  <c r="Q30" i="45"/>
  <c r="P30" i="45"/>
  <c r="O30" i="45"/>
  <c r="N30" i="45"/>
  <c r="M30" i="45"/>
  <c r="L30" i="45"/>
  <c r="J30" i="45"/>
  <c r="I30" i="45"/>
  <c r="H30" i="45"/>
  <c r="G30" i="45"/>
  <c r="F30" i="45"/>
  <c r="E30" i="45"/>
  <c r="D30" i="45"/>
  <c r="C30" i="45"/>
  <c r="AB29" i="45"/>
  <c r="AA29" i="45"/>
  <c r="Z29" i="45"/>
  <c r="Y29" i="45"/>
  <c r="X29" i="45"/>
  <c r="W29" i="45"/>
  <c r="V29" i="45"/>
  <c r="U29" i="45"/>
  <c r="S29" i="45"/>
  <c r="R29" i="45"/>
  <c r="Q29" i="45"/>
  <c r="P29" i="45"/>
  <c r="O29" i="45"/>
  <c r="N29" i="45"/>
  <c r="M29" i="45"/>
  <c r="L29" i="45"/>
  <c r="J29" i="45"/>
  <c r="I29" i="45"/>
  <c r="H29" i="45"/>
  <c r="G29" i="45"/>
  <c r="F29" i="45"/>
  <c r="E29" i="45"/>
  <c r="D29" i="45"/>
  <c r="C29" i="45"/>
  <c r="AB28" i="45"/>
  <c r="AA28" i="45"/>
  <c r="Z28" i="45"/>
  <c r="Y28" i="45"/>
  <c r="X28" i="45"/>
  <c r="W28" i="45"/>
  <c r="V28" i="45"/>
  <c r="U28" i="45"/>
  <c r="S28" i="45"/>
  <c r="R28" i="45"/>
  <c r="Q28" i="45"/>
  <c r="P28" i="45"/>
  <c r="O28" i="45"/>
  <c r="N28" i="45"/>
  <c r="M28" i="45"/>
  <c r="L28" i="45"/>
  <c r="J28" i="45"/>
  <c r="I28" i="45"/>
  <c r="H28" i="45"/>
  <c r="G28" i="45"/>
  <c r="F28" i="45"/>
  <c r="E28" i="45"/>
  <c r="D28" i="45"/>
  <c r="C28" i="45"/>
  <c r="AB27" i="45"/>
  <c r="AA27" i="45"/>
  <c r="Z27" i="45"/>
  <c r="Y27" i="45"/>
  <c r="X27" i="45"/>
  <c r="W27" i="45"/>
  <c r="V27" i="45"/>
  <c r="U27" i="45"/>
  <c r="S27" i="45"/>
  <c r="R27" i="45"/>
  <c r="Q27" i="45"/>
  <c r="P27" i="45"/>
  <c r="O27" i="45"/>
  <c r="N27" i="45"/>
  <c r="M27" i="45"/>
  <c r="L27" i="45"/>
  <c r="J27" i="45"/>
  <c r="I27" i="45"/>
  <c r="H27" i="45"/>
  <c r="G27" i="45"/>
  <c r="F27" i="45"/>
  <c r="E27" i="45"/>
  <c r="D27" i="45"/>
  <c r="C27" i="45"/>
  <c r="C8" i="54" l="1"/>
  <c r="A9" i="54"/>
  <c r="B8" i="54"/>
  <c r="C53" i="52"/>
  <c r="B53" i="52"/>
  <c r="D53" i="52"/>
  <c r="C54" i="2"/>
  <c r="A55" i="2"/>
  <c r="B54" i="2"/>
  <c r="A54" i="52"/>
  <c r="C8" i="53"/>
  <c r="A9" i="53"/>
  <c r="B8" i="53"/>
  <c r="AB26" i="45"/>
  <c r="AA26" i="45"/>
  <c r="Z26" i="45"/>
  <c r="Y26" i="45"/>
  <c r="X26" i="45"/>
  <c r="W26" i="45"/>
  <c r="V26" i="45"/>
  <c r="U26" i="45"/>
  <c r="S26" i="45"/>
  <c r="R26" i="45"/>
  <c r="Q26" i="45"/>
  <c r="P26" i="45"/>
  <c r="O26" i="45"/>
  <c r="N26" i="45"/>
  <c r="M26" i="45"/>
  <c r="L26" i="45"/>
  <c r="J26" i="45"/>
  <c r="I26" i="45"/>
  <c r="H26" i="45"/>
  <c r="G26" i="45"/>
  <c r="F26" i="45"/>
  <c r="E26" i="45"/>
  <c r="D26" i="45"/>
  <c r="C26" i="45"/>
  <c r="AB25" i="45"/>
  <c r="AA25" i="45"/>
  <c r="Z25" i="45"/>
  <c r="Y25" i="45"/>
  <c r="X25" i="45"/>
  <c r="W25" i="45"/>
  <c r="V25" i="45"/>
  <c r="U25" i="45"/>
  <c r="S25" i="45"/>
  <c r="R25" i="45"/>
  <c r="Q25" i="45"/>
  <c r="P25" i="45"/>
  <c r="O25" i="45"/>
  <c r="N25" i="45"/>
  <c r="M25" i="45"/>
  <c r="L25" i="45"/>
  <c r="J25" i="45"/>
  <c r="I25" i="45"/>
  <c r="H25" i="45"/>
  <c r="G25" i="45"/>
  <c r="F25" i="45"/>
  <c r="E25" i="45"/>
  <c r="D25" i="45"/>
  <c r="C25" i="45"/>
  <c r="AB24" i="45"/>
  <c r="AA24" i="45"/>
  <c r="Z24" i="45"/>
  <c r="Y24" i="45"/>
  <c r="X24" i="45"/>
  <c r="W24" i="45"/>
  <c r="V24" i="45"/>
  <c r="U24" i="45"/>
  <c r="S24" i="45"/>
  <c r="R24" i="45"/>
  <c r="Q24" i="45"/>
  <c r="P24" i="45"/>
  <c r="O24" i="45"/>
  <c r="N24" i="45"/>
  <c r="M24" i="45"/>
  <c r="L24" i="45"/>
  <c r="J24" i="45"/>
  <c r="I24" i="45"/>
  <c r="H24" i="45"/>
  <c r="G24" i="45"/>
  <c r="F24" i="45"/>
  <c r="E24" i="45"/>
  <c r="D24" i="45"/>
  <c r="C24" i="45"/>
  <c r="AB23" i="45"/>
  <c r="AA23" i="45"/>
  <c r="Z23" i="45"/>
  <c r="Y23" i="45"/>
  <c r="X23" i="45"/>
  <c r="W23" i="45"/>
  <c r="V23" i="45"/>
  <c r="U23" i="45"/>
  <c r="S23" i="45"/>
  <c r="R23" i="45"/>
  <c r="Q23" i="45"/>
  <c r="P23" i="45"/>
  <c r="O23" i="45"/>
  <c r="N23" i="45"/>
  <c r="M23" i="45"/>
  <c r="L23" i="45"/>
  <c r="J23" i="45"/>
  <c r="I23" i="45"/>
  <c r="H23" i="45"/>
  <c r="G23" i="45"/>
  <c r="F23" i="45"/>
  <c r="E23" i="45"/>
  <c r="D23" i="45"/>
  <c r="C23" i="45"/>
  <c r="AB22" i="45"/>
  <c r="AA22" i="45"/>
  <c r="Z22" i="45"/>
  <c r="Y22" i="45"/>
  <c r="X22" i="45"/>
  <c r="W22" i="45"/>
  <c r="V22" i="45"/>
  <c r="U22" i="45"/>
  <c r="S22" i="45"/>
  <c r="R22" i="45"/>
  <c r="Q22" i="45"/>
  <c r="P22" i="45"/>
  <c r="O22" i="45"/>
  <c r="N22" i="45"/>
  <c r="M22" i="45"/>
  <c r="L22" i="45"/>
  <c r="J22" i="45"/>
  <c r="I22" i="45"/>
  <c r="H22" i="45"/>
  <c r="G22" i="45"/>
  <c r="F22" i="45"/>
  <c r="E22" i="45"/>
  <c r="D22" i="45"/>
  <c r="C22" i="45"/>
  <c r="AB21" i="45"/>
  <c r="AA21" i="45"/>
  <c r="Z21" i="45"/>
  <c r="Y21" i="45"/>
  <c r="X21" i="45"/>
  <c r="W21" i="45"/>
  <c r="V21" i="45"/>
  <c r="U21" i="45"/>
  <c r="S21" i="45"/>
  <c r="R21" i="45"/>
  <c r="Q21" i="45"/>
  <c r="P21" i="45"/>
  <c r="O21" i="45"/>
  <c r="N21" i="45"/>
  <c r="M21" i="45"/>
  <c r="L21" i="45"/>
  <c r="J21" i="45"/>
  <c r="I21" i="45"/>
  <c r="H21" i="45"/>
  <c r="G21" i="45"/>
  <c r="F21" i="45"/>
  <c r="E21" i="45"/>
  <c r="D21" i="45"/>
  <c r="C21" i="45"/>
  <c r="AB20" i="45"/>
  <c r="AA20" i="45"/>
  <c r="Z20" i="45"/>
  <c r="Y20" i="45"/>
  <c r="X20" i="45"/>
  <c r="W20" i="45"/>
  <c r="V20" i="45"/>
  <c r="U20" i="45"/>
  <c r="S20" i="45"/>
  <c r="R20" i="45"/>
  <c r="Q20" i="45"/>
  <c r="P20" i="45"/>
  <c r="O20" i="45"/>
  <c r="N20" i="45"/>
  <c r="M20" i="45"/>
  <c r="L20" i="45"/>
  <c r="J20" i="45"/>
  <c r="I20" i="45"/>
  <c r="H20" i="45"/>
  <c r="G20" i="45"/>
  <c r="F20" i="45"/>
  <c r="E20" i="45"/>
  <c r="D20" i="45"/>
  <c r="C20" i="45"/>
  <c r="AB19" i="45"/>
  <c r="AA19" i="45"/>
  <c r="Z19" i="45"/>
  <c r="Y19" i="45"/>
  <c r="X19" i="45"/>
  <c r="W19" i="45"/>
  <c r="V19" i="45"/>
  <c r="U19" i="45"/>
  <c r="S19" i="45"/>
  <c r="R19" i="45"/>
  <c r="Q19" i="45"/>
  <c r="P19" i="45"/>
  <c r="O19" i="45"/>
  <c r="N19" i="45"/>
  <c r="M19" i="45"/>
  <c r="L19" i="45"/>
  <c r="J19" i="45"/>
  <c r="I19" i="45"/>
  <c r="H19" i="45"/>
  <c r="G19" i="45"/>
  <c r="F19" i="45"/>
  <c r="E19" i="45"/>
  <c r="D19" i="45"/>
  <c r="C19" i="45"/>
  <c r="AB18" i="45"/>
  <c r="AA18" i="45"/>
  <c r="Z18" i="45"/>
  <c r="Y18" i="45"/>
  <c r="X18" i="45"/>
  <c r="W18" i="45"/>
  <c r="V18" i="45"/>
  <c r="U18" i="45"/>
  <c r="S18" i="45"/>
  <c r="R18" i="45"/>
  <c r="Q18" i="45"/>
  <c r="P18" i="45"/>
  <c r="O18" i="45"/>
  <c r="N18" i="45"/>
  <c r="M18" i="45"/>
  <c r="L18" i="45"/>
  <c r="J18" i="45"/>
  <c r="I18" i="45"/>
  <c r="H18" i="45"/>
  <c r="G18" i="45"/>
  <c r="F18" i="45"/>
  <c r="E18" i="45"/>
  <c r="D18" i="45"/>
  <c r="C18" i="45"/>
  <c r="AB17" i="45"/>
  <c r="AA17" i="45"/>
  <c r="Z17" i="45"/>
  <c r="Y17" i="45"/>
  <c r="X17" i="45"/>
  <c r="W17" i="45"/>
  <c r="V17" i="45"/>
  <c r="U17" i="45"/>
  <c r="S17" i="45"/>
  <c r="R17" i="45"/>
  <c r="Q17" i="45"/>
  <c r="P17" i="45"/>
  <c r="O17" i="45"/>
  <c r="N17" i="45"/>
  <c r="M17" i="45"/>
  <c r="L17" i="45"/>
  <c r="J17" i="45"/>
  <c r="I17" i="45"/>
  <c r="H17" i="45"/>
  <c r="G17" i="45"/>
  <c r="F17" i="45"/>
  <c r="E17" i="45"/>
  <c r="D17" i="45"/>
  <c r="C17" i="45"/>
  <c r="AB16" i="45"/>
  <c r="AA16" i="45"/>
  <c r="Z16" i="45"/>
  <c r="Y16" i="45"/>
  <c r="X16" i="45"/>
  <c r="W16" i="45"/>
  <c r="V16" i="45"/>
  <c r="U16" i="45"/>
  <c r="S16" i="45"/>
  <c r="R16" i="45"/>
  <c r="Q16" i="45"/>
  <c r="P16" i="45"/>
  <c r="O16" i="45"/>
  <c r="N16" i="45"/>
  <c r="M16" i="45"/>
  <c r="L16" i="45"/>
  <c r="J16" i="45"/>
  <c r="I16" i="45"/>
  <c r="H16" i="45"/>
  <c r="G16" i="45"/>
  <c r="F16" i="45"/>
  <c r="E16" i="45"/>
  <c r="D16" i="45"/>
  <c r="C16" i="45"/>
  <c r="AB15" i="45"/>
  <c r="AA15" i="45"/>
  <c r="Z15" i="45"/>
  <c r="Y15" i="45"/>
  <c r="X15" i="45"/>
  <c r="W15" i="45"/>
  <c r="V15" i="45"/>
  <c r="U15" i="45"/>
  <c r="S15" i="45"/>
  <c r="R15" i="45"/>
  <c r="Q15" i="45"/>
  <c r="P15" i="45"/>
  <c r="O15" i="45"/>
  <c r="N15" i="45"/>
  <c r="M15" i="45"/>
  <c r="L15" i="45"/>
  <c r="J15" i="45"/>
  <c r="I15" i="45"/>
  <c r="H15" i="45"/>
  <c r="G15" i="45"/>
  <c r="F15" i="45"/>
  <c r="E15" i="45"/>
  <c r="D15" i="45"/>
  <c r="C15" i="45"/>
  <c r="AB14" i="45"/>
  <c r="AA14" i="45"/>
  <c r="Z14" i="45"/>
  <c r="Y14" i="45"/>
  <c r="X14" i="45"/>
  <c r="W14" i="45"/>
  <c r="V14" i="45"/>
  <c r="U14" i="45"/>
  <c r="S14" i="45"/>
  <c r="R14" i="45"/>
  <c r="Q14" i="45"/>
  <c r="P14" i="45"/>
  <c r="O14" i="45"/>
  <c r="N14" i="45"/>
  <c r="M14" i="45"/>
  <c r="L14" i="45"/>
  <c r="J14" i="45"/>
  <c r="I14" i="45"/>
  <c r="H14" i="45"/>
  <c r="G14" i="45"/>
  <c r="F14" i="45"/>
  <c r="E14" i="45"/>
  <c r="D14" i="45"/>
  <c r="C14" i="45"/>
  <c r="AB13" i="45"/>
  <c r="AA13" i="45"/>
  <c r="Z13" i="45"/>
  <c r="Y13" i="45"/>
  <c r="X13" i="45"/>
  <c r="W13" i="45"/>
  <c r="V13" i="45"/>
  <c r="U13" i="45"/>
  <c r="S13" i="45"/>
  <c r="R13" i="45"/>
  <c r="Q13" i="45"/>
  <c r="P13" i="45"/>
  <c r="O13" i="45"/>
  <c r="N13" i="45"/>
  <c r="M13" i="45"/>
  <c r="L13" i="45"/>
  <c r="J13" i="45"/>
  <c r="I13" i="45"/>
  <c r="H13" i="45"/>
  <c r="G13" i="45"/>
  <c r="F13" i="45"/>
  <c r="E13" i="45"/>
  <c r="D13" i="45"/>
  <c r="C13" i="45"/>
  <c r="AB12" i="45"/>
  <c r="AA12" i="45"/>
  <c r="Z12" i="45"/>
  <c r="Y12" i="45"/>
  <c r="X12" i="45"/>
  <c r="W12" i="45"/>
  <c r="V12" i="45"/>
  <c r="U12" i="45"/>
  <c r="S12" i="45"/>
  <c r="R12" i="45"/>
  <c r="Q12" i="45"/>
  <c r="P12" i="45"/>
  <c r="O12" i="45"/>
  <c r="N12" i="45"/>
  <c r="M12" i="45"/>
  <c r="L12" i="45"/>
  <c r="J12" i="45"/>
  <c r="I12" i="45"/>
  <c r="H12" i="45"/>
  <c r="G12" i="45"/>
  <c r="F12" i="45"/>
  <c r="E12" i="45"/>
  <c r="D12" i="45"/>
  <c r="C12" i="45"/>
  <c r="AB11" i="45"/>
  <c r="AA11" i="45"/>
  <c r="Z11" i="45"/>
  <c r="Y11" i="45"/>
  <c r="X11" i="45"/>
  <c r="W11" i="45"/>
  <c r="V11" i="45"/>
  <c r="U11" i="45"/>
  <c r="S11" i="45"/>
  <c r="R11" i="45"/>
  <c r="Q11" i="45"/>
  <c r="P11" i="45"/>
  <c r="O11" i="45"/>
  <c r="N11" i="45"/>
  <c r="M11" i="45"/>
  <c r="L11" i="45"/>
  <c r="J11" i="45"/>
  <c r="I11" i="45"/>
  <c r="H11" i="45"/>
  <c r="G11" i="45"/>
  <c r="F11" i="45"/>
  <c r="E11" i="45"/>
  <c r="D11" i="45"/>
  <c r="C11" i="45"/>
  <c r="AB10" i="45"/>
  <c r="AA10" i="45"/>
  <c r="Z10" i="45"/>
  <c r="Y10" i="45"/>
  <c r="X10" i="45"/>
  <c r="W10" i="45"/>
  <c r="V10" i="45"/>
  <c r="U10" i="45"/>
  <c r="S10" i="45"/>
  <c r="R10" i="45"/>
  <c r="Q10" i="45"/>
  <c r="P10" i="45"/>
  <c r="O10" i="45"/>
  <c r="N10" i="45"/>
  <c r="M10" i="45"/>
  <c r="L10" i="45"/>
  <c r="J10" i="45"/>
  <c r="I10" i="45"/>
  <c r="H10" i="45"/>
  <c r="G10" i="45"/>
  <c r="F10" i="45"/>
  <c r="E10" i="45"/>
  <c r="D10" i="45"/>
  <c r="C10" i="45"/>
  <c r="A10" i="54" l="1"/>
  <c r="B9" i="54"/>
  <c r="C9" i="54"/>
  <c r="D54" i="52"/>
  <c r="C54" i="52"/>
  <c r="B54" i="52"/>
  <c r="A56" i="2"/>
  <c r="B55" i="2"/>
  <c r="C55" i="2"/>
  <c r="A55" i="52"/>
  <c r="A10" i="53"/>
  <c r="B9" i="53"/>
  <c r="C9" i="53"/>
  <c r="AB9" i="45"/>
  <c r="AA9" i="45"/>
  <c r="Z9" i="45"/>
  <c r="Y9" i="45"/>
  <c r="X9" i="45"/>
  <c r="W9" i="45"/>
  <c r="V9" i="45"/>
  <c r="U9" i="45"/>
  <c r="S9" i="45"/>
  <c r="R9" i="45"/>
  <c r="Q9" i="45"/>
  <c r="P9" i="45"/>
  <c r="O9" i="45"/>
  <c r="N9" i="45"/>
  <c r="M9" i="45"/>
  <c r="L9" i="45"/>
  <c r="J9" i="45"/>
  <c r="I9" i="45"/>
  <c r="H9" i="45"/>
  <c r="G9" i="45"/>
  <c r="F9" i="45"/>
  <c r="E9" i="45"/>
  <c r="D9" i="45"/>
  <c r="C9" i="45"/>
  <c r="AB8" i="45"/>
  <c r="AA8" i="45"/>
  <c r="Z8" i="45"/>
  <c r="Y8" i="45"/>
  <c r="X8" i="45"/>
  <c r="W8" i="45"/>
  <c r="V8" i="45"/>
  <c r="U8" i="45"/>
  <c r="S8" i="45"/>
  <c r="R8" i="45"/>
  <c r="Q8" i="45"/>
  <c r="P8" i="45"/>
  <c r="O8" i="45"/>
  <c r="N8" i="45"/>
  <c r="M8" i="45"/>
  <c r="L8" i="45"/>
  <c r="J8" i="45"/>
  <c r="I8" i="45"/>
  <c r="H8" i="45"/>
  <c r="G8" i="45"/>
  <c r="F8" i="45"/>
  <c r="E8" i="45"/>
  <c r="D8" i="45"/>
  <c r="C8" i="45"/>
  <c r="C10" i="54" l="1"/>
  <c r="A11" i="54"/>
  <c r="B10" i="54"/>
  <c r="C56" i="2"/>
  <c r="A57" i="2"/>
  <c r="B56" i="2"/>
  <c r="A56" i="52"/>
  <c r="C55" i="52"/>
  <c r="D55" i="52"/>
  <c r="B55" i="52"/>
  <c r="C10" i="53"/>
  <c r="B10" i="53"/>
  <c r="A11" i="53"/>
  <c r="AB7" i="45"/>
  <c r="AA7" i="45"/>
  <c r="Z7" i="45"/>
  <c r="Y7" i="45"/>
  <c r="X7" i="45"/>
  <c r="W7" i="45"/>
  <c r="V7" i="45"/>
  <c r="U7" i="45"/>
  <c r="S7" i="45"/>
  <c r="R7" i="45"/>
  <c r="Q7" i="45"/>
  <c r="P7" i="45"/>
  <c r="O7" i="45"/>
  <c r="N7" i="45"/>
  <c r="M7" i="45"/>
  <c r="L7" i="45"/>
  <c r="J7" i="45"/>
  <c r="I7" i="45"/>
  <c r="H7" i="45"/>
  <c r="G7" i="45"/>
  <c r="F7" i="45"/>
  <c r="E7" i="45"/>
  <c r="D7" i="45"/>
  <c r="C7" i="45"/>
  <c r="AB6" i="45"/>
  <c r="AA6" i="45"/>
  <c r="Z6" i="45"/>
  <c r="Y6" i="45"/>
  <c r="X6" i="45"/>
  <c r="W6" i="45"/>
  <c r="V6" i="45"/>
  <c r="U6" i="45"/>
  <c r="S6" i="45"/>
  <c r="R6" i="45"/>
  <c r="Q6" i="45"/>
  <c r="P6" i="45"/>
  <c r="O6" i="45"/>
  <c r="N6" i="45"/>
  <c r="M6" i="45"/>
  <c r="L6" i="45"/>
  <c r="J6" i="45"/>
  <c r="I6" i="45"/>
  <c r="H6" i="45"/>
  <c r="G6" i="45"/>
  <c r="F6" i="45"/>
  <c r="E6" i="45"/>
  <c r="D6" i="45"/>
  <c r="C6" i="45"/>
  <c r="AB5" i="45"/>
  <c r="AA5" i="45"/>
  <c r="Z5" i="45"/>
  <c r="Y5" i="45"/>
  <c r="X5" i="45"/>
  <c r="W5" i="45"/>
  <c r="V5" i="45"/>
  <c r="U5" i="45"/>
  <c r="S5" i="45"/>
  <c r="R5" i="45"/>
  <c r="Q5" i="45"/>
  <c r="P5" i="45"/>
  <c r="O5" i="45"/>
  <c r="N5" i="45"/>
  <c r="M5" i="45"/>
  <c r="L5" i="45"/>
  <c r="J5" i="45"/>
  <c r="I5" i="45"/>
  <c r="H5" i="45"/>
  <c r="G5" i="45"/>
  <c r="F5" i="45"/>
  <c r="E5" i="45"/>
  <c r="D5" i="45"/>
  <c r="C5" i="45"/>
  <c r="L1" i="45"/>
  <c r="C41" i="44"/>
  <c r="C40" i="44"/>
  <c r="C39" i="44"/>
  <c r="C38" i="44"/>
  <c r="AB35" i="44"/>
  <c r="AA35" i="44"/>
  <c r="Z35" i="44"/>
  <c r="Y35" i="44"/>
  <c r="X35" i="44"/>
  <c r="W35" i="44"/>
  <c r="V35" i="44"/>
  <c r="U35" i="44"/>
  <c r="S35" i="44"/>
  <c r="R35" i="44"/>
  <c r="Q35" i="44"/>
  <c r="P35" i="44"/>
  <c r="O35" i="44"/>
  <c r="N35" i="44"/>
  <c r="M35" i="44"/>
  <c r="L35" i="44"/>
  <c r="J35" i="44"/>
  <c r="I35" i="44"/>
  <c r="H35" i="44"/>
  <c r="G35" i="44"/>
  <c r="F35" i="44"/>
  <c r="E35" i="44"/>
  <c r="D35" i="44"/>
  <c r="C35" i="44"/>
  <c r="AB34" i="44"/>
  <c r="AA34" i="44"/>
  <c r="Z34" i="44"/>
  <c r="Y34" i="44"/>
  <c r="X34" i="44"/>
  <c r="W34" i="44"/>
  <c r="V34" i="44"/>
  <c r="U34" i="44"/>
  <c r="S34" i="44"/>
  <c r="R34" i="44"/>
  <c r="Q34" i="44"/>
  <c r="P34" i="44"/>
  <c r="O34" i="44"/>
  <c r="N34" i="44"/>
  <c r="M34" i="44"/>
  <c r="L34" i="44"/>
  <c r="J34" i="44"/>
  <c r="I34" i="44"/>
  <c r="H34" i="44"/>
  <c r="G34" i="44"/>
  <c r="F34" i="44"/>
  <c r="E34" i="44"/>
  <c r="D34" i="44"/>
  <c r="C34" i="44"/>
  <c r="AB33" i="44"/>
  <c r="AA33" i="44"/>
  <c r="Z33" i="44"/>
  <c r="Y33" i="44"/>
  <c r="X33" i="44"/>
  <c r="W33" i="44"/>
  <c r="V33" i="44"/>
  <c r="U33" i="44"/>
  <c r="S33" i="44"/>
  <c r="R33" i="44"/>
  <c r="Q33" i="44"/>
  <c r="P33" i="44"/>
  <c r="O33" i="44"/>
  <c r="N33" i="44"/>
  <c r="M33" i="44"/>
  <c r="L33" i="44"/>
  <c r="J33" i="44"/>
  <c r="I33" i="44"/>
  <c r="H33" i="44"/>
  <c r="G33" i="44"/>
  <c r="F33" i="44"/>
  <c r="E33" i="44"/>
  <c r="D33" i="44"/>
  <c r="C33" i="44"/>
  <c r="A12" i="54" l="1"/>
  <c r="B11" i="54"/>
  <c r="C11" i="54"/>
  <c r="D56" i="52"/>
  <c r="B56" i="52"/>
  <c r="C56" i="52"/>
  <c r="A58" i="2"/>
  <c r="B57" i="2"/>
  <c r="C57" i="2"/>
  <c r="A57" i="52"/>
  <c r="A12" i="53"/>
  <c r="B11" i="53"/>
  <c r="C11" i="53"/>
  <c r="AB32" i="44"/>
  <c r="AA32" i="44"/>
  <c r="Z32" i="44"/>
  <c r="Y32" i="44"/>
  <c r="X32" i="44"/>
  <c r="W32" i="44"/>
  <c r="V32" i="44"/>
  <c r="U32" i="44"/>
  <c r="S32" i="44"/>
  <c r="R32" i="44"/>
  <c r="Q32" i="44"/>
  <c r="P32" i="44"/>
  <c r="O32" i="44"/>
  <c r="N32" i="44"/>
  <c r="M32" i="44"/>
  <c r="L32" i="44"/>
  <c r="J32" i="44"/>
  <c r="I32" i="44"/>
  <c r="H32" i="44"/>
  <c r="G32" i="44"/>
  <c r="F32" i="44"/>
  <c r="E32" i="44"/>
  <c r="D32" i="44"/>
  <c r="C32" i="44"/>
  <c r="AB31" i="44"/>
  <c r="AA31" i="44"/>
  <c r="Z31" i="44"/>
  <c r="Y31" i="44"/>
  <c r="X31" i="44"/>
  <c r="W31" i="44"/>
  <c r="V31" i="44"/>
  <c r="U31" i="44"/>
  <c r="S31" i="44"/>
  <c r="R31" i="44"/>
  <c r="Q31" i="44"/>
  <c r="P31" i="44"/>
  <c r="O31" i="44"/>
  <c r="N31" i="44"/>
  <c r="M31" i="44"/>
  <c r="L31" i="44"/>
  <c r="J31" i="44"/>
  <c r="I31" i="44"/>
  <c r="H31" i="44"/>
  <c r="G31" i="44"/>
  <c r="F31" i="44"/>
  <c r="E31" i="44"/>
  <c r="D31" i="44"/>
  <c r="C31" i="44"/>
  <c r="AB30" i="44"/>
  <c r="AA30" i="44"/>
  <c r="Z30" i="44"/>
  <c r="Y30" i="44"/>
  <c r="X30" i="44"/>
  <c r="W30" i="44"/>
  <c r="V30" i="44"/>
  <c r="U30" i="44"/>
  <c r="S30" i="44"/>
  <c r="R30" i="44"/>
  <c r="Q30" i="44"/>
  <c r="P30" i="44"/>
  <c r="O30" i="44"/>
  <c r="N30" i="44"/>
  <c r="M30" i="44"/>
  <c r="L30" i="44"/>
  <c r="J30" i="44"/>
  <c r="I30" i="44"/>
  <c r="H30" i="44"/>
  <c r="G30" i="44"/>
  <c r="F30" i="44"/>
  <c r="E30" i="44"/>
  <c r="D30" i="44"/>
  <c r="C30" i="44"/>
  <c r="C12" i="54" l="1"/>
  <c r="A13" i="54"/>
  <c r="B12" i="54"/>
  <c r="C58" i="2"/>
  <c r="A59" i="2"/>
  <c r="B58" i="2"/>
  <c r="A58" i="52"/>
  <c r="C57" i="52"/>
  <c r="B57" i="52"/>
  <c r="D57" i="52"/>
  <c r="C12" i="53"/>
  <c r="A13" i="53"/>
  <c r="B12" i="53"/>
  <c r="AB29" i="44"/>
  <c r="AA29" i="44"/>
  <c r="Z29" i="44"/>
  <c r="Y29" i="44"/>
  <c r="X29" i="44"/>
  <c r="W29" i="44"/>
  <c r="V29" i="44"/>
  <c r="U29" i="44"/>
  <c r="S29" i="44"/>
  <c r="R29" i="44"/>
  <c r="Q29" i="44"/>
  <c r="P29" i="44"/>
  <c r="O29" i="44"/>
  <c r="N29" i="44"/>
  <c r="M29" i="44"/>
  <c r="L29" i="44"/>
  <c r="J29" i="44"/>
  <c r="I29" i="44"/>
  <c r="H29" i="44"/>
  <c r="G29" i="44"/>
  <c r="F29" i="44"/>
  <c r="E29" i="44"/>
  <c r="D29" i="44"/>
  <c r="C29" i="44"/>
  <c r="AB28" i="44"/>
  <c r="AA28" i="44"/>
  <c r="Z28" i="44"/>
  <c r="Y28" i="44"/>
  <c r="X28" i="44"/>
  <c r="W28" i="44"/>
  <c r="V28" i="44"/>
  <c r="U28" i="44"/>
  <c r="S28" i="44"/>
  <c r="R28" i="44"/>
  <c r="Q28" i="44"/>
  <c r="P28" i="44"/>
  <c r="O28" i="44"/>
  <c r="N28" i="44"/>
  <c r="M28" i="44"/>
  <c r="L28" i="44"/>
  <c r="J28" i="44"/>
  <c r="I28" i="44"/>
  <c r="H28" i="44"/>
  <c r="G28" i="44"/>
  <c r="F28" i="44"/>
  <c r="E28" i="44"/>
  <c r="D28" i="44"/>
  <c r="C28" i="44"/>
  <c r="AB27" i="44"/>
  <c r="AA27" i="44"/>
  <c r="Z27" i="44"/>
  <c r="Y27" i="44"/>
  <c r="X27" i="44"/>
  <c r="W27" i="44"/>
  <c r="V27" i="44"/>
  <c r="U27" i="44"/>
  <c r="S27" i="44"/>
  <c r="R27" i="44"/>
  <c r="Q27" i="44"/>
  <c r="P27" i="44"/>
  <c r="O27" i="44"/>
  <c r="N27" i="44"/>
  <c r="M27" i="44"/>
  <c r="L27" i="44"/>
  <c r="J27" i="44"/>
  <c r="I27" i="44"/>
  <c r="H27" i="44"/>
  <c r="G27" i="44"/>
  <c r="F27" i="44"/>
  <c r="E27" i="44"/>
  <c r="D27" i="44"/>
  <c r="C27" i="44"/>
  <c r="AB26" i="44"/>
  <c r="AA26" i="44"/>
  <c r="Z26" i="44"/>
  <c r="Y26" i="44"/>
  <c r="X26" i="44"/>
  <c r="W26" i="44"/>
  <c r="V26" i="44"/>
  <c r="U26" i="44"/>
  <c r="S26" i="44"/>
  <c r="R26" i="44"/>
  <c r="Q26" i="44"/>
  <c r="P26" i="44"/>
  <c r="O26" i="44"/>
  <c r="N26" i="44"/>
  <c r="M26" i="44"/>
  <c r="L26" i="44"/>
  <c r="J26" i="44"/>
  <c r="I26" i="44"/>
  <c r="H26" i="44"/>
  <c r="G26" i="44"/>
  <c r="F26" i="44"/>
  <c r="E26" i="44"/>
  <c r="D26" i="44"/>
  <c r="C26" i="44"/>
  <c r="AB25" i="44"/>
  <c r="AA25" i="44"/>
  <c r="Z25" i="44"/>
  <c r="Y25" i="44"/>
  <c r="X25" i="44"/>
  <c r="W25" i="44"/>
  <c r="V25" i="44"/>
  <c r="U25" i="44"/>
  <c r="S25" i="44"/>
  <c r="R25" i="44"/>
  <c r="Q25" i="44"/>
  <c r="P25" i="44"/>
  <c r="O25" i="44"/>
  <c r="N25" i="44"/>
  <c r="M25" i="44"/>
  <c r="L25" i="44"/>
  <c r="J25" i="44"/>
  <c r="I25" i="44"/>
  <c r="H25" i="44"/>
  <c r="G25" i="44"/>
  <c r="F25" i="44"/>
  <c r="E25" i="44"/>
  <c r="D25" i="44"/>
  <c r="C25" i="44"/>
  <c r="AB24" i="44"/>
  <c r="AA24" i="44"/>
  <c r="Z24" i="44"/>
  <c r="Y24" i="44"/>
  <c r="X24" i="44"/>
  <c r="W24" i="44"/>
  <c r="V24" i="44"/>
  <c r="U24" i="44"/>
  <c r="S24" i="44"/>
  <c r="R24" i="44"/>
  <c r="Q24" i="44"/>
  <c r="P24" i="44"/>
  <c r="O24" i="44"/>
  <c r="N24" i="44"/>
  <c r="M24" i="44"/>
  <c r="L24" i="44"/>
  <c r="J24" i="44"/>
  <c r="I24" i="44"/>
  <c r="H24" i="44"/>
  <c r="G24" i="44"/>
  <c r="F24" i="44"/>
  <c r="E24" i="44"/>
  <c r="D24" i="44"/>
  <c r="C24" i="44"/>
  <c r="AB23" i="44"/>
  <c r="AA23" i="44"/>
  <c r="Z23" i="44"/>
  <c r="Y23" i="44"/>
  <c r="X23" i="44"/>
  <c r="W23" i="44"/>
  <c r="V23" i="44"/>
  <c r="U23" i="44"/>
  <c r="S23" i="44"/>
  <c r="R23" i="44"/>
  <c r="Q23" i="44"/>
  <c r="P23" i="44"/>
  <c r="O23" i="44"/>
  <c r="N23" i="44"/>
  <c r="M23" i="44"/>
  <c r="L23" i="44"/>
  <c r="J23" i="44"/>
  <c r="I23" i="44"/>
  <c r="H23" i="44"/>
  <c r="G23" i="44"/>
  <c r="F23" i="44"/>
  <c r="E23" i="44"/>
  <c r="D23" i="44"/>
  <c r="C23" i="44"/>
  <c r="AB22" i="44"/>
  <c r="AA22" i="44"/>
  <c r="Z22" i="44"/>
  <c r="Y22" i="44"/>
  <c r="X22" i="44"/>
  <c r="W22" i="44"/>
  <c r="V22" i="44"/>
  <c r="U22" i="44"/>
  <c r="S22" i="44"/>
  <c r="R22" i="44"/>
  <c r="Q22" i="44"/>
  <c r="P22" i="44"/>
  <c r="O22" i="44"/>
  <c r="N22" i="44"/>
  <c r="M22" i="44"/>
  <c r="L22" i="44"/>
  <c r="J22" i="44"/>
  <c r="I22" i="44"/>
  <c r="H22" i="44"/>
  <c r="G22" i="44"/>
  <c r="F22" i="44"/>
  <c r="E22" i="44"/>
  <c r="D22" i="44"/>
  <c r="C22" i="44"/>
  <c r="AB21" i="44"/>
  <c r="AA21" i="44"/>
  <c r="Z21" i="44"/>
  <c r="Y21" i="44"/>
  <c r="X21" i="44"/>
  <c r="W21" i="44"/>
  <c r="V21" i="44"/>
  <c r="U21" i="44"/>
  <c r="S21" i="44"/>
  <c r="R21" i="44"/>
  <c r="Q21" i="44"/>
  <c r="P21" i="44"/>
  <c r="O21" i="44"/>
  <c r="N21" i="44"/>
  <c r="M21" i="44"/>
  <c r="L21" i="44"/>
  <c r="J21" i="44"/>
  <c r="I21" i="44"/>
  <c r="H21" i="44"/>
  <c r="G21" i="44"/>
  <c r="F21" i="44"/>
  <c r="E21" i="44"/>
  <c r="D21" i="44"/>
  <c r="C21" i="44"/>
  <c r="AB20" i="44"/>
  <c r="AA20" i="44"/>
  <c r="Z20" i="44"/>
  <c r="Y20" i="44"/>
  <c r="X20" i="44"/>
  <c r="W20" i="44"/>
  <c r="V20" i="44"/>
  <c r="U20" i="44"/>
  <c r="S20" i="44"/>
  <c r="R20" i="44"/>
  <c r="Q20" i="44"/>
  <c r="P20" i="44"/>
  <c r="O20" i="44"/>
  <c r="N20" i="44"/>
  <c r="M20" i="44"/>
  <c r="L20" i="44"/>
  <c r="J20" i="44"/>
  <c r="I20" i="44"/>
  <c r="H20" i="44"/>
  <c r="G20" i="44"/>
  <c r="F20" i="44"/>
  <c r="E20" i="44"/>
  <c r="D20" i="44"/>
  <c r="C20" i="44"/>
  <c r="AB19" i="44"/>
  <c r="AA19" i="44"/>
  <c r="Z19" i="44"/>
  <c r="Y19" i="44"/>
  <c r="X19" i="44"/>
  <c r="W19" i="44"/>
  <c r="V19" i="44"/>
  <c r="U19" i="44"/>
  <c r="S19" i="44"/>
  <c r="R19" i="44"/>
  <c r="Q19" i="44"/>
  <c r="P19" i="44"/>
  <c r="O19" i="44"/>
  <c r="N19" i="44"/>
  <c r="M19" i="44"/>
  <c r="L19" i="44"/>
  <c r="J19" i="44"/>
  <c r="I19" i="44"/>
  <c r="H19" i="44"/>
  <c r="G19" i="44"/>
  <c r="F19" i="44"/>
  <c r="E19" i="44"/>
  <c r="D19" i="44"/>
  <c r="C19" i="44"/>
  <c r="AB18" i="44"/>
  <c r="AA18" i="44"/>
  <c r="Z18" i="44"/>
  <c r="Y18" i="44"/>
  <c r="X18" i="44"/>
  <c r="W18" i="44"/>
  <c r="V18" i="44"/>
  <c r="U18" i="44"/>
  <c r="S18" i="44"/>
  <c r="R18" i="44"/>
  <c r="Q18" i="44"/>
  <c r="P18" i="44"/>
  <c r="O18" i="44"/>
  <c r="N18" i="44"/>
  <c r="M18" i="44"/>
  <c r="L18" i="44"/>
  <c r="J18" i="44"/>
  <c r="I18" i="44"/>
  <c r="H18" i="44"/>
  <c r="G18" i="44"/>
  <c r="F18" i="44"/>
  <c r="E18" i="44"/>
  <c r="D18" i="44"/>
  <c r="C18" i="44"/>
  <c r="AB17" i="44"/>
  <c r="AA17" i="44"/>
  <c r="Z17" i="44"/>
  <c r="Y17" i="44"/>
  <c r="X17" i="44"/>
  <c r="W17" i="44"/>
  <c r="V17" i="44"/>
  <c r="U17" i="44"/>
  <c r="S17" i="44"/>
  <c r="R17" i="44"/>
  <c r="Q17" i="44"/>
  <c r="P17" i="44"/>
  <c r="O17" i="44"/>
  <c r="N17" i="44"/>
  <c r="M17" i="44"/>
  <c r="L17" i="44"/>
  <c r="J17" i="44"/>
  <c r="I17" i="44"/>
  <c r="H17" i="44"/>
  <c r="G17" i="44"/>
  <c r="F17" i="44"/>
  <c r="E17" i="44"/>
  <c r="D17" i="44"/>
  <c r="C17" i="44"/>
  <c r="AB16" i="44"/>
  <c r="AA16" i="44"/>
  <c r="Z16" i="44"/>
  <c r="Y16" i="44"/>
  <c r="X16" i="44"/>
  <c r="W16" i="44"/>
  <c r="V16" i="44"/>
  <c r="U16" i="44"/>
  <c r="S16" i="44"/>
  <c r="R16" i="44"/>
  <c r="Q16" i="44"/>
  <c r="P16" i="44"/>
  <c r="O16" i="44"/>
  <c r="N16" i="44"/>
  <c r="M16" i="44"/>
  <c r="L16" i="44"/>
  <c r="J16" i="44"/>
  <c r="I16" i="44"/>
  <c r="H16" i="44"/>
  <c r="G16" i="44"/>
  <c r="F16" i="44"/>
  <c r="E16" i="44"/>
  <c r="D16" i="44"/>
  <c r="C16" i="44"/>
  <c r="AB15" i="44"/>
  <c r="AA15" i="44"/>
  <c r="Z15" i="44"/>
  <c r="Y15" i="44"/>
  <c r="X15" i="44"/>
  <c r="W15" i="44"/>
  <c r="V15" i="44"/>
  <c r="U15" i="44"/>
  <c r="S15" i="44"/>
  <c r="R15" i="44"/>
  <c r="Q15" i="44"/>
  <c r="P15" i="44"/>
  <c r="O15" i="44"/>
  <c r="N15" i="44"/>
  <c r="M15" i="44"/>
  <c r="L15" i="44"/>
  <c r="J15" i="44"/>
  <c r="I15" i="44"/>
  <c r="H15" i="44"/>
  <c r="G15" i="44"/>
  <c r="F15" i="44"/>
  <c r="E15" i="44"/>
  <c r="D15" i="44"/>
  <c r="C15" i="44"/>
  <c r="AB14" i="44"/>
  <c r="AA14" i="44"/>
  <c r="Z14" i="44"/>
  <c r="Y14" i="44"/>
  <c r="X14" i="44"/>
  <c r="W14" i="44"/>
  <c r="V14" i="44"/>
  <c r="U14" i="44"/>
  <c r="S14" i="44"/>
  <c r="R14" i="44"/>
  <c r="Q14" i="44"/>
  <c r="P14" i="44"/>
  <c r="O14" i="44"/>
  <c r="N14" i="44"/>
  <c r="M14" i="44"/>
  <c r="L14" i="44"/>
  <c r="J14" i="44"/>
  <c r="I14" i="44"/>
  <c r="H14" i="44"/>
  <c r="G14" i="44"/>
  <c r="F14" i="44"/>
  <c r="E14" i="44"/>
  <c r="D14" i="44"/>
  <c r="C14" i="44"/>
  <c r="AB13" i="44"/>
  <c r="AA13" i="44"/>
  <c r="Z13" i="44"/>
  <c r="Y13" i="44"/>
  <c r="X13" i="44"/>
  <c r="W13" i="44"/>
  <c r="V13" i="44"/>
  <c r="U13" i="44"/>
  <c r="S13" i="44"/>
  <c r="R13" i="44"/>
  <c r="Q13" i="44"/>
  <c r="P13" i="44"/>
  <c r="O13" i="44"/>
  <c r="N13" i="44"/>
  <c r="M13" i="44"/>
  <c r="L13" i="44"/>
  <c r="J13" i="44"/>
  <c r="I13" i="44"/>
  <c r="H13" i="44"/>
  <c r="G13" i="44"/>
  <c r="F13" i="44"/>
  <c r="E13" i="44"/>
  <c r="D13" i="44"/>
  <c r="C13" i="44"/>
  <c r="AB12" i="44"/>
  <c r="AA12" i="44"/>
  <c r="Z12" i="44"/>
  <c r="Y12" i="44"/>
  <c r="X12" i="44"/>
  <c r="W12" i="44"/>
  <c r="V12" i="44"/>
  <c r="U12" i="44"/>
  <c r="S12" i="44"/>
  <c r="R12" i="44"/>
  <c r="Q12" i="44"/>
  <c r="P12" i="44"/>
  <c r="O12" i="44"/>
  <c r="N12" i="44"/>
  <c r="M12" i="44"/>
  <c r="L12" i="44"/>
  <c r="J12" i="44"/>
  <c r="I12" i="44"/>
  <c r="H12" i="44"/>
  <c r="G12" i="44"/>
  <c r="F12" i="44"/>
  <c r="E12" i="44"/>
  <c r="D12" i="44"/>
  <c r="C12" i="44"/>
  <c r="AB11" i="44"/>
  <c r="AA11" i="44"/>
  <c r="Z11" i="44"/>
  <c r="Y11" i="44"/>
  <c r="X11" i="44"/>
  <c r="W11" i="44"/>
  <c r="V11" i="44"/>
  <c r="U11" i="44"/>
  <c r="S11" i="44"/>
  <c r="R11" i="44"/>
  <c r="Q11" i="44"/>
  <c r="P11" i="44"/>
  <c r="O11" i="44"/>
  <c r="N11" i="44"/>
  <c r="M11" i="44"/>
  <c r="L11" i="44"/>
  <c r="J11" i="44"/>
  <c r="I11" i="44"/>
  <c r="H11" i="44"/>
  <c r="G11" i="44"/>
  <c r="F11" i="44"/>
  <c r="E11" i="44"/>
  <c r="D11" i="44"/>
  <c r="C11" i="44"/>
  <c r="AB10" i="44"/>
  <c r="AA10" i="44"/>
  <c r="Z10" i="44"/>
  <c r="Y10" i="44"/>
  <c r="X10" i="44"/>
  <c r="W10" i="44"/>
  <c r="V10" i="44"/>
  <c r="U10" i="44"/>
  <c r="S10" i="44"/>
  <c r="R10" i="44"/>
  <c r="Q10" i="44"/>
  <c r="P10" i="44"/>
  <c r="O10" i="44"/>
  <c r="N10" i="44"/>
  <c r="M10" i="44"/>
  <c r="L10" i="44"/>
  <c r="J10" i="44"/>
  <c r="I10" i="44"/>
  <c r="H10" i="44"/>
  <c r="G10" i="44"/>
  <c r="F10" i="44"/>
  <c r="E10" i="44"/>
  <c r="D10" i="44"/>
  <c r="C10" i="44"/>
  <c r="AB9" i="44"/>
  <c r="AA9" i="44"/>
  <c r="Z9" i="44"/>
  <c r="Y9" i="44"/>
  <c r="X9" i="44"/>
  <c r="W9" i="44"/>
  <c r="V9" i="44"/>
  <c r="U9" i="44"/>
  <c r="S9" i="44"/>
  <c r="R9" i="44"/>
  <c r="Q9" i="44"/>
  <c r="P9" i="44"/>
  <c r="O9" i="44"/>
  <c r="N9" i="44"/>
  <c r="M9" i="44"/>
  <c r="L9" i="44"/>
  <c r="J9" i="44"/>
  <c r="I9" i="44"/>
  <c r="H9" i="44"/>
  <c r="G9" i="44"/>
  <c r="F9" i="44"/>
  <c r="E9" i="44"/>
  <c r="D9" i="44"/>
  <c r="C9" i="44"/>
  <c r="AB8" i="44"/>
  <c r="AA8" i="44"/>
  <c r="Z8" i="44"/>
  <c r="Y8" i="44"/>
  <c r="X8" i="44"/>
  <c r="W8" i="44"/>
  <c r="V8" i="44"/>
  <c r="U8" i="44"/>
  <c r="S8" i="44"/>
  <c r="R8" i="44"/>
  <c r="Q8" i="44"/>
  <c r="P8" i="44"/>
  <c r="O8" i="44"/>
  <c r="N8" i="44"/>
  <c r="M8" i="44"/>
  <c r="L8" i="44"/>
  <c r="J8" i="44"/>
  <c r="I8" i="44"/>
  <c r="H8" i="44"/>
  <c r="G8" i="44"/>
  <c r="F8" i="44"/>
  <c r="E8" i="44"/>
  <c r="D8" i="44"/>
  <c r="C8" i="44"/>
  <c r="AB7" i="44"/>
  <c r="AA7" i="44"/>
  <c r="Z7" i="44"/>
  <c r="Y7" i="44"/>
  <c r="X7" i="44"/>
  <c r="W7" i="44"/>
  <c r="V7" i="44"/>
  <c r="U7" i="44"/>
  <c r="S7" i="44"/>
  <c r="R7" i="44"/>
  <c r="Q7" i="44"/>
  <c r="P7" i="44"/>
  <c r="O7" i="44"/>
  <c r="N7" i="44"/>
  <c r="M7" i="44"/>
  <c r="L7" i="44"/>
  <c r="J7" i="44"/>
  <c r="I7" i="44"/>
  <c r="H7" i="44"/>
  <c r="G7" i="44"/>
  <c r="F7" i="44"/>
  <c r="E7" i="44"/>
  <c r="D7" i="44"/>
  <c r="C7" i="44"/>
  <c r="AB6" i="44"/>
  <c r="AA6" i="44"/>
  <c r="Z6" i="44"/>
  <c r="Y6" i="44"/>
  <c r="X6" i="44"/>
  <c r="W6" i="44"/>
  <c r="V6" i="44"/>
  <c r="U6" i="44"/>
  <c r="S6" i="44"/>
  <c r="R6" i="44"/>
  <c r="Q6" i="44"/>
  <c r="P6" i="44"/>
  <c r="O6" i="44"/>
  <c r="N6" i="44"/>
  <c r="M6" i="44"/>
  <c r="L6" i="44"/>
  <c r="J6" i="44"/>
  <c r="I6" i="44"/>
  <c r="H6" i="44"/>
  <c r="G6" i="44"/>
  <c r="F6" i="44"/>
  <c r="E6" i="44"/>
  <c r="D6" i="44"/>
  <c r="C6" i="44"/>
  <c r="AB5" i="44"/>
  <c r="AA5" i="44"/>
  <c r="Z5" i="44"/>
  <c r="Y5" i="44"/>
  <c r="X5" i="44"/>
  <c r="W5" i="44"/>
  <c r="V5" i="44"/>
  <c r="U5" i="44"/>
  <c r="S5" i="44"/>
  <c r="R5" i="44"/>
  <c r="Q5" i="44"/>
  <c r="P5" i="44"/>
  <c r="O5" i="44"/>
  <c r="N5" i="44"/>
  <c r="M5" i="44"/>
  <c r="L5" i="44"/>
  <c r="J5" i="44"/>
  <c r="I5" i="44"/>
  <c r="H5" i="44"/>
  <c r="G5" i="44"/>
  <c r="F5" i="44"/>
  <c r="E5" i="44"/>
  <c r="D5" i="44"/>
  <c r="C5" i="44"/>
  <c r="A14" i="54" l="1"/>
  <c r="B13" i="54"/>
  <c r="C13" i="54"/>
  <c r="D58" i="52"/>
  <c r="B58" i="52"/>
  <c r="C58" i="52"/>
  <c r="A60" i="2"/>
  <c r="B59" i="2"/>
  <c r="C59" i="2"/>
  <c r="A59" i="52"/>
  <c r="A14" i="53"/>
  <c r="B13" i="53"/>
  <c r="C13" i="53"/>
  <c r="L1" i="44"/>
  <c r="C41" i="43"/>
  <c r="C40" i="43"/>
  <c r="C39" i="43"/>
  <c r="C38" i="43"/>
  <c r="AB35" i="43"/>
  <c r="AA35" i="43"/>
  <c r="Z35" i="43"/>
  <c r="Y35" i="43"/>
  <c r="X35" i="43"/>
  <c r="W35" i="43"/>
  <c r="V35" i="43"/>
  <c r="U35" i="43"/>
  <c r="S35" i="43"/>
  <c r="R35" i="43"/>
  <c r="Q35" i="43"/>
  <c r="P35" i="43"/>
  <c r="O35" i="43"/>
  <c r="N35" i="43"/>
  <c r="M35" i="43"/>
  <c r="L35" i="43"/>
  <c r="J35" i="43"/>
  <c r="I35" i="43"/>
  <c r="H35" i="43"/>
  <c r="G35" i="43"/>
  <c r="F35" i="43"/>
  <c r="E35" i="43"/>
  <c r="D35" i="43"/>
  <c r="C35" i="43"/>
  <c r="AB34" i="43"/>
  <c r="AA34" i="43"/>
  <c r="Z34" i="43"/>
  <c r="Y34" i="43"/>
  <c r="X34" i="43"/>
  <c r="W34" i="43"/>
  <c r="V34" i="43"/>
  <c r="U34" i="43"/>
  <c r="S34" i="43"/>
  <c r="R34" i="43"/>
  <c r="Q34" i="43"/>
  <c r="P34" i="43"/>
  <c r="O34" i="43"/>
  <c r="N34" i="43"/>
  <c r="M34" i="43"/>
  <c r="L34" i="43"/>
  <c r="J34" i="43"/>
  <c r="I34" i="43"/>
  <c r="H34" i="43"/>
  <c r="G34" i="43"/>
  <c r="F34" i="43"/>
  <c r="E34" i="43"/>
  <c r="D34" i="43"/>
  <c r="C34" i="43"/>
  <c r="AB33" i="43"/>
  <c r="AA33" i="43"/>
  <c r="Z33" i="43"/>
  <c r="Y33" i="43"/>
  <c r="X33" i="43"/>
  <c r="W33" i="43"/>
  <c r="V33" i="43"/>
  <c r="U33" i="43"/>
  <c r="S33" i="43"/>
  <c r="R33" i="43"/>
  <c r="Q33" i="43"/>
  <c r="P33" i="43"/>
  <c r="O33" i="43"/>
  <c r="N33" i="43"/>
  <c r="M33" i="43"/>
  <c r="L33" i="43"/>
  <c r="J33" i="43"/>
  <c r="I33" i="43"/>
  <c r="H33" i="43"/>
  <c r="G33" i="43"/>
  <c r="F33" i="43"/>
  <c r="E33" i="43"/>
  <c r="D33" i="43"/>
  <c r="C33" i="43"/>
  <c r="C14" i="54" l="1"/>
  <c r="A15" i="54"/>
  <c r="B14" i="54"/>
  <c r="C59" i="52"/>
  <c r="D59" i="52"/>
  <c r="B59" i="52"/>
  <c r="C60" i="2"/>
  <c r="A61" i="2"/>
  <c r="B60" i="2"/>
  <c r="C14" i="53"/>
  <c r="B14" i="53"/>
  <c r="A15" i="53"/>
  <c r="AB32" i="43"/>
  <c r="AA32" i="43"/>
  <c r="Z32" i="43"/>
  <c r="Y32" i="43"/>
  <c r="X32" i="43"/>
  <c r="W32" i="43"/>
  <c r="V32" i="43"/>
  <c r="U32" i="43"/>
  <c r="S32" i="43"/>
  <c r="R32" i="43"/>
  <c r="Q32" i="43"/>
  <c r="P32" i="43"/>
  <c r="O32" i="43"/>
  <c r="N32" i="43"/>
  <c r="M32" i="43"/>
  <c r="L32" i="43"/>
  <c r="J32" i="43"/>
  <c r="I32" i="43"/>
  <c r="H32" i="43"/>
  <c r="G32" i="43"/>
  <c r="F32" i="43"/>
  <c r="E32" i="43"/>
  <c r="D32" i="43"/>
  <c r="C32" i="43"/>
  <c r="AB31" i="43"/>
  <c r="AA31" i="43"/>
  <c r="Z31" i="43"/>
  <c r="Y31" i="43"/>
  <c r="X31" i="43"/>
  <c r="W31" i="43"/>
  <c r="V31" i="43"/>
  <c r="U31" i="43"/>
  <c r="S31" i="43"/>
  <c r="R31" i="43"/>
  <c r="Q31" i="43"/>
  <c r="P31" i="43"/>
  <c r="O31" i="43"/>
  <c r="N31" i="43"/>
  <c r="M31" i="43"/>
  <c r="L31" i="43"/>
  <c r="J31" i="43"/>
  <c r="I31" i="43"/>
  <c r="H31" i="43"/>
  <c r="G31" i="43"/>
  <c r="F31" i="43"/>
  <c r="E31" i="43"/>
  <c r="D31" i="43"/>
  <c r="C31" i="43"/>
  <c r="AB30" i="43"/>
  <c r="AA30" i="43"/>
  <c r="Z30" i="43"/>
  <c r="Y30" i="43"/>
  <c r="X30" i="43"/>
  <c r="W30" i="43"/>
  <c r="V30" i="43"/>
  <c r="U30" i="43"/>
  <c r="S30" i="43"/>
  <c r="R30" i="43"/>
  <c r="Q30" i="43"/>
  <c r="P30" i="43"/>
  <c r="O30" i="43"/>
  <c r="N30" i="43"/>
  <c r="M30" i="43"/>
  <c r="L30" i="43"/>
  <c r="J30" i="43"/>
  <c r="I30" i="43"/>
  <c r="H30" i="43"/>
  <c r="G30" i="43"/>
  <c r="F30" i="43"/>
  <c r="E30" i="43"/>
  <c r="D30" i="43"/>
  <c r="C30" i="43"/>
  <c r="AB29" i="43"/>
  <c r="AA29" i="43"/>
  <c r="Z29" i="43"/>
  <c r="Y29" i="43"/>
  <c r="X29" i="43"/>
  <c r="W29" i="43"/>
  <c r="V29" i="43"/>
  <c r="U29" i="43"/>
  <c r="S29" i="43"/>
  <c r="R29" i="43"/>
  <c r="Q29" i="43"/>
  <c r="P29" i="43"/>
  <c r="O29" i="43"/>
  <c r="N29" i="43"/>
  <c r="M29" i="43"/>
  <c r="L29" i="43"/>
  <c r="J29" i="43"/>
  <c r="I29" i="43"/>
  <c r="H29" i="43"/>
  <c r="G29" i="43"/>
  <c r="F29" i="43"/>
  <c r="E29" i="43"/>
  <c r="D29" i="43"/>
  <c r="C29" i="43"/>
  <c r="AB28" i="43"/>
  <c r="AA28" i="43"/>
  <c r="Z28" i="43"/>
  <c r="Y28" i="43"/>
  <c r="X28" i="43"/>
  <c r="W28" i="43"/>
  <c r="V28" i="43"/>
  <c r="U28" i="43"/>
  <c r="S28" i="43"/>
  <c r="R28" i="43"/>
  <c r="Q28" i="43"/>
  <c r="P28" i="43"/>
  <c r="O28" i="43"/>
  <c r="N28" i="43"/>
  <c r="M28" i="43"/>
  <c r="L28" i="43"/>
  <c r="J28" i="43"/>
  <c r="I28" i="43"/>
  <c r="H28" i="43"/>
  <c r="G28" i="43"/>
  <c r="F28" i="43"/>
  <c r="E28" i="43"/>
  <c r="D28" i="43"/>
  <c r="C28" i="43"/>
  <c r="AB27" i="43"/>
  <c r="AA27" i="43"/>
  <c r="Z27" i="43"/>
  <c r="Y27" i="43"/>
  <c r="X27" i="43"/>
  <c r="W27" i="43"/>
  <c r="V27" i="43"/>
  <c r="U27" i="43"/>
  <c r="S27" i="43"/>
  <c r="R27" i="43"/>
  <c r="Q27" i="43"/>
  <c r="P27" i="43"/>
  <c r="O27" i="43"/>
  <c r="N27" i="43"/>
  <c r="M27" i="43"/>
  <c r="L27" i="43"/>
  <c r="J27" i="43"/>
  <c r="I27" i="43"/>
  <c r="H27" i="43"/>
  <c r="G27" i="43"/>
  <c r="F27" i="43"/>
  <c r="E27" i="43"/>
  <c r="D27" i="43"/>
  <c r="C27" i="43"/>
  <c r="AB26" i="43"/>
  <c r="AA26" i="43"/>
  <c r="Z26" i="43"/>
  <c r="Y26" i="43"/>
  <c r="X26" i="43"/>
  <c r="W26" i="43"/>
  <c r="V26" i="43"/>
  <c r="U26" i="43"/>
  <c r="S26" i="43"/>
  <c r="R26" i="43"/>
  <c r="Q26" i="43"/>
  <c r="P26" i="43"/>
  <c r="O26" i="43"/>
  <c r="N26" i="43"/>
  <c r="M26" i="43"/>
  <c r="L26" i="43"/>
  <c r="J26" i="43"/>
  <c r="I26" i="43"/>
  <c r="H26" i="43"/>
  <c r="G26" i="43"/>
  <c r="F26" i="43"/>
  <c r="E26" i="43"/>
  <c r="D26" i="43"/>
  <c r="C26" i="43"/>
  <c r="AB25" i="43"/>
  <c r="AA25" i="43"/>
  <c r="Z25" i="43"/>
  <c r="Y25" i="43"/>
  <c r="X25" i="43"/>
  <c r="W25" i="43"/>
  <c r="V25" i="43"/>
  <c r="U25" i="43"/>
  <c r="S25" i="43"/>
  <c r="R25" i="43"/>
  <c r="Q25" i="43"/>
  <c r="P25" i="43"/>
  <c r="O25" i="43"/>
  <c r="N25" i="43"/>
  <c r="M25" i="43"/>
  <c r="L25" i="43"/>
  <c r="J25" i="43"/>
  <c r="I25" i="43"/>
  <c r="H25" i="43"/>
  <c r="G25" i="43"/>
  <c r="F25" i="43"/>
  <c r="E25" i="43"/>
  <c r="D25" i="43"/>
  <c r="C25" i="43"/>
  <c r="A16" i="54" l="1"/>
  <c r="B15" i="54"/>
  <c r="C15" i="54"/>
  <c r="A62" i="2"/>
  <c r="B61" i="2"/>
  <c r="C61" i="2"/>
  <c r="A60" i="52"/>
  <c r="A16" i="53"/>
  <c r="B15" i="53"/>
  <c r="C15" i="53"/>
  <c r="AB24" i="43"/>
  <c r="AA24" i="43"/>
  <c r="Z24" i="43"/>
  <c r="Y24" i="43"/>
  <c r="X24" i="43"/>
  <c r="W24" i="43"/>
  <c r="V24" i="43"/>
  <c r="U24" i="43"/>
  <c r="S24" i="43"/>
  <c r="R24" i="43"/>
  <c r="Q24" i="43"/>
  <c r="P24" i="43"/>
  <c r="O24" i="43"/>
  <c r="N24" i="43"/>
  <c r="M24" i="43"/>
  <c r="L24" i="43"/>
  <c r="J24" i="43"/>
  <c r="I24" i="43"/>
  <c r="H24" i="43"/>
  <c r="G24" i="43"/>
  <c r="F24" i="43"/>
  <c r="E24" i="43"/>
  <c r="D24" i="43"/>
  <c r="C24" i="43"/>
  <c r="AB23" i="43"/>
  <c r="AA23" i="43"/>
  <c r="Z23" i="43"/>
  <c r="Y23" i="43"/>
  <c r="X23" i="43"/>
  <c r="W23" i="43"/>
  <c r="V23" i="43"/>
  <c r="U23" i="43"/>
  <c r="S23" i="43"/>
  <c r="R23" i="43"/>
  <c r="Q23" i="43"/>
  <c r="P23" i="43"/>
  <c r="O23" i="43"/>
  <c r="N23" i="43"/>
  <c r="M23" i="43"/>
  <c r="L23" i="43"/>
  <c r="J23" i="43"/>
  <c r="I23" i="43"/>
  <c r="H23" i="43"/>
  <c r="G23" i="43"/>
  <c r="F23" i="43"/>
  <c r="E23" i="43"/>
  <c r="D23" i="43"/>
  <c r="C23" i="43"/>
  <c r="AB22" i="43"/>
  <c r="AA22" i="43"/>
  <c r="Z22" i="43"/>
  <c r="Y22" i="43"/>
  <c r="X22" i="43"/>
  <c r="W22" i="43"/>
  <c r="V22" i="43"/>
  <c r="U22" i="43"/>
  <c r="S22" i="43"/>
  <c r="R22" i="43"/>
  <c r="Q22" i="43"/>
  <c r="P22" i="43"/>
  <c r="O22" i="43"/>
  <c r="N22" i="43"/>
  <c r="M22" i="43"/>
  <c r="L22" i="43"/>
  <c r="J22" i="43"/>
  <c r="I22" i="43"/>
  <c r="H22" i="43"/>
  <c r="G22" i="43"/>
  <c r="F22" i="43"/>
  <c r="E22" i="43"/>
  <c r="D22" i="43"/>
  <c r="C22" i="43"/>
  <c r="AB21" i="43"/>
  <c r="AA21" i="43"/>
  <c r="Z21" i="43"/>
  <c r="Y21" i="43"/>
  <c r="X21" i="43"/>
  <c r="W21" i="43"/>
  <c r="V21" i="43"/>
  <c r="U21" i="43"/>
  <c r="S21" i="43"/>
  <c r="R21" i="43"/>
  <c r="Q21" i="43"/>
  <c r="P21" i="43"/>
  <c r="O21" i="43"/>
  <c r="N21" i="43"/>
  <c r="M21" i="43"/>
  <c r="L21" i="43"/>
  <c r="J21" i="43"/>
  <c r="I21" i="43"/>
  <c r="H21" i="43"/>
  <c r="G21" i="43"/>
  <c r="F21" i="43"/>
  <c r="E21" i="43"/>
  <c r="D21" i="43"/>
  <c r="C21" i="43"/>
  <c r="AB20" i="43"/>
  <c r="AA20" i="43"/>
  <c r="Z20" i="43"/>
  <c r="Y20" i="43"/>
  <c r="X20" i="43"/>
  <c r="W20" i="43"/>
  <c r="V20" i="43"/>
  <c r="U20" i="43"/>
  <c r="S20" i="43"/>
  <c r="R20" i="43"/>
  <c r="Q20" i="43"/>
  <c r="P20" i="43"/>
  <c r="O20" i="43"/>
  <c r="N20" i="43"/>
  <c r="M20" i="43"/>
  <c r="L20" i="43"/>
  <c r="J20" i="43"/>
  <c r="I20" i="43"/>
  <c r="H20" i="43"/>
  <c r="G20" i="43"/>
  <c r="F20" i="43"/>
  <c r="E20" i="43"/>
  <c r="D20" i="43"/>
  <c r="C20" i="43"/>
  <c r="AB19" i="43"/>
  <c r="AA19" i="43"/>
  <c r="Z19" i="43"/>
  <c r="Y19" i="43"/>
  <c r="X19" i="43"/>
  <c r="W19" i="43"/>
  <c r="V19" i="43"/>
  <c r="U19" i="43"/>
  <c r="S19" i="43"/>
  <c r="R19" i="43"/>
  <c r="Q19" i="43"/>
  <c r="P19" i="43"/>
  <c r="O19" i="43"/>
  <c r="N19" i="43"/>
  <c r="M19" i="43"/>
  <c r="L19" i="43"/>
  <c r="J19" i="43"/>
  <c r="I19" i="43"/>
  <c r="H19" i="43"/>
  <c r="G19" i="43"/>
  <c r="F19" i="43"/>
  <c r="E19" i="43"/>
  <c r="D19" i="43"/>
  <c r="C19" i="43"/>
  <c r="C16" i="54" l="1"/>
  <c r="A17" i="54"/>
  <c r="B16" i="54"/>
  <c r="C60" i="52"/>
  <c r="B60" i="52"/>
  <c r="D60" i="52"/>
  <c r="C62" i="2"/>
  <c r="A63" i="2"/>
  <c r="B62" i="2"/>
  <c r="A61" i="52"/>
  <c r="C16" i="53"/>
  <c r="A17" i="53"/>
  <c r="B16" i="53"/>
  <c r="AB18" i="43"/>
  <c r="AA18" i="43"/>
  <c r="Z18" i="43"/>
  <c r="Y18" i="43"/>
  <c r="X18" i="43"/>
  <c r="W18" i="43"/>
  <c r="V18" i="43"/>
  <c r="U18" i="43"/>
  <c r="S18" i="43"/>
  <c r="R18" i="43"/>
  <c r="Q18" i="43"/>
  <c r="P18" i="43"/>
  <c r="O18" i="43"/>
  <c r="N18" i="43"/>
  <c r="M18" i="43"/>
  <c r="L18" i="43"/>
  <c r="J18" i="43"/>
  <c r="I18" i="43"/>
  <c r="H18" i="43"/>
  <c r="G18" i="43"/>
  <c r="F18" i="43"/>
  <c r="E18" i="43"/>
  <c r="D18" i="43"/>
  <c r="C18" i="43"/>
  <c r="AB17" i="43"/>
  <c r="AA17" i="43"/>
  <c r="Z17" i="43"/>
  <c r="Y17" i="43"/>
  <c r="X17" i="43"/>
  <c r="W17" i="43"/>
  <c r="V17" i="43"/>
  <c r="U17" i="43"/>
  <c r="S17" i="43"/>
  <c r="R17" i="43"/>
  <c r="Q17" i="43"/>
  <c r="P17" i="43"/>
  <c r="O17" i="43"/>
  <c r="N17" i="43"/>
  <c r="M17" i="43"/>
  <c r="L17" i="43"/>
  <c r="J17" i="43"/>
  <c r="I17" i="43"/>
  <c r="H17" i="43"/>
  <c r="G17" i="43"/>
  <c r="F17" i="43"/>
  <c r="E17" i="43"/>
  <c r="D17" i="43"/>
  <c r="C17" i="43"/>
  <c r="A18" i="54" l="1"/>
  <c r="B17" i="54"/>
  <c r="C17" i="54"/>
  <c r="D61" i="52"/>
  <c r="C61" i="52"/>
  <c r="B61" i="52"/>
  <c r="A64" i="2"/>
  <c r="B63" i="2"/>
  <c r="C63" i="2"/>
  <c r="A62" i="52"/>
  <c r="A18" i="53"/>
  <c r="B17" i="53"/>
  <c r="C17" i="53"/>
  <c r="AB16" i="43"/>
  <c r="AA16" i="43"/>
  <c r="Z16" i="43"/>
  <c r="Y16" i="43"/>
  <c r="X16" i="43"/>
  <c r="W16" i="43"/>
  <c r="V16" i="43"/>
  <c r="U16" i="43"/>
  <c r="S16" i="43"/>
  <c r="R16" i="43"/>
  <c r="Q16" i="43"/>
  <c r="P16" i="43"/>
  <c r="O16" i="43"/>
  <c r="N16" i="43"/>
  <c r="M16" i="43"/>
  <c r="L16" i="43"/>
  <c r="J16" i="43"/>
  <c r="I16" i="43"/>
  <c r="H16" i="43"/>
  <c r="G16" i="43"/>
  <c r="F16" i="43"/>
  <c r="E16" i="43"/>
  <c r="D16" i="43"/>
  <c r="C16" i="43"/>
  <c r="AB15" i="43"/>
  <c r="AA15" i="43"/>
  <c r="Z15" i="43"/>
  <c r="Y15" i="43"/>
  <c r="X15" i="43"/>
  <c r="W15" i="43"/>
  <c r="V15" i="43"/>
  <c r="U15" i="43"/>
  <c r="S15" i="43"/>
  <c r="R15" i="43"/>
  <c r="Q15" i="43"/>
  <c r="P15" i="43"/>
  <c r="O15" i="43"/>
  <c r="N15" i="43"/>
  <c r="M15" i="43"/>
  <c r="L15" i="43"/>
  <c r="J15" i="43"/>
  <c r="I15" i="43"/>
  <c r="H15" i="43"/>
  <c r="G15" i="43"/>
  <c r="F15" i="43"/>
  <c r="E15" i="43"/>
  <c r="D15" i="43"/>
  <c r="C15" i="43"/>
  <c r="AB14" i="43"/>
  <c r="AA14" i="43"/>
  <c r="Z14" i="43"/>
  <c r="Y14" i="43"/>
  <c r="X14" i="43"/>
  <c r="W14" i="43"/>
  <c r="V14" i="43"/>
  <c r="U14" i="43"/>
  <c r="S14" i="43"/>
  <c r="R14" i="43"/>
  <c r="Q14" i="43"/>
  <c r="P14" i="43"/>
  <c r="O14" i="43"/>
  <c r="N14" i="43"/>
  <c r="M14" i="43"/>
  <c r="L14" i="43"/>
  <c r="J14" i="43"/>
  <c r="I14" i="43"/>
  <c r="H14" i="43"/>
  <c r="G14" i="43"/>
  <c r="F14" i="43"/>
  <c r="E14" i="43"/>
  <c r="D14" i="43"/>
  <c r="C14" i="43"/>
  <c r="AB13" i="43"/>
  <c r="AA13" i="43"/>
  <c r="Z13" i="43"/>
  <c r="Y13" i="43"/>
  <c r="X13" i="43"/>
  <c r="W13" i="43"/>
  <c r="V13" i="43"/>
  <c r="U13" i="43"/>
  <c r="S13" i="43"/>
  <c r="R13" i="43"/>
  <c r="Q13" i="43"/>
  <c r="P13" i="43"/>
  <c r="O13" i="43"/>
  <c r="N13" i="43"/>
  <c r="M13" i="43"/>
  <c r="L13" i="43"/>
  <c r="J13" i="43"/>
  <c r="I13" i="43"/>
  <c r="H13" i="43"/>
  <c r="G13" i="43"/>
  <c r="F13" i="43"/>
  <c r="E13" i="43"/>
  <c r="D13" i="43"/>
  <c r="C13" i="43"/>
  <c r="AB12" i="43"/>
  <c r="AA12" i="43"/>
  <c r="Z12" i="43"/>
  <c r="Y12" i="43"/>
  <c r="X12" i="43"/>
  <c r="W12" i="43"/>
  <c r="V12" i="43"/>
  <c r="U12" i="43"/>
  <c r="S12" i="43"/>
  <c r="R12" i="43"/>
  <c r="Q12" i="43"/>
  <c r="P12" i="43"/>
  <c r="O12" i="43"/>
  <c r="N12" i="43"/>
  <c r="M12" i="43"/>
  <c r="L12" i="43"/>
  <c r="J12" i="43"/>
  <c r="I12" i="43"/>
  <c r="H12" i="43"/>
  <c r="G12" i="43"/>
  <c r="F12" i="43"/>
  <c r="E12" i="43"/>
  <c r="D12" i="43"/>
  <c r="C12" i="43"/>
  <c r="AB11" i="43"/>
  <c r="AA11" i="43"/>
  <c r="Z11" i="43"/>
  <c r="Y11" i="43"/>
  <c r="X11" i="43"/>
  <c r="W11" i="43"/>
  <c r="V11" i="43"/>
  <c r="U11" i="43"/>
  <c r="S11" i="43"/>
  <c r="R11" i="43"/>
  <c r="Q11" i="43"/>
  <c r="P11" i="43"/>
  <c r="O11" i="43"/>
  <c r="N11" i="43"/>
  <c r="M11" i="43"/>
  <c r="L11" i="43"/>
  <c r="J11" i="43"/>
  <c r="I11" i="43"/>
  <c r="H11" i="43"/>
  <c r="G11" i="43"/>
  <c r="F11" i="43"/>
  <c r="E11" i="43"/>
  <c r="D11" i="43"/>
  <c r="C11" i="43"/>
  <c r="AB10" i="43"/>
  <c r="AA10" i="43"/>
  <c r="Z10" i="43"/>
  <c r="Y10" i="43"/>
  <c r="X10" i="43"/>
  <c r="W10" i="43"/>
  <c r="V10" i="43"/>
  <c r="U10" i="43"/>
  <c r="S10" i="43"/>
  <c r="R10" i="43"/>
  <c r="Q10" i="43"/>
  <c r="P10" i="43"/>
  <c r="O10" i="43"/>
  <c r="N10" i="43"/>
  <c r="M10" i="43"/>
  <c r="L10" i="43"/>
  <c r="J10" i="43"/>
  <c r="I10" i="43"/>
  <c r="H10" i="43"/>
  <c r="G10" i="43"/>
  <c r="F10" i="43"/>
  <c r="E10" i="43"/>
  <c r="D10" i="43"/>
  <c r="C10" i="43"/>
  <c r="AB9" i="43"/>
  <c r="AA9" i="43"/>
  <c r="Z9" i="43"/>
  <c r="Y9" i="43"/>
  <c r="X9" i="43"/>
  <c r="W9" i="43"/>
  <c r="V9" i="43"/>
  <c r="U9" i="43"/>
  <c r="S9" i="43"/>
  <c r="R9" i="43"/>
  <c r="Q9" i="43"/>
  <c r="P9" i="43"/>
  <c r="O9" i="43"/>
  <c r="N9" i="43"/>
  <c r="M9" i="43"/>
  <c r="L9" i="43"/>
  <c r="J9" i="43"/>
  <c r="I9" i="43"/>
  <c r="H9" i="43"/>
  <c r="G9" i="43"/>
  <c r="F9" i="43"/>
  <c r="E9" i="43"/>
  <c r="D9" i="43"/>
  <c r="C9" i="43"/>
  <c r="AB8" i="43"/>
  <c r="AA8" i="43"/>
  <c r="Z8" i="43"/>
  <c r="Y8" i="43"/>
  <c r="X8" i="43"/>
  <c r="W8" i="43"/>
  <c r="V8" i="43"/>
  <c r="U8" i="43"/>
  <c r="S8" i="43"/>
  <c r="R8" i="43"/>
  <c r="Q8" i="43"/>
  <c r="P8" i="43"/>
  <c r="O8" i="43"/>
  <c r="N8" i="43"/>
  <c r="M8" i="43"/>
  <c r="L8" i="43"/>
  <c r="J8" i="43"/>
  <c r="I8" i="43"/>
  <c r="H8" i="43"/>
  <c r="G8" i="43"/>
  <c r="F8" i="43"/>
  <c r="E8" i="43"/>
  <c r="D8" i="43"/>
  <c r="C8" i="43"/>
  <c r="AB7" i="43"/>
  <c r="AA7" i="43"/>
  <c r="Z7" i="43"/>
  <c r="Y7" i="43"/>
  <c r="X7" i="43"/>
  <c r="W7" i="43"/>
  <c r="V7" i="43"/>
  <c r="U7" i="43"/>
  <c r="S7" i="43"/>
  <c r="R7" i="43"/>
  <c r="Q7" i="43"/>
  <c r="P7" i="43"/>
  <c r="O7" i="43"/>
  <c r="N7" i="43"/>
  <c r="M7" i="43"/>
  <c r="L7" i="43"/>
  <c r="J7" i="43"/>
  <c r="I7" i="43"/>
  <c r="H7" i="43"/>
  <c r="G7" i="43"/>
  <c r="F7" i="43"/>
  <c r="E7" i="43"/>
  <c r="D7" i="43"/>
  <c r="C7" i="43"/>
  <c r="AB6" i="43"/>
  <c r="AA6" i="43"/>
  <c r="Z6" i="43"/>
  <c r="Y6" i="43"/>
  <c r="X6" i="43"/>
  <c r="W6" i="43"/>
  <c r="V6" i="43"/>
  <c r="U6" i="43"/>
  <c r="S6" i="43"/>
  <c r="R6" i="43"/>
  <c r="Q6" i="43"/>
  <c r="P6" i="43"/>
  <c r="O6" i="43"/>
  <c r="N6" i="43"/>
  <c r="M6" i="43"/>
  <c r="L6" i="43"/>
  <c r="J6" i="43"/>
  <c r="I6" i="43"/>
  <c r="H6" i="43"/>
  <c r="G6" i="43"/>
  <c r="F6" i="43"/>
  <c r="E6" i="43"/>
  <c r="D6" i="43"/>
  <c r="C6" i="43"/>
  <c r="AB5" i="43"/>
  <c r="AA5" i="43"/>
  <c r="Z5" i="43"/>
  <c r="Y5" i="43"/>
  <c r="X5" i="43"/>
  <c r="W5" i="43"/>
  <c r="V5" i="43"/>
  <c r="U5" i="43"/>
  <c r="S5" i="43"/>
  <c r="R5" i="43"/>
  <c r="Q5" i="43"/>
  <c r="P5" i="43"/>
  <c r="O5" i="43"/>
  <c r="N5" i="43"/>
  <c r="M5" i="43"/>
  <c r="L5" i="43"/>
  <c r="J5" i="43"/>
  <c r="I5" i="43"/>
  <c r="H5" i="43"/>
  <c r="G5" i="43"/>
  <c r="F5" i="43"/>
  <c r="E5" i="43"/>
  <c r="D5" i="43"/>
  <c r="C5" i="43"/>
  <c r="L1" i="43"/>
  <c r="C41" i="42"/>
  <c r="C40" i="42"/>
  <c r="C39" i="42"/>
  <c r="C38" i="42"/>
  <c r="AB35" i="42"/>
  <c r="AA35" i="42"/>
  <c r="Z35" i="42"/>
  <c r="Y35" i="42"/>
  <c r="X35" i="42"/>
  <c r="W35" i="42"/>
  <c r="V35" i="42"/>
  <c r="U35" i="42"/>
  <c r="S35" i="42"/>
  <c r="R35" i="42"/>
  <c r="Q35" i="42"/>
  <c r="P35" i="42"/>
  <c r="O35" i="42"/>
  <c r="N35" i="42"/>
  <c r="M35" i="42"/>
  <c r="L35" i="42"/>
  <c r="J35" i="42"/>
  <c r="I35" i="42"/>
  <c r="H35" i="42"/>
  <c r="G35" i="42"/>
  <c r="F35" i="42"/>
  <c r="E35" i="42"/>
  <c r="D35" i="42"/>
  <c r="C35" i="42"/>
  <c r="AB34" i="42"/>
  <c r="AA34" i="42"/>
  <c r="Z34" i="42"/>
  <c r="Y34" i="42"/>
  <c r="X34" i="42"/>
  <c r="W34" i="42"/>
  <c r="V34" i="42"/>
  <c r="U34" i="42"/>
  <c r="S34" i="42"/>
  <c r="R34" i="42"/>
  <c r="Q34" i="42"/>
  <c r="P34" i="42"/>
  <c r="O34" i="42"/>
  <c r="N34" i="42"/>
  <c r="M34" i="42"/>
  <c r="L34" i="42"/>
  <c r="J34" i="42"/>
  <c r="I34" i="42"/>
  <c r="H34" i="42"/>
  <c r="G34" i="42"/>
  <c r="F34" i="42"/>
  <c r="E34" i="42"/>
  <c r="D34" i="42"/>
  <c r="C34" i="42"/>
  <c r="AB33" i="42"/>
  <c r="AA33" i="42"/>
  <c r="Z33" i="42"/>
  <c r="Y33" i="42"/>
  <c r="X33" i="42"/>
  <c r="W33" i="42"/>
  <c r="V33" i="42"/>
  <c r="U33" i="42"/>
  <c r="S33" i="42"/>
  <c r="R33" i="42"/>
  <c r="Q33" i="42"/>
  <c r="P33" i="42"/>
  <c r="O33" i="42"/>
  <c r="N33" i="42"/>
  <c r="M33" i="42"/>
  <c r="L33" i="42"/>
  <c r="J33" i="42"/>
  <c r="I33" i="42"/>
  <c r="H33" i="42"/>
  <c r="G33" i="42"/>
  <c r="F33" i="42"/>
  <c r="E33" i="42"/>
  <c r="D33" i="42"/>
  <c r="C33" i="42"/>
  <c r="AB32" i="42"/>
  <c r="AA32" i="42"/>
  <c r="Z32" i="42"/>
  <c r="Y32" i="42"/>
  <c r="X32" i="42"/>
  <c r="W32" i="42"/>
  <c r="V32" i="42"/>
  <c r="U32" i="42"/>
  <c r="S32" i="42"/>
  <c r="R32" i="42"/>
  <c r="Q32" i="42"/>
  <c r="P32" i="42"/>
  <c r="O32" i="42"/>
  <c r="N32" i="42"/>
  <c r="M32" i="42"/>
  <c r="L32" i="42"/>
  <c r="J32" i="42"/>
  <c r="I32" i="42"/>
  <c r="H32" i="42"/>
  <c r="G32" i="42"/>
  <c r="F32" i="42"/>
  <c r="E32" i="42"/>
  <c r="D32" i="42"/>
  <c r="C32" i="42"/>
  <c r="AB31" i="42"/>
  <c r="AA31" i="42"/>
  <c r="Z31" i="42"/>
  <c r="Y31" i="42"/>
  <c r="X31" i="42"/>
  <c r="W31" i="42"/>
  <c r="V31" i="42"/>
  <c r="U31" i="42"/>
  <c r="S31" i="42"/>
  <c r="R31" i="42"/>
  <c r="Q31" i="42"/>
  <c r="P31" i="42"/>
  <c r="O31" i="42"/>
  <c r="N31" i="42"/>
  <c r="M31" i="42"/>
  <c r="L31" i="42"/>
  <c r="J31" i="42"/>
  <c r="I31" i="42"/>
  <c r="H31" i="42"/>
  <c r="G31" i="42"/>
  <c r="F31" i="42"/>
  <c r="E31" i="42"/>
  <c r="D31" i="42"/>
  <c r="C31" i="42"/>
  <c r="AB30" i="42"/>
  <c r="AA30" i="42"/>
  <c r="Z30" i="42"/>
  <c r="Y30" i="42"/>
  <c r="X30" i="42"/>
  <c r="W30" i="42"/>
  <c r="V30" i="42"/>
  <c r="U30" i="42"/>
  <c r="S30" i="42"/>
  <c r="R30" i="42"/>
  <c r="Q30" i="42"/>
  <c r="P30" i="42"/>
  <c r="O30" i="42"/>
  <c r="N30" i="42"/>
  <c r="M30" i="42"/>
  <c r="L30" i="42"/>
  <c r="J30" i="42"/>
  <c r="I30" i="42"/>
  <c r="H30" i="42"/>
  <c r="G30" i="42"/>
  <c r="F30" i="42"/>
  <c r="E30" i="42"/>
  <c r="D30" i="42"/>
  <c r="C30" i="42"/>
  <c r="AB29" i="42"/>
  <c r="AA29" i="42"/>
  <c r="Z29" i="42"/>
  <c r="Y29" i="42"/>
  <c r="X29" i="42"/>
  <c r="W29" i="42"/>
  <c r="V29" i="42"/>
  <c r="U29" i="42"/>
  <c r="S29" i="42"/>
  <c r="R29" i="42"/>
  <c r="Q29" i="42"/>
  <c r="P29" i="42"/>
  <c r="O29" i="42"/>
  <c r="N29" i="42"/>
  <c r="M29" i="42"/>
  <c r="L29" i="42"/>
  <c r="J29" i="42"/>
  <c r="I29" i="42"/>
  <c r="H29" i="42"/>
  <c r="G29" i="42"/>
  <c r="F29" i="42"/>
  <c r="E29" i="42"/>
  <c r="D29" i="42"/>
  <c r="C29" i="42"/>
  <c r="AB28" i="42"/>
  <c r="AA28" i="42"/>
  <c r="Z28" i="42"/>
  <c r="Y28" i="42"/>
  <c r="X28" i="42"/>
  <c r="W28" i="42"/>
  <c r="V28" i="42"/>
  <c r="U28" i="42"/>
  <c r="S28" i="42"/>
  <c r="R28" i="42"/>
  <c r="Q28" i="42"/>
  <c r="P28" i="42"/>
  <c r="O28" i="42"/>
  <c r="N28" i="42"/>
  <c r="M28" i="42"/>
  <c r="L28" i="42"/>
  <c r="J28" i="42"/>
  <c r="I28" i="42"/>
  <c r="H28" i="42"/>
  <c r="G28" i="42"/>
  <c r="F28" i="42"/>
  <c r="E28" i="42"/>
  <c r="D28" i="42"/>
  <c r="C28" i="42"/>
  <c r="AB27" i="42"/>
  <c r="AA27" i="42"/>
  <c r="Z27" i="42"/>
  <c r="Y27" i="42"/>
  <c r="X27" i="42"/>
  <c r="W27" i="42"/>
  <c r="V27" i="42"/>
  <c r="U27" i="42"/>
  <c r="S27" i="42"/>
  <c r="R27" i="42"/>
  <c r="Q27" i="42"/>
  <c r="P27" i="42"/>
  <c r="O27" i="42"/>
  <c r="N27" i="42"/>
  <c r="M27" i="42"/>
  <c r="L27" i="42"/>
  <c r="J27" i="42"/>
  <c r="I27" i="42"/>
  <c r="H27" i="42"/>
  <c r="G27" i="42"/>
  <c r="F27" i="42"/>
  <c r="E27" i="42"/>
  <c r="D27" i="42"/>
  <c r="C27" i="42"/>
  <c r="AB26" i="42"/>
  <c r="AA26" i="42"/>
  <c r="Z26" i="42"/>
  <c r="Y26" i="42"/>
  <c r="X26" i="42"/>
  <c r="W26" i="42"/>
  <c r="V26" i="42"/>
  <c r="U26" i="42"/>
  <c r="S26" i="42"/>
  <c r="R26" i="42"/>
  <c r="Q26" i="42"/>
  <c r="P26" i="42"/>
  <c r="O26" i="42"/>
  <c r="N26" i="42"/>
  <c r="M26" i="42"/>
  <c r="L26" i="42"/>
  <c r="J26" i="42"/>
  <c r="I26" i="42"/>
  <c r="H26" i="42"/>
  <c r="G26" i="42"/>
  <c r="F26" i="42"/>
  <c r="E26" i="42"/>
  <c r="D26" i="42"/>
  <c r="C26" i="42"/>
  <c r="AB25" i="42"/>
  <c r="AA25" i="42"/>
  <c r="Z25" i="42"/>
  <c r="Y25" i="42"/>
  <c r="X25" i="42"/>
  <c r="W25" i="42"/>
  <c r="V25" i="42"/>
  <c r="U25" i="42"/>
  <c r="S25" i="42"/>
  <c r="R25" i="42"/>
  <c r="Q25" i="42"/>
  <c r="P25" i="42"/>
  <c r="O25" i="42"/>
  <c r="N25" i="42"/>
  <c r="M25" i="42"/>
  <c r="L25" i="42"/>
  <c r="J25" i="42"/>
  <c r="I25" i="42"/>
  <c r="H25" i="42"/>
  <c r="G25" i="42"/>
  <c r="F25" i="42"/>
  <c r="E25" i="42"/>
  <c r="D25" i="42"/>
  <c r="C25" i="42"/>
  <c r="AB24" i="42"/>
  <c r="AA24" i="42"/>
  <c r="Z24" i="42"/>
  <c r="Y24" i="42"/>
  <c r="X24" i="42"/>
  <c r="W24" i="42"/>
  <c r="V24" i="42"/>
  <c r="U24" i="42"/>
  <c r="S24" i="42"/>
  <c r="R24" i="42"/>
  <c r="Q24" i="42"/>
  <c r="P24" i="42"/>
  <c r="O24" i="42"/>
  <c r="N24" i="42"/>
  <c r="M24" i="42"/>
  <c r="L24" i="42"/>
  <c r="J24" i="42"/>
  <c r="I24" i="42"/>
  <c r="H24" i="42"/>
  <c r="G24" i="42"/>
  <c r="F24" i="42"/>
  <c r="E24" i="42"/>
  <c r="D24" i="42"/>
  <c r="C24" i="42"/>
  <c r="AB23" i="42"/>
  <c r="AA23" i="42"/>
  <c r="Z23" i="42"/>
  <c r="Y23" i="42"/>
  <c r="X23" i="42"/>
  <c r="W23" i="42"/>
  <c r="V23" i="42"/>
  <c r="U23" i="42"/>
  <c r="S23" i="42"/>
  <c r="R23" i="42"/>
  <c r="Q23" i="42"/>
  <c r="P23" i="42"/>
  <c r="O23" i="42"/>
  <c r="N23" i="42"/>
  <c r="M23" i="42"/>
  <c r="L23" i="42"/>
  <c r="J23" i="42"/>
  <c r="I23" i="42"/>
  <c r="H23" i="42"/>
  <c r="G23" i="42"/>
  <c r="F23" i="42"/>
  <c r="E23" i="42"/>
  <c r="D23" i="42"/>
  <c r="C23" i="42"/>
  <c r="AB22" i="42"/>
  <c r="AA22" i="42"/>
  <c r="Z22" i="42"/>
  <c r="Y22" i="42"/>
  <c r="X22" i="42"/>
  <c r="W22" i="42"/>
  <c r="V22" i="42"/>
  <c r="U22" i="42"/>
  <c r="S22" i="42"/>
  <c r="R22" i="42"/>
  <c r="Q22" i="42"/>
  <c r="P22" i="42"/>
  <c r="O22" i="42"/>
  <c r="N22" i="42"/>
  <c r="M22" i="42"/>
  <c r="L22" i="42"/>
  <c r="J22" i="42"/>
  <c r="I22" i="42"/>
  <c r="H22" i="42"/>
  <c r="G22" i="42"/>
  <c r="F22" i="42"/>
  <c r="E22" i="42"/>
  <c r="D22" i="42"/>
  <c r="C22" i="42"/>
  <c r="AB21" i="42"/>
  <c r="AA21" i="42"/>
  <c r="Z21" i="42"/>
  <c r="Y21" i="42"/>
  <c r="X21" i="42"/>
  <c r="W21" i="42"/>
  <c r="V21" i="42"/>
  <c r="U21" i="42"/>
  <c r="S21" i="42"/>
  <c r="R21" i="42"/>
  <c r="Q21" i="42"/>
  <c r="P21" i="42"/>
  <c r="O21" i="42"/>
  <c r="N21" i="42"/>
  <c r="M21" i="42"/>
  <c r="L21" i="42"/>
  <c r="J21" i="42"/>
  <c r="I21" i="42"/>
  <c r="H21" i="42"/>
  <c r="G21" i="42"/>
  <c r="F21" i="42"/>
  <c r="E21" i="42"/>
  <c r="D21" i="42"/>
  <c r="C21" i="42"/>
  <c r="AB20" i="42"/>
  <c r="AA20" i="42"/>
  <c r="Z20" i="42"/>
  <c r="Y20" i="42"/>
  <c r="X20" i="42"/>
  <c r="W20" i="42"/>
  <c r="V20" i="42"/>
  <c r="U20" i="42"/>
  <c r="S20" i="42"/>
  <c r="R20" i="42"/>
  <c r="Q20" i="42"/>
  <c r="P20" i="42"/>
  <c r="O20" i="42"/>
  <c r="N20" i="42"/>
  <c r="M20" i="42"/>
  <c r="L20" i="42"/>
  <c r="J20" i="42"/>
  <c r="I20" i="42"/>
  <c r="H20" i="42"/>
  <c r="G20" i="42"/>
  <c r="F20" i="42"/>
  <c r="E20" i="42"/>
  <c r="D20" i="42"/>
  <c r="C20" i="42"/>
  <c r="AB19" i="42"/>
  <c r="AA19" i="42"/>
  <c r="Z19" i="42"/>
  <c r="Y19" i="42"/>
  <c r="X19" i="42"/>
  <c r="W19" i="42"/>
  <c r="V19" i="42"/>
  <c r="U19" i="42"/>
  <c r="S19" i="42"/>
  <c r="R19" i="42"/>
  <c r="Q19" i="42"/>
  <c r="P19" i="42"/>
  <c r="O19" i="42"/>
  <c r="N19" i="42"/>
  <c r="M19" i="42"/>
  <c r="L19" i="42"/>
  <c r="J19" i="42"/>
  <c r="I19" i="42"/>
  <c r="H19" i="42"/>
  <c r="G19" i="42"/>
  <c r="F19" i="42"/>
  <c r="E19" i="42"/>
  <c r="D19" i="42"/>
  <c r="C19" i="42"/>
  <c r="AB18" i="42"/>
  <c r="AA18" i="42"/>
  <c r="Z18" i="42"/>
  <c r="Y18" i="42"/>
  <c r="X18" i="42"/>
  <c r="W18" i="42"/>
  <c r="V18" i="42"/>
  <c r="U18" i="42"/>
  <c r="S18" i="42"/>
  <c r="R18" i="42"/>
  <c r="Q18" i="42"/>
  <c r="P18" i="42"/>
  <c r="O18" i="42"/>
  <c r="N18" i="42"/>
  <c r="M18" i="42"/>
  <c r="L18" i="42"/>
  <c r="J18" i="42"/>
  <c r="I18" i="42"/>
  <c r="H18" i="42"/>
  <c r="G18" i="42"/>
  <c r="F18" i="42"/>
  <c r="E18" i="42"/>
  <c r="D18" i="42"/>
  <c r="C18" i="42"/>
  <c r="AB17" i="42"/>
  <c r="AA17" i="42"/>
  <c r="Z17" i="42"/>
  <c r="Y17" i="42"/>
  <c r="X17" i="42"/>
  <c r="W17" i="42"/>
  <c r="V17" i="42"/>
  <c r="U17" i="42"/>
  <c r="S17" i="42"/>
  <c r="R17" i="42"/>
  <c r="Q17" i="42"/>
  <c r="P17" i="42"/>
  <c r="O17" i="42"/>
  <c r="N17" i="42"/>
  <c r="M17" i="42"/>
  <c r="L17" i="42"/>
  <c r="J17" i="42"/>
  <c r="I17" i="42"/>
  <c r="H17" i="42"/>
  <c r="G17" i="42"/>
  <c r="F17" i="42"/>
  <c r="E17" i="42"/>
  <c r="D17" i="42"/>
  <c r="C17" i="42"/>
  <c r="AB16" i="42"/>
  <c r="AA16" i="42"/>
  <c r="Z16" i="42"/>
  <c r="Y16" i="42"/>
  <c r="X16" i="42"/>
  <c r="W16" i="42"/>
  <c r="V16" i="42"/>
  <c r="U16" i="42"/>
  <c r="S16" i="42"/>
  <c r="R16" i="42"/>
  <c r="Q16" i="42"/>
  <c r="P16" i="42"/>
  <c r="O16" i="42"/>
  <c r="N16" i="42"/>
  <c r="M16" i="42"/>
  <c r="L16" i="42"/>
  <c r="J16" i="42"/>
  <c r="I16" i="42"/>
  <c r="H16" i="42"/>
  <c r="G16" i="42"/>
  <c r="F16" i="42"/>
  <c r="E16" i="42"/>
  <c r="D16" i="42"/>
  <c r="C16" i="42"/>
  <c r="AB15" i="42"/>
  <c r="AA15" i="42"/>
  <c r="Z15" i="42"/>
  <c r="Y15" i="42"/>
  <c r="X15" i="42"/>
  <c r="W15" i="42"/>
  <c r="V15" i="42"/>
  <c r="U15" i="42"/>
  <c r="S15" i="42"/>
  <c r="R15" i="42"/>
  <c r="Q15" i="42"/>
  <c r="P15" i="42"/>
  <c r="O15" i="42"/>
  <c r="N15" i="42"/>
  <c r="M15" i="42"/>
  <c r="L15" i="42"/>
  <c r="J15" i="42"/>
  <c r="I15" i="42"/>
  <c r="H15" i="42"/>
  <c r="G15" i="42"/>
  <c r="F15" i="42"/>
  <c r="E15" i="42"/>
  <c r="D15" i="42"/>
  <c r="C15" i="42"/>
  <c r="AB14" i="42"/>
  <c r="AA14" i="42"/>
  <c r="Z14" i="42"/>
  <c r="Y14" i="42"/>
  <c r="X14" i="42"/>
  <c r="W14" i="42"/>
  <c r="V14" i="42"/>
  <c r="U14" i="42"/>
  <c r="S14" i="42"/>
  <c r="R14" i="42"/>
  <c r="Q14" i="42"/>
  <c r="P14" i="42"/>
  <c r="O14" i="42"/>
  <c r="N14" i="42"/>
  <c r="M14" i="42"/>
  <c r="L14" i="42"/>
  <c r="J14" i="42"/>
  <c r="I14" i="42"/>
  <c r="H14" i="42"/>
  <c r="G14" i="42"/>
  <c r="F14" i="42"/>
  <c r="E14" i="42"/>
  <c r="D14" i="42"/>
  <c r="C14" i="42"/>
  <c r="AB13" i="42"/>
  <c r="AA13" i="42"/>
  <c r="Z13" i="42"/>
  <c r="Y13" i="42"/>
  <c r="X13" i="42"/>
  <c r="W13" i="42"/>
  <c r="V13" i="42"/>
  <c r="U13" i="42"/>
  <c r="S13" i="42"/>
  <c r="R13" i="42"/>
  <c r="Q13" i="42"/>
  <c r="P13" i="42"/>
  <c r="O13" i="42"/>
  <c r="N13" i="42"/>
  <c r="M13" i="42"/>
  <c r="L13" i="42"/>
  <c r="J13" i="42"/>
  <c r="I13" i="42"/>
  <c r="H13" i="42"/>
  <c r="G13" i="42"/>
  <c r="F13" i="42"/>
  <c r="E13" i="42"/>
  <c r="D13" i="42"/>
  <c r="C13" i="42"/>
  <c r="AB12" i="42"/>
  <c r="AA12" i="42"/>
  <c r="Z12" i="42"/>
  <c r="Y12" i="42"/>
  <c r="X12" i="42"/>
  <c r="W12" i="42"/>
  <c r="V12" i="42"/>
  <c r="U12" i="42"/>
  <c r="S12" i="42"/>
  <c r="R12" i="42"/>
  <c r="Q12" i="42"/>
  <c r="P12" i="42"/>
  <c r="O12" i="42"/>
  <c r="N12" i="42"/>
  <c r="M12" i="42"/>
  <c r="L12" i="42"/>
  <c r="J12" i="42"/>
  <c r="I12" i="42"/>
  <c r="H12" i="42"/>
  <c r="G12" i="42"/>
  <c r="F12" i="42"/>
  <c r="E12" i="42"/>
  <c r="D12" i="42"/>
  <c r="C12" i="42"/>
  <c r="AB11" i="42"/>
  <c r="AA11" i="42"/>
  <c r="Z11" i="42"/>
  <c r="Y11" i="42"/>
  <c r="X11" i="42"/>
  <c r="W11" i="42"/>
  <c r="V11" i="42"/>
  <c r="U11" i="42"/>
  <c r="S11" i="42"/>
  <c r="R11" i="42"/>
  <c r="Q11" i="42"/>
  <c r="P11" i="42"/>
  <c r="O11" i="42"/>
  <c r="N11" i="42"/>
  <c r="M11" i="42"/>
  <c r="L11" i="42"/>
  <c r="J11" i="42"/>
  <c r="I11" i="42"/>
  <c r="H11" i="42"/>
  <c r="G11" i="42"/>
  <c r="F11" i="42"/>
  <c r="E11" i="42"/>
  <c r="D11" i="42"/>
  <c r="C11" i="42"/>
  <c r="AB10" i="42"/>
  <c r="AA10" i="42"/>
  <c r="Z10" i="42"/>
  <c r="Y10" i="42"/>
  <c r="X10" i="42"/>
  <c r="W10" i="42"/>
  <c r="V10" i="42"/>
  <c r="U10" i="42"/>
  <c r="S10" i="42"/>
  <c r="R10" i="42"/>
  <c r="Q10" i="42"/>
  <c r="P10" i="42"/>
  <c r="O10" i="42"/>
  <c r="N10" i="42"/>
  <c r="M10" i="42"/>
  <c r="L10" i="42"/>
  <c r="J10" i="42"/>
  <c r="I10" i="42"/>
  <c r="H10" i="42"/>
  <c r="G10" i="42"/>
  <c r="F10" i="42"/>
  <c r="E10" i="42"/>
  <c r="D10" i="42"/>
  <c r="C10" i="42"/>
  <c r="AB9" i="42"/>
  <c r="AA9" i="42"/>
  <c r="Z9" i="42"/>
  <c r="Y9" i="42"/>
  <c r="X9" i="42"/>
  <c r="W9" i="42"/>
  <c r="V9" i="42"/>
  <c r="U9" i="42"/>
  <c r="S9" i="42"/>
  <c r="R9" i="42"/>
  <c r="Q9" i="42"/>
  <c r="P9" i="42"/>
  <c r="O9" i="42"/>
  <c r="N9" i="42"/>
  <c r="M9" i="42"/>
  <c r="L9" i="42"/>
  <c r="J9" i="42"/>
  <c r="I9" i="42"/>
  <c r="H9" i="42"/>
  <c r="G9" i="42"/>
  <c r="F9" i="42"/>
  <c r="E9" i="42"/>
  <c r="D9" i="42"/>
  <c r="C9" i="42"/>
  <c r="AB8" i="42"/>
  <c r="AA8" i="42"/>
  <c r="Z8" i="42"/>
  <c r="Y8" i="42"/>
  <c r="X8" i="42"/>
  <c r="W8" i="42"/>
  <c r="V8" i="42"/>
  <c r="U8" i="42"/>
  <c r="S8" i="42"/>
  <c r="R8" i="42"/>
  <c r="Q8" i="42"/>
  <c r="P8" i="42"/>
  <c r="O8" i="42"/>
  <c r="N8" i="42"/>
  <c r="M8" i="42"/>
  <c r="L8" i="42"/>
  <c r="J8" i="42"/>
  <c r="I8" i="42"/>
  <c r="H8" i="42"/>
  <c r="G8" i="42"/>
  <c r="F8" i="42"/>
  <c r="E8" i="42"/>
  <c r="D8" i="42"/>
  <c r="C8" i="42"/>
  <c r="AB7" i="42"/>
  <c r="AA7" i="42"/>
  <c r="Z7" i="42"/>
  <c r="Y7" i="42"/>
  <c r="X7" i="42"/>
  <c r="W7" i="42"/>
  <c r="V7" i="42"/>
  <c r="U7" i="42"/>
  <c r="S7" i="42"/>
  <c r="R7" i="42"/>
  <c r="Q7" i="42"/>
  <c r="P7" i="42"/>
  <c r="O7" i="42"/>
  <c r="N7" i="42"/>
  <c r="M7" i="42"/>
  <c r="L7" i="42"/>
  <c r="J7" i="42"/>
  <c r="I7" i="42"/>
  <c r="H7" i="42"/>
  <c r="G7" i="42"/>
  <c r="F7" i="42"/>
  <c r="E7" i="42"/>
  <c r="D7" i="42"/>
  <c r="C7" i="42"/>
  <c r="AB6" i="42"/>
  <c r="AA6" i="42"/>
  <c r="Z6" i="42"/>
  <c r="Y6" i="42"/>
  <c r="X6" i="42"/>
  <c r="W6" i="42"/>
  <c r="V6" i="42"/>
  <c r="U6" i="42"/>
  <c r="S6" i="42"/>
  <c r="R6" i="42"/>
  <c r="Q6" i="42"/>
  <c r="P6" i="42"/>
  <c r="O6" i="42"/>
  <c r="N6" i="42"/>
  <c r="M6" i="42"/>
  <c r="L6" i="42"/>
  <c r="J6" i="42"/>
  <c r="I6" i="42"/>
  <c r="H6" i="42"/>
  <c r="G6" i="42"/>
  <c r="F6" i="42"/>
  <c r="E6" i="42"/>
  <c r="D6" i="42"/>
  <c r="C6" i="42"/>
  <c r="AB5" i="42"/>
  <c r="AA5" i="42"/>
  <c r="Z5" i="42"/>
  <c r="Y5" i="42"/>
  <c r="X5" i="42"/>
  <c r="W5" i="42"/>
  <c r="V5" i="42"/>
  <c r="U5" i="42"/>
  <c r="S5" i="42"/>
  <c r="R5" i="42"/>
  <c r="Q5" i="42"/>
  <c r="P5" i="42"/>
  <c r="O5" i="42"/>
  <c r="N5" i="42"/>
  <c r="M5" i="42"/>
  <c r="L5" i="42"/>
  <c r="J5" i="42"/>
  <c r="I5" i="42"/>
  <c r="H5" i="42"/>
  <c r="G5" i="42"/>
  <c r="F5" i="42"/>
  <c r="E5" i="42"/>
  <c r="D5" i="42"/>
  <c r="C5" i="42"/>
  <c r="L1" i="42"/>
  <c r="C38" i="41"/>
  <c r="AB35" i="41"/>
  <c r="AA35" i="41"/>
  <c r="Z35" i="41"/>
  <c r="Y35" i="41"/>
  <c r="X35" i="41"/>
  <c r="W35" i="41"/>
  <c r="V35" i="41"/>
  <c r="U35" i="41"/>
  <c r="S35" i="41"/>
  <c r="R35" i="41"/>
  <c r="Q35" i="41"/>
  <c r="P35" i="41"/>
  <c r="O35" i="41"/>
  <c r="N35" i="41"/>
  <c r="M35" i="41"/>
  <c r="L35" i="41"/>
  <c r="J35" i="41"/>
  <c r="I35" i="41"/>
  <c r="H35" i="41"/>
  <c r="G35" i="41"/>
  <c r="F35" i="41"/>
  <c r="E35" i="41"/>
  <c r="D35" i="41"/>
  <c r="C35" i="41"/>
  <c r="AB34" i="41"/>
  <c r="AA34" i="41"/>
  <c r="Z34" i="41"/>
  <c r="Y34" i="41"/>
  <c r="X34" i="41"/>
  <c r="W34" i="41"/>
  <c r="V34" i="41"/>
  <c r="U34" i="41"/>
  <c r="S34" i="41"/>
  <c r="R34" i="41"/>
  <c r="Q34" i="41"/>
  <c r="P34" i="41"/>
  <c r="O34" i="41"/>
  <c r="N34" i="41"/>
  <c r="M34" i="41"/>
  <c r="L34" i="41"/>
  <c r="J34" i="41"/>
  <c r="I34" i="41"/>
  <c r="H34" i="41"/>
  <c r="G34" i="41"/>
  <c r="F34" i="41"/>
  <c r="E34" i="41"/>
  <c r="D34" i="41"/>
  <c r="C34" i="41"/>
  <c r="AB33" i="41"/>
  <c r="AA33" i="41"/>
  <c r="Z33" i="41"/>
  <c r="Y33" i="41"/>
  <c r="X33" i="41"/>
  <c r="W33" i="41"/>
  <c r="V33" i="41"/>
  <c r="U33" i="41"/>
  <c r="S33" i="41"/>
  <c r="R33" i="41"/>
  <c r="Q33" i="41"/>
  <c r="P33" i="41"/>
  <c r="O33" i="41"/>
  <c r="N33" i="41"/>
  <c r="M33" i="41"/>
  <c r="L33" i="41"/>
  <c r="J33" i="41"/>
  <c r="I33" i="41"/>
  <c r="H33" i="41"/>
  <c r="G33" i="41"/>
  <c r="F33" i="41"/>
  <c r="E33" i="41"/>
  <c r="D33" i="41"/>
  <c r="C33" i="41"/>
  <c r="AB32" i="41"/>
  <c r="AA32" i="41"/>
  <c r="Z32" i="41"/>
  <c r="Y32" i="41"/>
  <c r="X32" i="41"/>
  <c r="W32" i="41"/>
  <c r="V32" i="41"/>
  <c r="U32" i="41"/>
  <c r="S32" i="41"/>
  <c r="R32" i="41"/>
  <c r="Q32" i="41"/>
  <c r="P32" i="41"/>
  <c r="O32" i="41"/>
  <c r="N32" i="41"/>
  <c r="M32" i="41"/>
  <c r="L32" i="41"/>
  <c r="J32" i="41"/>
  <c r="I32" i="41"/>
  <c r="H32" i="41"/>
  <c r="G32" i="41"/>
  <c r="F32" i="41"/>
  <c r="E32" i="41"/>
  <c r="D32" i="41"/>
  <c r="C32" i="41"/>
  <c r="AB31" i="41"/>
  <c r="AA31" i="41"/>
  <c r="Z31" i="41"/>
  <c r="Y31" i="41"/>
  <c r="X31" i="41"/>
  <c r="W31" i="41"/>
  <c r="V31" i="41"/>
  <c r="U31" i="41"/>
  <c r="S31" i="41"/>
  <c r="R31" i="41"/>
  <c r="Q31" i="41"/>
  <c r="P31" i="41"/>
  <c r="O31" i="41"/>
  <c r="N31" i="41"/>
  <c r="M31" i="41"/>
  <c r="L31" i="41"/>
  <c r="J31" i="41"/>
  <c r="I31" i="41"/>
  <c r="H31" i="41"/>
  <c r="G31" i="41"/>
  <c r="F31" i="41"/>
  <c r="E31" i="41"/>
  <c r="D31" i="41"/>
  <c r="C31" i="41"/>
  <c r="AB30" i="41"/>
  <c r="AA30" i="41"/>
  <c r="Z30" i="41"/>
  <c r="Y30" i="41"/>
  <c r="X30" i="41"/>
  <c r="W30" i="41"/>
  <c r="V30" i="41"/>
  <c r="U30" i="41"/>
  <c r="S30" i="41"/>
  <c r="R30" i="41"/>
  <c r="Q30" i="41"/>
  <c r="P30" i="41"/>
  <c r="O30" i="41"/>
  <c r="N30" i="41"/>
  <c r="M30" i="41"/>
  <c r="L30" i="41"/>
  <c r="J30" i="41"/>
  <c r="I30" i="41"/>
  <c r="H30" i="41"/>
  <c r="G30" i="41"/>
  <c r="F30" i="41"/>
  <c r="E30" i="41"/>
  <c r="D30" i="41"/>
  <c r="C30" i="41"/>
  <c r="AB29" i="41"/>
  <c r="AA29" i="41"/>
  <c r="Z29" i="41"/>
  <c r="Y29" i="41"/>
  <c r="X29" i="41"/>
  <c r="W29" i="41"/>
  <c r="V29" i="41"/>
  <c r="U29" i="41"/>
  <c r="S29" i="41"/>
  <c r="R29" i="41"/>
  <c r="Q29" i="41"/>
  <c r="P29" i="41"/>
  <c r="O29" i="41"/>
  <c r="N29" i="41"/>
  <c r="M29" i="41"/>
  <c r="L29" i="41"/>
  <c r="J29" i="41"/>
  <c r="I29" i="41"/>
  <c r="H29" i="41"/>
  <c r="G29" i="41"/>
  <c r="F29" i="41"/>
  <c r="E29" i="41"/>
  <c r="D29" i="41"/>
  <c r="C29" i="41"/>
  <c r="AB28" i="41"/>
  <c r="AA28" i="41"/>
  <c r="Z28" i="41"/>
  <c r="Y28" i="41"/>
  <c r="X28" i="41"/>
  <c r="W28" i="41"/>
  <c r="V28" i="41"/>
  <c r="U28" i="41"/>
  <c r="S28" i="41"/>
  <c r="R28" i="41"/>
  <c r="Q28" i="41"/>
  <c r="P28" i="41"/>
  <c r="O28" i="41"/>
  <c r="N28" i="41"/>
  <c r="M28" i="41"/>
  <c r="L28" i="41"/>
  <c r="J28" i="41"/>
  <c r="I28" i="41"/>
  <c r="H28" i="41"/>
  <c r="G28" i="41"/>
  <c r="F28" i="41"/>
  <c r="E28" i="41"/>
  <c r="D28" i="41"/>
  <c r="C28" i="41"/>
  <c r="AB27" i="41"/>
  <c r="AA27" i="41"/>
  <c r="Z27" i="41"/>
  <c r="Y27" i="41"/>
  <c r="X27" i="41"/>
  <c r="W27" i="41"/>
  <c r="V27" i="41"/>
  <c r="U27" i="41"/>
  <c r="S27" i="41"/>
  <c r="R27" i="41"/>
  <c r="Q27" i="41"/>
  <c r="P27" i="41"/>
  <c r="O27" i="41"/>
  <c r="N27" i="41"/>
  <c r="M27" i="41"/>
  <c r="L27" i="41"/>
  <c r="J27" i="41"/>
  <c r="I27" i="41"/>
  <c r="H27" i="41"/>
  <c r="G27" i="41"/>
  <c r="F27" i="41"/>
  <c r="E27" i="41"/>
  <c r="D27" i="41"/>
  <c r="C27" i="41"/>
  <c r="AB26" i="41"/>
  <c r="AA26" i="41"/>
  <c r="Z26" i="41"/>
  <c r="Y26" i="41"/>
  <c r="X26" i="41"/>
  <c r="W26" i="41"/>
  <c r="V26" i="41"/>
  <c r="U26" i="41"/>
  <c r="S26" i="41"/>
  <c r="R26" i="41"/>
  <c r="Q26" i="41"/>
  <c r="P26" i="41"/>
  <c r="O26" i="41"/>
  <c r="N26" i="41"/>
  <c r="M26" i="41"/>
  <c r="L26" i="41"/>
  <c r="J26" i="41"/>
  <c r="I26" i="41"/>
  <c r="H26" i="41"/>
  <c r="G26" i="41"/>
  <c r="F26" i="41"/>
  <c r="E26" i="41"/>
  <c r="D26" i="41"/>
  <c r="C26" i="41"/>
  <c r="AB25" i="41"/>
  <c r="AA25" i="41"/>
  <c r="Z25" i="41"/>
  <c r="Y25" i="41"/>
  <c r="X25" i="41"/>
  <c r="W25" i="41"/>
  <c r="V25" i="41"/>
  <c r="U25" i="41"/>
  <c r="S25" i="41"/>
  <c r="R25" i="41"/>
  <c r="Q25" i="41"/>
  <c r="P25" i="41"/>
  <c r="O25" i="41"/>
  <c r="N25" i="41"/>
  <c r="M25" i="41"/>
  <c r="L25" i="41"/>
  <c r="J25" i="41"/>
  <c r="I25" i="41"/>
  <c r="H25" i="41"/>
  <c r="G25" i="41"/>
  <c r="F25" i="41"/>
  <c r="E25" i="41"/>
  <c r="D25" i="41"/>
  <c r="C25" i="41"/>
  <c r="AB24" i="41"/>
  <c r="AA24" i="41"/>
  <c r="Z24" i="41"/>
  <c r="Y24" i="41"/>
  <c r="X24" i="41"/>
  <c r="W24" i="41"/>
  <c r="V24" i="41"/>
  <c r="U24" i="41"/>
  <c r="S24" i="41"/>
  <c r="R24" i="41"/>
  <c r="Q24" i="41"/>
  <c r="P24" i="41"/>
  <c r="O24" i="41"/>
  <c r="N24" i="41"/>
  <c r="M24" i="41"/>
  <c r="L24" i="41"/>
  <c r="J24" i="41"/>
  <c r="I24" i="41"/>
  <c r="H24" i="41"/>
  <c r="G24" i="41"/>
  <c r="F24" i="41"/>
  <c r="E24" i="41"/>
  <c r="D24" i="41"/>
  <c r="C24" i="41"/>
  <c r="AB23" i="41"/>
  <c r="AA23" i="41"/>
  <c r="Z23" i="41"/>
  <c r="Y23" i="41"/>
  <c r="X23" i="41"/>
  <c r="W23" i="41"/>
  <c r="V23" i="41"/>
  <c r="U23" i="41"/>
  <c r="S23" i="41"/>
  <c r="R23" i="41"/>
  <c r="Q23" i="41"/>
  <c r="P23" i="41"/>
  <c r="O23" i="41"/>
  <c r="N23" i="41"/>
  <c r="M23" i="41"/>
  <c r="L23" i="41"/>
  <c r="J23" i="41"/>
  <c r="I23" i="41"/>
  <c r="H23" i="41"/>
  <c r="G23" i="41"/>
  <c r="F23" i="41"/>
  <c r="E23" i="41"/>
  <c r="D23" i="41"/>
  <c r="C23" i="41"/>
  <c r="AB22" i="41"/>
  <c r="AA22" i="41"/>
  <c r="Z22" i="41"/>
  <c r="Y22" i="41"/>
  <c r="X22" i="41"/>
  <c r="W22" i="41"/>
  <c r="V22" i="41"/>
  <c r="U22" i="41"/>
  <c r="S22" i="41"/>
  <c r="R22" i="41"/>
  <c r="Q22" i="41"/>
  <c r="P22" i="41"/>
  <c r="O22" i="41"/>
  <c r="N22" i="41"/>
  <c r="M22" i="41"/>
  <c r="L22" i="41"/>
  <c r="J22" i="41"/>
  <c r="I22" i="41"/>
  <c r="H22" i="41"/>
  <c r="G22" i="41"/>
  <c r="F22" i="41"/>
  <c r="E22" i="41"/>
  <c r="D22" i="41"/>
  <c r="C22" i="41"/>
  <c r="AB21" i="41"/>
  <c r="AA21" i="41"/>
  <c r="Z21" i="41"/>
  <c r="Y21" i="41"/>
  <c r="X21" i="41"/>
  <c r="W21" i="41"/>
  <c r="V21" i="41"/>
  <c r="U21" i="41"/>
  <c r="S21" i="41"/>
  <c r="R21" i="41"/>
  <c r="Q21" i="41"/>
  <c r="P21" i="41"/>
  <c r="O21" i="41"/>
  <c r="N21" i="41"/>
  <c r="M21" i="41"/>
  <c r="L21" i="41"/>
  <c r="J21" i="41"/>
  <c r="I21" i="41"/>
  <c r="H21" i="41"/>
  <c r="G21" i="41"/>
  <c r="F21" i="41"/>
  <c r="E21" i="41"/>
  <c r="D21" i="41"/>
  <c r="C21" i="41"/>
  <c r="AB20" i="41"/>
  <c r="AA20" i="41"/>
  <c r="Z20" i="41"/>
  <c r="Y20" i="41"/>
  <c r="X20" i="41"/>
  <c r="W20" i="41"/>
  <c r="V20" i="41"/>
  <c r="U20" i="41"/>
  <c r="S20" i="41"/>
  <c r="R20" i="41"/>
  <c r="Q20" i="41"/>
  <c r="P20" i="41"/>
  <c r="O20" i="41"/>
  <c r="N20" i="41"/>
  <c r="M20" i="41"/>
  <c r="L20" i="41"/>
  <c r="J20" i="41"/>
  <c r="I20" i="41"/>
  <c r="H20" i="41"/>
  <c r="G20" i="41"/>
  <c r="F20" i="41"/>
  <c r="E20" i="41"/>
  <c r="D20" i="41"/>
  <c r="C20" i="41"/>
  <c r="AB19" i="41"/>
  <c r="AA19" i="41"/>
  <c r="Z19" i="41"/>
  <c r="Y19" i="41"/>
  <c r="X19" i="41"/>
  <c r="W19" i="41"/>
  <c r="V19" i="41"/>
  <c r="U19" i="41"/>
  <c r="S19" i="41"/>
  <c r="R19" i="41"/>
  <c r="Q19" i="41"/>
  <c r="P19" i="41"/>
  <c r="O19" i="41"/>
  <c r="N19" i="41"/>
  <c r="M19" i="41"/>
  <c r="L19" i="41"/>
  <c r="J19" i="41"/>
  <c r="I19" i="41"/>
  <c r="H19" i="41"/>
  <c r="G19" i="41"/>
  <c r="F19" i="41"/>
  <c r="E19" i="41"/>
  <c r="D19" i="41"/>
  <c r="C19" i="41"/>
  <c r="AB18" i="41"/>
  <c r="AA18" i="41"/>
  <c r="Z18" i="41"/>
  <c r="Y18" i="41"/>
  <c r="X18" i="41"/>
  <c r="W18" i="41"/>
  <c r="V18" i="41"/>
  <c r="U18" i="41"/>
  <c r="S18" i="41"/>
  <c r="R18" i="41"/>
  <c r="Q18" i="41"/>
  <c r="P18" i="41"/>
  <c r="O18" i="41"/>
  <c r="N18" i="41"/>
  <c r="M18" i="41"/>
  <c r="L18" i="41"/>
  <c r="J18" i="41"/>
  <c r="I18" i="41"/>
  <c r="H18" i="41"/>
  <c r="G18" i="41"/>
  <c r="F18" i="41"/>
  <c r="E18" i="41"/>
  <c r="D18" i="41"/>
  <c r="C18" i="41"/>
  <c r="AB17" i="41"/>
  <c r="AA17" i="41"/>
  <c r="Z17" i="41"/>
  <c r="Y17" i="41"/>
  <c r="X17" i="41"/>
  <c r="W17" i="41"/>
  <c r="V17" i="41"/>
  <c r="U17" i="41"/>
  <c r="S17" i="41"/>
  <c r="R17" i="41"/>
  <c r="Q17" i="41"/>
  <c r="P17" i="41"/>
  <c r="O17" i="41"/>
  <c r="N17" i="41"/>
  <c r="M17" i="41"/>
  <c r="L17" i="41"/>
  <c r="J17" i="41"/>
  <c r="I17" i="41"/>
  <c r="H17" i="41"/>
  <c r="G17" i="41"/>
  <c r="F17" i="41"/>
  <c r="E17" i="41"/>
  <c r="D17" i="41"/>
  <c r="C17" i="41"/>
  <c r="AB16" i="41"/>
  <c r="AA16" i="41"/>
  <c r="Z16" i="41"/>
  <c r="Y16" i="41"/>
  <c r="X16" i="41"/>
  <c r="W16" i="41"/>
  <c r="V16" i="41"/>
  <c r="U16" i="41"/>
  <c r="S16" i="41"/>
  <c r="R16" i="41"/>
  <c r="Q16" i="41"/>
  <c r="P16" i="41"/>
  <c r="O16" i="41"/>
  <c r="N16" i="41"/>
  <c r="M16" i="41"/>
  <c r="L16" i="41"/>
  <c r="J16" i="41"/>
  <c r="I16" i="41"/>
  <c r="H16" i="41"/>
  <c r="G16" i="41"/>
  <c r="F16" i="41"/>
  <c r="E16" i="41"/>
  <c r="D16" i="41"/>
  <c r="C16" i="41"/>
  <c r="AB15" i="41"/>
  <c r="AA15" i="41"/>
  <c r="Z15" i="41"/>
  <c r="Y15" i="41"/>
  <c r="X15" i="41"/>
  <c r="W15" i="41"/>
  <c r="V15" i="41"/>
  <c r="U15" i="41"/>
  <c r="S15" i="41"/>
  <c r="R15" i="41"/>
  <c r="Q15" i="41"/>
  <c r="P15" i="41"/>
  <c r="O15" i="41"/>
  <c r="N15" i="41"/>
  <c r="M15" i="41"/>
  <c r="L15" i="41"/>
  <c r="J15" i="41"/>
  <c r="I15" i="41"/>
  <c r="H15" i="41"/>
  <c r="G15" i="41"/>
  <c r="F15" i="41"/>
  <c r="E15" i="41"/>
  <c r="D15" i="41"/>
  <c r="C15" i="41"/>
  <c r="AB14" i="41"/>
  <c r="AA14" i="41"/>
  <c r="Z14" i="41"/>
  <c r="Y14" i="41"/>
  <c r="X14" i="41"/>
  <c r="W14" i="41"/>
  <c r="V14" i="41"/>
  <c r="U14" i="41"/>
  <c r="S14" i="41"/>
  <c r="R14" i="41"/>
  <c r="Q14" i="41"/>
  <c r="P14" i="41"/>
  <c r="O14" i="41"/>
  <c r="N14" i="41"/>
  <c r="M14" i="41"/>
  <c r="L14" i="41"/>
  <c r="J14" i="41"/>
  <c r="I14" i="41"/>
  <c r="H14" i="41"/>
  <c r="G14" i="41"/>
  <c r="F14" i="41"/>
  <c r="E14" i="41"/>
  <c r="D14" i="41"/>
  <c r="C14" i="41"/>
  <c r="AB13" i="41"/>
  <c r="AA13" i="41"/>
  <c r="Z13" i="41"/>
  <c r="Y13" i="41"/>
  <c r="X13" i="41"/>
  <c r="W13" i="41"/>
  <c r="V13" i="41"/>
  <c r="U13" i="41"/>
  <c r="S13" i="41"/>
  <c r="R13" i="41"/>
  <c r="Q13" i="41"/>
  <c r="P13" i="41"/>
  <c r="O13" i="41"/>
  <c r="N13" i="41"/>
  <c r="M13" i="41"/>
  <c r="L13" i="41"/>
  <c r="J13" i="41"/>
  <c r="I13" i="41"/>
  <c r="H13" i="41"/>
  <c r="G13" i="41"/>
  <c r="F13" i="41"/>
  <c r="E13" i="41"/>
  <c r="D13" i="41"/>
  <c r="C13" i="41"/>
  <c r="AB12" i="41"/>
  <c r="AA12" i="41"/>
  <c r="Z12" i="41"/>
  <c r="Y12" i="41"/>
  <c r="X12" i="41"/>
  <c r="W12" i="41"/>
  <c r="V12" i="41"/>
  <c r="U12" i="41"/>
  <c r="S12" i="41"/>
  <c r="R12" i="41"/>
  <c r="Q12" i="41"/>
  <c r="P12" i="41"/>
  <c r="O12" i="41"/>
  <c r="N12" i="41"/>
  <c r="M12" i="41"/>
  <c r="L12" i="41"/>
  <c r="J12" i="41"/>
  <c r="I12" i="41"/>
  <c r="H12" i="41"/>
  <c r="G12" i="41"/>
  <c r="F12" i="41"/>
  <c r="E12" i="41"/>
  <c r="D12" i="41"/>
  <c r="C12" i="41"/>
  <c r="AB11" i="41"/>
  <c r="AA11" i="41"/>
  <c r="Z11" i="41"/>
  <c r="Y11" i="41"/>
  <c r="X11" i="41"/>
  <c r="W11" i="41"/>
  <c r="V11" i="41"/>
  <c r="U11" i="41"/>
  <c r="S11" i="41"/>
  <c r="R11" i="41"/>
  <c r="Q11" i="41"/>
  <c r="P11" i="41"/>
  <c r="O11" i="41"/>
  <c r="N11" i="41"/>
  <c r="M11" i="41"/>
  <c r="L11" i="41"/>
  <c r="J11" i="41"/>
  <c r="I11" i="41"/>
  <c r="H11" i="41"/>
  <c r="G11" i="41"/>
  <c r="F11" i="41"/>
  <c r="E11" i="41"/>
  <c r="D11" i="41"/>
  <c r="C11" i="41"/>
  <c r="AB10" i="41"/>
  <c r="AA10" i="41"/>
  <c r="Z10" i="41"/>
  <c r="Y10" i="41"/>
  <c r="X10" i="41"/>
  <c r="W10" i="41"/>
  <c r="V10" i="41"/>
  <c r="U10" i="41"/>
  <c r="S10" i="41"/>
  <c r="R10" i="41"/>
  <c r="Q10" i="41"/>
  <c r="P10" i="41"/>
  <c r="O10" i="41"/>
  <c r="N10" i="41"/>
  <c r="M10" i="41"/>
  <c r="L10" i="41"/>
  <c r="J10" i="41"/>
  <c r="I10" i="41"/>
  <c r="H10" i="41"/>
  <c r="G10" i="41"/>
  <c r="F10" i="41"/>
  <c r="E10" i="41"/>
  <c r="D10" i="41"/>
  <c r="C10" i="41"/>
  <c r="AB9" i="41"/>
  <c r="AA9" i="41"/>
  <c r="Z9" i="41"/>
  <c r="Y9" i="41"/>
  <c r="X9" i="41"/>
  <c r="W9" i="41"/>
  <c r="V9" i="41"/>
  <c r="U9" i="41"/>
  <c r="S9" i="41"/>
  <c r="R9" i="41"/>
  <c r="Q9" i="41"/>
  <c r="P9" i="41"/>
  <c r="O9" i="41"/>
  <c r="N9" i="41"/>
  <c r="M9" i="41"/>
  <c r="L9" i="41"/>
  <c r="J9" i="41"/>
  <c r="I9" i="41"/>
  <c r="H9" i="41"/>
  <c r="G9" i="41"/>
  <c r="F9" i="41"/>
  <c r="E9" i="41"/>
  <c r="D9" i="41"/>
  <c r="C9" i="41"/>
  <c r="AB8" i="41"/>
  <c r="AA8" i="41"/>
  <c r="Z8" i="41"/>
  <c r="Y8" i="41"/>
  <c r="X8" i="41"/>
  <c r="W8" i="41"/>
  <c r="V8" i="41"/>
  <c r="U8" i="41"/>
  <c r="S8" i="41"/>
  <c r="R8" i="41"/>
  <c r="Q8" i="41"/>
  <c r="P8" i="41"/>
  <c r="O8" i="41"/>
  <c r="N8" i="41"/>
  <c r="M8" i="41"/>
  <c r="L8" i="41"/>
  <c r="J8" i="41"/>
  <c r="I8" i="41"/>
  <c r="H8" i="41"/>
  <c r="G8" i="41"/>
  <c r="F8" i="41"/>
  <c r="E8" i="41"/>
  <c r="D8" i="41"/>
  <c r="C8" i="41"/>
  <c r="AB7" i="41"/>
  <c r="AA7" i="41"/>
  <c r="Z7" i="41"/>
  <c r="Y7" i="41"/>
  <c r="X7" i="41"/>
  <c r="W7" i="41"/>
  <c r="V7" i="41"/>
  <c r="U7" i="41"/>
  <c r="S7" i="41"/>
  <c r="R7" i="41"/>
  <c r="Q7" i="41"/>
  <c r="P7" i="41"/>
  <c r="O7" i="41"/>
  <c r="N7" i="41"/>
  <c r="M7" i="41"/>
  <c r="L7" i="41"/>
  <c r="J7" i="41"/>
  <c r="I7" i="41"/>
  <c r="H7" i="41"/>
  <c r="G7" i="41"/>
  <c r="F7" i="41"/>
  <c r="E7" i="41"/>
  <c r="D7" i="41"/>
  <c r="C7" i="41"/>
  <c r="AB6" i="41"/>
  <c r="AA6" i="41"/>
  <c r="Z6" i="41"/>
  <c r="Y6" i="41"/>
  <c r="X6" i="41"/>
  <c r="W6" i="41"/>
  <c r="V6" i="41"/>
  <c r="U6" i="41"/>
  <c r="S6" i="41"/>
  <c r="R6" i="41"/>
  <c r="Q6" i="41"/>
  <c r="P6" i="41"/>
  <c r="O6" i="41"/>
  <c r="N6" i="41"/>
  <c r="M6" i="41"/>
  <c r="L6" i="41"/>
  <c r="J6" i="41"/>
  <c r="I6" i="41"/>
  <c r="H6" i="41"/>
  <c r="G6" i="41"/>
  <c r="F6" i="41"/>
  <c r="E6" i="41"/>
  <c r="D6" i="41"/>
  <c r="C6" i="41"/>
  <c r="AB5" i="41"/>
  <c r="AA5" i="41"/>
  <c r="Z5" i="41"/>
  <c r="Y5" i="41"/>
  <c r="X5" i="41"/>
  <c r="W5" i="41"/>
  <c r="V5" i="41"/>
  <c r="U5" i="41"/>
  <c r="S5" i="41"/>
  <c r="R5" i="41"/>
  <c r="Q5" i="41"/>
  <c r="P5" i="41"/>
  <c r="O5" i="41"/>
  <c r="N5" i="41"/>
  <c r="M5" i="41"/>
  <c r="L5" i="41"/>
  <c r="J5" i="41"/>
  <c r="I5" i="41"/>
  <c r="H5" i="41"/>
  <c r="G5" i="41"/>
  <c r="F5" i="41"/>
  <c r="E5" i="41"/>
  <c r="D5" i="41"/>
  <c r="C5" i="41"/>
  <c r="L1" i="41"/>
  <c r="C38" i="40"/>
  <c r="AB35" i="40"/>
  <c r="AA35" i="40"/>
  <c r="Z35" i="40"/>
  <c r="Y35" i="40"/>
  <c r="X35" i="40"/>
  <c r="W35" i="40"/>
  <c r="V35" i="40"/>
  <c r="U35" i="40"/>
  <c r="S35" i="40"/>
  <c r="R35" i="40"/>
  <c r="Q35" i="40"/>
  <c r="P35" i="40"/>
  <c r="O35" i="40"/>
  <c r="N35" i="40"/>
  <c r="M35" i="40"/>
  <c r="L35" i="40"/>
  <c r="J35" i="40"/>
  <c r="I35" i="40"/>
  <c r="H35" i="40"/>
  <c r="G35" i="40"/>
  <c r="F35" i="40"/>
  <c r="E35" i="40"/>
  <c r="D35" i="40"/>
  <c r="C35" i="40"/>
  <c r="AB34" i="40"/>
  <c r="AA34" i="40"/>
  <c r="Z34" i="40"/>
  <c r="Y34" i="40"/>
  <c r="X34" i="40"/>
  <c r="W34" i="40"/>
  <c r="V34" i="40"/>
  <c r="U34" i="40"/>
  <c r="S34" i="40"/>
  <c r="R34" i="40"/>
  <c r="Q34" i="40"/>
  <c r="P34" i="40"/>
  <c r="O34" i="40"/>
  <c r="N34" i="40"/>
  <c r="M34" i="40"/>
  <c r="L34" i="40"/>
  <c r="J34" i="40"/>
  <c r="I34" i="40"/>
  <c r="H34" i="40"/>
  <c r="G34" i="40"/>
  <c r="F34" i="40"/>
  <c r="E34" i="40"/>
  <c r="D34" i="40"/>
  <c r="C34" i="40"/>
  <c r="AB33" i="40"/>
  <c r="AA33" i="40"/>
  <c r="Z33" i="40"/>
  <c r="Y33" i="40"/>
  <c r="X33" i="40"/>
  <c r="W33" i="40"/>
  <c r="V33" i="40"/>
  <c r="U33" i="40"/>
  <c r="S33" i="40"/>
  <c r="R33" i="40"/>
  <c r="Q33" i="40"/>
  <c r="P33" i="40"/>
  <c r="O33" i="40"/>
  <c r="N33" i="40"/>
  <c r="M33" i="40"/>
  <c r="L33" i="40"/>
  <c r="J33" i="40"/>
  <c r="I33" i="40"/>
  <c r="H33" i="40"/>
  <c r="G33" i="40"/>
  <c r="F33" i="40"/>
  <c r="E33" i="40"/>
  <c r="D33" i="40"/>
  <c r="C33" i="40"/>
  <c r="AB32" i="40"/>
  <c r="AA32" i="40"/>
  <c r="Z32" i="40"/>
  <c r="Y32" i="40"/>
  <c r="X32" i="40"/>
  <c r="W32" i="40"/>
  <c r="V32" i="40"/>
  <c r="U32" i="40"/>
  <c r="S32" i="40"/>
  <c r="R32" i="40"/>
  <c r="Q32" i="40"/>
  <c r="P32" i="40"/>
  <c r="O32" i="40"/>
  <c r="N32" i="40"/>
  <c r="M32" i="40"/>
  <c r="L32" i="40"/>
  <c r="J32" i="40"/>
  <c r="I32" i="40"/>
  <c r="H32" i="40"/>
  <c r="G32" i="40"/>
  <c r="F32" i="40"/>
  <c r="E32" i="40"/>
  <c r="D32" i="40"/>
  <c r="C32" i="40"/>
  <c r="AB31" i="40"/>
  <c r="AA31" i="40"/>
  <c r="Z31" i="40"/>
  <c r="Y31" i="40"/>
  <c r="X31" i="40"/>
  <c r="W31" i="40"/>
  <c r="V31" i="40"/>
  <c r="U31" i="40"/>
  <c r="S31" i="40"/>
  <c r="R31" i="40"/>
  <c r="Q31" i="40"/>
  <c r="P31" i="40"/>
  <c r="O31" i="40"/>
  <c r="N31" i="40"/>
  <c r="M31" i="40"/>
  <c r="L31" i="40"/>
  <c r="J31" i="40"/>
  <c r="I31" i="40"/>
  <c r="H31" i="40"/>
  <c r="G31" i="40"/>
  <c r="F31" i="40"/>
  <c r="E31" i="40"/>
  <c r="D31" i="40"/>
  <c r="C31" i="40"/>
  <c r="AB30" i="40"/>
  <c r="AA30" i="40"/>
  <c r="Z30" i="40"/>
  <c r="Y30" i="40"/>
  <c r="X30" i="40"/>
  <c r="W30" i="40"/>
  <c r="V30" i="40"/>
  <c r="U30" i="40"/>
  <c r="S30" i="40"/>
  <c r="R30" i="40"/>
  <c r="Q30" i="40"/>
  <c r="P30" i="40"/>
  <c r="O30" i="40"/>
  <c r="N30" i="40"/>
  <c r="M30" i="40"/>
  <c r="L30" i="40"/>
  <c r="J30" i="40"/>
  <c r="I30" i="40"/>
  <c r="H30" i="40"/>
  <c r="G30" i="40"/>
  <c r="F30" i="40"/>
  <c r="E30" i="40"/>
  <c r="D30" i="40"/>
  <c r="C30" i="40"/>
  <c r="AB29" i="40"/>
  <c r="AA29" i="40"/>
  <c r="Z29" i="40"/>
  <c r="Y29" i="40"/>
  <c r="X29" i="40"/>
  <c r="W29" i="40"/>
  <c r="V29" i="40"/>
  <c r="U29" i="40"/>
  <c r="S29" i="40"/>
  <c r="R29" i="40"/>
  <c r="Q29" i="40"/>
  <c r="P29" i="40"/>
  <c r="O29" i="40"/>
  <c r="N29" i="40"/>
  <c r="M29" i="40"/>
  <c r="L29" i="40"/>
  <c r="J29" i="40"/>
  <c r="I29" i="40"/>
  <c r="H29" i="40"/>
  <c r="G29" i="40"/>
  <c r="F29" i="40"/>
  <c r="E29" i="40"/>
  <c r="D29" i="40"/>
  <c r="C29" i="40"/>
  <c r="AB28" i="40"/>
  <c r="AA28" i="40"/>
  <c r="Z28" i="40"/>
  <c r="Y28" i="40"/>
  <c r="X28" i="40"/>
  <c r="W28" i="40"/>
  <c r="V28" i="40"/>
  <c r="U28" i="40"/>
  <c r="S28" i="40"/>
  <c r="R28" i="40"/>
  <c r="Q28" i="40"/>
  <c r="P28" i="40"/>
  <c r="O28" i="40"/>
  <c r="N28" i="40"/>
  <c r="M28" i="40"/>
  <c r="L28" i="40"/>
  <c r="J28" i="40"/>
  <c r="I28" i="40"/>
  <c r="H28" i="40"/>
  <c r="G28" i="40"/>
  <c r="F28" i="40"/>
  <c r="E28" i="40"/>
  <c r="D28" i="40"/>
  <c r="C28" i="40"/>
  <c r="AB27" i="40"/>
  <c r="AA27" i="40"/>
  <c r="Z27" i="40"/>
  <c r="Y27" i="40"/>
  <c r="X27" i="40"/>
  <c r="W27" i="40"/>
  <c r="V27" i="40"/>
  <c r="U27" i="40"/>
  <c r="S27" i="40"/>
  <c r="R27" i="40"/>
  <c r="Q27" i="40"/>
  <c r="P27" i="40"/>
  <c r="O27" i="40"/>
  <c r="N27" i="40"/>
  <c r="M27" i="40"/>
  <c r="L27" i="40"/>
  <c r="J27" i="40"/>
  <c r="I27" i="40"/>
  <c r="H27" i="40"/>
  <c r="G27" i="40"/>
  <c r="F27" i="40"/>
  <c r="E27" i="40"/>
  <c r="D27" i="40"/>
  <c r="C27" i="40"/>
  <c r="AB26" i="40"/>
  <c r="AA26" i="40"/>
  <c r="Z26" i="40"/>
  <c r="Y26" i="40"/>
  <c r="X26" i="40"/>
  <c r="W26" i="40"/>
  <c r="V26" i="40"/>
  <c r="U26" i="40"/>
  <c r="S26" i="40"/>
  <c r="R26" i="40"/>
  <c r="Q26" i="40"/>
  <c r="P26" i="40"/>
  <c r="O26" i="40"/>
  <c r="N26" i="40"/>
  <c r="M26" i="40"/>
  <c r="L26" i="40"/>
  <c r="J26" i="40"/>
  <c r="I26" i="40"/>
  <c r="H26" i="40"/>
  <c r="G26" i="40"/>
  <c r="F26" i="40"/>
  <c r="E26" i="40"/>
  <c r="D26" i="40"/>
  <c r="C26" i="40"/>
  <c r="AB25" i="40"/>
  <c r="AA25" i="40"/>
  <c r="Z25" i="40"/>
  <c r="Y25" i="40"/>
  <c r="X25" i="40"/>
  <c r="W25" i="40"/>
  <c r="V25" i="40"/>
  <c r="U25" i="40"/>
  <c r="S25" i="40"/>
  <c r="R25" i="40"/>
  <c r="Q25" i="40"/>
  <c r="P25" i="40"/>
  <c r="O25" i="40"/>
  <c r="N25" i="40"/>
  <c r="M25" i="40"/>
  <c r="L25" i="40"/>
  <c r="J25" i="40"/>
  <c r="I25" i="40"/>
  <c r="H25" i="40"/>
  <c r="G25" i="40"/>
  <c r="F25" i="40"/>
  <c r="E25" i="40"/>
  <c r="D25" i="40"/>
  <c r="C25" i="40"/>
  <c r="AB24" i="40"/>
  <c r="AA24" i="40"/>
  <c r="Z24" i="40"/>
  <c r="Y24" i="40"/>
  <c r="X24" i="40"/>
  <c r="W24" i="40"/>
  <c r="V24" i="40"/>
  <c r="U24" i="40"/>
  <c r="S24" i="40"/>
  <c r="R24" i="40"/>
  <c r="Q24" i="40"/>
  <c r="P24" i="40"/>
  <c r="O24" i="40"/>
  <c r="N24" i="40"/>
  <c r="M24" i="40"/>
  <c r="L24" i="40"/>
  <c r="J24" i="40"/>
  <c r="I24" i="40"/>
  <c r="H24" i="40"/>
  <c r="G24" i="40"/>
  <c r="F24" i="40"/>
  <c r="E24" i="40"/>
  <c r="D24" i="40"/>
  <c r="C24" i="40"/>
  <c r="AB23" i="40"/>
  <c r="AA23" i="40"/>
  <c r="Z23" i="40"/>
  <c r="Y23" i="40"/>
  <c r="X23" i="40"/>
  <c r="W23" i="40"/>
  <c r="V23" i="40"/>
  <c r="U23" i="40"/>
  <c r="S23" i="40"/>
  <c r="R23" i="40"/>
  <c r="Q23" i="40"/>
  <c r="P23" i="40"/>
  <c r="O23" i="40"/>
  <c r="N23" i="40"/>
  <c r="M23" i="40"/>
  <c r="L23" i="40"/>
  <c r="J23" i="40"/>
  <c r="I23" i="40"/>
  <c r="H23" i="40"/>
  <c r="G23" i="40"/>
  <c r="F23" i="40"/>
  <c r="E23" i="40"/>
  <c r="D23" i="40"/>
  <c r="C23" i="40"/>
  <c r="AB22" i="40"/>
  <c r="AA22" i="40"/>
  <c r="Z22" i="40"/>
  <c r="Y22" i="40"/>
  <c r="X22" i="40"/>
  <c r="W22" i="40"/>
  <c r="V22" i="40"/>
  <c r="U22" i="40"/>
  <c r="S22" i="40"/>
  <c r="R22" i="40"/>
  <c r="Q22" i="40"/>
  <c r="P22" i="40"/>
  <c r="O22" i="40"/>
  <c r="N22" i="40"/>
  <c r="M22" i="40"/>
  <c r="L22" i="40"/>
  <c r="J22" i="40"/>
  <c r="I22" i="40"/>
  <c r="H22" i="40"/>
  <c r="G22" i="40"/>
  <c r="F22" i="40"/>
  <c r="E22" i="40"/>
  <c r="D22" i="40"/>
  <c r="C22" i="40"/>
  <c r="AB21" i="40"/>
  <c r="AA21" i="40"/>
  <c r="Z21" i="40"/>
  <c r="Y21" i="40"/>
  <c r="X21" i="40"/>
  <c r="W21" i="40"/>
  <c r="V21" i="40"/>
  <c r="U21" i="40"/>
  <c r="S21" i="40"/>
  <c r="R21" i="40"/>
  <c r="Q21" i="40"/>
  <c r="P21" i="40"/>
  <c r="O21" i="40"/>
  <c r="N21" i="40"/>
  <c r="M21" i="40"/>
  <c r="L21" i="40"/>
  <c r="J21" i="40"/>
  <c r="I21" i="40"/>
  <c r="H21" i="40"/>
  <c r="G21" i="40"/>
  <c r="F21" i="40"/>
  <c r="E21" i="40"/>
  <c r="D21" i="40"/>
  <c r="C21" i="40"/>
  <c r="AB20" i="40"/>
  <c r="AA20" i="40"/>
  <c r="Z20" i="40"/>
  <c r="Y20" i="40"/>
  <c r="X20" i="40"/>
  <c r="W20" i="40"/>
  <c r="V20" i="40"/>
  <c r="U20" i="40"/>
  <c r="S20" i="40"/>
  <c r="R20" i="40"/>
  <c r="Q20" i="40"/>
  <c r="P20" i="40"/>
  <c r="O20" i="40"/>
  <c r="N20" i="40"/>
  <c r="M20" i="40"/>
  <c r="L20" i="40"/>
  <c r="J20" i="40"/>
  <c r="I20" i="40"/>
  <c r="H20" i="40"/>
  <c r="G20" i="40"/>
  <c r="F20" i="40"/>
  <c r="E20" i="40"/>
  <c r="D20" i="40"/>
  <c r="C20" i="40"/>
  <c r="AB19" i="40"/>
  <c r="AA19" i="40"/>
  <c r="Z19" i="40"/>
  <c r="Y19" i="40"/>
  <c r="X19" i="40"/>
  <c r="W19" i="40"/>
  <c r="V19" i="40"/>
  <c r="U19" i="40"/>
  <c r="S19" i="40"/>
  <c r="R19" i="40"/>
  <c r="Q19" i="40"/>
  <c r="P19" i="40"/>
  <c r="O19" i="40"/>
  <c r="N19" i="40"/>
  <c r="M19" i="40"/>
  <c r="L19" i="40"/>
  <c r="J19" i="40"/>
  <c r="I19" i="40"/>
  <c r="H19" i="40"/>
  <c r="G19" i="40"/>
  <c r="F19" i="40"/>
  <c r="E19" i="40"/>
  <c r="D19" i="40"/>
  <c r="C19" i="40"/>
  <c r="AB18" i="40"/>
  <c r="AA18" i="40"/>
  <c r="Z18" i="40"/>
  <c r="Y18" i="40"/>
  <c r="X18" i="40"/>
  <c r="W18" i="40"/>
  <c r="V18" i="40"/>
  <c r="U18" i="40"/>
  <c r="S18" i="40"/>
  <c r="R18" i="40"/>
  <c r="Q18" i="40"/>
  <c r="P18" i="40"/>
  <c r="O18" i="40"/>
  <c r="N18" i="40"/>
  <c r="M18" i="40"/>
  <c r="L18" i="40"/>
  <c r="J18" i="40"/>
  <c r="I18" i="40"/>
  <c r="H18" i="40"/>
  <c r="G18" i="40"/>
  <c r="F18" i="40"/>
  <c r="E18" i="40"/>
  <c r="D18" i="40"/>
  <c r="C18" i="40"/>
  <c r="AB17" i="40"/>
  <c r="AA17" i="40"/>
  <c r="Z17" i="40"/>
  <c r="Y17" i="40"/>
  <c r="X17" i="40"/>
  <c r="W17" i="40"/>
  <c r="V17" i="40"/>
  <c r="U17" i="40"/>
  <c r="S17" i="40"/>
  <c r="R17" i="40"/>
  <c r="Q17" i="40"/>
  <c r="P17" i="40"/>
  <c r="O17" i="40"/>
  <c r="N17" i="40"/>
  <c r="M17" i="40"/>
  <c r="L17" i="40"/>
  <c r="J17" i="40"/>
  <c r="I17" i="40"/>
  <c r="H17" i="40"/>
  <c r="G17" i="40"/>
  <c r="F17" i="40"/>
  <c r="E17" i="40"/>
  <c r="D17" i="40"/>
  <c r="C17" i="40"/>
  <c r="AB16" i="40"/>
  <c r="AA16" i="40"/>
  <c r="Z16" i="40"/>
  <c r="Y16" i="40"/>
  <c r="X16" i="40"/>
  <c r="W16" i="40"/>
  <c r="V16" i="40"/>
  <c r="U16" i="40"/>
  <c r="S16" i="40"/>
  <c r="R16" i="40"/>
  <c r="Q16" i="40"/>
  <c r="P16" i="40"/>
  <c r="O16" i="40"/>
  <c r="N16" i="40"/>
  <c r="M16" i="40"/>
  <c r="L16" i="40"/>
  <c r="J16" i="40"/>
  <c r="I16" i="40"/>
  <c r="H16" i="40"/>
  <c r="G16" i="40"/>
  <c r="F16" i="40"/>
  <c r="E16" i="40"/>
  <c r="D16" i="40"/>
  <c r="C16" i="40"/>
  <c r="AB15" i="40"/>
  <c r="AA15" i="40"/>
  <c r="Z15" i="40"/>
  <c r="Y15" i="40"/>
  <c r="X15" i="40"/>
  <c r="W15" i="40"/>
  <c r="V15" i="40"/>
  <c r="U15" i="40"/>
  <c r="S15" i="40"/>
  <c r="R15" i="40"/>
  <c r="Q15" i="40"/>
  <c r="P15" i="40"/>
  <c r="O15" i="40"/>
  <c r="N15" i="40"/>
  <c r="M15" i="40"/>
  <c r="L15" i="40"/>
  <c r="J15" i="40"/>
  <c r="I15" i="40"/>
  <c r="H15" i="40"/>
  <c r="G15" i="40"/>
  <c r="F15" i="40"/>
  <c r="E15" i="40"/>
  <c r="D15" i="40"/>
  <c r="C15" i="40"/>
  <c r="AB14" i="40"/>
  <c r="AA14" i="40"/>
  <c r="Z14" i="40"/>
  <c r="Y14" i="40"/>
  <c r="X14" i="40"/>
  <c r="W14" i="40"/>
  <c r="V14" i="40"/>
  <c r="U14" i="40"/>
  <c r="S14" i="40"/>
  <c r="R14" i="40"/>
  <c r="Q14" i="40"/>
  <c r="P14" i="40"/>
  <c r="O14" i="40"/>
  <c r="N14" i="40"/>
  <c r="M14" i="40"/>
  <c r="L14" i="40"/>
  <c r="J14" i="40"/>
  <c r="I14" i="40"/>
  <c r="H14" i="40"/>
  <c r="G14" i="40"/>
  <c r="F14" i="40"/>
  <c r="E14" i="40"/>
  <c r="D14" i="40"/>
  <c r="C14" i="40"/>
  <c r="AB13" i="40"/>
  <c r="AA13" i="40"/>
  <c r="Z13" i="40"/>
  <c r="Y13" i="40"/>
  <c r="X13" i="40"/>
  <c r="W13" i="40"/>
  <c r="V13" i="40"/>
  <c r="U13" i="40"/>
  <c r="S13" i="40"/>
  <c r="R13" i="40"/>
  <c r="Q13" i="40"/>
  <c r="P13" i="40"/>
  <c r="O13" i="40"/>
  <c r="N13" i="40"/>
  <c r="M13" i="40"/>
  <c r="L13" i="40"/>
  <c r="J13" i="40"/>
  <c r="I13" i="40"/>
  <c r="H13" i="40"/>
  <c r="G13" i="40"/>
  <c r="F13" i="40"/>
  <c r="E13" i="40"/>
  <c r="D13" i="40"/>
  <c r="C13" i="40"/>
  <c r="AB12" i="40"/>
  <c r="AA12" i="40"/>
  <c r="Z12" i="40"/>
  <c r="Y12" i="40"/>
  <c r="X12" i="40"/>
  <c r="W12" i="40"/>
  <c r="V12" i="40"/>
  <c r="U12" i="40"/>
  <c r="S12" i="40"/>
  <c r="R12" i="40"/>
  <c r="Q12" i="40"/>
  <c r="P12" i="40"/>
  <c r="O12" i="40"/>
  <c r="N12" i="40"/>
  <c r="M12" i="40"/>
  <c r="L12" i="40"/>
  <c r="J12" i="40"/>
  <c r="I12" i="40"/>
  <c r="H12" i="40"/>
  <c r="G12" i="40"/>
  <c r="F12" i="40"/>
  <c r="E12" i="40"/>
  <c r="D12" i="40"/>
  <c r="C12" i="40"/>
  <c r="AB11" i="40"/>
  <c r="AA11" i="40"/>
  <c r="Z11" i="40"/>
  <c r="Y11" i="40"/>
  <c r="X11" i="40"/>
  <c r="W11" i="40"/>
  <c r="V11" i="40"/>
  <c r="U11" i="40"/>
  <c r="S11" i="40"/>
  <c r="R11" i="40"/>
  <c r="Q11" i="40"/>
  <c r="P11" i="40"/>
  <c r="O11" i="40"/>
  <c r="N11" i="40"/>
  <c r="M11" i="40"/>
  <c r="L11" i="40"/>
  <c r="J11" i="40"/>
  <c r="I11" i="40"/>
  <c r="H11" i="40"/>
  <c r="G11" i="40"/>
  <c r="F11" i="40"/>
  <c r="E11" i="40"/>
  <c r="D11" i="40"/>
  <c r="C11" i="40"/>
  <c r="AB10" i="40"/>
  <c r="AA10" i="40"/>
  <c r="Z10" i="40"/>
  <c r="Y10" i="40"/>
  <c r="X10" i="40"/>
  <c r="W10" i="40"/>
  <c r="V10" i="40"/>
  <c r="U10" i="40"/>
  <c r="S10" i="40"/>
  <c r="R10" i="40"/>
  <c r="Q10" i="40"/>
  <c r="P10" i="40"/>
  <c r="O10" i="40"/>
  <c r="N10" i="40"/>
  <c r="M10" i="40"/>
  <c r="L10" i="40"/>
  <c r="J10" i="40"/>
  <c r="I10" i="40"/>
  <c r="H10" i="40"/>
  <c r="G10" i="40"/>
  <c r="F10" i="40"/>
  <c r="E10" i="40"/>
  <c r="D10" i="40"/>
  <c r="C10" i="40"/>
  <c r="AB9" i="40"/>
  <c r="AA9" i="40"/>
  <c r="Z9" i="40"/>
  <c r="Y9" i="40"/>
  <c r="X9" i="40"/>
  <c r="W9" i="40"/>
  <c r="V9" i="40"/>
  <c r="U9" i="40"/>
  <c r="S9" i="40"/>
  <c r="R9" i="40"/>
  <c r="Q9" i="40"/>
  <c r="P9" i="40"/>
  <c r="O9" i="40"/>
  <c r="N9" i="40"/>
  <c r="M9" i="40"/>
  <c r="L9" i="40"/>
  <c r="J9" i="40"/>
  <c r="I9" i="40"/>
  <c r="H9" i="40"/>
  <c r="G9" i="40"/>
  <c r="F9" i="40"/>
  <c r="E9" i="40"/>
  <c r="D9" i="40"/>
  <c r="C9" i="40"/>
  <c r="AB8" i="40"/>
  <c r="AA8" i="40"/>
  <c r="Z8" i="40"/>
  <c r="Y8" i="40"/>
  <c r="X8" i="40"/>
  <c r="W8" i="40"/>
  <c r="V8" i="40"/>
  <c r="U8" i="40"/>
  <c r="S8" i="40"/>
  <c r="R8" i="40"/>
  <c r="Q8" i="40"/>
  <c r="P8" i="40"/>
  <c r="O8" i="40"/>
  <c r="N8" i="40"/>
  <c r="M8" i="40"/>
  <c r="L8" i="40"/>
  <c r="J8" i="40"/>
  <c r="I8" i="40"/>
  <c r="H8" i="40"/>
  <c r="G8" i="40"/>
  <c r="F8" i="40"/>
  <c r="E8" i="40"/>
  <c r="D8" i="40"/>
  <c r="C8" i="40"/>
  <c r="AB7" i="40"/>
  <c r="AA7" i="40"/>
  <c r="Z7" i="40"/>
  <c r="Y7" i="40"/>
  <c r="X7" i="40"/>
  <c r="W7" i="40"/>
  <c r="V7" i="40"/>
  <c r="U7" i="40"/>
  <c r="S7" i="40"/>
  <c r="R7" i="40"/>
  <c r="Q7" i="40"/>
  <c r="P7" i="40"/>
  <c r="O7" i="40"/>
  <c r="N7" i="40"/>
  <c r="M7" i="40"/>
  <c r="L7" i="40"/>
  <c r="J7" i="40"/>
  <c r="I7" i="40"/>
  <c r="H7" i="40"/>
  <c r="G7" i="40"/>
  <c r="F7" i="40"/>
  <c r="E7" i="40"/>
  <c r="D7" i="40"/>
  <c r="C7" i="40"/>
  <c r="AB6" i="40"/>
  <c r="AA6" i="40"/>
  <c r="Z6" i="40"/>
  <c r="Y6" i="40"/>
  <c r="X6" i="40"/>
  <c r="W6" i="40"/>
  <c r="V6" i="40"/>
  <c r="U6" i="40"/>
  <c r="S6" i="40"/>
  <c r="R6" i="40"/>
  <c r="Q6" i="40"/>
  <c r="P6" i="40"/>
  <c r="O6" i="40"/>
  <c r="N6" i="40"/>
  <c r="M6" i="40"/>
  <c r="L6" i="40"/>
  <c r="J6" i="40"/>
  <c r="I6" i="40"/>
  <c r="H6" i="40"/>
  <c r="G6" i="40"/>
  <c r="F6" i="40"/>
  <c r="E6" i="40"/>
  <c r="D6" i="40"/>
  <c r="C6" i="40"/>
  <c r="AB5" i="40"/>
  <c r="AA5" i="40"/>
  <c r="Z5" i="40"/>
  <c r="Y5" i="40"/>
  <c r="X5" i="40"/>
  <c r="W5" i="40"/>
  <c r="V5" i="40"/>
  <c r="U5" i="40"/>
  <c r="S5" i="40"/>
  <c r="R5" i="40"/>
  <c r="Q5" i="40"/>
  <c r="P5" i="40"/>
  <c r="O5" i="40"/>
  <c r="N5" i="40"/>
  <c r="M5" i="40"/>
  <c r="L5" i="40"/>
  <c r="J5" i="40"/>
  <c r="I5" i="40"/>
  <c r="H5" i="40"/>
  <c r="G5" i="40"/>
  <c r="F5" i="40"/>
  <c r="E5" i="40"/>
  <c r="D5" i="40"/>
  <c r="C5" i="40"/>
  <c r="L1" i="40"/>
  <c r="C38" i="23"/>
  <c r="AB35" i="23"/>
  <c r="AA35" i="23"/>
  <c r="Z35" i="23"/>
  <c r="Y35" i="23"/>
  <c r="X35" i="23"/>
  <c r="W35" i="23"/>
  <c r="V35" i="23"/>
  <c r="U35" i="23"/>
  <c r="S35" i="23"/>
  <c r="R35" i="23"/>
  <c r="Q35" i="23"/>
  <c r="P35" i="23"/>
  <c r="O35" i="23"/>
  <c r="N35" i="23"/>
  <c r="M35" i="23"/>
  <c r="L35" i="23"/>
  <c r="J35" i="23"/>
  <c r="I35" i="23"/>
  <c r="H35" i="23"/>
  <c r="G35" i="23"/>
  <c r="F35" i="23"/>
  <c r="E35" i="23"/>
  <c r="D35" i="23"/>
  <c r="C35" i="23"/>
  <c r="C18" i="54" l="1"/>
  <c r="A19" i="54"/>
  <c r="B18" i="54"/>
  <c r="C62" i="52"/>
  <c r="B62" i="52"/>
  <c r="D62" i="52"/>
  <c r="C64" i="2"/>
  <c r="A65" i="2"/>
  <c r="B64" i="2"/>
  <c r="A63" i="52"/>
  <c r="C18" i="53"/>
  <c r="B18" i="53"/>
  <c r="A19" i="53"/>
  <c r="AB34" i="23"/>
  <c r="AA34" i="23"/>
  <c r="Z34" i="23"/>
  <c r="Y34" i="23"/>
  <c r="X34" i="23"/>
  <c r="W34" i="23"/>
  <c r="V34" i="23"/>
  <c r="U34" i="23"/>
  <c r="S34" i="23"/>
  <c r="R34" i="23"/>
  <c r="Q34" i="23"/>
  <c r="P34" i="23"/>
  <c r="O34" i="23"/>
  <c r="N34" i="23"/>
  <c r="M34" i="23"/>
  <c r="L34" i="23"/>
  <c r="J34" i="23"/>
  <c r="I34" i="23"/>
  <c r="H34" i="23"/>
  <c r="G34" i="23"/>
  <c r="F34" i="23"/>
  <c r="E34" i="23"/>
  <c r="D34" i="23"/>
  <c r="C34" i="23"/>
  <c r="A20" i="54" l="1"/>
  <c r="B19" i="54"/>
  <c r="C19" i="54"/>
  <c r="D63" i="52"/>
  <c r="C63" i="52"/>
  <c r="B63" i="52"/>
  <c r="A66" i="2"/>
  <c r="B65" i="2"/>
  <c r="C65" i="2"/>
  <c r="A64" i="52"/>
  <c r="A20" i="53"/>
  <c r="B19" i="53"/>
  <c r="C19" i="53"/>
  <c r="AB33" i="23"/>
  <c r="AA33" i="23"/>
  <c r="Z33" i="23"/>
  <c r="Y33" i="23"/>
  <c r="X33" i="23"/>
  <c r="W33" i="23"/>
  <c r="V33" i="23"/>
  <c r="U33" i="23"/>
  <c r="S33" i="23"/>
  <c r="R33" i="23"/>
  <c r="Q33" i="23"/>
  <c r="P33" i="23"/>
  <c r="O33" i="23"/>
  <c r="N33" i="23"/>
  <c r="M33" i="23"/>
  <c r="L33" i="23"/>
  <c r="J33" i="23"/>
  <c r="I33" i="23"/>
  <c r="H33" i="23"/>
  <c r="G33" i="23"/>
  <c r="F33" i="23"/>
  <c r="E33" i="23"/>
  <c r="D33" i="23"/>
  <c r="C33" i="23"/>
  <c r="AB32" i="23"/>
  <c r="AA32" i="23"/>
  <c r="Z32" i="23"/>
  <c r="Y32" i="23"/>
  <c r="X32" i="23"/>
  <c r="W32" i="23"/>
  <c r="V32" i="23"/>
  <c r="U32" i="23"/>
  <c r="S32" i="23"/>
  <c r="R32" i="23"/>
  <c r="Q32" i="23"/>
  <c r="P32" i="23"/>
  <c r="O32" i="23"/>
  <c r="N32" i="23"/>
  <c r="M32" i="23"/>
  <c r="L32" i="23"/>
  <c r="J32" i="23"/>
  <c r="I32" i="23"/>
  <c r="H32" i="23"/>
  <c r="G32" i="23"/>
  <c r="F32" i="23"/>
  <c r="E32" i="23"/>
  <c r="D32" i="23"/>
  <c r="C32" i="23"/>
  <c r="AB31" i="23"/>
  <c r="AA31" i="23"/>
  <c r="Z31" i="23"/>
  <c r="Y31" i="23"/>
  <c r="X31" i="23"/>
  <c r="W31" i="23"/>
  <c r="V31" i="23"/>
  <c r="U31" i="23"/>
  <c r="S31" i="23"/>
  <c r="R31" i="23"/>
  <c r="Q31" i="23"/>
  <c r="P31" i="23"/>
  <c r="O31" i="23"/>
  <c r="N31" i="23"/>
  <c r="M31" i="23"/>
  <c r="L31" i="23"/>
  <c r="J31" i="23"/>
  <c r="I31" i="23"/>
  <c r="H31" i="23"/>
  <c r="G31" i="23"/>
  <c r="F31" i="23"/>
  <c r="E31" i="23"/>
  <c r="D31" i="23"/>
  <c r="C31" i="23"/>
  <c r="C20" i="54" l="1"/>
  <c r="A21" i="54"/>
  <c r="B20" i="54"/>
  <c r="C64" i="52"/>
  <c r="B64" i="52"/>
  <c r="D64" i="52"/>
  <c r="C66" i="2"/>
  <c r="A67" i="2"/>
  <c r="B66" i="2"/>
  <c r="A65" i="52"/>
  <c r="C20" i="53"/>
  <c r="A21" i="53"/>
  <c r="B20" i="53"/>
  <c r="AB30" i="23"/>
  <c r="AA30" i="23"/>
  <c r="Z30" i="23"/>
  <c r="Y30" i="23"/>
  <c r="X30" i="23"/>
  <c r="W30" i="23"/>
  <c r="V30" i="23"/>
  <c r="U30" i="23"/>
  <c r="S30" i="23"/>
  <c r="R30" i="23"/>
  <c r="Q30" i="23"/>
  <c r="P30" i="23"/>
  <c r="O30" i="23"/>
  <c r="N30" i="23"/>
  <c r="M30" i="23"/>
  <c r="L30" i="23"/>
  <c r="J30" i="23"/>
  <c r="I30" i="23"/>
  <c r="H30" i="23"/>
  <c r="G30" i="23"/>
  <c r="F30" i="23"/>
  <c r="E30" i="23"/>
  <c r="D30" i="23"/>
  <c r="C30" i="23"/>
  <c r="A22" i="54" l="1"/>
  <c r="B21" i="54"/>
  <c r="C21" i="54"/>
  <c r="D65" i="52"/>
  <c r="B65" i="52"/>
  <c r="C65" i="52"/>
  <c r="A68" i="2"/>
  <c r="B67" i="2"/>
  <c r="C67" i="2"/>
  <c r="A66" i="52"/>
  <c r="A22" i="53"/>
  <c r="B21" i="53"/>
  <c r="C21" i="53"/>
  <c r="AB29" i="23"/>
  <c r="AA29" i="23"/>
  <c r="Z29" i="23"/>
  <c r="Y29" i="23"/>
  <c r="X29" i="23"/>
  <c r="W29" i="23"/>
  <c r="V29" i="23"/>
  <c r="U29" i="23"/>
  <c r="S29" i="23"/>
  <c r="R29" i="23"/>
  <c r="Q29" i="23"/>
  <c r="P29" i="23"/>
  <c r="O29" i="23"/>
  <c r="N29" i="23"/>
  <c r="M29" i="23"/>
  <c r="L29" i="23"/>
  <c r="J29" i="23"/>
  <c r="I29" i="23"/>
  <c r="H29" i="23"/>
  <c r="G29" i="23"/>
  <c r="F29" i="23"/>
  <c r="E29" i="23"/>
  <c r="D29" i="23"/>
  <c r="C29" i="23"/>
  <c r="AB28" i="23"/>
  <c r="AA28" i="23"/>
  <c r="Z28" i="23"/>
  <c r="Y28" i="23"/>
  <c r="X28" i="23"/>
  <c r="W28" i="23"/>
  <c r="V28" i="23"/>
  <c r="U28" i="23"/>
  <c r="S28" i="23"/>
  <c r="R28" i="23"/>
  <c r="Q28" i="23"/>
  <c r="P28" i="23"/>
  <c r="O28" i="23"/>
  <c r="N28" i="23"/>
  <c r="M28" i="23"/>
  <c r="L28" i="23"/>
  <c r="J28" i="23"/>
  <c r="I28" i="23"/>
  <c r="H28" i="23"/>
  <c r="G28" i="23"/>
  <c r="F28" i="23"/>
  <c r="E28" i="23"/>
  <c r="D28" i="23"/>
  <c r="C28" i="23"/>
  <c r="AB27" i="23"/>
  <c r="AA27" i="23"/>
  <c r="Z27" i="23"/>
  <c r="Y27" i="23"/>
  <c r="X27" i="23"/>
  <c r="W27" i="23"/>
  <c r="V27" i="23"/>
  <c r="U27" i="23"/>
  <c r="S27" i="23"/>
  <c r="R27" i="23"/>
  <c r="Q27" i="23"/>
  <c r="P27" i="23"/>
  <c r="O27" i="23"/>
  <c r="N27" i="23"/>
  <c r="M27" i="23"/>
  <c r="L27" i="23"/>
  <c r="J27" i="23"/>
  <c r="I27" i="23"/>
  <c r="H27" i="23"/>
  <c r="G27" i="23"/>
  <c r="F27" i="23"/>
  <c r="E27" i="23"/>
  <c r="D27" i="23"/>
  <c r="C27" i="23"/>
  <c r="C22" i="54" l="1"/>
  <c r="A23" i="54"/>
  <c r="B22" i="54"/>
  <c r="B66" i="52"/>
  <c r="D66" i="52"/>
  <c r="C66" i="52"/>
  <c r="C68" i="2"/>
  <c r="A69" i="2"/>
  <c r="B68" i="2"/>
  <c r="A67" i="52"/>
  <c r="C22" i="53"/>
  <c r="B22" i="53"/>
  <c r="A23" i="53"/>
  <c r="AB26" i="23"/>
  <c r="AA26" i="23"/>
  <c r="Z26" i="23"/>
  <c r="Y26" i="23"/>
  <c r="X26" i="23"/>
  <c r="W26" i="23"/>
  <c r="V26" i="23"/>
  <c r="U26" i="23"/>
  <c r="S26" i="23"/>
  <c r="R26" i="23"/>
  <c r="Q26" i="23"/>
  <c r="P26" i="23"/>
  <c r="O26" i="23"/>
  <c r="N26" i="23"/>
  <c r="M26" i="23"/>
  <c r="L26" i="23"/>
  <c r="J26" i="23"/>
  <c r="I26" i="23"/>
  <c r="H26" i="23"/>
  <c r="G26" i="23"/>
  <c r="F26" i="23"/>
  <c r="E26" i="23"/>
  <c r="D26" i="23"/>
  <c r="C26" i="23"/>
  <c r="A24" i="54" l="1"/>
  <c r="B23" i="54"/>
  <c r="C23" i="54"/>
  <c r="D67" i="52"/>
  <c r="C67" i="52"/>
  <c r="B67" i="52"/>
  <c r="A70" i="2"/>
  <c r="B69" i="2"/>
  <c r="C69" i="2"/>
  <c r="A68" i="52"/>
  <c r="A24" i="53"/>
  <c r="B23" i="53"/>
  <c r="C23" i="53"/>
  <c r="AB25" i="23"/>
  <c r="AA25" i="23"/>
  <c r="Z25" i="23"/>
  <c r="Y25" i="23"/>
  <c r="X25" i="23"/>
  <c r="W25" i="23"/>
  <c r="V25" i="23"/>
  <c r="U25" i="23"/>
  <c r="S25" i="23"/>
  <c r="R25" i="23"/>
  <c r="Q25" i="23"/>
  <c r="P25" i="23"/>
  <c r="O25" i="23"/>
  <c r="N25" i="23"/>
  <c r="M25" i="23"/>
  <c r="L25" i="23"/>
  <c r="J25" i="23"/>
  <c r="I25" i="23"/>
  <c r="H25" i="23"/>
  <c r="G25" i="23"/>
  <c r="F25" i="23"/>
  <c r="E25" i="23"/>
  <c r="D25" i="23"/>
  <c r="C25" i="23"/>
  <c r="AB24" i="23"/>
  <c r="AA24" i="23"/>
  <c r="Z24" i="23"/>
  <c r="Y24" i="23"/>
  <c r="X24" i="23"/>
  <c r="W24" i="23"/>
  <c r="V24" i="23"/>
  <c r="U24" i="23"/>
  <c r="S24" i="23"/>
  <c r="R24" i="23"/>
  <c r="Q24" i="23"/>
  <c r="P24" i="23"/>
  <c r="O24" i="23"/>
  <c r="N24" i="23"/>
  <c r="M24" i="23"/>
  <c r="L24" i="23"/>
  <c r="J24" i="23"/>
  <c r="I24" i="23"/>
  <c r="H24" i="23"/>
  <c r="G24" i="23"/>
  <c r="F24" i="23"/>
  <c r="E24" i="23"/>
  <c r="D24" i="23"/>
  <c r="C24" i="23"/>
  <c r="AB23" i="23"/>
  <c r="AA23" i="23"/>
  <c r="Z23" i="23"/>
  <c r="Y23" i="23"/>
  <c r="X23" i="23"/>
  <c r="W23" i="23"/>
  <c r="V23" i="23"/>
  <c r="U23" i="23"/>
  <c r="S23" i="23"/>
  <c r="R23" i="23"/>
  <c r="Q23" i="23"/>
  <c r="P23" i="23"/>
  <c r="O23" i="23"/>
  <c r="N23" i="23"/>
  <c r="M23" i="23"/>
  <c r="L23" i="23"/>
  <c r="J23" i="23"/>
  <c r="I23" i="23"/>
  <c r="H23" i="23"/>
  <c r="G23" i="23"/>
  <c r="F23" i="23"/>
  <c r="E23" i="23"/>
  <c r="D23" i="23"/>
  <c r="C23" i="23"/>
  <c r="C24" i="54" l="1"/>
  <c r="A25" i="54"/>
  <c r="B24" i="54"/>
  <c r="C70" i="2"/>
  <c r="A71" i="2"/>
  <c r="B70" i="2"/>
  <c r="A69" i="52"/>
  <c r="B68" i="52"/>
  <c r="C68" i="52"/>
  <c r="D68" i="52"/>
  <c r="C24" i="53"/>
  <c r="A25" i="53"/>
  <c r="B24" i="53"/>
  <c r="AB22" i="23"/>
  <c r="AA22" i="23"/>
  <c r="Z22" i="23"/>
  <c r="Y22" i="23"/>
  <c r="X22" i="23"/>
  <c r="W22" i="23"/>
  <c r="V22" i="23"/>
  <c r="U22" i="23"/>
  <c r="S22" i="23"/>
  <c r="R22" i="23"/>
  <c r="Q22" i="23"/>
  <c r="P22" i="23"/>
  <c r="O22" i="23"/>
  <c r="N22" i="23"/>
  <c r="M22" i="23"/>
  <c r="L22" i="23"/>
  <c r="J22" i="23"/>
  <c r="I22" i="23"/>
  <c r="H22" i="23"/>
  <c r="G22" i="23"/>
  <c r="F22" i="23"/>
  <c r="E22" i="23"/>
  <c r="D22" i="23"/>
  <c r="C22" i="23"/>
  <c r="A26" i="54" l="1"/>
  <c r="B25" i="54"/>
  <c r="C25" i="54"/>
  <c r="B69" i="52"/>
  <c r="D69" i="52"/>
  <c r="C69" i="52"/>
  <c r="A72" i="2"/>
  <c r="B71" i="2"/>
  <c r="C71" i="2"/>
  <c r="A70" i="52"/>
  <c r="A26" i="53"/>
  <c r="B25" i="53"/>
  <c r="C25" i="53"/>
  <c r="AB21" i="23"/>
  <c r="AA21" i="23"/>
  <c r="Z21" i="23"/>
  <c r="Y21" i="23"/>
  <c r="X21" i="23"/>
  <c r="W21" i="23"/>
  <c r="V21" i="23"/>
  <c r="U21" i="23"/>
  <c r="S21" i="23"/>
  <c r="R21" i="23"/>
  <c r="Q21" i="23"/>
  <c r="P21" i="23"/>
  <c r="O21" i="23"/>
  <c r="N21" i="23"/>
  <c r="M21" i="23"/>
  <c r="L21" i="23"/>
  <c r="J21" i="23"/>
  <c r="I21" i="23"/>
  <c r="H21" i="23"/>
  <c r="G21" i="23"/>
  <c r="F21" i="23"/>
  <c r="E21" i="23"/>
  <c r="D21" i="23"/>
  <c r="C21" i="23"/>
  <c r="AB20" i="23"/>
  <c r="AA20" i="23"/>
  <c r="Z20" i="23"/>
  <c r="Y20" i="23"/>
  <c r="X20" i="23"/>
  <c r="W20" i="23"/>
  <c r="V20" i="23"/>
  <c r="U20" i="23"/>
  <c r="S20" i="23"/>
  <c r="R20" i="23"/>
  <c r="Q20" i="23"/>
  <c r="P20" i="23"/>
  <c r="O20" i="23"/>
  <c r="N20" i="23"/>
  <c r="M20" i="23"/>
  <c r="L20" i="23"/>
  <c r="J20" i="23"/>
  <c r="I20" i="23"/>
  <c r="H20" i="23"/>
  <c r="G20" i="23"/>
  <c r="F20" i="23"/>
  <c r="E20" i="23"/>
  <c r="D20" i="23"/>
  <c r="C20" i="23"/>
  <c r="AB19" i="23"/>
  <c r="AA19" i="23"/>
  <c r="Z19" i="23"/>
  <c r="Y19" i="23"/>
  <c r="X19" i="23"/>
  <c r="W19" i="23"/>
  <c r="V19" i="23"/>
  <c r="U19" i="23"/>
  <c r="S19" i="23"/>
  <c r="R19" i="23"/>
  <c r="Q19" i="23"/>
  <c r="P19" i="23"/>
  <c r="O19" i="23"/>
  <c r="N19" i="23"/>
  <c r="M19" i="23"/>
  <c r="L19" i="23"/>
  <c r="J19" i="23"/>
  <c r="I19" i="23"/>
  <c r="H19" i="23"/>
  <c r="G19" i="23"/>
  <c r="F19" i="23"/>
  <c r="E19" i="23"/>
  <c r="D19" i="23"/>
  <c r="C19" i="23"/>
  <c r="C26" i="54" l="1"/>
  <c r="A27" i="54"/>
  <c r="B26" i="54"/>
  <c r="D70" i="52"/>
  <c r="C70" i="52"/>
  <c r="B70" i="52"/>
  <c r="C72" i="2"/>
  <c r="A73" i="2"/>
  <c r="B72" i="2"/>
  <c r="A71" i="52"/>
  <c r="A27" i="53"/>
  <c r="B26" i="53"/>
  <c r="C26" i="53"/>
  <c r="AB18" i="23"/>
  <c r="AA18" i="23"/>
  <c r="Z18" i="23"/>
  <c r="Y18" i="23"/>
  <c r="X18" i="23"/>
  <c r="W18" i="23"/>
  <c r="V18" i="23"/>
  <c r="U18" i="23"/>
  <c r="S18" i="23"/>
  <c r="R18" i="23"/>
  <c r="Q18" i="23"/>
  <c r="P18" i="23"/>
  <c r="O18" i="23"/>
  <c r="N18" i="23"/>
  <c r="M18" i="23"/>
  <c r="L18" i="23"/>
  <c r="J18" i="23"/>
  <c r="I18" i="23"/>
  <c r="H18" i="23"/>
  <c r="G18" i="23"/>
  <c r="F18" i="23"/>
  <c r="E18" i="23"/>
  <c r="D18" i="23"/>
  <c r="C18" i="23"/>
  <c r="A28" i="54" l="1"/>
  <c r="B27" i="54"/>
  <c r="C27" i="54"/>
  <c r="C71" i="52"/>
  <c r="B71" i="52"/>
  <c r="D71" i="52"/>
  <c r="A74" i="2"/>
  <c r="B73" i="2"/>
  <c r="C73" i="2"/>
  <c r="A72" i="52"/>
  <c r="C27" i="53"/>
  <c r="A28" i="53"/>
  <c r="B27" i="53"/>
  <c r="AB17" i="23"/>
  <c r="AA17" i="23"/>
  <c r="Z17" i="23"/>
  <c r="Y17" i="23"/>
  <c r="X17" i="23"/>
  <c r="W17" i="23"/>
  <c r="V17" i="23"/>
  <c r="U17" i="23"/>
  <c r="S17" i="23"/>
  <c r="R17" i="23"/>
  <c r="Q17" i="23"/>
  <c r="P17" i="23"/>
  <c r="O17" i="23"/>
  <c r="N17" i="23"/>
  <c r="M17" i="23"/>
  <c r="L17" i="23"/>
  <c r="J17" i="23"/>
  <c r="I17" i="23"/>
  <c r="H17" i="23"/>
  <c r="G17" i="23"/>
  <c r="F17" i="23"/>
  <c r="E17" i="23"/>
  <c r="D17" i="23"/>
  <c r="C17" i="23"/>
  <c r="AB16" i="23"/>
  <c r="AA16" i="23"/>
  <c r="Z16" i="23"/>
  <c r="Y16" i="23"/>
  <c r="X16" i="23"/>
  <c r="W16" i="23"/>
  <c r="V16" i="23"/>
  <c r="U16" i="23"/>
  <c r="S16" i="23"/>
  <c r="R16" i="23"/>
  <c r="Q16" i="23"/>
  <c r="P16" i="23"/>
  <c r="O16" i="23"/>
  <c r="N16" i="23"/>
  <c r="M16" i="23"/>
  <c r="L16" i="23"/>
  <c r="J16" i="23"/>
  <c r="I16" i="23"/>
  <c r="H16" i="23"/>
  <c r="G16" i="23"/>
  <c r="F16" i="23"/>
  <c r="E16" i="23"/>
  <c r="D16" i="23"/>
  <c r="C16" i="23"/>
  <c r="AB15" i="23"/>
  <c r="AA15" i="23"/>
  <c r="Z15" i="23"/>
  <c r="Y15" i="23"/>
  <c r="X15" i="23"/>
  <c r="W15" i="23"/>
  <c r="V15" i="23"/>
  <c r="U15" i="23"/>
  <c r="S15" i="23"/>
  <c r="R15" i="23"/>
  <c r="Q15" i="23"/>
  <c r="P15" i="23"/>
  <c r="O15" i="23"/>
  <c r="N15" i="23"/>
  <c r="M15" i="23"/>
  <c r="L15" i="23"/>
  <c r="J15" i="23"/>
  <c r="I15" i="23"/>
  <c r="H15" i="23"/>
  <c r="G15" i="23"/>
  <c r="F15" i="23"/>
  <c r="E15" i="23"/>
  <c r="D15" i="23"/>
  <c r="C15" i="23"/>
  <c r="C28" i="54" l="1"/>
  <c r="A29" i="54"/>
  <c r="B28" i="54"/>
  <c r="C72" i="52"/>
  <c r="D72" i="52"/>
  <c r="B72" i="52"/>
  <c r="C74" i="2"/>
  <c r="A75" i="2"/>
  <c r="B74" i="2"/>
  <c r="A73" i="52"/>
  <c r="A29" i="53"/>
  <c r="B28" i="53"/>
  <c r="C28" i="53"/>
  <c r="AB14" i="23"/>
  <c r="AA14" i="23"/>
  <c r="Z14" i="23"/>
  <c r="Y14" i="23"/>
  <c r="X14" i="23"/>
  <c r="W14" i="23"/>
  <c r="V14" i="23"/>
  <c r="U14" i="23"/>
  <c r="S14" i="23"/>
  <c r="R14" i="23"/>
  <c r="Q14" i="23"/>
  <c r="P14" i="23"/>
  <c r="O14" i="23"/>
  <c r="N14" i="23"/>
  <c r="M14" i="23"/>
  <c r="L14" i="23"/>
  <c r="J14" i="23"/>
  <c r="I14" i="23"/>
  <c r="H14" i="23"/>
  <c r="G14" i="23"/>
  <c r="F14" i="23"/>
  <c r="E14" i="23"/>
  <c r="D14" i="23"/>
  <c r="C14" i="23"/>
  <c r="A30" i="54" l="1"/>
  <c r="B29" i="54"/>
  <c r="C29" i="54"/>
  <c r="D73" i="52"/>
  <c r="B73" i="52"/>
  <c r="C73" i="52"/>
  <c r="A76" i="2"/>
  <c r="B75" i="2"/>
  <c r="C75" i="2"/>
  <c r="A74" i="52"/>
  <c r="C29" i="53"/>
  <c r="A30" i="53"/>
  <c r="B29" i="53"/>
  <c r="AB13" i="23"/>
  <c r="AA13" i="23"/>
  <c r="Z13" i="23"/>
  <c r="Y13" i="23"/>
  <c r="X13" i="23"/>
  <c r="W13" i="23"/>
  <c r="V13" i="23"/>
  <c r="U13" i="23"/>
  <c r="S13" i="23"/>
  <c r="R13" i="23"/>
  <c r="Q13" i="23"/>
  <c r="P13" i="23"/>
  <c r="O13" i="23"/>
  <c r="N13" i="23"/>
  <c r="M13" i="23"/>
  <c r="L13" i="23"/>
  <c r="J13" i="23"/>
  <c r="I13" i="23"/>
  <c r="H13" i="23"/>
  <c r="G13" i="23"/>
  <c r="F13" i="23"/>
  <c r="E13" i="23"/>
  <c r="D13" i="23"/>
  <c r="C13" i="23"/>
  <c r="AB12" i="23"/>
  <c r="AA12" i="23"/>
  <c r="Z12" i="23"/>
  <c r="Y12" i="23"/>
  <c r="X12" i="23"/>
  <c r="W12" i="23"/>
  <c r="V12" i="23"/>
  <c r="U12" i="23"/>
  <c r="S12" i="23"/>
  <c r="R12" i="23"/>
  <c r="Q12" i="23"/>
  <c r="P12" i="23"/>
  <c r="O12" i="23"/>
  <c r="N12" i="23"/>
  <c r="M12" i="23"/>
  <c r="L12" i="23"/>
  <c r="J12" i="23"/>
  <c r="I12" i="23"/>
  <c r="H12" i="23"/>
  <c r="G12" i="23"/>
  <c r="F12" i="23"/>
  <c r="E12" i="23"/>
  <c r="D12" i="23"/>
  <c r="C12" i="23"/>
  <c r="AB11" i="23"/>
  <c r="AA11" i="23"/>
  <c r="Z11" i="23"/>
  <c r="Y11" i="23"/>
  <c r="X11" i="23"/>
  <c r="W11" i="23"/>
  <c r="V11" i="23"/>
  <c r="U11" i="23"/>
  <c r="S11" i="23"/>
  <c r="R11" i="23"/>
  <c r="Q11" i="23"/>
  <c r="P11" i="23"/>
  <c r="O11" i="23"/>
  <c r="N11" i="23"/>
  <c r="M11" i="23"/>
  <c r="L11" i="23"/>
  <c r="J11" i="23"/>
  <c r="I11" i="23"/>
  <c r="H11" i="23"/>
  <c r="G11" i="23"/>
  <c r="F11" i="23"/>
  <c r="E11" i="23"/>
  <c r="D11" i="23"/>
  <c r="C11" i="23"/>
  <c r="C30" i="54" l="1"/>
  <c r="A31" i="54"/>
  <c r="B30" i="54"/>
  <c r="C74" i="52"/>
  <c r="D74" i="52"/>
  <c r="B74" i="52"/>
  <c r="C76" i="2"/>
  <c r="A77" i="2"/>
  <c r="B76" i="2"/>
  <c r="A75" i="52"/>
  <c r="A31" i="53"/>
  <c r="B30" i="53"/>
  <c r="C30" i="53"/>
  <c r="AB10" i="23"/>
  <c r="AA10" i="23"/>
  <c r="Z10" i="23"/>
  <c r="Y10" i="23"/>
  <c r="X10" i="23"/>
  <c r="W10" i="23"/>
  <c r="V10" i="23"/>
  <c r="U10" i="23"/>
  <c r="S10" i="23"/>
  <c r="R10" i="23"/>
  <c r="Q10" i="23"/>
  <c r="P10" i="23"/>
  <c r="O10" i="23"/>
  <c r="N10" i="23"/>
  <c r="M10" i="23"/>
  <c r="L10" i="23"/>
  <c r="J10" i="23"/>
  <c r="I10" i="23"/>
  <c r="H10" i="23"/>
  <c r="G10" i="23"/>
  <c r="F10" i="23"/>
  <c r="E10" i="23"/>
  <c r="D10" i="23"/>
  <c r="C10" i="23"/>
  <c r="A32" i="54" l="1"/>
  <c r="B31" i="54"/>
  <c r="C31" i="54"/>
  <c r="D75" i="52"/>
  <c r="B75" i="52"/>
  <c r="C75" i="52"/>
  <c r="A78" i="2"/>
  <c r="B77" i="2"/>
  <c r="C77" i="2"/>
  <c r="A76" i="52"/>
  <c r="C31" i="53"/>
  <c r="A32" i="53"/>
  <c r="B31" i="53"/>
  <c r="AB9" i="23"/>
  <c r="AA9" i="23"/>
  <c r="Z9" i="23"/>
  <c r="Y9" i="23"/>
  <c r="X9" i="23"/>
  <c r="W9" i="23"/>
  <c r="V9" i="23"/>
  <c r="U9" i="23"/>
  <c r="S9" i="23"/>
  <c r="R9" i="23"/>
  <c r="Q9" i="23"/>
  <c r="P9" i="23"/>
  <c r="O9" i="23"/>
  <c r="N9" i="23"/>
  <c r="M9" i="23"/>
  <c r="L9" i="23"/>
  <c r="J9" i="23"/>
  <c r="I9" i="23"/>
  <c r="H9" i="23"/>
  <c r="G9" i="23"/>
  <c r="F9" i="23"/>
  <c r="E9" i="23"/>
  <c r="D9" i="23"/>
  <c r="C9" i="23"/>
  <c r="AB8" i="23"/>
  <c r="AA8" i="23"/>
  <c r="Z8" i="23"/>
  <c r="Y8" i="23"/>
  <c r="X8" i="23"/>
  <c r="W8" i="23"/>
  <c r="V8" i="23"/>
  <c r="U8" i="23"/>
  <c r="S8" i="23"/>
  <c r="R8" i="23"/>
  <c r="Q8" i="23"/>
  <c r="P8" i="23"/>
  <c r="O8" i="23"/>
  <c r="N8" i="23"/>
  <c r="M8" i="23"/>
  <c r="L8" i="23"/>
  <c r="J8" i="23"/>
  <c r="I8" i="23"/>
  <c r="H8" i="23"/>
  <c r="G8" i="23"/>
  <c r="F8" i="23"/>
  <c r="E8" i="23"/>
  <c r="D8" i="23"/>
  <c r="C8" i="23"/>
  <c r="AB7" i="23"/>
  <c r="AA7" i="23"/>
  <c r="Z7" i="23"/>
  <c r="Y7" i="23"/>
  <c r="X7" i="23"/>
  <c r="W7" i="23"/>
  <c r="V7" i="23"/>
  <c r="U7" i="23"/>
  <c r="S7" i="23"/>
  <c r="R7" i="23"/>
  <c r="Q7" i="23"/>
  <c r="P7" i="23"/>
  <c r="O7" i="23"/>
  <c r="N7" i="23"/>
  <c r="M7" i="23"/>
  <c r="L7" i="23"/>
  <c r="J7" i="23"/>
  <c r="I7" i="23"/>
  <c r="H7" i="23"/>
  <c r="G7" i="23"/>
  <c r="F7" i="23"/>
  <c r="E7" i="23"/>
  <c r="D7" i="23"/>
  <c r="C7" i="23"/>
  <c r="C32" i="54" l="1"/>
  <c r="A33" i="54"/>
  <c r="B32" i="54"/>
  <c r="B76" i="52"/>
  <c r="D76" i="52"/>
  <c r="C76" i="52"/>
  <c r="C78" i="2"/>
  <c r="A79" i="2"/>
  <c r="B78" i="2"/>
  <c r="A77" i="52"/>
  <c r="A33" i="53"/>
  <c r="B32" i="53"/>
  <c r="C32" i="53"/>
  <c r="AB6" i="23"/>
  <c r="AA6" i="23"/>
  <c r="Z6" i="23"/>
  <c r="Y6" i="23"/>
  <c r="X6" i="23"/>
  <c r="W6" i="23"/>
  <c r="V6" i="23"/>
  <c r="U6" i="23"/>
  <c r="S6" i="23"/>
  <c r="R6" i="23"/>
  <c r="Q6" i="23"/>
  <c r="P6" i="23"/>
  <c r="O6" i="23"/>
  <c r="N6" i="23"/>
  <c r="M6" i="23"/>
  <c r="L6" i="23"/>
  <c r="J6" i="23"/>
  <c r="I6" i="23"/>
  <c r="H6" i="23"/>
  <c r="G6" i="23"/>
  <c r="F6" i="23"/>
  <c r="E6" i="23"/>
  <c r="D6" i="23"/>
  <c r="C6" i="23"/>
  <c r="A34" i="54" l="1"/>
  <c r="B33" i="54"/>
  <c r="C33" i="54"/>
  <c r="D77" i="52"/>
  <c r="C77" i="52"/>
  <c r="B77" i="52"/>
  <c r="A80" i="2"/>
  <c r="B79" i="2"/>
  <c r="C79" i="2"/>
  <c r="A78" i="52"/>
  <c r="C33" i="53"/>
  <c r="A34" i="53"/>
  <c r="B33" i="53"/>
  <c r="AB5" i="23"/>
  <c r="AA5" i="23"/>
  <c r="Z5" i="23"/>
  <c r="Y5" i="23"/>
  <c r="X5" i="23"/>
  <c r="W5" i="23"/>
  <c r="V5" i="23"/>
  <c r="U5" i="23"/>
  <c r="S5" i="23"/>
  <c r="R5" i="23"/>
  <c r="Q5" i="23"/>
  <c r="P5" i="23"/>
  <c r="O5" i="23"/>
  <c r="N5" i="23"/>
  <c r="M5" i="23"/>
  <c r="L5" i="23"/>
  <c r="J5" i="23"/>
  <c r="I5" i="23"/>
  <c r="H5" i="23"/>
  <c r="G5" i="23"/>
  <c r="F5" i="23"/>
  <c r="E5" i="23"/>
  <c r="D5" i="23"/>
  <c r="C5" i="23"/>
  <c r="C34" i="54" l="1"/>
  <c r="A35" i="54"/>
  <c r="B34" i="54"/>
  <c r="B78" i="52"/>
  <c r="D78" i="52"/>
  <c r="C78" i="52"/>
  <c r="C80" i="2"/>
  <c r="A81" i="2"/>
  <c r="B80" i="2"/>
  <c r="A79" i="52"/>
  <c r="A35" i="53"/>
  <c r="B34" i="53"/>
  <c r="C34" i="53"/>
  <c r="L1" i="23"/>
  <c r="C38" i="22"/>
  <c r="N36" i="22"/>
  <c r="AB35" i="22"/>
  <c r="AA35" i="22"/>
  <c r="Z35" i="22"/>
  <c r="Y35" i="22"/>
  <c r="X35" i="22"/>
  <c r="W35" i="22"/>
  <c r="V35" i="22"/>
  <c r="U35" i="22"/>
  <c r="S35" i="22"/>
  <c r="R35" i="22"/>
  <c r="Q35" i="22"/>
  <c r="P35" i="22"/>
  <c r="O35" i="22"/>
  <c r="N35" i="22"/>
  <c r="M35" i="22"/>
  <c r="L35" i="22"/>
  <c r="J35" i="22"/>
  <c r="I35" i="22"/>
  <c r="H35" i="22"/>
  <c r="G35" i="22"/>
  <c r="F35" i="22"/>
  <c r="E35" i="22"/>
  <c r="D35" i="22"/>
  <c r="C35" i="22"/>
  <c r="AB34" i="22"/>
  <c r="AA34" i="22"/>
  <c r="Z34" i="22"/>
  <c r="Y34" i="22"/>
  <c r="X34" i="22"/>
  <c r="W34" i="22"/>
  <c r="V34" i="22"/>
  <c r="U34" i="22"/>
  <c r="S34" i="22"/>
  <c r="R34" i="22"/>
  <c r="Q34" i="22"/>
  <c r="P34" i="22"/>
  <c r="O34" i="22"/>
  <c r="N34" i="22"/>
  <c r="M34" i="22"/>
  <c r="L34" i="22"/>
  <c r="J34" i="22"/>
  <c r="I34" i="22"/>
  <c r="H34" i="22"/>
  <c r="G34" i="22"/>
  <c r="F34" i="22"/>
  <c r="E34" i="22"/>
  <c r="D34" i="22"/>
  <c r="C34" i="22"/>
  <c r="AB33" i="22"/>
  <c r="AA33" i="22"/>
  <c r="Z33" i="22"/>
  <c r="Y33" i="22"/>
  <c r="X33" i="22"/>
  <c r="W33" i="22"/>
  <c r="V33" i="22"/>
  <c r="U33" i="22"/>
  <c r="S33" i="22"/>
  <c r="R33" i="22"/>
  <c r="Q33" i="22"/>
  <c r="P33" i="22"/>
  <c r="O33" i="22"/>
  <c r="N33" i="22"/>
  <c r="M33" i="22"/>
  <c r="L33" i="22"/>
  <c r="J33" i="22"/>
  <c r="I33" i="22"/>
  <c r="H33" i="22"/>
  <c r="G33" i="22"/>
  <c r="F33" i="22"/>
  <c r="E33" i="22"/>
  <c r="D33" i="22"/>
  <c r="C33" i="22"/>
  <c r="AB32" i="22"/>
  <c r="AA32" i="22"/>
  <c r="Z32" i="22"/>
  <c r="Y32" i="22"/>
  <c r="X32" i="22"/>
  <c r="W32" i="22"/>
  <c r="V32" i="22"/>
  <c r="U32" i="22"/>
  <c r="S32" i="22"/>
  <c r="R32" i="22"/>
  <c r="Q32" i="22"/>
  <c r="P32" i="22"/>
  <c r="O32" i="22"/>
  <c r="N32" i="22"/>
  <c r="M32" i="22"/>
  <c r="L32" i="22"/>
  <c r="J32" i="22"/>
  <c r="I32" i="22"/>
  <c r="H32" i="22"/>
  <c r="G32" i="22"/>
  <c r="F32" i="22"/>
  <c r="E32" i="22"/>
  <c r="D32" i="22"/>
  <c r="C32" i="22"/>
  <c r="A36" i="54" l="1"/>
  <c r="B35" i="54"/>
  <c r="C35" i="54"/>
  <c r="D79" i="52"/>
  <c r="C79" i="52"/>
  <c r="B79" i="52"/>
  <c r="A82" i="2"/>
  <c r="B81" i="2"/>
  <c r="C81" i="2"/>
  <c r="A80" i="52"/>
  <c r="C35" i="53"/>
  <c r="A36" i="53"/>
  <c r="B35" i="53"/>
  <c r="AB31" i="22"/>
  <c r="AA31" i="22"/>
  <c r="Z31" i="22"/>
  <c r="Y31" i="22"/>
  <c r="X31" i="22"/>
  <c r="W31" i="22"/>
  <c r="V31" i="22"/>
  <c r="U31" i="22"/>
  <c r="S31" i="22"/>
  <c r="R31" i="22"/>
  <c r="Q31" i="22"/>
  <c r="P31" i="22"/>
  <c r="O31" i="22"/>
  <c r="N31" i="22"/>
  <c r="M31" i="22"/>
  <c r="L31" i="22"/>
  <c r="J31" i="22"/>
  <c r="I31" i="22"/>
  <c r="H31" i="22"/>
  <c r="G31" i="22"/>
  <c r="F31" i="22"/>
  <c r="E31" i="22"/>
  <c r="D31" i="22"/>
  <c r="C31" i="22"/>
  <c r="AB30" i="22"/>
  <c r="AA30" i="22"/>
  <c r="Z30" i="22"/>
  <c r="Y30" i="22"/>
  <c r="X30" i="22"/>
  <c r="W30" i="22"/>
  <c r="V30" i="22"/>
  <c r="U30" i="22"/>
  <c r="S30" i="22"/>
  <c r="R30" i="22"/>
  <c r="Q30" i="22"/>
  <c r="P30" i="22"/>
  <c r="O30" i="22"/>
  <c r="N30" i="22"/>
  <c r="M30" i="22"/>
  <c r="L30" i="22"/>
  <c r="J30" i="22"/>
  <c r="I30" i="22"/>
  <c r="H30" i="22"/>
  <c r="G30" i="22"/>
  <c r="F30" i="22"/>
  <c r="E30" i="22"/>
  <c r="D30" i="22"/>
  <c r="C30" i="22"/>
  <c r="AB29" i="22"/>
  <c r="AA29" i="22"/>
  <c r="Z29" i="22"/>
  <c r="Y29" i="22"/>
  <c r="X29" i="22"/>
  <c r="W29" i="22"/>
  <c r="V29" i="22"/>
  <c r="U29" i="22"/>
  <c r="S29" i="22"/>
  <c r="R29" i="22"/>
  <c r="Q29" i="22"/>
  <c r="P29" i="22"/>
  <c r="O29" i="22"/>
  <c r="N29" i="22"/>
  <c r="M29" i="22"/>
  <c r="L29" i="22"/>
  <c r="J29" i="22"/>
  <c r="I29" i="22"/>
  <c r="H29" i="22"/>
  <c r="G29" i="22"/>
  <c r="F29" i="22"/>
  <c r="E29" i="22"/>
  <c r="D29" i="22"/>
  <c r="C29" i="22"/>
  <c r="AB28" i="22"/>
  <c r="AA28" i="22"/>
  <c r="Z28" i="22"/>
  <c r="Y28" i="22"/>
  <c r="X28" i="22"/>
  <c r="W28" i="22"/>
  <c r="V28" i="22"/>
  <c r="U28" i="22"/>
  <c r="S28" i="22"/>
  <c r="R28" i="22"/>
  <c r="Q28" i="22"/>
  <c r="P28" i="22"/>
  <c r="O28" i="22"/>
  <c r="N28" i="22"/>
  <c r="M28" i="22"/>
  <c r="L28" i="22"/>
  <c r="J28" i="22"/>
  <c r="I28" i="22"/>
  <c r="H28" i="22"/>
  <c r="G28" i="22"/>
  <c r="F28" i="22"/>
  <c r="E28" i="22"/>
  <c r="D28" i="22"/>
  <c r="C28" i="22"/>
  <c r="C36" i="54" l="1"/>
  <c r="A37" i="54"/>
  <c r="B36" i="54"/>
  <c r="D80" i="52"/>
  <c r="C80" i="52"/>
  <c r="B80" i="52"/>
  <c r="C82" i="2"/>
  <c r="A83" i="2"/>
  <c r="B82" i="2"/>
  <c r="A81" i="52"/>
  <c r="A37" i="53"/>
  <c r="B36" i="53"/>
  <c r="C36" i="53"/>
  <c r="AB27" i="22"/>
  <c r="AA27" i="22"/>
  <c r="Z27" i="22"/>
  <c r="Y27" i="22"/>
  <c r="X27" i="22"/>
  <c r="W27" i="22"/>
  <c r="V27" i="22"/>
  <c r="U27" i="22"/>
  <c r="S27" i="22"/>
  <c r="R27" i="22"/>
  <c r="Q27" i="22"/>
  <c r="P27" i="22"/>
  <c r="O27" i="22"/>
  <c r="N27" i="22"/>
  <c r="M27" i="22"/>
  <c r="L27" i="22"/>
  <c r="J27" i="22"/>
  <c r="I27" i="22"/>
  <c r="H27" i="22"/>
  <c r="G27" i="22"/>
  <c r="F27" i="22"/>
  <c r="E27" i="22"/>
  <c r="D27" i="22"/>
  <c r="C27" i="22"/>
  <c r="AB26" i="22"/>
  <c r="AA26" i="22"/>
  <c r="Z26" i="22"/>
  <c r="Y26" i="22"/>
  <c r="X26" i="22"/>
  <c r="W26" i="22"/>
  <c r="V26" i="22"/>
  <c r="U26" i="22"/>
  <c r="S26" i="22"/>
  <c r="R26" i="22"/>
  <c r="Q26" i="22"/>
  <c r="P26" i="22"/>
  <c r="O26" i="22"/>
  <c r="N26" i="22"/>
  <c r="M26" i="22"/>
  <c r="L26" i="22"/>
  <c r="J26" i="22"/>
  <c r="I26" i="22"/>
  <c r="H26" i="22"/>
  <c r="G26" i="22"/>
  <c r="F26" i="22"/>
  <c r="E26" i="22"/>
  <c r="D26" i="22"/>
  <c r="C26" i="22"/>
  <c r="AB25" i="22"/>
  <c r="AA25" i="22"/>
  <c r="Z25" i="22"/>
  <c r="Y25" i="22"/>
  <c r="X25" i="22"/>
  <c r="W25" i="22"/>
  <c r="V25" i="22"/>
  <c r="U25" i="22"/>
  <c r="S25" i="22"/>
  <c r="R25" i="22"/>
  <c r="Q25" i="22"/>
  <c r="P25" i="22"/>
  <c r="O25" i="22"/>
  <c r="N25" i="22"/>
  <c r="M25" i="22"/>
  <c r="L25" i="22"/>
  <c r="J25" i="22"/>
  <c r="I25" i="22"/>
  <c r="H25" i="22"/>
  <c r="G25" i="22"/>
  <c r="F25" i="22"/>
  <c r="E25" i="22"/>
  <c r="D25" i="22"/>
  <c r="C25" i="22"/>
  <c r="AB24" i="22"/>
  <c r="AA24" i="22"/>
  <c r="Z24" i="22"/>
  <c r="Y24" i="22"/>
  <c r="X24" i="22"/>
  <c r="W24" i="22"/>
  <c r="V24" i="22"/>
  <c r="U24" i="22"/>
  <c r="S24" i="22"/>
  <c r="R24" i="22"/>
  <c r="Q24" i="22"/>
  <c r="P24" i="22"/>
  <c r="O24" i="22"/>
  <c r="N24" i="22"/>
  <c r="M24" i="22"/>
  <c r="L24" i="22"/>
  <c r="J24" i="22"/>
  <c r="I24" i="22"/>
  <c r="H24" i="22"/>
  <c r="G24" i="22"/>
  <c r="F24" i="22"/>
  <c r="E24" i="22"/>
  <c r="D24" i="22"/>
  <c r="C24" i="22"/>
  <c r="A38" i="54" l="1"/>
  <c r="B37" i="54"/>
  <c r="C37" i="54"/>
  <c r="C81" i="52"/>
  <c r="D81" i="52"/>
  <c r="B81" i="52"/>
  <c r="A84" i="2"/>
  <c r="B83" i="2"/>
  <c r="C83" i="2"/>
  <c r="A82" i="52"/>
  <c r="C37" i="53"/>
  <c r="A38" i="53"/>
  <c r="B37" i="53"/>
  <c r="AB23" i="22"/>
  <c r="AA23" i="22"/>
  <c r="Z23" i="22"/>
  <c r="Y23" i="22"/>
  <c r="X23" i="22"/>
  <c r="W23" i="22"/>
  <c r="V23" i="22"/>
  <c r="U23" i="22"/>
  <c r="S23" i="22"/>
  <c r="R23" i="22"/>
  <c r="Q23" i="22"/>
  <c r="P23" i="22"/>
  <c r="O23" i="22"/>
  <c r="N23" i="22"/>
  <c r="M23" i="22"/>
  <c r="L23" i="22"/>
  <c r="J23" i="22"/>
  <c r="I23" i="22"/>
  <c r="H23" i="22"/>
  <c r="G23" i="22"/>
  <c r="F23" i="22"/>
  <c r="E23" i="22"/>
  <c r="D23" i="22"/>
  <c r="C23" i="22"/>
  <c r="AB22" i="22"/>
  <c r="AA22" i="22"/>
  <c r="Z22" i="22"/>
  <c r="Y22" i="22"/>
  <c r="X22" i="22"/>
  <c r="W22" i="22"/>
  <c r="V22" i="22"/>
  <c r="U22" i="22"/>
  <c r="S22" i="22"/>
  <c r="R22" i="22"/>
  <c r="Q22" i="22"/>
  <c r="P22" i="22"/>
  <c r="O22" i="22"/>
  <c r="N22" i="22"/>
  <c r="M22" i="22"/>
  <c r="L22" i="22"/>
  <c r="J22" i="22"/>
  <c r="I22" i="22"/>
  <c r="H22" i="22"/>
  <c r="G22" i="22"/>
  <c r="F22" i="22"/>
  <c r="E22" i="22"/>
  <c r="D22" i="22"/>
  <c r="C22" i="22"/>
  <c r="AB21" i="22"/>
  <c r="AA21" i="22"/>
  <c r="Z21" i="22"/>
  <c r="Y21" i="22"/>
  <c r="X21" i="22"/>
  <c r="W21" i="22"/>
  <c r="V21" i="22"/>
  <c r="U21" i="22"/>
  <c r="S21" i="22"/>
  <c r="R21" i="22"/>
  <c r="Q21" i="22"/>
  <c r="P21" i="22"/>
  <c r="O21" i="22"/>
  <c r="N21" i="22"/>
  <c r="M21" i="22"/>
  <c r="L21" i="22"/>
  <c r="J21" i="22"/>
  <c r="I21" i="22"/>
  <c r="H21" i="22"/>
  <c r="G21" i="22"/>
  <c r="F21" i="22"/>
  <c r="E21" i="22"/>
  <c r="D21" i="22"/>
  <c r="C21" i="22"/>
  <c r="AB20" i="22"/>
  <c r="AA20" i="22"/>
  <c r="Z20" i="22"/>
  <c r="Y20" i="22"/>
  <c r="X20" i="22"/>
  <c r="W20" i="22"/>
  <c r="V20" i="22"/>
  <c r="U20" i="22"/>
  <c r="S20" i="22"/>
  <c r="R20" i="22"/>
  <c r="Q20" i="22"/>
  <c r="P20" i="22"/>
  <c r="O20" i="22"/>
  <c r="N20" i="22"/>
  <c r="M20" i="22"/>
  <c r="L20" i="22"/>
  <c r="J20" i="22"/>
  <c r="I20" i="22"/>
  <c r="H20" i="22"/>
  <c r="G20" i="22"/>
  <c r="F20" i="22"/>
  <c r="E20" i="22"/>
  <c r="D20" i="22"/>
  <c r="C20" i="22"/>
  <c r="C38" i="54" l="1"/>
  <c r="A39" i="54"/>
  <c r="B38" i="54"/>
  <c r="C82" i="52"/>
  <c r="D82" i="52"/>
  <c r="B82" i="52"/>
  <c r="C84" i="2"/>
  <c r="A85" i="2"/>
  <c r="B84" i="2"/>
  <c r="A83" i="52"/>
  <c r="A39" i="53"/>
  <c r="B38" i="53"/>
  <c r="C38" i="53"/>
  <c r="AB19" i="22"/>
  <c r="AA19" i="22"/>
  <c r="Z19" i="22"/>
  <c r="Y19" i="22"/>
  <c r="X19" i="22"/>
  <c r="W19" i="22"/>
  <c r="V19" i="22"/>
  <c r="U19" i="22"/>
  <c r="S19" i="22"/>
  <c r="R19" i="22"/>
  <c r="Q19" i="22"/>
  <c r="P19" i="22"/>
  <c r="O19" i="22"/>
  <c r="N19" i="22"/>
  <c r="M19" i="22"/>
  <c r="L19" i="22"/>
  <c r="J19" i="22"/>
  <c r="I19" i="22"/>
  <c r="H19" i="22"/>
  <c r="G19" i="22"/>
  <c r="F19" i="22"/>
  <c r="E19" i="22"/>
  <c r="D19" i="22"/>
  <c r="C19" i="22"/>
  <c r="AB18" i="22"/>
  <c r="AA18" i="22"/>
  <c r="Z18" i="22"/>
  <c r="Y18" i="22"/>
  <c r="X18" i="22"/>
  <c r="W18" i="22"/>
  <c r="V18" i="22"/>
  <c r="U18" i="22"/>
  <c r="S18" i="22"/>
  <c r="R18" i="22"/>
  <c r="Q18" i="22"/>
  <c r="P18" i="22"/>
  <c r="O18" i="22"/>
  <c r="N18" i="22"/>
  <c r="M18" i="22"/>
  <c r="L18" i="22"/>
  <c r="J18" i="22"/>
  <c r="I18" i="22"/>
  <c r="H18" i="22"/>
  <c r="G18" i="22"/>
  <c r="F18" i="22"/>
  <c r="E18" i="22"/>
  <c r="D18" i="22"/>
  <c r="C18" i="22"/>
  <c r="AB17" i="22"/>
  <c r="AA17" i="22"/>
  <c r="Z17" i="22"/>
  <c r="Y17" i="22"/>
  <c r="X17" i="22"/>
  <c r="W17" i="22"/>
  <c r="V17" i="22"/>
  <c r="U17" i="22"/>
  <c r="S17" i="22"/>
  <c r="R17" i="22"/>
  <c r="Q17" i="22"/>
  <c r="P17" i="22"/>
  <c r="O17" i="22"/>
  <c r="N17" i="22"/>
  <c r="M17" i="22"/>
  <c r="L17" i="22"/>
  <c r="J17" i="22"/>
  <c r="I17" i="22"/>
  <c r="H17" i="22"/>
  <c r="G17" i="22"/>
  <c r="F17" i="22"/>
  <c r="E17" i="22"/>
  <c r="D17" i="22"/>
  <c r="C17" i="22"/>
  <c r="AB16" i="22"/>
  <c r="AA16" i="22"/>
  <c r="Z16" i="22"/>
  <c r="Y16" i="22"/>
  <c r="X16" i="22"/>
  <c r="W16" i="22"/>
  <c r="V16" i="22"/>
  <c r="U16" i="22"/>
  <c r="S16" i="22"/>
  <c r="R16" i="22"/>
  <c r="Q16" i="22"/>
  <c r="P16" i="22"/>
  <c r="O16" i="22"/>
  <c r="N16" i="22"/>
  <c r="M16" i="22"/>
  <c r="L16" i="22"/>
  <c r="J16" i="22"/>
  <c r="I16" i="22"/>
  <c r="H16" i="22"/>
  <c r="G16" i="22"/>
  <c r="F16" i="22"/>
  <c r="E16" i="22"/>
  <c r="D16" i="22"/>
  <c r="C16" i="22"/>
  <c r="A40" i="54" l="1"/>
  <c r="B39" i="54"/>
  <c r="C39" i="54"/>
  <c r="C83" i="52"/>
  <c r="D83" i="52"/>
  <c r="B83" i="52"/>
  <c r="A86" i="2"/>
  <c r="B85" i="2"/>
  <c r="C85" i="2"/>
  <c r="A84" i="52"/>
  <c r="C39" i="53"/>
  <c r="A40" i="53"/>
  <c r="B39" i="53"/>
  <c r="AB15" i="22"/>
  <c r="AA15" i="22"/>
  <c r="Z15" i="22"/>
  <c r="Y15" i="22"/>
  <c r="X15" i="22"/>
  <c r="W15" i="22"/>
  <c r="V15" i="22"/>
  <c r="U15" i="22"/>
  <c r="S15" i="22"/>
  <c r="R15" i="22"/>
  <c r="Q15" i="22"/>
  <c r="P15" i="22"/>
  <c r="O15" i="22"/>
  <c r="N15" i="22"/>
  <c r="M15" i="22"/>
  <c r="L15" i="22"/>
  <c r="J15" i="22"/>
  <c r="I15" i="22"/>
  <c r="H15" i="22"/>
  <c r="G15" i="22"/>
  <c r="F15" i="22"/>
  <c r="E15" i="22"/>
  <c r="D15" i="22"/>
  <c r="C15" i="22"/>
  <c r="AB14" i="22"/>
  <c r="AA14" i="22"/>
  <c r="Z14" i="22"/>
  <c r="Y14" i="22"/>
  <c r="X14" i="22"/>
  <c r="W14" i="22"/>
  <c r="V14" i="22"/>
  <c r="U14" i="22"/>
  <c r="S14" i="22"/>
  <c r="R14" i="22"/>
  <c r="Q14" i="22"/>
  <c r="P14" i="22"/>
  <c r="O14" i="22"/>
  <c r="N14" i="22"/>
  <c r="M14" i="22"/>
  <c r="L14" i="22"/>
  <c r="J14" i="22"/>
  <c r="I14" i="22"/>
  <c r="H14" i="22"/>
  <c r="G14" i="22"/>
  <c r="F14" i="22"/>
  <c r="E14" i="22"/>
  <c r="D14" i="22"/>
  <c r="C14" i="22"/>
  <c r="AB13" i="22"/>
  <c r="AA13" i="22"/>
  <c r="Z13" i="22"/>
  <c r="Y13" i="22"/>
  <c r="X13" i="22"/>
  <c r="W13" i="22"/>
  <c r="V13" i="22"/>
  <c r="U13" i="22"/>
  <c r="S13" i="22"/>
  <c r="R13" i="22"/>
  <c r="Q13" i="22"/>
  <c r="P13" i="22"/>
  <c r="O13" i="22"/>
  <c r="N13" i="22"/>
  <c r="M13" i="22"/>
  <c r="L13" i="22"/>
  <c r="J13" i="22"/>
  <c r="I13" i="22"/>
  <c r="H13" i="22"/>
  <c r="G13" i="22"/>
  <c r="F13" i="22"/>
  <c r="E13" i="22"/>
  <c r="D13" i="22"/>
  <c r="C13" i="22"/>
  <c r="AB12" i="22"/>
  <c r="AA12" i="22"/>
  <c r="Z12" i="22"/>
  <c r="Y12" i="22"/>
  <c r="X12" i="22"/>
  <c r="W12" i="22"/>
  <c r="V12" i="22"/>
  <c r="U12" i="22"/>
  <c r="S12" i="22"/>
  <c r="R12" i="22"/>
  <c r="Q12" i="22"/>
  <c r="P12" i="22"/>
  <c r="O12" i="22"/>
  <c r="N12" i="22"/>
  <c r="M12" i="22"/>
  <c r="L12" i="22"/>
  <c r="J12" i="22"/>
  <c r="I12" i="22"/>
  <c r="H12" i="22"/>
  <c r="G12" i="22"/>
  <c r="F12" i="22"/>
  <c r="E12" i="22"/>
  <c r="D12" i="22"/>
  <c r="C12" i="22"/>
  <c r="C40" i="54" l="1"/>
  <c r="A41" i="54"/>
  <c r="B40" i="54"/>
  <c r="C84" i="52"/>
  <c r="D84" i="52"/>
  <c r="B84" i="52"/>
  <c r="C86" i="2"/>
  <c r="A87" i="2"/>
  <c r="B86" i="2"/>
  <c r="A85" i="52"/>
  <c r="A41" i="53"/>
  <c r="B40" i="53"/>
  <c r="C40" i="53"/>
  <c r="AB11" i="22"/>
  <c r="AA11" i="22"/>
  <c r="Z11" i="22"/>
  <c r="Y11" i="22"/>
  <c r="X11" i="22"/>
  <c r="W11" i="22"/>
  <c r="V11" i="22"/>
  <c r="U11" i="22"/>
  <c r="S11" i="22"/>
  <c r="R11" i="22"/>
  <c r="Q11" i="22"/>
  <c r="P11" i="22"/>
  <c r="O11" i="22"/>
  <c r="N11" i="22"/>
  <c r="M11" i="22"/>
  <c r="L11" i="22"/>
  <c r="J11" i="22"/>
  <c r="I11" i="22"/>
  <c r="H11" i="22"/>
  <c r="G11" i="22"/>
  <c r="F11" i="22"/>
  <c r="E11" i="22"/>
  <c r="D11" i="22"/>
  <c r="C11" i="22"/>
  <c r="AB10" i="22"/>
  <c r="AA10" i="22"/>
  <c r="Z10" i="22"/>
  <c r="Y10" i="22"/>
  <c r="X10" i="22"/>
  <c r="W10" i="22"/>
  <c r="V10" i="22"/>
  <c r="U10" i="22"/>
  <c r="S10" i="22"/>
  <c r="R10" i="22"/>
  <c r="Q10" i="22"/>
  <c r="P10" i="22"/>
  <c r="O10" i="22"/>
  <c r="N10" i="22"/>
  <c r="M10" i="22"/>
  <c r="L10" i="22"/>
  <c r="J10" i="22"/>
  <c r="I10" i="22"/>
  <c r="H10" i="22"/>
  <c r="G10" i="22"/>
  <c r="F10" i="22"/>
  <c r="E10" i="22"/>
  <c r="D10" i="22"/>
  <c r="C10" i="22"/>
  <c r="AB9" i="22"/>
  <c r="AA9" i="22"/>
  <c r="Z9" i="22"/>
  <c r="Y9" i="22"/>
  <c r="X9" i="22"/>
  <c r="W9" i="22"/>
  <c r="V9" i="22"/>
  <c r="U9" i="22"/>
  <c r="S9" i="22"/>
  <c r="R9" i="22"/>
  <c r="Q9" i="22"/>
  <c r="P9" i="22"/>
  <c r="O9" i="22"/>
  <c r="N9" i="22"/>
  <c r="M9" i="22"/>
  <c r="L9" i="22"/>
  <c r="J9" i="22"/>
  <c r="I9" i="22"/>
  <c r="H9" i="22"/>
  <c r="G9" i="22"/>
  <c r="F9" i="22"/>
  <c r="E9" i="22"/>
  <c r="D9" i="22"/>
  <c r="C9" i="22"/>
  <c r="AB8" i="22"/>
  <c r="AA8" i="22"/>
  <c r="Z8" i="22"/>
  <c r="Y8" i="22"/>
  <c r="X8" i="22"/>
  <c r="W8" i="22"/>
  <c r="V8" i="22"/>
  <c r="U8" i="22"/>
  <c r="S8" i="22"/>
  <c r="R8" i="22"/>
  <c r="Q8" i="22"/>
  <c r="P8" i="22"/>
  <c r="O8" i="22"/>
  <c r="N8" i="22"/>
  <c r="M8" i="22"/>
  <c r="L8" i="22"/>
  <c r="J8" i="22"/>
  <c r="I8" i="22"/>
  <c r="H8" i="22"/>
  <c r="G8" i="22"/>
  <c r="F8" i="22"/>
  <c r="E8" i="22"/>
  <c r="D8" i="22"/>
  <c r="C8" i="22"/>
  <c r="A42" i="54" l="1"/>
  <c r="B41" i="54"/>
  <c r="C41" i="54"/>
  <c r="C85" i="52"/>
  <c r="D85" i="52"/>
  <c r="B85" i="52"/>
  <c r="A88" i="2"/>
  <c r="B87" i="2"/>
  <c r="C87" i="2"/>
  <c r="A86" i="52"/>
  <c r="C41" i="53"/>
  <c r="A42" i="53"/>
  <c r="B41" i="53"/>
  <c r="AB7" i="22"/>
  <c r="AA7" i="22"/>
  <c r="Z7" i="22"/>
  <c r="Y7" i="22"/>
  <c r="X7" i="22"/>
  <c r="W7" i="22"/>
  <c r="V7" i="22"/>
  <c r="U7" i="22"/>
  <c r="S7" i="22"/>
  <c r="R7" i="22"/>
  <c r="Q7" i="22"/>
  <c r="P7" i="22"/>
  <c r="O7" i="22"/>
  <c r="N7" i="22"/>
  <c r="M7" i="22"/>
  <c r="L7" i="22"/>
  <c r="J7" i="22"/>
  <c r="I7" i="22"/>
  <c r="H7" i="22"/>
  <c r="G7" i="22"/>
  <c r="F7" i="22"/>
  <c r="E7" i="22"/>
  <c r="D7" i="22"/>
  <c r="C7" i="22"/>
  <c r="AB6" i="22"/>
  <c r="AA6" i="22"/>
  <c r="Z6" i="22"/>
  <c r="Y6" i="22"/>
  <c r="X6" i="22"/>
  <c r="W6" i="22"/>
  <c r="V6" i="22"/>
  <c r="U6" i="22"/>
  <c r="S6" i="22"/>
  <c r="R6" i="22"/>
  <c r="Q6" i="22"/>
  <c r="P6" i="22"/>
  <c r="O6" i="22"/>
  <c r="N6" i="22"/>
  <c r="M6" i="22"/>
  <c r="L6" i="22"/>
  <c r="J6" i="22"/>
  <c r="I6" i="22"/>
  <c r="H6" i="22"/>
  <c r="G6" i="22"/>
  <c r="F6" i="22"/>
  <c r="E6" i="22"/>
  <c r="D6" i="22"/>
  <c r="C6" i="22"/>
  <c r="AB5" i="22"/>
  <c r="AA5" i="22"/>
  <c r="Z5" i="22"/>
  <c r="Y5" i="22"/>
  <c r="X5" i="22"/>
  <c r="W5" i="22"/>
  <c r="V5" i="22"/>
  <c r="U5" i="22"/>
  <c r="S5" i="22"/>
  <c r="R5" i="22"/>
  <c r="Q5" i="22"/>
  <c r="P5" i="22"/>
  <c r="O5" i="22"/>
  <c r="N5" i="22"/>
  <c r="M5" i="22"/>
  <c r="L5" i="22"/>
  <c r="J5" i="22"/>
  <c r="I5" i="22"/>
  <c r="H5" i="22"/>
  <c r="G5" i="22"/>
  <c r="F5" i="22"/>
  <c r="E5" i="22"/>
  <c r="D5" i="22"/>
  <c r="C5" i="22"/>
  <c r="L1" i="22"/>
  <c r="C38" i="17"/>
  <c r="AB35" i="17"/>
  <c r="AA35" i="17"/>
  <c r="Z35" i="17"/>
  <c r="Y35" i="17"/>
  <c r="X35" i="17"/>
  <c r="W35" i="17"/>
  <c r="V35" i="17"/>
  <c r="U35" i="17"/>
  <c r="S35" i="17"/>
  <c r="R35" i="17"/>
  <c r="Q35" i="17"/>
  <c r="P35" i="17"/>
  <c r="O35" i="17"/>
  <c r="N35" i="17"/>
  <c r="M35" i="17"/>
  <c r="L35" i="17"/>
  <c r="J35" i="17"/>
  <c r="I35" i="17"/>
  <c r="H35" i="17"/>
  <c r="G35" i="17"/>
  <c r="F35" i="17"/>
  <c r="E35" i="17"/>
  <c r="D35" i="17"/>
  <c r="C35" i="17"/>
  <c r="C42" i="54" l="1"/>
  <c r="A43" i="54"/>
  <c r="B42" i="54"/>
  <c r="C86" i="52"/>
  <c r="D86" i="52"/>
  <c r="B86" i="52"/>
  <c r="C88" i="2"/>
  <c r="A89" i="2"/>
  <c r="B88" i="2"/>
  <c r="B33" i="17" s="1"/>
  <c r="A87" i="52"/>
  <c r="A43" i="53"/>
  <c r="B42" i="53"/>
  <c r="C42" i="53"/>
  <c r="AB34" i="17"/>
  <c r="AA34" i="17"/>
  <c r="Z34" i="17"/>
  <c r="Y34" i="17"/>
  <c r="X34" i="17"/>
  <c r="W34" i="17"/>
  <c r="V34" i="17"/>
  <c r="U34" i="17"/>
  <c r="S34" i="17"/>
  <c r="R34" i="17"/>
  <c r="Q34" i="17"/>
  <c r="P34" i="17"/>
  <c r="O34" i="17"/>
  <c r="N34" i="17"/>
  <c r="M34" i="17"/>
  <c r="L34" i="17"/>
  <c r="J34" i="17"/>
  <c r="I34" i="17"/>
  <c r="H34" i="17"/>
  <c r="G34" i="17"/>
  <c r="F34" i="17"/>
  <c r="E34" i="17"/>
  <c r="D34" i="17"/>
  <c r="C34" i="17"/>
  <c r="A34" i="17"/>
  <c r="AB33" i="17"/>
  <c r="AA33" i="17"/>
  <c r="Z33" i="17"/>
  <c r="Y33" i="17"/>
  <c r="X33" i="17"/>
  <c r="W33" i="17"/>
  <c r="V33" i="17"/>
  <c r="U33" i="17"/>
  <c r="S33" i="17"/>
  <c r="R33" i="17"/>
  <c r="Q33" i="17"/>
  <c r="P33" i="17"/>
  <c r="O33" i="17"/>
  <c r="N33" i="17"/>
  <c r="M33" i="17"/>
  <c r="L33" i="17"/>
  <c r="J33" i="17"/>
  <c r="I33" i="17"/>
  <c r="H33" i="17"/>
  <c r="G33" i="17"/>
  <c r="F33" i="17"/>
  <c r="E33" i="17"/>
  <c r="D33" i="17"/>
  <c r="C33" i="17"/>
  <c r="A33" i="17"/>
  <c r="AB32" i="17"/>
  <c r="AA32" i="17"/>
  <c r="Z32" i="17"/>
  <c r="Y32" i="17"/>
  <c r="X32" i="17"/>
  <c r="W32" i="17"/>
  <c r="V32" i="17"/>
  <c r="U32" i="17"/>
  <c r="S32" i="17"/>
  <c r="R32" i="17"/>
  <c r="Q32" i="17"/>
  <c r="P32" i="17"/>
  <c r="O32" i="17"/>
  <c r="N32" i="17"/>
  <c r="M32" i="17"/>
  <c r="L32" i="17"/>
  <c r="J32" i="17"/>
  <c r="I32" i="17"/>
  <c r="H32" i="17"/>
  <c r="G32" i="17"/>
  <c r="F32" i="17"/>
  <c r="E32" i="17"/>
  <c r="D32" i="17"/>
  <c r="C32" i="17"/>
  <c r="B32" i="17"/>
  <c r="A32" i="17"/>
  <c r="AB31" i="17"/>
  <c r="AA31" i="17"/>
  <c r="Z31" i="17"/>
  <c r="Y31" i="17"/>
  <c r="X31" i="17"/>
  <c r="W31" i="17"/>
  <c r="V31" i="17"/>
  <c r="U31" i="17"/>
  <c r="S31" i="17"/>
  <c r="R31" i="17"/>
  <c r="Q31" i="17"/>
  <c r="P31" i="17"/>
  <c r="O31" i="17"/>
  <c r="N31" i="17"/>
  <c r="M31" i="17"/>
  <c r="L31" i="17"/>
  <c r="J31" i="17"/>
  <c r="I31" i="17"/>
  <c r="H31" i="17"/>
  <c r="G31" i="17"/>
  <c r="F31" i="17"/>
  <c r="E31" i="17"/>
  <c r="D31" i="17"/>
  <c r="C31" i="17"/>
  <c r="A44" i="54" l="1"/>
  <c r="B43" i="54"/>
  <c r="C43" i="54"/>
  <c r="C87" i="52"/>
  <c r="B87" i="52"/>
  <c r="D87" i="52"/>
  <c r="A90" i="2"/>
  <c r="B89" i="2"/>
  <c r="B34" i="17" s="1"/>
  <c r="C89" i="2"/>
  <c r="A88" i="52"/>
  <c r="C43" i="53"/>
  <c r="A44" i="53"/>
  <c r="B43" i="53"/>
  <c r="B31" i="17"/>
  <c r="A31" i="17"/>
  <c r="AB30" i="17"/>
  <c r="AA30" i="17"/>
  <c r="Z30" i="17"/>
  <c r="Y30" i="17"/>
  <c r="X30" i="17"/>
  <c r="W30" i="17"/>
  <c r="V30" i="17"/>
  <c r="U30" i="17"/>
  <c r="S30" i="17"/>
  <c r="R30" i="17"/>
  <c r="Q30" i="17"/>
  <c r="P30" i="17"/>
  <c r="O30" i="17"/>
  <c r="N30" i="17"/>
  <c r="M30" i="17"/>
  <c r="L30" i="17"/>
  <c r="J30" i="17"/>
  <c r="I30" i="17"/>
  <c r="H30" i="17"/>
  <c r="G30" i="17"/>
  <c r="F30" i="17"/>
  <c r="E30" i="17"/>
  <c r="D30" i="17"/>
  <c r="C30" i="17"/>
  <c r="B30" i="17"/>
  <c r="A30" i="17"/>
  <c r="AB29" i="17"/>
  <c r="AA29" i="17"/>
  <c r="Z29" i="17"/>
  <c r="Y29" i="17"/>
  <c r="X29" i="17"/>
  <c r="W29" i="17"/>
  <c r="V29" i="17"/>
  <c r="U29" i="17"/>
  <c r="S29" i="17"/>
  <c r="R29" i="17"/>
  <c r="Q29" i="17"/>
  <c r="P29" i="17"/>
  <c r="O29" i="17"/>
  <c r="N29" i="17"/>
  <c r="M29" i="17"/>
  <c r="L29" i="17"/>
  <c r="J29" i="17"/>
  <c r="I29" i="17"/>
  <c r="H29" i="17"/>
  <c r="G29" i="17"/>
  <c r="F29" i="17"/>
  <c r="E29" i="17"/>
  <c r="D29" i="17"/>
  <c r="C29" i="17"/>
  <c r="B29" i="17"/>
  <c r="A29" i="17"/>
  <c r="AB28" i="17"/>
  <c r="AA28" i="17"/>
  <c r="Z28" i="17"/>
  <c r="Y28" i="17"/>
  <c r="X28" i="17"/>
  <c r="W28" i="17"/>
  <c r="V28" i="17"/>
  <c r="U28" i="17"/>
  <c r="S28" i="17"/>
  <c r="R28" i="17"/>
  <c r="Q28" i="17"/>
  <c r="P28" i="17"/>
  <c r="O28" i="17"/>
  <c r="N28" i="17"/>
  <c r="M28" i="17"/>
  <c r="L28" i="17"/>
  <c r="J28" i="17"/>
  <c r="I28" i="17"/>
  <c r="H28" i="17"/>
  <c r="G28" i="17"/>
  <c r="F28" i="17"/>
  <c r="E28" i="17"/>
  <c r="D28" i="17"/>
  <c r="C28" i="17"/>
  <c r="B28" i="17"/>
  <c r="A28" i="17"/>
  <c r="AB27" i="17"/>
  <c r="AA27" i="17"/>
  <c r="Z27" i="17"/>
  <c r="Y27" i="17"/>
  <c r="X27" i="17"/>
  <c r="W27" i="17"/>
  <c r="V27" i="17"/>
  <c r="U27" i="17"/>
  <c r="S27" i="17"/>
  <c r="R27" i="17"/>
  <c r="Q27" i="17"/>
  <c r="P27" i="17"/>
  <c r="O27" i="17"/>
  <c r="N27" i="17"/>
  <c r="M27" i="17"/>
  <c r="L27" i="17"/>
  <c r="J27" i="17"/>
  <c r="I27" i="17"/>
  <c r="H27" i="17"/>
  <c r="G27" i="17"/>
  <c r="F27" i="17"/>
  <c r="E27" i="17"/>
  <c r="D27" i="17"/>
  <c r="C27" i="17"/>
  <c r="B27" i="17"/>
  <c r="A27" i="17"/>
  <c r="AB26" i="17"/>
  <c r="AA26" i="17"/>
  <c r="Z26" i="17"/>
  <c r="Y26" i="17"/>
  <c r="X26" i="17"/>
  <c r="W26" i="17"/>
  <c r="V26" i="17"/>
  <c r="U26" i="17"/>
  <c r="S26" i="17"/>
  <c r="R26" i="17"/>
  <c r="Q26" i="17"/>
  <c r="P26" i="17"/>
  <c r="O26" i="17"/>
  <c r="M26" i="17"/>
  <c r="L26" i="17"/>
  <c r="J26" i="17"/>
  <c r="I26" i="17"/>
  <c r="H26" i="17"/>
  <c r="G26" i="17"/>
  <c r="F26" i="17"/>
  <c r="E26" i="17"/>
  <c r="D26" i="17"/>
  <c r="C26" i="17"/>
  <c r="B26" i="17"/>
  <c r="A26" i="17"/>
  <c r="AB25" i="17"/>
  <c r="AA25" i="17"/>
  <c r="Z25" i="17"/>
  <c r="Y25" i="17"/>
  <c r="X25" i="17"/>
  <c r="W25" i="17"/>
  <c r="V25" i="17"/>
  <c r="U25" i="17"/>
  <c r="S25" i="17"/>
  <c r="R25" i="17"/>
  <c r="Q25" i="17"/>
  <c r="P25" i="17"/>
  <c r="O25" i="17"/>
  <c r="N25" i="17"/>
  <c r="M25" i="17"/>
  <c r="L25" i="17"/>
  <c r="J25" i="17"/>
  <c r="I25" i="17"/>
  <c r="H25" i="17"/>
  <c r="G25" i="17"/>
  <c r="F25" i="17"/>
  <c r="E25" i="17"/>
  <c r="D25" i="17"/>
  <c r="C25" i="17"/>
  <c r="B25" i="17"/>
  <c r="A25" i="17"/>
  <c r="AB24" i="17"/>
  <c r="AA24" i="17"/>
  <c r="Z24" i="17"/>
  <c r="Y24" i="17"/>
  <c r="X24" i="17"/>
  <c r="W24" i="17"/>
  <c r="V24" i="17"/>
  <c r="U24" i="17"/>
  <c r="S24" i="17"/>
  <c r="R24" i="17"/>
  <c r="Q24" i="17"/>
  <c r="P24" i="17"/>
  <c r="O24" i="17"/>
  <c r="N24" i="17"/>
  <c r="M24" i="17"/>
  <c r="L24" i="17"/>
  <c r="J24" i="17"/>
  <c r="I24" i="17"/>
  <c r="H24" i="17"/>
  <c r="G24" i="17"/>
  <c r="F24" i="17"/>
  <c r="E24" i="17"/>
  <c r="D24" i="17"/>
  <c r="C24" i="17"/>
  <c r="B24" i="17"/>
  <c r="A24" i="17"/>
  <c r="AB23" i="17"/>
  <c r="AA23" i="17"/>
  <c r="Z23" i="17"/>
  <c r="Y23" i="17"/>
  <c r="X23" i="17"/>
  <c r="W23" i="17"/>
  <c r="V23" i="17"/>
  <c r="U23" i="17"/>
  <c r="S23" i="17"/>
  <c r="R23" i="17"/>
  <c r="Q23" i="17"/>
  <c r="P23" i="17"/>
  <c r="O23" i="17"/>
  <c r="N23" i="17"/>
  <c r="M23" i="17"/>
  <c r="L23" i="17"/>
  <c r="J23" i="17"/>
  <c r="I23" i="17"/>
  <c r="H23" i="17"/>
  <c r="G23" i="17"/>
  <c r="F23" i="17"/>
  <c r="E23" i="17"/>
  <c r="D23" i="17"/>
  <c r="C23" i="17"/>
  <c r="B23" i="17"/>
  <c r="A23" i="17"/>
  <c r="AB22" i="17"/>
  <c r="AA22" i="17"/>
  <c r="Z22" i="17"/>
  <c r="Y22" i="17"/>
  <c r="X22" i="17"/>
  <c r="W22" i="17"/>
  <c r="V22" i="17"/>
  <c r="U22" i="17"/>
  <c r="S22" i="17"/>
  <c r="R22" i="17"/>
  <c r="Q22" i="17"/>
  <c r="P22" i="17"/>
  <c r="O22" i="17"/>
  <c r="N22" i="17"/>
  <c r="M22" i="17"/>
  <c r="L22" i="17"/>
  <c r="J22" i="17"/>
  <c r="I22" i="17"/>
  <c r="H22" i="17"/>
  <c r="G22" i="17"/>
  <c r="F22" i="17"/>
  <c r="E22" i="17"/>
  <c r="D22" i="17"/>
  <c r="C22" i="17"/>
  <c r="B22" i="17"/>
  <c r="A22" i="17"/>
  <c r="AB21" i="17"/>
  <c r="AA21" i="17"/>
  <c r="Z21" i="17"/>
  <c r="Y21" i="17"/>
  <c r="X21" i="17"/>
  <c r="W21" i="17"/>
  <c r="V21" i="17"/>
  <c r="U21" i="17"/>
  <c r="S21" i="17"/>
  <c r="R21" i="17"/>
  <c r="Q21" i="17"/>
  <c r="P21" i="17"/>
  <c r="O21" i="17"/>
  <c r="N21" i="17"/>
  <c r="M21" i="17"/>
  <c r="L21" i="17"/>
  <c r="J21" i="17"/>
  <c r="I21" i="17"/>
  <c r="H21" i="17"/>
  <c r="G21" i="17"/>
  <c r="F21" i="17"/>
  <c r="E21" i="17"/>
  <c r="D21" i="17"/>
  <c r="C21" i="17"/>
  <c r="B21" i="17"/>
  <c r="A21" i="17"/>
  <c r="AB20" i="17"/>
  <c r="AA20" i="17"/>
  <c r="Z20" i="17"/>
  <c r="Y20" i="17"/>
  <c r="X20" i="17"/>
  <c r="W20" i="17"/>
  <c r="V20" i="17"/>
  <c r="U20" i="17"/>
  <c r="S20" i="17"/>
  <c r="R20" i="17"/>
  <c r="Q20" i="17"/>
  <c r="P20" i="17"/>
  <c r="O20" i="17"/>
  <c r="N20" i="17"/>
  <c r="M20" i="17"/>
  <c r="L20" i="17"/>
  <c r="J20" i="17"/>
  <c r="I20" i="17"/>
  <c r="H20" i="17"/>
  <c r="G20" i="17"/>
  <c r="F20" i="17"/>
  <c r="E20" i="17"/>
  <c r="D20" i="17"/>
  <c r="C20" i="17"/>
  <c r="B20" i="17"/>
  <c r="A20" i="17"/>
  <c r="AB19" i="17"/>
  <c r="AA19" i="17"/>
  <c r="Z19" i="17"/>
  <c r="Y19" i="17"/>
  <c r="X19" i="17"/>
  <c r="W19" i="17"/>
  <c r="V19" i="17"/>
  <c r="U19" i="17"/>
  <c r="S19" i="17"/>
  <c r="R19" i="17"/>
  <c r="Q19" i="17"/>
  <c r="P19" i="17"/>
  <c r="O19" i="17"/>
  <c r="N19" i="17"/>
  <c r="M19" i="17"/>
  <c r="L19" i="17"/>
  <c r="J19" i="17"/>
  <c r="I19" i="17"/>
  <c r="H19" i="17"/>
  <c r="G19" i="17"/>
  <c r="F19" i="17"/>
  <c r="E19" i="17"/>
  <c r="D19" i="17"/>
  <c r="C19" i="17"/>
  <c r="B19" i="17"/>
  <c r="A19" i="17"/>
  <c r="AB18" i="17"/>
  <c r="AA18" i="17"/>
  <c r="Z18" i="17"/>
  <c r="Y18" i="17"/>
  <c r="X18" i="17"/>
  <c r="W18" i="17"/>
  <c r="V18" i="17"/>
  <c r="U18" i="17"/>
  <c r="S18" i="17"/>
  <c r="R18" i="17"/>
  <c r="Q18" i="17"/>
  <c r="P18" i="17"/>
  <c r="O18" i="17"/>
  <c r="N18" i="17"/>
  <c r="M18" i="17"/>
  <c r="L18" i="17"/>
  <c r="J18" i="17"/>
  <c r="I18" i="17"/>
  <c r="H18" i="17"/>
  <c r="G18" i="17"/>
  <c r="F18" i="17"/>
  <c r="E18" i="17"/>
  <c r="D18" i="17"/>
  <c r="C18" i="17"/>
  <c r="B18" i="17"/>
  <c r="A18" i="17"/>
  <c r="AB17" i="17"/>
  <c r="AA17" i="17"/>
  <c r="Z17" i="17"/>
  <c r="Y17" i="17"/>
  <c r="X17" i="17"/>
  <c r="W17" i="17"/>
  <c r="V17" i="17"/>
  <c r="U17" i="17"/>
  <c r="S17" i="17"/>
  <c r="R17" i="17"/>
  <c r="Q17" i="17"/>
  <c r="P17" i="17"/>
  <c r="O17" i="17"/>
  <c r="N17" i="17"/>
  <c r="M17" i="17"/>
  <c r="L17" i="17"/>
  <c r="J17" i="17"/>
  <c r="I17" i="17"/>
  <c r="H17" i="17"/>
  <c r="G17" i="17"/>
  <c r="F17" i="17"/>
  <c r="E17" i="17"/>
  <c r="D17" i="17"/>
  <c r="C17" i="17"/>
  <c r="B17" i="17"/>
  <c r="A17" i="17"/>
  <c r="AB16" i="17"/>
  <c r="AA16" i="17"/>
  <c r="Z16" i="17"/>
  <c r="Y16" i="17"/>
  <c r="X16" i="17"/>
  <c r="W16" i="17"/>
  <c r="V16" i="17"/>
  <c r="U16" i="17"/>
  <c r="S16" i="17"/>
  <c r="R16" i="17"/>
  <c r="Q16" i="17"/>
  <c r="P16" i="17"/>
  <c r="O16" i="17"/>
  <c r="N16" i="17"/>
  <c r="M16" i="17"/>
  <c r="L16" i="17"/>
  <c r="J16" i="17"/>
  <c r="I16" i="17"/>
  <c r="H16" i="17"/>
  <c r="G16" i="17"/>
  <c r="F16" i="17"/>
  <c r="E16" i="17"/>
  <c r="D16" i="17"/>
  <c r="C16" i="17"/>
  <c r="B16" i="17"/>
  <c r="A16" i="17"/>
  <c r="AB15" i="17"/>
  <c r="AA15" i="17"/>
  <c r="Z15" i="17"/>
  <c r="Y15" i="17"/>
  <c r="X15" i="17"/>
  <c r="W15" i="17"/>
  <c r="V15" i="17"/>
  <c r="U15" i="17"/>
  <c r="S15" i="17"/>
  <c r="R15" i="17"/>
  <c r="Q15" i="17"/>
  <c r="P15" i="17"/>
  <c r="O15" i="17"/>
  <c r="N15" i="17"/>
  <c r="M15" i="17"/>
  <c r="L15" i="17"/>
  <c r="J15" i="17"/>
  <c r="I15" i="17"/>
  <c r="H15" i="17"/>
  <c r="G15" i="17"/>
  <c r="F15" i="17"/>
  <c r="E15" i="17"/>
  <c r="D15" i="17"/>
  <c r="C15" i="17"/>
  <c r="B15" i="17"/>
  <c r="A15" i="17"/>
  <c r="AB14" i="17"/>
  <c r="AA14" i="17"/>
  <c r="Z14" i="17"/>
  <c r="Y14" i="17"/>
  <c r="X14" i="17"/>
  <c r="W14" i="17"/>
  <c r="V14" i="17"/>
  <c r="U14" i="17"/>
  <c r="S14" i="17"/>
  <c r="R14" i="17"/>
  <c r="Q14" i="17"/>
  <c r="P14" i="17"/>
  <c r="O14" i="17"/>
  <c r="N14" i="17"/>
  <c r="M14" i="17"/>
  <c r="L14" i="17"/>
  <c r="J14" i="17"/>
  <c r="I14" i="17"/>
  <c r="H14" i="17"/>
  <c r="G14" i="17"/>
  <c r="F14" i="17"/>
  <c r="E14" i="17"/>
  <c r="D14" i="17"/>
  <c r="C14" i="17"/>
  <c r="B14" i="17"/>
  <c r="A14" i="17"/>
  <c r="AB13" i="17"/>
  <c r="AA13" i="17"/>
  <c r="Z13" i="17"/>
  <c r="Y13" i="17"/>
  <c r="X13" i="17"/>
  <c r="W13" i="17"/>
  <c r="V13" i="17"/>
  <c r="U13" i="17"/>
  <c r="S13" i="17"/>
  <c r="R13" i="17"/>
  <c r="Q13" i="17"/>
  <c r="P13" i="17"/>
  <c r="O13" i="17"/>
  <c r="N13" i="17"/>
  <c r="M13" i="17"/>
  <c r="L13" i="17"/>
  <c r="J13" i="17"/>
  <c r="I13" i="17"/>
  <c r="H13" i="17"/>
  <c r="G13" i="17"/>
  <c r="F13" i="17"/>
  <c r="E13" i="17"/>
  <c r="D13" i="17"/>
  <c r="C13" i="17"/>
  <c r="B13" i="17"/>
  <c r="A13" i="17"/>
  <c r="AB12" i="17"/>
  <c r="AA12" i="17"/>
  <c r="Z12" i="17"/>
  <c r="Y12" i="17"/>
  <c r="X12" i="17"/>
  <c r="W12" i="17"/>
  <c r="V12" i="17"/>
  <c r="U12" i="17"/>
  <c r="S12" i="17"/>
  <c r="R12" i="17"/>
  <c r="Q12" i="17"/>
  <c r="P12" i="17"/>
  <c r="O12" i="17"/>
  <c r="N12" i="17"/>
  <c r="M12" i="17"/>
  <c r="L12" i="17"/>
  <c r="J12" i="17"/>
  <c r="I12" i="17"/>
  <c r="H12" i="17"/>
  <c r="G12" i="17"/>
  <c r="F12" i="17"/>
  <c r="E12" i="17"/>
  <c r="D12" i="17"/>
  <c r="C12" i="17"/>
  <c r="B12" i="17"/>
  <c r="A12" i="17"/>
  <c r="AB11" i="17"/>
  <c r="AA11" i="17"/>
  <c r="Z11" i="17"/>
  <c r="Y11" i="17"/>
  <c r="X11" i="17"/>
  <c r="W11" i="17"/>
  <c r="V11" i="17"/>
  <c r="U11" i="17"/>
  <c r="S11" i="17"/>
  <c r="R11" i="17"/>
  <c r="Q11" i="17"/>
  <c r="P11" i="17"/>
  <c r="O11" i="17"/>
  <c r="N11" i="17"/>
  <c r="M11" i="17"/>
  <c r="L11" i="17"/>
  <c r="J11" i="17"/>
  <c r="I11" i="17"/>
  <c r="H11" i="17"/>
  <c r="G11" i="17"/>
  <c r="F11" i="17"/>
  <c r="E11" i="17"/>
  <c r="D11" i="17"/>
  <c r="C11" i="17"/>
  <c r="B11" i="17"/>
  <c r="A11" i="17"/>
  <c r="AB10" i="17"/>
  <c r="AA10" i="17"/>
  <c r="Z10" i="17"/>
  <c r="Y10" i="17"/>
  <c r="X10" i="17"/>
  <c r="W10" i="17"/>
  <c r="V10" i="17"/>
  <c r="U10" i="17"/>
  <c r="S10" i="17"/>
  <c r="R10" i="17"/>
  <c r="Q10" i="17"/>
  <c r="P10" i="17"/>
  <c r="O10" i="17"/>
  <c r="N10" i="17"/>
  <c r="M10" i="17"/>
  <c r="L10" i="17"/>
  <c r="J10" i="17"/>
  <c r="I10" i="17"/>
  <c r="H10" i="17"/>
  <c r="G10" i="17"/>
  <c r="F10" i="17"/>
  <c r="E10" i="17"/>
  <c r="D10" i="17"/>
  <c r="C10" i="17"/>
  <c r="B10" i="17"/>
  <c r="A10" i="17"/>
  <c r="AB9" i="17"/>
  <c r="AA9" i="17"/>
  <c r="Z9" i="17"/>
  <c r="Y9" i="17"/>
  <c r="X9" i="17"/>
  <c r="W9" i="17"/>
  <c r="V9" i="17"/>
  <c r="U9" i="17"/>
  <c r="S9" i="17"/>
  <c r="R9" i="17"/>
  <c r="Q9" i="17"/>
  <c r="P9" i="17"/>
  <c r="O9" i="17"/>
  <c r="N9" i="17"/>
  <c r="M9" i="17"/>
  <c r="L9" i="17"/>
  <c r="J9" i="17"/>
  <c r="I9" i="17"/>
  <c r="H9" i="17"/>
  <c r="G9" i="17"/>
  <c r="F9" i="17"/>
  <c r="E9" i="17"/>
  <c r="D9" i="17"/>
  <c r="C9" i="17"/>
  <c r="B9" i="17"/>
  <c r="A9" i="17"/>
  <c r="AB8" i="17"/>
  <c r="AA8" i="17"/>
  <c r="Z8" i="17"/>
  <c r="Y8" i="17"/>
  <c r="X8" i="17"/>
  <c r="W8" i="17"/>
  <c r="V8" i="17"/>
  <c r="U8" i="17"/>
  <c r="S8" i="17"/>
  <c r="R8" i="17"/>
  <c r="Q8" i="17"/>
  <c r="P8" i="17"/>
  <c r="O8" i="17"/>
  <c r="N8" i="17"/>
  <c r="M8" i="17"/>
  <c r="L8" i="17"/>
  <c r="J8" i="17"/>
  <c r="I8" i="17"/>
  <c r="H8" i="17"/>
  <c r="G8" i="17"/>
  <c r="F8" i="17"/>
  <c r="E8" i="17"/>
  <c r="D8" i="17"/>
  <c r="C8" i="17"/>
  <c r="B8" i="17"/>
  <c r="A8" i="17"/>
  <c r="AB7" i="17"/>
  <c r="AA7" i="17"/>
  <c r="Z7" i="17"/>
  <c r="Y7" i="17"/>
  <c r="X7" i="17"/>
  <c r="W7" i="17"/>
  <c r="V7" i="17"/>
  <c r="U7" i="17"/>
  <c r="S7" i="17"/>
  <c r="R7" i="17"/>
  <c r="Q7" i="17"/>
  <c r="P7" i="17"/>
  <c r="O7" i="17"/>
  <c r="N7" i="17"/>
  <c r="M7" i="17"/>
  <c r="L7" i="17"/>
  <c r="J7" i="17"/>
  <c r="I7" i="17"/>
  <c r="H7" i="17"/>
  <c r="G7" i="17"/>
  <c r="F7" i="17"/>
  <c r="E7" i="17"/>
  <c r="D7" i="17"/>
  <c r="C7" i="17"/>
  <c r="B7" i="17"/>
  <c r="A7" i="17"/>
  <c r="AB6" i="17"/>
  <c r="AA6" i="17"/>
  <c r="Z6" i="17"/>
  <c r="Y6" i="17"/>
  <c r="X6" i="17"/>
  <c r="W6" i="17"/>
  <c r="V6" i="17"/>
  <c r="U6" i="17"/>
  <c r="S6" i="17"/>
  <c r="R6" i="17"/>
  <c r="Q6" i="17"/>
  <c r="P6" i="17"/>
  <c r="O6" i="17"/>
  <c r="N6" i="17"/>
  <c r="M6" i="17"/>
  <c r="L6" i="17"/>
  <c r="J6" i="17"/>
  <c r="I6" i="17"/>
  <c r="H6" i="17"/>
  <c r="G6" i="17"/>
  <c r="F6" i="17"/>
  <c r="E6" i="17"/>
  <c r="D6" i="17"/>
  <c r="C6" i="17"/>
  <c r="B6" i="17"/>
  <c r="A6" i="17"/>
  <c r="AB5" i="17"/>
  <c r="AA5" i="17"/>
  <c r="Z5" i="17"/>
  <c r="Y5" i="17"/>
  <c r="X5" i="17"/>
  <c r="W5" i="17"/>
  <c r="V5" i="17"/>
  <c r="U5" i="17"/>
  <c r="S5" i="17"/>
  <c r="R5" i="17"/>
  <c r="Q5" i="17"/>
  <c r="P5" i="17"/>
  <c r="O5" i="17"/>
  <c r="N5" i="17"/>
  <c r="M5" i="17"/>
  <c r="L5" i="17"/>
  <c r="J5" i="17"/>
  <c r="I5" i="17"/>
  <c r="H5" i="17"/>
  <c r="G5" i="17"/>
  <c r="F5" i="17"/>
  <c r="E5" i="17"/>
  <c r="D5" i="17"/>
  <c r="C5" i="17"/>
  <c r="B5" i="17"/>
  <c r="A5" i="17"/>
  <c r="L1" i="17"/>
  <c r="C38" i="14"/>
  <c r="AB35" i="14"/>
  <c r="AA35" i="14"/>
  <c r="Z35" i="14"/>
  <c r="Y35" i="14"/>
  <c r="X35" i="14"/>
  <c r="W35" i="14"/>
  <c r="V35" i="14"/>
  <c r="U35" i="14"/>
  <c r="S35" i="14"/>
  <c r="R35" i="14"/>
  <c r="Q35" i="14"/>
  <c r="P35" i="14"/>
  <c r="O35" i="14"/>
  <c r="N35" i="14"/>
  <c r="M35" i="14"/>
  <c r="L35" i="14"/>
  <c r="J35" i="14"/>
  <c r="I35" i="14"/>
  <c r="H35" i="14"/>
  <c r="G35" i="14"/>
  <c r="F35" i="14"/>
  <c r="E35" i="14"/>
  <c r="D35" i="14"/>
  <c r="C35" i="14"/>
  <c r="AB34" i="14"/>
  <c r="AA34" i="14"/>
  <c r="Z34" i="14"/>
  <c r="Y34" i="14"/>
  <c r="X34" i="14"/>
  <c r="W34" i="14"/>
  <c r="V34" i="14"/>
  <c r="U34" i="14"/>
  <c r="S34" i="14"/>
  <c r="R34" i="14"/>
  <c r="Q34" i="14"/>
  <c r="P34" i="14"/>
  <c r="O34" i="14"/>
  <c r="N34" i="14"/>
  <c r="M34" i="14"/>
  <c r="L34" i="14"/>
  <c r="J34" i="14"/>
  <c r="I34" i="14"/>
  <c r="H34" i="14"/>
  <c r="G34" i="14"/>
  <c r="F34" i="14"/>
  <c r="E34" i="14"/>
  <c r="D34" i="14"/>
  <c r="C34" i="14"/>
  <c r="AB33" i="14"/>
  <c r="AA33" i="14"/>
  <c r="Z33" i="14"/>
  <c r="Y33" i="14"/>
  <c r="X33" i="14"/>
  <c r="W33" i="14"/>
  <c r="V33" i="14"/>
  <c r="U33" i="14"/>
  <c r="S33" i="14"/>
  <c r="R33" i="14"/>
  <c r="Q33" i="14"/>
  <c r="P33" i="14"/>
  <c r="O33" i="14"/>
  <c r="N33" i="14"/>
  <c r="M33" i="14"/>
  <c r="L33" i="14"/>
  <c r="J33" i="14"/>
  <c r="I33" i="14"/>
  <c r="H33" i="14"/>
  <c r="G33" i="14"/>
  <c r="F33" i="14"/>
  <c r="E33" i="14"/>
  <c r="D33" i="14"/>
  <c r="C33" i="14"/>
  <c r="AB32" i="14"/>
  <c r="AA32" i="14"/>
  <c r="Z32" i="14"/>
  <c r="Y32" i="14"/>
  <c r="X32" i="14"/>
  <c r="W32" i="14"/>
  <c r="V32" i="14"/>
  <c r="U32" i="14"/>
  <c r="S32" i="14"/>
  <c r="R32" i="14"/>
  <c r="Q32" i="14"/>
  <c r="P32" i="14"/>
  <c r="O32" i="14"/>
  <c r="N32" i="14"/>
  <c r="M32" i="14"/>
  <c r="L32" i="14"/>
  <c r="J32" i="14"/>
  <c r="I32" i="14"/>
  <c r="H32" i="14"/>
  <c r="G32" i="14"/>
  <c r="F32" i="14"/>
  <c r="E32" i="14"/>
  <c r="D32" i="14"/>
  <c r="C32" i="14"/>
  <c r="B32" i="14"/>
  <c r="A32" i="14"/>
  <c r="AB31" i="14"/>
  <c r="AA31" i="14"/>
  <c r="Z31" i="14"/>
  <c r="Y31" i="14"/>
  <c r="X31" i="14"/>
  <c r="W31" i="14"/>
  <c r="V31" i="14"/>
  <c r="U31" i="14"/>
  <c r="S31" i="14"/>
  <c r="R31" i="14"/>
  <c r="Q31" i="14"/>
  <c r="P31" i="14"/>
  <c r="O31" i="14"/>
  <c r="N31" i="14"/>
  <c r="M31" i="14"/>
  <c r="L31" i="14"/>
  <c r="J31" i="14"/>
  <c r="I31" i="14"/>
  <c r="H31" i="14"/>
  <c r="G31" i="14"/>
  <c r="F31" i="14"/>
  <c r="E31" i="14"/>
  <c r="D31" i="14"/>
  <c r="C31" i="14"/>
  <c r="B31" i="14"/>
  <c r="A31" i="14"/>
  <c r="AB30" i="14"/>
  <c r="AA30" i="14"/>
  <c r="Z30" i="14"/>
  <c r="Y30" i="14"/>
  <c r="X30" i="14"/>
  <c r="W30" i="14"/>
  <c r="V30" i="14"/>
  <c r="U30" i="14"/>
  <c r="S30" i="14"/>
  <c r="R30" i="14"/>
  <c r="Q30" i="14"/>
  <c r="P30" i="14"/>
  <c r="O30" i="14"/>
  <c r="N30" i="14"/>
  <c r="M30" i="14"/>
  <c r="L30" i="14"/>
  <c r="J30" i="14"/>
  <c r="I30" i="14"/>
  <c r="H30" i="14"/>
  <c r="G30" i="14"/>
  <c r="F30" i="14"/>
  <c r="E30" i="14"/>
  <c r="D30" i="14"/>
  <c r="C30" i="14"/>
  <c r="B30" i="14"/>
  <c r="A30" i="14"/>
  <c r="AB29" i="14"/>
  <c r="AA29" i="14"/>
  <c r="Z29" i="14"/>
  <c r="Y29" i="14"/>
  <c r="X29" i="14"/>
  <c r="W29" i="14"/>
  <c r="V29" i="14"/>
  <c r="U29" i="14"/>
  <c r="S29" i="14"/>
  <c r="R29" i="14"/>
  <c r="Q29" i="14"/>
  <c r="P29" i="14"/>
  <c r="O29" i="14"/>
  <c r="N29" i="14"/>
  <c r="M29" i="14"/>
  <c r="L29" i="14"/>
  <c r="J29" i="14"/>
  <c r="I29" i="14"/>
  <c r="H29" i="14"/>
  <c r="G29" i="14"/>
  <c r="F29" i="14"/>
  <c r="E29" i="14"/>
  <c r="D29" i="14"/>
  <c r="C29" i="14"/>
  <c r="B29" i="14"/>
  <c r="A29" i="14"/>
  <c r="AB28" i="14"/>
  <c r="AA28" i="14"/>
  <c r="Z28" i="14"/>
  <c r="Y28" i="14"/>
  <c r="X28" i="14"/>
  <c r="W28" i="14"/>
  <c r="V28" i="14"/>
  <c r="U28" i="14"/>
  <c r="S28" i="14"/>
  <c r="R28" i="14"/>
  <c r="Q28" i="14"/>
  <c r="P28" i="14"/>
  <c r="O28" i="14"/>
  <c r="N28" i="14"/>
  <c r="M28" i="14"/>
  <c r="L28" i="14"/>
  <c r="J28" i="14"/>
  <c r="I28" i="14"/>
  <c r="H28" i="14"/>
  <c r="G28" i="14"/>
  <c r="F28" i="14"/>
  <c r="E28" i="14"/>
  <c r="D28" i="14"/>
  <c r="C28" i="14"/>
  <c r="B28" i="14"/>
  <c r="A28" i="14"/>
  <c r="AB27" i="14"/>
  <c r="AA27" i="14"/>
  <c r="Z27" i="14"/>
  <c r="Y27" i="14"/>
  <c r="X27" i="14"/>
  <c r="W27" i="14"/>
  <c r="V27" i="14"/>
  <c r="U27" i="14"/>
  <c r="S27" i="14"/>
  <c r="R27" i="14"/>
  <c r="Q27" i="14"/>
  <c r="P27" i="14"/>
  <c r="O27" i="14"/>
  <c r="N27" i="14"/>
  <c r="M27" i="14"/>
  <c r="L27" i="14"/>
  <c r="J27" i="14"/>
  <c r="I27" i="14"/>
  <c r="H27" i="14"/>
  <c r="G27" i="14"/>
  <c r="F27" i="14"/>
  <c r="E27" i="14"/>
  <c r="D27" i="14"/>
  <c r="C27" i="14"/>
  <c r="B27" i="14"/>
  <c r="A27" i="14"/>
  <c r="AB26" i="14"/>
  <c r="AA26" i="14"/>
  <c r="Z26" i="14"/>
  <c r="Y26" i="14"/>
  <c r="X26" i="14"/>
  <c r="W26" i="14"/>
  <c r="V26" i="14"/>
  <c r="U26" i="14"/>
  <c r="S26" i="14"/>
  <c r="R26" i="14"/>
  <c r="Q26" i="14"/>
  <c r="P26" i="14"/>
  <c r="O26" i="14"/>
  <c r="N26" i="14"/>
  <c r="M26" i="14"/>
  <c r="L26" i="14"/>
  <c r="J26" i="14"/>
  <c r="I26" i="14"/>
  <c r="H26" i="14"/>
  <c r="G26" i="14"/>
  <c r="F26" i="14"/>
  <c r="E26" i="14"/>
  <c r="D26" i="14"/>
  <c r="C26" i="14"/>
  <c r="B26" i="14"/>
  <c r="A26" i="14"/>
  <c r="AB25" i="14"/>
  <c r="AA25" i="14"/>
  <c r="Z25" i="14"/>
  <c r="Y25" i="14"/>
  <c r="X25" i="14"/>
  <c r="W25" i="14"/>
  <c r="V25" i="14"/>
  <c r="U25" i="14"/>
  <c r="S25" i="14"/>
  <c r="R25" i="14"/>
  <c r="Q25" i="14"/>
  <c r="P25" i="14"/>
  <c r="O25" i="14"/>
  <c r="N25" i="14"/>
  <c r="M25" i="14"/>
  <c r="L25" i="14"/>
  <c r="J25" i="14"/>
  <c r="I25" i="14"/>
  <c r="H25" i="14"/>
  <c r="G25" i="14"/>
  <c r="F25" i="14"/>
  <c r="E25" i="14"/>
  <c r="D25" i="14"/>
  <c r="C25" i="14"/>
  <c r="B25" i="14"/>
  <c r="A25" i="14"/>
  <c r="AB24" i="14"/>
  <c r="AA24" i="14"/>
  <c r="Z24" i="14"/>
  <c r="Y24" i="14"/>
  <c r="X24" i="14"/>
  <c r="W24" i="14"/>
  <c r="V24" i="14"/>
  <c r="U24" i="14"/>
  <c r="S24" i="14"/>
  <c r="R24" i="14"/>
  <c r="Q24" i="14"/>
  <c r="P24" i="14"/>
  <c r="O24" i="14"/>
  <c r="N24" i="14"/>
  <c r="M24" i="14"/>
  <c r="L24" i="14"/>
  <c r="J24" i="14"/>
  <c r="I24" i="14"/>
  <c r="H24" i="14"/>
  <c r="G24" i="14"/>
  <c r="F24" i="14"/>
  <c r="E24" i="14"/>
  <c r="D24" i="14"/>
  <c r="C24" i="14"/>
  <c r="B24" i="14"/>
  <c r="A24" i="14"/>
  <c r="AB23" i="14"/>
  <c r="AA23" i="14"/>
  <c r="Z23" i="14"/>
  <c r="Y23" i="14"/>
  <c r="X23" i="14"/>
  <c r="W23" i="14"/>
  <c r="V23" i="14"/>
  <c r="U23" i="14"/>
  <c r="S23" i="14"/>
  <c r="R23" i="14"/>
  <c r="Q23" i="14"/>
  <c r="P23" i="14"/>
  <c r="O23" i="14"/>
  <c r="N23" i="14"/>
  <c r="M23" i="14"/>
  <c r="L23" i="14"/>
  <c r="J23" i="14"/>
  <c r="I23" i="14"/>
  <c r="H23" i="14"/>
  <c r="G23" i="14"/>
  <c r="F23" i="14"/>
  <c r="E23" i="14"/>
  <c r="D23" i="14"/>
  <c r="C23" i="14"/>
  <c r="B23" i="14"/>
  <c r="A23" i="14"/>
  <c r="AB22" i="14"/>
  <c r="AA22" i="14"/>
  <c r="Z22" i="14"/>
  <c r="Y22" i="14"/>
  <c r="X22" i="14"/>
  <c r="W22" i="14"/>
  <c r="V22" i="14"/>
  <c r="U22" i="14"/>
  <c r="S22" i="14"/>
  <c r="R22" i="14"/>
  <c r="Q22" i="14"/>
  <c r="P22" i="14"/>
  <c r="O22" i="14"/>
  <c r="N22" i="14"/>
  <c r="M22" i="14"/>
  <c r="L22" i="14"/>
  <c r="J22" i="14"/>
  <c r="I22" i="14"/>
  <c r="H22" i="14"/>
  <c r="G22" i="14"/>
  <c r="F22" i="14"/>
  <c r="E22" i="14"/>
  <c r="D22" i="14"/>
  <c r="C22" i="14"/>
  <c r="B22" i="14"/>
  <c r="A22" i="14"/>
  <c r="AB21" i="14"/>
  <c r="AA21" i="14"/>
  <c r="Z21" i="14"/>
  <c r="Y21" i="14"/>
  <c r="X21" i="14"/>
  <c r="W21" i="14"/>
  <c r="V21" i="14"/>
  <c r="U21" i="14"/>
  <c r="S21" i="14"/>
  <c r="R21" i="14"/>
  <c r="Q21" i="14"/>
  <c r="P21" i="14"/>
  <c r="O21" i="14"/>
  <c r="N21" i="14"/>
  <c r="M21" i="14"/>
  <c r="L21" i="14"/>
  <c r="J21" i="14"/>
  <c r="I21" i="14"/>
  <c r="H21" i="14"/>
  <c r="G21" i="14"/>
  <c r="F21" i="14"/>
  <c r="E21" i="14"/>
  <c r="D21" i="14"/>
  <c r="C21" i="14"/>
  <c r="B21" i="14"/>
  <c r="A21" i="14"/>
  <c r="AB20" i="14"/>
  <c r="AA20" i="14"/>
  <c r="Z20" i="14"/>
  <c r="Y20" i="14"/>
  <c r="X20" i="14"/>
  <c r="W20" i="14"/>
  <c r="V20" i="14"/>
  <c r="U20" i="14"/>
  <c r="S20" i="14"/>
  <c r="R20" i="14"/>
  <c r="Q20" i="14"/>
  <c r="P20" i="14"/>
  <c r="O20" i="14"/>
  <c r="N20" i="14"/>
  <c r="M20" i="14"/>
  <c r="L20" i="14"/>
  <c r="J20" i="14"/>
  <c r="I20" i="14"/>
  <c r="H20" i="14"/>
  <c r="G20" i="14"/>
  <c r="F20" i="14"/>
  <c r="E20" i="14"/>
  <c r="D20" i="14"/>
  <c r="C20" i="14"/>
  <c r="B20" i="14"/>
  <c r="A20" i="14"/>
  <c r="AB19" i="14"/>
  <c r="AA19" i="14"/>
  <c r="Z19" i="14"/>
  <c r="Y19" i="14"/>
  <c r="X19" i="14"/>
  <c r="W19" i="14"/>
  <c r="V19" i="14"/>
  <c r="U19" i="14"/>
  <c r="S19" i="14"/>
  <c r="R19" i="14"/>
  <c r="Q19" i="14"/>
  <c r="P19" i="14"/>
  <c r="O19" i="14"/>
  <c r="N19" i="14"/>
  <c r="M19" i="14"/>
  <c r="L19" i="14"/>
  <c r="J19" i="14"/>
  <c r="I19" i="14"/>
  <c r="H19" i="14"/>
  <c r="G19" i="14"/>
  <c r="F19" i="14"/>
  <c r="E19" i="14"/>
  <c r="D19" i="14"/>
  <c r="C19" i="14"/>
  <c r="B19" i="14"/>
  <c r="A19" i="14"/>
  <c r="AB18" i="14"/>
  <c r="AA18" i="14"/>
  <c r="Z18" i="14"/>
  <c r="Y18" i="14"/>
  <c r="X18" i="14"/>
  <c r="W18" i="14"/>
  <c r="V18" i="14"/>
  <c r="U18" i="14"/>
  <c r="S18" i="14"/>
  <c r="R18" i="14"/>
  <c r="Q18" i="14"/>
  <c r="P18" i="14"/>
  <c r="O18" i="14"/>
  <c r="N18" i="14"/>
  <c r="M18" i="14"/>
  <c r="L18" i="14"/>
  <c r="J18" i="14"/>
  <c r="I18" i="14"/>
  <c r="H18" i="14"/>
  <c r="G18" i="14"/>
  <c r="F18" i="14"/>
  <c r="E18" i="14"/>
  <c r="D18" i="14"/>
  <c r="C18" i="14"/>
  <c r="B18" i="14"/>
  <c r="A18" i="14"/>
  <c r="AB17" i="14"/>
  <c r="AA17" i="14"/>
  <c r="Z17" i="14"/>
  <c r="Y17" i="14"/>
  <c r="X17" i="14"/>
  <c r="W17" i="14"/>
  <c r="V17" i="14"/>
  <c r="U17" i="14"/>
  <c r="S17" i="14"/>
  <c r="R17" i="14"/>
  <c r="Q17" i="14"/>
  <c r="P17" i="14"/>
  <c r="O17" i="14"/>
  <c r="N17" i="14"/>
  <c r="M17" i="14"/>
  <c r="L17" i="14"/>
  <c r="J17" i="14"/>
  <c r="I17" i="14"/>
  <c r="H17" i="14"/>
  <c r="G17" i="14"/>
  <c r="F17" i="14"/>
  <c r="E17" i="14"/>
  <c r="D17" i="14"/>
  <c r="C17" i="14"/>
  <c r="B17" i="14"/>
  <c r="A17" i="14"/>
  <c r="AB16" i="14"/>
  <c r="AA16" i="14"/>
  <c r="Z16" i="14"/>
  <c r="Y16" i="14"/>
  <c r="X16" i="14"/>
  <c r="W16" i="14"/>
  <c r="V16" i="14"/>
  <c r="U16" i="14"/>
  <c r="S16" i="14"/>
  <c r="R16" i="14"/>
  <c r="Q16" i="14"/>
  <c r="P16" i="14"/>
  <c r="O16" i="14"/>
  <c r="N16" i="14"/>
  <c r="M16" i="14"/>
  <c r="L16" i="14"/>
  <c r="J16" i="14"/>
  <c r="I16" i="14"/>
  <c r="H16" i="14"/>
  <c r="G16" i="14"/>
  <c r="F16" i="14"/>
  <c r="E16" i="14"/>
  <c r="D16" i="14"/>
  <c r="C16" i="14"/>
  <c r="B16" i="14"/>
  <c r="A16" i="14"/>
  <c r="AB15" i="14"/>
  <c r="AA15" i="14"/>
  <c r="Z15" i="14"/>
  <c r="Y15" i="14"/>
  <c r="X15" i="14"/>
  <c r="W15" i="14"/>
  <c r="V15" i="14"/>
  <c r="U15" i="14"/>
  <c r="S15" i="14"/>
  <c r="R15" i="14"/>
  <c r="Q15" i="14"/>
  <c r="P15" i="14"/>
  <c r="O15" i="14"/>
  <c r="N15" i="14"/>
  <c r="M15" i="14"/>
  <c r="L15" i="14"/>
  <c r="J15" i="14"/>
  <c r="I15" i="14"/>
  <c r="H15" i="14"/>
  <c r="G15" i="14"/>
  <c r="F15" i="14"/>
  <c r="E15" i="14"/>
  <c r="D15" i="14"/>
  <c r="C15" i="14"/>
  <c r="B15" i="14"/>
  <c r="A15" i="14"/>
  <c r="AB14" i="14"/>
  <c r="AA14" i="14"/>
  <c r="Z14" i="14"/>
  <c r="Y14" i="14"/>
  <c r="X14" i="14"/>
  <c r="W14" i="14"/>
  <c r="V14" i="14"/>
  <c r="U14" i="14"/>
  <c r="S14" i="14"/>
  <c r="R14" i="14"/>
  <c r="Q14" i="14"/>
  <c r="P14" i="14"/>
  <c r="O14" i="14"/>
  <c r="N14" i="14"/>
  <c r="M14" i="14"/>
  <c r="L14" i="14"/>
  <c r="J14" i="14"/>
  <c r="I14" i="14"/>
  <c r="H14" i="14"/>
  <c r="G14" i="14"/>
  <c r="F14" i="14"/>
  <c r="E14" i="14"/>
  <c r="D14" i="14"/>
  <c r="C14" i="14"/>
  <c r="B14" i="14"/>
  <c r="A14" i="14"/>
  <c r="AB13" i="14"/>
  <c r="AA13" i="14"/>
  <c r="Z13" i="14"/>
  <c r="Y13" i="14"/>
  <c r="X13" i="14"/>
  <c r="W13" i="14"/>
  <c r="V13" i="14"/>
  <c r="U13" i="14"/>
  <c r="S13" i="14"/>
  <c r="R13" i="14"/>
  <c r="Q13" i="14"/>
  <c r="P13" i="14"/>
  <c r="O13" i="14"/>
  <c r="N13" i="14"/>
  <c r="M13" i="14"/>
  <c r="L13" i="14"/>
  <c r="J13" i="14"/>
  <c r="I13" i="14"/>
  <c r="H13" i="14"/>
  <c r="G13" i="14"/>
  <c r="F13" i="14"/>
  <c r="E13" i="14"/>
  <c r="D13" i="14"/>
  <c r="C13" i="14"/>
  <c r="B13" i="14"/>
  <c r="A13" i="14"/>
  <c r="AB12" i="14"/>
  <c r="AA12" i="14"/>
  <c r="Z12" i="14"/>
  <c r="Y12" i="14"/>
  <c r="X12" i="14"/>
  <c r="W12" i="14"/>
  <c r="V12" i="14"/>
  <c r="U12" i="14"/>
  <c r="S12" i="14"/>
  <c r="R12" i="14"/>
  <c r="Q12" i="14"/>
  <c r="P12" i="14"/>
  <c r="O12" i="14"/>
  <c r="N12" i="14"/>
  <c r="M12" i="14"/>
  <c r="L12" i="14"/>
  <c r="J12" i="14"/>
  <c r="I12" i="14"/>
  <c r="H12" i="14"/>
  <c r="G12" i="14"/>
  <c r="F12" i="14"/>
  <c r="E12" i="14"/>
  <c r="D12" i="14"/>
  <c r="C12" i="14"/>
  <c r="B12" i="14"/>
  <c r="A12" i="14"/>
  <c r="AB11" i="14"/>
  <c r="AA11" i="14"/>
  <c r="Z11" i="14"/>
  <c r="Y11" i="14"/>
  <c r="X11" i="14"/>
  <c r="W11" i="14"/>
  <c r="V11" i="14"/>
  <c r="U11" i="14"/>
  <c r="S11" i="14"/>
  <c r="R11" i="14"/>
  <c r="Q11" i="14"/>
  <c r="P11" i="14"/>
  <c r="O11" i="14"/>
  <c r="N11" i="14"/>
  <c r="M11" i="14"/>
  <c r="L11" i="14"/>
  <c r="J11" i="14"/>
  <c r="I11" i="14"/>
  <c r="H11" i="14"/>
  <c r="G11" i="14"/>
  <c r="F11" i="14"/>
  <c r="E11" i="14"/>
  <c r="D11" i="14"/>
  <c r="C11" i="14"/>
  <c r="B11" i="14"/>
  <c r="A11" i="14"/>
  <c r="AB10" i="14"/>
  <c r="AA10" i="14"/>
  <c r="Z10" i="14"/>
  <c r="Y10" i="14"/>
  <c r="X10" i="14"/>
  <c r="W10" i="14"/>
  <c r="V10" i="14"/>
  <c r="U10" i="14"/>
  <c r="S10" i="14"/>
  <c r="R10" i="14"/>
  <c r="Q10" i="14"/>
  <c r="P10" i="14"/>
  <c r="O10" i="14"/>
  <c r="N10" i="14"/>
  <c r="M10" i="14"/>
  <c r="L10" i="14"/>
  <c r="J10" i="14"/>
  <c r="I10" i="14"/>
  <c r="H10" i="14"/>
  <c r="G10" i="14"/>
  <c r="F10" i="14"/>
  <c r="E10" i="14"/>
  <c r="D10" i="14"/>
  <c r="C10" i="14"/>
  <c r="B10" i="14"/>
  <c r="A10" i="14"/>
  <c r="AB9" i="14"/>
  <c r="AA9" i="14"/>
  <c r="Z9" i="14"/>
  <c r="Y9" i="14"/>
  <c r="X9" i="14"/>
  <c r="W9" i="14"/>
  <c r="V9" i="14"/>
  <c r="U9" i="14"/>
  <c r="S9" i="14"/>
  <c r="R9" i="14"/>
  <c r="Q9" i="14"/>
  <c r="P9" i="14"/>
  <c r="O9" i="14"/>
  <c r="N9" i="14"/>
  <c r="M9" i="14"/>
  <c r="L9" i="14"/>
  <c r="J9" i="14"/>
  <c r="I9" i="14"/>
  <c r="H9" i="14"/>
  <c r="G9" i="14"/>
  <c r="F9" i="14"/>
  <c r="E9" i="14"/>
  <c r="D9" i="14"/>
  <c r="C9" i="14"/>
  <c r="B9" i="14"/>
  <c r="A9" i="14"/>
  <c r="AB8" i="14"/>
  <c r="AA8" i="14"/>
  <c r="Z8" i="14"/>
  <c r="Y8" i="14"/>
  <c r="X8" i="14"/>
  <c r="W8" i="14"/>
  <c r="V8" i="14"/>
  <c r="U8" i="14"/>
  <c r="S8" i="14"/>
  <c r="R8" i="14"/>
  <c r="Q8" i="14"/>
  <c r="P8" i="14"/>
  <c r="O8" i="14"/>
  <c r="N8" i="14"/>
  <c r="M8" i="14"/>
  <c r="L8" i="14"/>
  <c r="J8" i="14"/>
  <c r="I8" i="14"/>
  <c r="H8" i="14"/>
  <c r="G8" i="14"/>
  <c r="F8" i="14"/>
  <c r="E8" i="14"/>
  <c r="D8" i="14"/>
  <c r="C8" i="14"/>
  <c r="B8" i="14"/>
  <c r="A8" i="14"/>
  <c r="AB7" i="14"/>
  <c r="AA7" i="14"/>
  <c r="Z7" i="14"/>
  <c r="Y7" i="14"/>
  <c r="X7" i="14"/>
  <c r="W7" i="14"/>
  <c r="V7" i="14"/>
  <c r="U7" i="14"/>
  <c r="S7" i="14"/>
  <c r="R7" i="14"/>
  <c r="Q7" i="14"/>
  <c r="P7" i="14"/>
  <c r="O7" i="14"/>
  <c r="N7" i="14"/>
  <c r="M7" i="14"/>
  <c r="L7" i="14"/>
  <c r="J7" i="14"/>
  <c r="I7" i="14"/>
  <c r="H7" i="14"/>
  <c r="G7" i="14"/>
  <c r="F7" i="14"/>
  <c r="E7" i="14"/>
  <c r="D7" i="14"/>
  <c r="C7" i="14"/>
  <c r="B7" i="14"/>
  <c r="A7" i="14"/>
  <c r="AB6" i="14"/>
  <c r="AA6" i="14"/>
  <c r="Z6" i="14"/>
  <c r="Y6" i="14"/>
  <c r="X6" i="14"/>
  <c r="W6" i="14"/>
  <c r="V6" i="14"/>
  <c r="U6" i="14"/>
  <c r="S6" i="14"/>
  <c r="R6" i="14"/>
  <c r="Q6" i="14"/>
  <c r="P6" i="14"/>
  <c r="O6" i="14"/>
  <c r="N6" i="14"/>
  <c r="M6" i="14"/>
  <c r="L6" i="14"/>
  <c r="J6" i="14"/>
  <c r="I6" i="14"/>
  <c r="H6" i="14"/>
  <c r="G6" i="14"/>
  <c r="F6" i="14"/>
  <c r="E6" i="14"/>
  <c r="D6" i="14"/>
  <c r="C6" i="14"/>
  <c r="B6" i="14"/>
  <c r="A6" i="14"/>
  <c r="AB5" i="14"/>
  <c r="AA5" i="14"/>
  <c r="Z5" i="14"/>
  <c r="Y5" i="14"/>
  <c r="X5" i="14"/>
  <c r="W5" i="14"/>
  <c r="V5" i="14"/>
  <c r="U5" i="14"/>
  <c r="S5" i="14"/>
  <c r="R5" i="14"/>
  <c r="Q5" i="14"/>
  <c r="P5" i="14"/>
  <c r="O5" i="14"/>
  <c r="N5" i="14"/>
  <c r="M5" i="14"/>
  <c r="L5" i="14"/>
  <c r="J5" i="14"/>
  <c r="I5" i="14"/>
  <c r="H5" i="14"/>
  <c r="G5" i="14"/>
  <c r="F5" i="14"/>
  <c r="E5" i="14"/>
  <c r="D5" i="14"/>
  <c r="C5" i="14"/>
  <c r="B5" i="14"/>
  <c r="A5" i="14"/>
  <c r="L1" i="14"/>
  <c r="C38" i="10"/>
  <c r="AB35" i="10"/>
  <c r="AA35" i="10"/>
  <c r="Z35" i="10"/>
  <c r="Y35" i="10"/>
  <c r="X35" i="10"/>
  <c r="W35" i="10"/>
  <c r="V35" i="10"/>
  <c r="U35" i="10"/>
  <c r="S35" i="10"/>
  <c r="R35" i="10"/>
  <c r="Q35" i="10"/>
  <c r="P35" i="10"/>
  <c r="O35" i="10"/>
  <c r="N35" i="10"/>
  <c r="M35" i="10"/>
  <c r="L35" i="10"/>
  <c r="J35" i="10"/>
  <c r="I35" i="10"/>
  <c r="H35" i="10"/>
  <c r="G35" i="10"/>
  <c r="F35" i="10"/>
  <c r="E35" i="10"/>
  <c r="D35" i="10"/>
  <c r="C35" i="10"/>
  <c r="B35" i="10"/>
  <c r="A35" i="10"/>
  <c r="AB34" i="10"/>
  <c r="AA34" i="10"/>
  <c r="Z34" i="10"/>
  <c r="Y34" i="10"/>
  <c r="X34" i="10"/>
  <c r="W34" i="10"/>
  <c r="V34" i="10"/>
  <c r="U34" i="10"/>
  <c r="S34" i="10"/>
  <c r="R34" i="10"/>
  <c r="Q34" i="10"/>
  <c r="P34" i="10"/>
  <c r="O34" i="10"/>
  <c r="N34" i="10"/>
  <c r="M34" i="10"/>
  <c r="L34" i="10"/>
  <c r="J34" i="10"/>
  <c r="I34" i="10"/>
  <c r="H34" i="10"/>
  <c r="G34" i="10"/>
  <c r="F34" i="10"/>
  <c r="E34" i="10"/>
  <c r="D34" i="10"/>
  <c r="C34" i="10"/>
  <c r="B34" i="10"/>
  <c r="A34" i="10"/>
  <c r="AB33" i="10"/>
  <c r="AA33" i="10"/>
  <c r="Z33" i="10"/>
  <c r="Y33" i="10"/>
  <c r="X33" i="10"/>
  <c r="W33" i="10"/>
  <c r="V33" i="10"/>
  <c r="U33" i="10"/>
  <c r="S33" i="10"/>
  <c r="R33" i="10"/>
  <c r="Q33" i="10"/>
  <c r="P33" i="10"/>
  <c r="O33" i="10"/>
  <c r="N33" i="10"/>
  <c r="M33" i="10"/>
  <c r="L33" i="10"/>
  <c r="J33" i="10"/>
  <c r="I33" i="10"/>
  <c r="H33" i="10"/>
  <c r="G33" i="10"/>
  <c r="F33" i="10"/>
  <c r="E33" i="10"/>
  <c r="D33" i="10"/>
  <c r="C33" i="10"/>
  <c r="B33" i="10"/>
  <c r="A33" i="10"/>
  <c r="AB32" i="10"/>
  <c r="AA32" i="10"/>
  <c r="Z32" i="10"/>
  <c r="Y32" i="10"/>
  <c r="X32" i="10"/>
  <c r="W32" i="10"/>
  <c r="V32" i="10"/>
  <c r="U32" i="10"/>
  <c r="S32" i="10"/>
  <c r="R32" i="10"/>
  <c r="Q32" i="10"/>
  <c r="P32" i="10"/>
  <c r="O32" i="10"/>
  <c r="N32" i="10"/>
  <c r="M32" i="10"/>
  <c r="L32" i="10"/>
  <c r="J32" i="10"/>
  <c r="I32" i="10"/>
  <c r="H32" i="10"/>
  <c r="G32" i="10"/>
  <c r="F32" i="10"/>
  <c r="E32" i="10"/>
  <c r="D32" i="10"/>
  <c r="C32" i="10"/>
  <c r="B32" i="10"/>
  <c r="A32" i="10"/>
  <c r="AB31" i="10"/>
  <c r="AA31" i="10"/>
  <c r="Z31" i="10"/>
  <c r="Y31" i="10"/>
  <c r="X31" i="10"/>
  <c r="W31" i="10"/>
  <c r="V31" i="10"/>
  <c r="U31" i="10"/>
  <c r="S31" i="10"/>
  <c r="R31" i="10"/>
  <c r="Q31" i="10"/>
  <c r="P31" i="10"/>
  <c r="O31" i="10"/>
  <c r="N31" i="10"/>
  <c r="M31" i="10"/>
  <c r="L31" i="10"/>
  <c r="J31" i="10"/>
  <c r="I31" i="10"/>
  <c r="H31" i="10"/>
  <c r="G31" i="10"/>
  <c r="F31" i="10"/>
  <c r="E31" i="10"/>
  <c r="D31" i="10"/>
  <c r="C31" i="10"/>
  <c r="B31" i="10"/>
  <c r="A31" i="10"/>
  <c r="AB30" i="10"/>
  <c r="AA30" i="10"/>
  <c r="Z30" i="10"/>
  <c r="Y30" i="10"/>
  <c r="X30" i="10"/>
  <c r="W30" i="10"/>
  <c r="V30" i="10"/>
  <c r="U30" i="10"/>
  <c r="S30" i="10"/>
  <c r="R30" i="10"/>
  <c r="Q30" i="10"/>
  <c r="P30" i="10"/>
  <c r="O30" i="10"/>
  <c r="N30" i="10"/>
  <c r="M30" i="10"/>
  <c r="L30" i="10"/>
  <c r="J30" i="10"/>
  <c r="I30" i="10"/>
  <c r="H30" i="10"/>
  <c r="G30" i="10"/>
  <c r="F30" i="10"/>
  <c r="E30" i="10"/>
  <c r="D30" i="10"/>
  <c r="C30" i="10"/>
  <c r="B30" i="10"/>
  <c r="A30" i="10"/>
  <c r="AB29" i="10"/>
  <c r="AA29" i="10"/>
  <c r="Z29" i="10"/>
  <c r="Y29" i="10"/>
  <c r="X29" i="10"/>
  <c r="W29" i="10"/>
  <c r="V29" i="10"/>
  <c r="U29" i="10"/>
  <c r="S29" i="10"/>
  <c r="R29" i="10"/>
  <c r="Q29" i="10"/>
  <c r="P29" i="10"/>
  <c r="O29" i="10"/>
  <c r="N29" i="10"/>
  <c r="M29" i="10"/>
  <c r="L29" i="10"/>
  <c r="J29" i="10"/>
  <c r="I29" i="10"/>
  <c r="H29" i="10"/>
  <c r="G29" i="10"/>
  <c r="F29" i="10"/>
  <c r="E29" i="10"/>
  <c r="D29" i="10"/>
  <c r="C29" i="10"/>
  <c r="B29" i="10"/>
  <c r="A29" i="10"/>
  <c r="AB28" i="10"/>
  <c r="AA28" i="10"/>
  <c r="Z28" i="10"/>
  <c r="Y28" i="10"/>
  <c r="X28" i="10"/>
  <c r="W28" i="10"/>
  <c r="V28" i="10"/>
  <c r="U28" i="10"/>
  <c r="S28" i="10"/>
  <c r="R28" i="10"/>
  <c r="Q28" i="10"/>
  <c r="P28" i="10"/>
  <c r="O28" i="10"/>
  <c r="N28" i="10"/>
  <c r="M28" i="10"/>
  <c r="L28" i="10"/>
  <c r="J28" i="10"/>
  <c r="I28" i="10"/>
  <c r="H28" i="10"/>
  <c r="G28" i="10"/>
  <c r="F28" i="10"/>
  <c r="E28" i="10"/>
  <c r="D28" i="10"/>
  <c r="C28" i="10"/>
  <c r="B28" i="10"/>
  <c r="A28" i="10"/>
  <c r="AB27" i="10"/>
  <c r="AA27" i="10"/>
  <c r="Z27" i="10"/>
  <c r="Y27" i="10"/>
  <c r="X27" i="10"/>
  <c r="W27" i="10"/>
  <c r="V27" i="10"/>
  <c r="U27" i="10"/>
  <c r="S27" i="10"/>
  <c r="R27" i="10"/>
  <c r="Q27" i="10"/>
  <c r="P27" i="10"/>
  <c r="O27" i="10"/>
  <c r="N27" i="10"/>
  <c r="M27" i="10"/>
  <c r="L27" i="10"/>
  <c r="J27" i="10"/>
  <c r="I27" i="10"/>
  <c r="H27" i="10"/>
  <c r="G27" i="10"/>
  <c r="F27" i="10"/>
  <c r="E27" i="10"/>
  <c r="D27" i="10"/>
  <c r="C27" i="10"/>
  <c r="B27" i="10"/>
  <c r="A27" i="10"/>
  <c r="AB26" i="10"/>
  <c r="AA26" i="10"/>
  <c r="Z26" i="10"/>
  <c r="Y26" i="10"/>
  <c r="X26" i="10"/>
  <c r="W26" i="10"/>
  <c r="V26" i="10"/>
  <c r="U26" i="10"/>
  <c r="S26" i="10"/>
  <c r="R26" i="10"/>
  <c r="Q26" i="10"/>
  <c r="P26" i="10"/>
  <c r="O26" i="10"/>
  <c r="N26" i="10"/>
  <c r="M26" i="10"/>
  <c r="L26" i="10"/>
  <c r="J26" i="10"/>
  <c r="I26" i="10"/>
  <c r="H26" i="10"/>
  <c r="G26" i="10"/>
  <c r="F26" i="10"/>
  <c r="E26" i="10"/>
  <c r="D26" i="10"/>
  <c r="C26" i="10"/>
  <c r="B26" i="10"/>
  <c r="A26" i="10"/>
  <c r="AB25" i="10"/>
  <c r="AA25" i="10"/>
  <c r="Z25" i="10"/>
  <c r="Y25" i="10"/>
  <c r="X25" i="10"/>
  <c r="W25" i="10"/>
  <c r="V25" i="10"/>
  <c r="U25" i="10"/>
  <c r="S25" i="10"/>
  <c r="R25" i="10"/>
  <c r="Q25" i="10"/>
  <c r="P25" i="10"/>
  <c r="O25" i="10"/>
  <c r="N25" i="10"/>
  <c r="M25" i="10"/>
  <c r="L25" i="10"/>
  <c r="J25" i="10"/>
  <c r="I25" i="10"/>
  <c r="H25" i="10"/>
  <c r="G25" i="10"/>
  <c r="F25" i="10"/>
  <c r="E25" i="10"/>
  <c r="D25" i="10"/>
  <c r="C25" i="10"/>
  <c r="B25" i="10"/>
  <c r="A25" i="10"/>
  <c r="AB24" i="10"/>
  <c r="AA24" i="10"/>
  <c r="Z24" i="10"/>
  <c r="Y24" i="10"/>
  <c r="X24" i="10"/>
  <c r="W24" i="10"/>
  <c r="V24" i="10"/>
  <c r="U24" i="10"/>
  <c r="S24" i="10"/>
  <c r="R24" i="10"/>
  <c r="Q24" i="10"/>
  <c r="P24" i="10"/>
  <c r="O24" i="10"/>
  <c r="N24" i="10"/>
  <c r="M24" i="10"/>
  <c r="L24" i="10"/>
  <c r="J24" i="10"/>
  <c r="I24" i="10"/>
  <c r="H24" i="10"/>
  <c r="G24" i="10"/>
  <c r="F24" i="10"/>
  <c r="E24" i="10"/>
  <c r="D24" i="10"/>
  <c r="C24" i="10"/>
  <c r="B24" i="10"/>
  <c r="A24" i="10"/>
  <c r="AB23" i="10"/>
  <c r="AA23" i="10"/>
  <c r="Z23" i="10"/>
  <c r="Y23" i="10"/>
  <c r="X23" i="10"/>
  <c r="W23" i="10"/>
  <c r="V23" i="10"/>
  <c r="U23" i="10"/>
  <c r="S23" i="10"/>
  <c r="R23" i="10"/>
  <c r="Q23" i="10"/>
  <c r="P23" i="10"/>
  <c r="O23" i="10"/>
  <c r="N23" i="10"/>
  <c r="M23" i="10"/>
  <c r="L23" i="10"/>
  <c r="J23" i="10"/>
  <c r="I23" i="10"/>
  <c r="H23" i="10"/>
  <c r="G23" i="10"/>
  <c r="F23" i="10"/>
  <c r="E23" i="10"/>
  <c r="D23" i="10"/>
  <c r="C23" i="10"/>
  <c r="B23" i="10"/>
  <c r="A23" i="10"/>
  <c r="AB22" i="10"/>
  <c r="AA22" i="10"/>
  <c r="Z22" i="10"/>
  <c r="Y22" i="10"/>
  <c r="X22" i="10"/>
  <c r="W22" i="10"/>
  <c r="V22" i="10"/>
  <c r="U22" i="10"/>
  <c r="S22" i="10"/>
  <c r="R22" i="10"/>
  <c r="Q22" i="10"/>
  <c r="P22" i="10"/>
  <c r="O22" i="10"/>
  <c r="N22" i="10"/>
  <c r="M22" i="10"/>
  <c r="L22" i="10"/>
  <c r="J22" i="10"/>
  <c r="I22" i="10"/>
  <c r="H22" i="10"/>
  <c r="G22" i="10"/>
  <c r="F22" i="10"/>
  <c r="E22" i="10"/>
  <c r="D22" i="10"/>
  <c r="C22" i="10"/>
  <c r="B22" i="10"/>
  <c r="A22" i="10"/>
  <c r="AB21" i="10"/>
  <c r="AA21" i="10"/>
  <c r="Z21" i="10"/>
  <c r="Y21" i="10"/>
  <c r="X21" i="10"/>
  <c r="W21" i="10"/>
  <c r="V21" i="10"/>
  <c r="U21" i="10"/>
  <c r="S21" i="10"/>
  <c r="R21" i="10"/>
  <c r="Q21" i="10"/>
  <c r="P21" i="10"/>
  <c r="O21" i="10"/>
  <c r="N21" i="10"/>
  <c r="M21" i="10"/>
  <c r="L21" i="10"/>
  <c r="J21" i="10"/>
  <c r="I21" i="10"/>
  <c r="H21" i="10"/>
  <c r="G21" i="10"/>
  <c r="F21" i="10"/>
  <c r="E21" i="10"/>
  <c r="D21" i="10"/>
  <c r="C21" i="10"/>
  <c r="B21" i="10"/>
  <c r="A21" i="10"/>
  <c r="AB20" i="10"/>
  <c r="AA20" i="10"/>
  <c r="Z20" i="10"/>
  <c r="Y20" i="10"/>
  <c r="X20" i="10"/>
  <c r="W20" i="10"/>
  <c r="V20" i="10"/>
  <c r="U20" i="10"/>
  <c r="S20" i="10"/>
  <c r="R20" i="10"/>
  <c r="Q20" i="10"/>
  <c r="P20" i="10"/>
  <c r="O20" i="10"/>
  <c r="N20" i="10"/>
  <c r="M20" i="10"/>
  <c r="L20" i="10"/>
  <c r="J20" i="10"/>
  <c r="I20" i="10"/>
  <c r="H20" i="10"/>
  <c r="G20" i="10"/>
  <c r="F20" i="10"/>
  <c r="E20" i="10"/>
  <c r="D20" i="10"/>
  <c r="C20" i="10"/>
  <c r="B20" i="10"/>
  <c r="A20" i="10"/>
  <c r="AB19" i="10"/>
  <c r="AA19" i="10"/>
  <c r="Z19" i="10"/>
  <c r="Y19" i="10"/>
  <c r="X19" i="10"/>
  <c r="W19" i="10"/>
  <c r="V19" i="10"/>
  <c r="U19" i="10"/>
  <c r="S19" i="10"/>
  <c r="R19" i="10"/>
  <c r="Q19" i="10"/>
  <c r="P19" i="10"/>
  <c r="O19" i="10"/>
  <c r="N19" i="10"/>
  <c r="M19" i="10"/>
  <c r="L19" i="10"/>
  <c r="J19" i="10"/>
  <c r="I19" i="10"/>
  <c r="H19" i="10"/>
  <c r="G19" i="10"/>
  <c r="F19" i="10"/>
  <c r="E19" i="10"/>
  <c r="D19" i="10"/>
  <c r="C19" i="10"/>
  <c r="B19" i="10"/>
  <c r="A19" i="10"/>
  <c r="AB18" i="10"/>
  <c r="AA18" i="10"/>
  <c r="Z18" i="10"/>
  <c r="Y18" i="10"/>
  <c r="X18" i="10"/>
  <c r="W18" i="10"/>
  <c r="V18" i="10"/>
  <c r="U18" i="10"/>
  <c r="S18" i="10"/>
  <c r="R18" i="10"/>
  <c r="Q18" i="10"/>
  <c r="P18" i="10"/>
  <c r="O18" i="10"/>
  <c r="N18" i="10"/>
  <c r="M18" i="10"/>
  <c r="L18" i="10"/>
  <c r="J18" i="10"/>
  <c r="I18" i="10"/>
  <c r="H18" i="10"/>
  <c r="G18" i="10"/>
  <c r="F18" i="10"/>
  <c r="E18" i="10"/>
  <c r="D18" i="10"/>
  <c r="C18" i="10"/>
  <c r="B18" i="10"/>
  <c r="A18" i="10"/>
  <c r="AB17" i="10"/>
  <c r="AA17" i="10"/>
  <c r="Z17" i="10"/>
  <c r="Y17" i="10"/>
  <c r="X17" i="10"/>
  <c r="W17" i="10"/>
  <c r="V17" i="10"/>
  <c r="U17" i="10"/>
  <c r="S17" i="10"/>
  <c r="R17" i="10"/>
  <c r="Q17" i="10"/>
  <c r="P17" i="10"/>
  <c r="O17" i="10"/>
  <c r="N17" i="10"/>
  <c r="M17" i="10"/>
  <c r="L17" i="10"/>
  <c r="J17" i="10"/>
  <c r="I17" i="10"/>
  <c r="H17" i="10"/>
  <c r="G17" i="10"/>
  <c r="F17" i="10"/>
  <c r="E17" i="10"/>
  <c r="D17" i="10"/>
  <c r="C17" i="10"/>
  <c r="B17" i="10"/>
  <c r="A17" i="10"/>
  <c r="AB16" i="10"/>
  <c r="AA16" i="10"/>
  <c r="Z16" i="10"/>
  <c r="Y16" i="10"/>
  <c r="X16" i="10"/>
  <c r="W16" i="10"/>
  <c r="V16" i="10"/>
  <c r="U16" i="10"/>
  <c r="S16" i="10"/>
  <c r="R16" i="10"/>
  <c r="Q16" i="10"/>
  <c r="P16" i="10"/>
  <c r="O16" i="10"/>
  <c r="N16" i="10"/>
  <c r="M16" i="10"/>
  <c r="L16" i="10"/>
  <c r="J16" i="10"/>
  <c r="I16" i="10"/>
  <c r="H16" i="10"/>
  <c r="G16" i="10"/>
  <c r="F16" i="10"/>
  <c r="E16" i="10"/>
  <c r="D16" i="10"/>
  <c r="C16" i="10"/>
  <c r="B16" i="10"/>
  <c r="A16" i="10"/>
  <c r="AB15" i="10"/>
  <c r="AA15" i="10"/>
  <c r="Z15" i="10"/>
  <c r="Y15" i="10"/>
  <c r="X15" i="10"/>
  <c r="W15" i="10"/>
  <c r="V15" i="10"/>
  <c r="U15" i="10"/>
  <c r="S15" i="10"/>
  <c r="R15" i="10"/>
  <c r="Q15" i="10"/>
  <c r="P15" i="10"/>
  <c r="O15" i="10"/>
  <c r="N15" i="10"/>
  <c r="M15" i="10"/>
  <c r="L15" i="10"/>
  <c r="J15" i="10"/>
  <c r="I15" i="10"/>
  <c r="H15" i="10"/>
  <c r="G15" i="10"/>
  <c r="F15" i="10"/>
  <c r="E15" i="10"/>
  <c r="D15" i="10"/>
  <c r="C15" i="10"/>
  <c r="B15" i="10"/>
  <c r="A15" i="10"/>
  <c r="AB14" i="10"/>
  <c r="AA14" i="10"/>
  <c r="Z14" i="10"/>
  <c r="Y14" i="10"/>
  <c r="X14" i="10"/>
  <c r="W14" i="10"/>
  <c r="V14" i="10"/>
  <c r="U14" i="10"/>
  <c r="S14" i="10"/>
  <c r="R14" i="10"/>
  <c r="Q14" i="10"/>
  <c r="P14" i="10"/>
  <c r="O14" i="10"/>
  <c r="N14" i="10"/>
  <c r="M14" i="10"/>
  <c r="L14" i="10"/>
  <c r="J14" i="10"/>
  <c r="I14" i="10"/>
  <c r="H14" i="10"/>
  <c r="G14" i="10"/>
  <c r="F14" i="10"/>
  <c r="E14" i="10"/>
  <c r="D14" i="10"/>
  <c r="C14" i="10"/>
  <c r="B14" i="10"/>
  <c r="A14" i="10"/>
  <c r="AB13" i="10"/>
  <c r="AA13" i="10"/>
  <c r="Z13" i="10"/>
  <c r="Y13" i="10"/>
  <c r="X13" i="10"/>
  <c r="W13" i="10"/>
  <c r="V13" i="10"/>
  <c r="U13" i="10"/>
  <c r="S13" i="10"/>
  <c r="R13" i="10"/>
  <c r="Q13" i="10"/>
  <c r="P13" i="10"/>
  <c r="O13" i="10"/>
  <c r="N13" i="10"/>
  <c r="M13" i="10"/>
  <c r="L13" i="10"/>
  <c r="J13" i="10"/>
  <c r="I13" i="10"/>
  <c r="H13" i="10"/>
  <c r="G13" i="10"/>
  <c r="F13" i="10"/>
  <c r="E13" i="10"/>
  <c r="D13" i="10"/>
  <c r="C13" i="10"/>
  <c r="B13" i="10"/>
  <c r="A13" i="10"/>
  <c r="AB12" i="10"/>
  <c r="AA12" i="10"/>
  <c r="Z12" i="10"/>
  <c r="Y12" i="10"/>
  <c r="X12" i="10"/>
  <c r="W12" i="10"/>
  <c r="V12" i="10"/>
  <c r="U12" i="10"/>
  <c r="S12" i="10"/>
  <c r="R12" i="10"/>
  <c r="Q12" i="10"/>
  <c r="P12" i="10"/>
  <c r="O12" i="10"/>
  <c r="N12" i="10"/>
  <c r="M12" i="10"/>
  <c r="L12" i="10"/>
  <c r="J12" i="10"/>
  <c r="I12" i="10"/>
  <c r="H12" i="10"/>
  <c r="G12" i="10"/>
  <c r="F12" i="10"/>
  <c r="E12" i="10"/>
  <c r="D12" i="10"/>
  <c r="C12" i="10"/>
  <c r="B12" i="10"/>
  <c r="A12" i="10"/>
  <c r="AB11" i="10"/>
  <c r="AA11" i="10"/>
  <c r="Z11" i="10"/>
  <c r="Y11" i="10"/>
  <c r="X11" i="10"/>
  <c r="W11" i="10"/>
  <c r="V11" i="10"/>
  <c r="U11" i="10"/>
  <c r="S11" i="10"/>
  <c r="R11" i="10"/>
  <c r="Q11" i="10"/>
  <c r="P11" i="10"/>
  <c r="O11" i="10"/>
  <c r="N11" i="10"/>
  <c r="M11" i="10"/>
  <c r="L11" i="10"/>
  <c r="J11" i="10"/>
  <c r="I11" i="10"/>
  <c r="H11" i="10"/>
  <c r="G11" i="10"/>
  <c r="F11" i="10"/>
  <c r="E11" i="10"/>
  <c r="D11" i="10"/>
  <c r="C11" i="10"/>
  <c r="B11" i="10"/>
  <c r="A11" i="10"/>
  <c r="AB10" i="10"/>
  <c r="AA10" i="10"/>
  <c r="Z10" i="10"/>
  <c r="Y10" i="10"/>
  <c r="X10" i="10"/>
  <c r="W10" i="10"/>
  <c r="V10" i="10"/>
  <c r="U10" i="10"/>
  <c r="S10" i="10"/>
  <c r="R10" i="10"/>
  <c r="Q10" i="10"/>
  <c r="P10" i="10"/>
  <c r="O10" i="10"/>
  <c r="N10" i="10"/>
  <c r="M10" i="10"/>
  <c r="L10" i="10"/>
  <c r="J10" i="10"/>
  <c r="I10" i="10"/>
  <c r="H10" i="10"/>
  <c r="G10" i="10"/>
  <c r="F10" i="10"/>
  <c r="E10" i="10"/>
  <c r="D10" i="10"/>
  <c r="C10" i="10"/>
  <c r="B10" i="10"/>
  <c r="A10" i="10"/>
  <c r="AB9" i="10"/>
  <c r="AA9" i="10"/>
  <c r="Z9" i="10"/>
  <c r="Y9" i="10"/>
  <c r="X9" i="10"/>
  <c r="W9" i="10"/>
  <c r="V9" i="10"/>
  <c r="U9" i="10"/>
  <c r="S9" i="10"/>
  <c r="R9" i="10"/>
  <c r="Q9" i="10"/>
  <c r="P9" i="10"/>
  <c r="O9" i="10"/>
  <c r="N9" i="10"/>
  <c r="M9" i="10"/>
  <c r="L9" i="10"/>
  <c r="J9" i="10"/>
  <c r="I9" i="10"/>
  <c r="H9" i="10"/>
  <c r="G9" i="10"/>
  <c r="F9" i="10"/>
  <c r="E9" i="10"/>
  <c r="D9" i="10"/>
  <c r="C9" i="10"/>
  <c r="B9" i="10"/>
  <c r="A9" i="10"/>
  <c r="AB8" i="10"/>
  <c r="AA8" i="10"/>
  <c r="Z8" i="10"/>
  <c r="Y8" i="10"/>
  <c r="X8" i="10"/>
  <c r="W8" i="10"/>
  <c r="V8" i="10"/>
  <c r="U8" i="10"/>
  <c r="S8" i="10"/>
  <c r="R8" i="10"/>
  <c r="Q8" i="10"/>
  <c r="P8" i="10"/>
  <c r="O8" i="10"/>
  <c r="N8" i="10"/>
  <c r="M8" i="10"/>
  <c r="L8" i="10"/>
  <c r="J8" i="10"/>
  <c r="I8" i="10"/>
  <c r="H8" i="10"/>
  <c r="G8" i="10"/>
  <c r="F8" i="10"/>
  <c r="E8" i="10"/>
  <c r="D8" i="10"/>
  <c r="C8" i="10"/>
  <c r="B8" i="10"/>
  <c r="A8" i="10"/>
  <c r="AB7" i="10"/>
  <c r="AA7" i="10"/>
  <c r="Z7" i="10"/>
  <c r="Y7" i="10"/>
  <c r="X7" i="10"/>
  <c r="W7" i="10"/>
  <c r="V7" i="10"/>
  <c r="U7" i="10"/>
  <c r="S7" i="10"/>
  <c r="R7" i="10"/>
  <c r="Q7" i="10"/>
  <c r="P7" i="10"/>
  <c r="O7" i="10"/>
  <c r="N7" i="10"/>
  <c r="M7" i="10"/>
  <c r="L7" i="10"/>
  <c r="J7" i="10"/>
  <c r="I7" i="10"/>
  <c r="H7" i="10"/>
  <c r="G7" i="10"/>
  <c r="F7" i="10"/>
  <c r="E7" i="10"/>
  <c r="D7" i="10"/>
  <c r="C7" i="10"/>
  <c r="B7" i="10"/>
  <c r="A7" i="10"/>
  <c r="AB6" i="10"/>
  <c r="AA6" i="10"/>
  <c r="Z6" i="10"/>
  <c r="Y6" i="10"/>
  <c r="X6" i="10"/>
  <c r="W6" i="10"/>
  <c r="V6" i="10"/>
  <c r="U6" i="10"/>
  <c r="S6" i="10"/>
  <c r="R6" i="10"/>
  <c r="Q6" i="10"/>
  <c r="P6" i="10"/>
  <c r="O6" i="10"/>
  <c r="N6" i="10"/>
  <c r="M6" i="10"/>
  <c r="L6" i="10"/>
  <c r="J6" i="10"/>
  <c r="I6" i="10"/>
  <c r="H6" i="10"/>
  <c r="G6" i="10"/>
  <c r="F6" i="10"/>
  <c r="E6" i="10"/>
  <c r="D6" i="10"/>
  <c r="C6" i="10"/>
  <c r="B6" i="10"/>
  <c r="A6" i="10"/>
  <c r="AB5" i="10"/>
  <c r="AA5" i="10"/>
  <c r="Z5" i="10"/>
  <c r="Y5" i="10"/>
  <c r="X5" i="10"/>
  <c r="W5" i="10"/>
  <c r="V5" i="10"/>
  <c r="U5" i="10"/>
  <c r="S5" i="10"/>
  <c r="R5" i="10"/>
  <c r="Q5" i="10"/>
  <c r="P5" i="10"/>
  <c r="O5" i="10"/>
  <c r="N5" i="10"/>
  <c r="M5" i="10"/>
  <c r="L5" i="10"/>
  <c r="J5" i="10"/>
  <c r="I5" i="10"/>
  <c r="H5" i="10"/>
  <c r="G5" i="10"/>
  <c r="F5" i="10"/>
  <c r="E5" i="10"/>
  <c r="D5" i="10"/>
  <c r="C5" i="10"/>
  <c r="B5" i="10"/>
  <c r="A5" i="10"/>
  <c r="L1" i="10"/>
  <c r="C38" i="39"/>
  <c r="AB36" i="39"/>
  <c r="AA36" i="39"/>
  <c r="Z36" i="39"/>
  <c r="Y36" i="39"/>
  <c r="X36" i="39"/>
  <c r="W36" i="39"/>
  <c r="V36" i="39"/>
  <c r="U36" i="39"/>
  <c r="S36" i="39"/>
  <c r="R36" i="39"/>
  <c r="Q36" i="39"/>
  <c r="P36" i="39"/>
  <c r="O36" i="39"/>
  <c r="N36" i="39"/>
  <c r="M36" i="39"/>
  <c r="L36" i="39"/>
  <c r="J36" i="39"/>
  <c r="I36" i="39"/>
  <c r="H36" i="39"/>
  <c r="G36" i="39"/>
  <c r="F36" i="39"/>
  <c r="E36" i="39"/>
  <c r="D36" i="39"/>
  <c r="C36" i="39"/>
  <c r="AC35" i="39"/>
  <c r="T35" i="39"/>
  <c r="K35" i="39"/>
  <c r="T36" i="39" l="1"/>
  <c r="AC36" i="39"/>
  <c r="C44" i="54"/>
  <c r="A45" i="54"/>
  <c r="B44" i="54"/>
  <c r="B88" i="52"/>
  <c r="C88" i="52"/>
  <c r="D88" i="52"/>
  <c r="C90" i="2"/>
  <c r="A91" i="2"/>
  <c r="B90" i="2"/>
  <c r="B35" i="17" s="1"/>
  <c r="A89" i="52"/>
  <c r="A35" i="17"/>
  <c r="A45" i="53"/>
  <c r="B44" i="53"/>
  <c r="C44" i="53"/>
  <c r="AD35" i="39"/>
  <c r="K36" i="39"/>
  <c r="AD36" i="39" l="1"/>
  <c r="AD38" i="39" s="1"/>
  <c r="M8" i="47" s="1"/>
  <c r="A46" i="54"/>
  <c r="B45" i="54"/>
  <c r="C45" i="54"/>
  <c r="C89" i="52"/>
  <c r="D89" i="52"/>
  <c r="B89" i="52"/>
  <c r="A92" i="2"/>
  <c r="B91" i="2"/>
  <c r="B5" i="22" s="1"/>
  <c r="C91" i="2"/>
  <c r="A90" i="52"/>
  <c r="A5" i="22"/>
  <c r="C45" i="53"/>
  <c r="A46" i="53"/>
  <c r="B45" i="53"/>
  <c r="AD39" i="39"/>
  <c r="AC34" i="39"/>
  <c r="T34" i="39"/>
  <c r="K34" i="39"/>
  <c r="AC33" i="39"/>
  <c r="T33" i="39"/>
  <c r="K33" i="39"/>
  <c r="AC32" i="39"/>
  <c r="T32" i="39"/>
  <c r="K32" i="39"/>
  <c r="AC31" i="39"/>
  <c r="T31" i="39"/>
  <c r="K31" i="39"/>
  <c r="AC30" i="39"/>
  <c r="T30" i="39"/>
  <c r="K30" i="39"/>
  <c r="AC29" i="39"/>
  <c r="T29" i="39"/>
  <c r="K29" i="39"/>
  <c r="AC28" i="39"/>
  <c r="T28" i="39"/>
  <c r="K28" i="39"/>
  <c r="AC27" i="39"/>
  <c r="T27" i="39"/>
  <c r="K27" i="39"/>
  <c r="AC26" i="39"/>
  <c r="T26" i="39"/>
  <c r="K26" i="39"/>
  <c r="AC25" i="39"/>
  <c r="T25" i="39"/>
  <c r="K25" i="39"/>
  <c r="AD27" i="39" l="1"/>
  <c r="AD29" i="39"/>
  <c r="AD31" i="39"/>
  <c r="AD25" i="39"/>
  <c r="C46" i="54"/>
  <c r="A47" i="54"/>
  <c r="B46" i="54"/>
  <c r="D90" i="52"/>
  <c r="B90" i="52"/>
  <c r="C90" i="52"/>
  <c r="C92" i="2"/>
  <c r="A93" i="2"/>
  <c r="B92" i="2"/>
  <c r="B6" i="22" s="1"/>
  <c r="A91" i="52"/>
  <c r="A6" i="22"/>
  <c r="A47" i="53"/>
  <c r="B46" i="53"/>
  <c r="C46" i="53"/>
  <c r="AD34" i="39"/>
  <c r="AD33" i="39"/>
  <c r="AD30" i="39"/>
  <c r="AD26" i="39"/>
  <c r="AC24" i="39"/>
  <c r="T24" i="39"/>
  <c r="K24" i="39"/>
  <c r="AC23" i="39"/>
  <c r="T23" i="39"/>
  <c r="K23" i="39"/>
  <c r="AC22" i="39"/>
  <c r="T22" i="39"/>
  <c r="K22" i="39"/>
  <c r="AC21" i="39"/>
  <c r="T21" i="39"/>
  <c r="K21" i="39"/>
  <c r="AC20" i="39"/>
  <c r="T20" i="39"/>
  <c r="K20" i="39"/>
  <c r="AC19" i="39"/>
  <c r="T19" i="39"/>
  <c r="K19" i="39"/>
  <c r="AC18" i="39"/>
  <c r="T18" i="39"/>
  <c r="K18" i="39"/>
  <c r="AC17" i="39"/>
  <c r="T17" i="39"/>
  <c r="K17" i="39"/>
  <c r="AC16" i="39"/>
  <c r="T16" i="39"/>
  <c r="K16" i="39"/>
  <c r="AC15" i="39"/>
  <c r="T15" i="39"/>
  <c r="K15" i="39"/>
  <c r="AD15" i="39" l="1"/>
  <c r="AD17" i="39"/>
  <c r="AD19" i="39"/>
  <c r="AD21" i="39"/>
  <c r="AD23" i="39"/>
  <c r="A48" i="54"/>
  <c r="B47" i="54"/>
  <c r="C47" i="54"/>
  <c r="C91" i="52"/>
  <c r="D91" i="52"/>
  <c r="B91" i="52"/>
  <c r="A94" i="2"/>
  <c r="B93" i="2"/>
  <c r="B7" i="22" s="1"/>
  <c r="C93" i="2"/>
  <c r="A92" i="52"/>
  <c r="A7" i="22"/>
  <c r="C47" i="53"/>
  <c r="A48" i="53"/>
  <c r="B47" i="53"/>
  <c r="AD24" i="39"/>
  <c r="AD22" i="39"/>
  <c r="AD20" i="39"/>
  <c r="AD18" i="39"/>
  <c r="AD16" i="39"/>
  <c r="AC14" i="39"/>
  <c r="T14" i="39"/>
  <c r="K14" i="39"/>
  <c r="AC13" i="39"/>
  <c r="T13" i="39"/>
  <c r="K13" i="39"/>
  <c r="AC12" i="39"/>
  <c r="T12" i="39"/>
  <c r="K12" i="39"/>
  <c r="AC11" i="39"/>
  <c r="T11" i="39"/>
  <c r="K11" i="39"/>
  <c r="AD11" i="39" l="1"/>
  <c r="AD13" i="39"/>
  <c r="C48" i="54"/>
  <c r="A49" i="54"/>
  <c r="B48" i="54"/>
  <c r="C94" i="2"/>
  <c r="A95" i="2"/>
  <c r="B94" i="2"/>
  <c r="B8" i="22" s="1"/>
  <c r="A93" i="52"/>
  <c r="A8" i="22"/>
  <c r="D92" i="52"/>
  <c r="C92" i="52"/>
  <c r="B92" i="52"/>
  <c r="A49" i="53"/>
  <c r="B48" i="53"/>
  <c r="C48" i="53"/>
  <c r="AD12" i="39"/>
  <c r="AC10" i="39"/>
  <c r="T10" i="39"/>
  <c r="K10" i="39"/>
  <c r="A50" i="54" l="1"/>
  <c r="B49" i="54"/>
  <c r="C49" i="54"/>
  <c r="C93" i="52"/>
  <c r="D93" i="52"/>
  <c r="B93" i="52"/>
  <c r="A96" i="2"/>
  <c r="B95" i="2"/>
  <c r="B9" i="22" s="1"/>
  <c r="C95" i="2"/>
  <c r="A94" i="52"/>
  <c r="A9" i="22"/>
  <c r="C49" i="53"/>
  <c r="A50" i="53"/>
  <c r="B49" i="53"/>
  <c r="AC9" i="39"/>
  <c r="T9" i="39"/>
  <c r="K9" i="39"/>
  <c r="AC8" i="39"/>
  <c r="T8" i="39"/>
  <c r="K8" i="39"/>
  <c r="AC7" i="39"/>
  <c r="T7" i="39"/>
  <c r="K7" i="39"/>
  <c r="AC6" i="39"/>
  <c r="T6" i="39"/>
  <c r="K6" i="39"/>
  <c r="AC5" i="39"/>
  <c r="T5" i="39"/>
  <c r="K5" i="39"/>
  <c r="L1" i="39"/>
  <c r="C38" i="38"/>
  <c r="AB36" i="38"/>
  <c r="AA36" i="38"/>
  <c r="Z36" i="38"/>
  <c r="Y36" i="38"/>
  <c r="X36" i="38"/>
  <c r="W36" i="38"/>
  <c r="V36" i="38"/>
  <c r="U36" i="38"/>
  <c r="S36" i="38"/>
  <c r="R36" i="38"/>
  <c r="Q36" i="38"/>
  <c r="P36" i="38"/>
  <c r="O36" i="38"/>
  <c r="N36" i="38"/>
  <c r="M36" i="38"/>
  <c r="L36" i="38"/>
  <c r="J36" i="38"/>
  <c r="I36" i="38"/>
  <c r="H36" i="38"/>
  <c r="G36" i="38"/>
  <c r="F36" i="38"/>
  <c r="E36" i="38"/>
  <c r="D36" i="38"/>
  <c r="C36" i="38"/>
  <c r="AC35" i="38"/>
  <c r="T35" i="38"/>
  <c r="K35" i="38"/>
  <c r="AC34" i="38"/>
  <c r="T34" i="38"/>
  <c r="K34" i="38"/>
  <c r="AD5" i="39" l="1"/>
  <c r="AD7" i="39"/>
  <c r="T36" i="38"/>
  <c r="AD9" i="39"/>
  <c r="C50" i="54"/>
  <c r="A51" i="54"/>
  <c r="B50" i="54"/>
  <c r="B94" i="52"/>
  <c r="D94" i="52"/>
  <c r="C94" i="52"/>
  <c r="C96" i="2"/>
  <c r="A97" i="2"/>
  <c r="B96" i="2"/>
  <c r="B10" i="22" s="1"/>
  <c r="A95" i="52"/>
  <c r="A10" i="22"/>
  <c r="A51" i="53"/>
  <c r="B50" i="53"/>
  <c r="C50" i="53"/>
  <c r="AD35" i="38"/>
  <c r="AD6" i="39"/>
  <c r="AD34" i="38"/>
  <c r="K36" i="38"/>
  <c r="AC33" i="38"/>
  <c r="T33" i="38"/>
  <c r="K33" i="38"/>
  <c r="AC32" i="38"/>
  <c r="T32" i="38"/>
  <c r="K32" i="38"/>
  <c r="AD33" i="38" l="1"/>
  <c r="A52" i="54"/>
  <c r="B51" i="54"/>
  <c r="C51" i="54"/>
  <c r="B95" i="52"/>
  <c r="C95" i="52"/>
  <c r="D95" i="52"/>
  <c r="A98" i="2"/>
  <c r="B97" i="2"/>
  <c r="B11" i="22" s="1"/>
  <c r="C97" i="2"/>
  <c r="A96" i="52"/>
  <c r="A11" i="22"/>
  <c r="C51" i="53"/>
  <c r="A52" i="53"/>
  <c r="B51" i="53"/>
  <c r="AC36" i="38"/>
  <c r="AD36" i="38" s="1"/>
  <c r="AC31" i="38"/>
  <c r="T31" i="38"/>
  <c r="AD31" i="38" s="1"/>
  <c r="K31" i="38"/>
  <c r="AC30" i="38"/>
  <c r="T30" i="38"/>
  <c r="K30" i="38"/>
  <c r="AC29" i="38"/>
  <c r="T29" i="38"/>
  <c r="K29" i="38"/>
  <c r="AD38" i="38" l="1"/>
  <c r="L8" i="47" s="1"/>
  <c r="AD39" i="38"/>
  <c r="AD29" i="38"/>
  <c r="C52" i="54"/>
  <c r="A53" i="54"/>
  <c r="B52" i="54"/>
  <c r="B96" i="52"/>
  <c r="C96" i="52"/>
  <c r="D96" i="52"/>
  <c r="C98" i="2"/>
  <c r="A99" i="2"/>
  <c r="B98" i="2"/>
  <c r="B12" i="22" s="1"/>
  <c r="A97" i="52"/>
  <c r="A12" i="22"/>
  <c r="A53" i="53"/>
  <c r="B52" i="53"/>
  <c r="C52" i="53"/>
  <c r="AC28" i="38"/>
  <c r="T28" i="38"/>
  <c r="K28" i="38"/>
  <c r="AC27" i="38"/>
  <c r="T27" i="38"/>
  <c r="K27" i="38"/>
  <c r="AC26" i="38"/>
  <c r="T26" i="38"/>
  <c r="K26" i="38"/>
  <c r="AC25" i="38"/>
  <c r="T25" i="38"/>
  <c r="K25" i="38"/>
  <c r="AC24" i="38"/>
  <c r="T24" i="38"/>
  <c r="K24" i="38"/>
  <c r="AC23" i="38"/>
  <c r="T23" i="38"/>
  <c r="K23" i="38"/>
  <c r="AC22" i="38"/>
  <c r="T22" i="38"/>
  <c r="K22" i="38"/>
  <c r="AD23" i="38" l="1"/>
  <c r="AD25" i="38"/>
  <c r="AD27" i="38"/>
  <c r="A54" i="54"/>
  <c r="B53" i="54"/>
  <c r="C53" i="54"/>
  <c r="C97" i="52"/>
  <c r="D97" i="52"/>
  <c r="B97" i="52"/>
  <c r="A100" i="2"/>
  <c r="B99" i="2"/>
  <c r="B13" i="22" s="1"/>
  <c r="C99" i="2"/>
  <c r="A98" i="52"/>
  <c r="A13" i="22"/>
  <c r="C53" i="53"/>
  <c r="A54" i="53"/>
  <c r="B53" i="53"/>
  <c r="AC21" i="38"/>
  <c r="T21" i="38"/>
  <c r="K21" i="38"/>
  <c r="AC20" i="38"/>
  <c r="T20" i="38"/>
  <c r="K20" i="38"/>
  <c r="AD21" i="38" l="1"/>
  <c r="C54" i="54"/>
  <c r="A55" i="54"/>
  <c r="B54" i="54"/>
  <c r="C98" i="52"/>
  <c r="D98" i="52"/>
  <c r="B98" i="52"/>
  <c r="C100" i="2"/>
  <c r="A101" i="2"/>
  <c r="B100" i="2"/>
  <c r="B14" i="22" s="1"/>
  <c r="A99" i="52"/>
  <c r="A14" i="22"/>
  <c r="A55" i="53"/>
  <c r="B54" i="53"/>
  <c r="C54" i="53"/>
  <c r="AC19" i="38"/>
  <c r="T19" i="38"/>
  <c r="K19" i="38"/>
  <c r="AD19" i="38" l="1"/>
  <c r="A56" i="54"/>
  <c r="B55" i="54"/>
  <c r="C55" i="54"/>
  <c r="C99" i="52"/>
  <c r="B99" i="52"/>
  <c r="D99" i="52"/>
  <c r="A102" i="2"/>
  <c r="B101" i="2"/>
  <c r="B15" i="22" s="1"/>
  <c r="C101" i="2"/>
  <c r="A100" i="52"/>
  <c r="A15" i="22"/>
  <c r="C55" i="53"/>
  <c r="A56" i="53"/>
  <c r="B55" i="53"/>
  <c r="AC18" i="38"/>
  <c r="T18" i="38"/>
  <c r="K18" i="38"/>
  <c r="AC17" i="38"/>
  <c r="T17" i="38"/>
  <c r="K17" i="38"/>
  <c r="AD17" i="38" l="1"/>
  <c r="C56" i="54"/>
  <c r="A57" i="54"/>
  <c r="B56" i="54"/>
  <c r="C102" i="2"/>
  <c r="A103" i="2"/>
  <c r="B102" i="2"/>
  <c r="B16" i="22" s="1"/>
  <c r="A101" i="52"/>
  <c r="A16" i="22"/>
  <c r="C100" i="52"/>
  <c r="B100" i="52"/>
  <c r="D100" i="52"/>
  <c r="A57" i="53"/>
  <c r="B56" i="53"/>
  <c r="C56" i="53"/>
  <c r="AC16" i="38"/>
  <c r="T16" i="38"/>
  <c r="K16" i="38"/>
  <c r="AC15" i="38"/>
  <c r="T15" i="38"/>
  <c r="K15" i="38"/>
  <c r="AC14" i="38"/>
  <c r="T14" i="38"/>
  <c r="K14" i="38"/>
  <c r="AD15" i="38" l="1"/>
  <c r="A58" i="54"/>
  <c r="B57" i="54"/>
  <c r="C57" i="54"/>
  <c r="C101" i="52"/>
  <c r="D101" i="52"/>
  <c r="B101" i="52"/>
  <c r="A104" i="2"/>
  <c r="B103" i="2"/>
  <c r="B17" i="22" s="1"/>
  <c r="C103" i="2"/>
  <c r="A102" i="52"/>
  <c r="A17" i="22"/>
  <c r="C57" i="53"/>
  <c r="A58" i="53"/>
  <c r="B57" i="53"/>
  <c r="AC13" i="38"/>
  <c r="T13" i="38"/>
  <c r="K13" i="38"/>
  <c r="AC12" i="38"/>
  <c r="T12" i="38"/>
  <c r="K12" i="38"/>
  <c r="AC11" i="38"/>
  <c r="T11" i="38"/>
  <c r="K11" i="38"/>
  <c r="AD11" i="38" s="1"/>
  <c r="AC10" i="38"/>
  <c r="T10" i="38"/>
  <c r="K10" i="38"/>
  <c r="AD13" i="38" l="1"/>
  <c r="C58" i="54"/>
  <c r="A59" i="54"/>
  <c r="B58" i="54"/>
  <c r="C104" i="2"/>
  <c r="A105" i="2"/>
  <c r="B104" i="2"/>
  <c r="B18" i="22" s="1"/>
  <c r="A103" i="52"/>
  <c r="A18" i="22"/>
  <c r="C102" i="52"/>
  <c r="B102" i="52"/>
  <c r="D102" i="52"/>
  <c r="A59" i="53"/>
  <c r="B58" i="53"/>
  <c r="C58" i="53"/>
  <c r="AC9" i="38"/>
  <c r="T9" i="38"/>
  <c r="K9" i="38"/>
  <c r="AC8" i="38"/>
  <c r="T8" i="38"/>
  <c r="K8" i="38"/>
  <c r="AC7" i="38"/>
  <c r="T7" i="38"/>
  <c r="K7" i="38"/>
  <c r="AC6" i="38"/>
  <c r="T6" i="38"/>
  <c r="K6" i="38"/>
  <c r="AD7" i="38" l="1"/>
  <c r="AD9" i="38"/>
  <c r="A370" i="54"/>
  <c r="A60" i="54"/>
  <c r="B59" i="54"/>
  <c r="C59" i="54"/>
  <c r="D103" i="52"/>
  <c r="C103" i="52"/>
  <c r="B103" i="52"/>
  <c r="A106" i="2"/>
  <c r="B105" i="2"/>
  <c r="B19" i="22" s="1"/>
  <c r="C105" i="2"/>
  <c r="A104" i="52"/>
  <c r="A19" i="22"/>
  <c r="C59" i="53"/>
  <c r="A60" i="53"/>
  <c r="B59" i="53"/>
  <c r="AC5" i="38"/>
  <c r="T5" i="38"/>
  <c r="K5" i="38"/>
  <c r="L1" i="38"/>
  <c r="C38" i="37"/>
  <c r="AB36" i="37"/>
  <c r="AA36" i="37"/>
  <c r="Z36" i="37"/>
  <c r="Y36" i="37"/>
  <c r="X36" i="37"/>
  <c r="W36" i="37"/>
  <c r="V36" i="37"/>
  <c r="U36" i="37"/>
  <c r="AC36" i="37" s="1"/>
  <c r="S36" i="37"/>
  <c r="R36" i="37"/>
  <c r="Q36" i="37"/>
  <c r="P36" i="37"/>
  <c r="O36" i="37"/>
  <c r="N36" i="37"/>
  <c r="M36" i="37"/>
  <c r="L36" i="37"/>
  <c r="T36" i="37" s="1"/>
  <c r="J36" i="37"/>
  <c r="I36" i="37"/>
  <c r="H36" i="37"/>
  <c r="G36" i="37"/>
  <c r="F36" i="37"/>
  <c r="E36" i="37"/>
  <c r="D36" i="37"/>
  <c r="C36" i="37"/>
  <c r="AC35" i="37"/>
  <c r="T35" i="37"/>
  <c r="K35" i="37"/>
  <c r="AC34" i="37"/>
  <c r="T34" i="37"/>
  <c r="K34" i="37"/>
  <c r="AD34" i="37" s="1"/>
  <c r="AD5" i="38" l="1"/>
  <c r="C60" i="54"/>
  <c r="A61" i="54"/>
  <c r="B60" i="54"/>
  <c r="AD35" i="37"/>
  <c r="C370" i="54"/>
  <c r="B370" i="54"/>
  <c r="C104" i="52"/>
  <c r="D104" i="52"/>
  <c r="B104" i="52"/>
  <c r="C106" i="2"/>
  <c r="A107" i="2"/>
  <c r="B106" i="2"/>
  <c r="B20" i="22" s="1"/>
  <c r="A105" i="52"/>
  <c r="A20" i="22"/>
  <c r="A61" i="53"/>
  <c r="B60" i="53"/>
  <c r="C60" i="53"/>
  <c r="K36" i="37"/>
  <c r="AD36" i="37" s="1"/>
  <c r="AD39" i="37" s="1"/>
  <c r="AC33" i="37"/>
  <c r="T33" i="37"/>
  <c r="K33" i="37"/>
  <c r="AC32" i="37"/>
  <c r="T32" i="37"/>
  <c r="K32" i="37"/>
  <c r="AC31" i="37"/>
  <c r="T31" i="37"/>
  <c r="K31" i="37"/>
  <c r="AC30" i="37"/>
  <c r="T30" i="37"/>
  <c r="K30" i="37"/>
  <c r="AC29" i="37"/>
  <c r="T29" i="37"/>
  <c r="K29" i="37"/>
  <c r="AC28" i="37"/>
  <c r="T28" i="37"/>
  <c r="K28" i="37"/>
  <c r="AC27" i="37"/>
  <c r="T27" i="37"/>
  <c r="K27" i="37"/>
  <c r="AC26" i="37"/>
  <c r="T26" i="37"/>
  <c r="K26" i="37"/>
  <c r="AC25" i="37"/>
  <c r="T25" i="37"/>
  <c r="K25" i="37"/>
  <c r="AC24" i="37"/>
  <c r="T24" i="37"/>
  <c r="K24" i="37"/>
  <c r="AC23" i="37"/>
  <c r="T23" i="37"/>
  <c r="K23" i="37"/>
  <c r="AC22" i="37"/>
  <c r="T22" i="37"/>
  <c r="K22" i="37"/>
  <c r="AC21" i="37"/>
  <c r="T21" i="37"/>
  <c r="K21" i="37"/>
  <c r="AC20" i="37"/>
  <c r="T20" i="37"/>
  <c r="K20" i="37"/>
  <c r="AC19" i="37"/>
  <c r="T19" i="37"/>
  <c r="K19" i="37"/>
  <c r="AC18" i="37"/>
  <c r="T18" i="37"/>
  <c r="K18" i="37"/>
  <c r="AC17" i="37"/>
  <c r="T17" i="37"/>
  <c r="K17" i="37"/>
  <c r="AC16" i="37"/>
  <c r="T16" i="37"/>
  <c r="K16" i="37"/>
  <c r="AC15" i="37"/>
  <c r="T15" i="37"/>
  <c r="K15" i="37"/>
  <c r="AD18" i="37" l="1"/>
  <c r="AD22" i="37"/>
  <c r="AD26" i="37"/>
  <c r="AD30" i="37"/>
  <c r="AD16" i="37"/>
  <c r="AD20" i="37"/>
  <c r="AD24" i="37"/>
  <c r="AD28" i="37"/>
  <c r="AD32" i="37"/>
  <c r="A62" i="54"/>
  <c r="B61" i="54"/>
  <c r="C61" i="54"/>
  <c r="C105" i="52"/>
  <c r="D105" i="52"/>
  <c r="B105" i="52"/>
  <c r="A108" i="2"/>
  <c r="B107" i="2"/>
  <c r="B21" i="22" s="1"/>
  <c r="C107" i="2"/>
  <c r="A106" i="52"/>
  <c r="A21" i="22"/>
  <c r="C61" i="53"/>
  <c r="A62" i="53"/>
  <c r="B61" i="53"/>
  <c r="AD38" i="37"/>
  <c r="K8" i="47" s="1"/>
  <c r="AC14" i="37"/>
  <c r="T14" i="37"/>
  <c r="K14" i="37"/>
  <c r="AC13" i="37"/>
  <c r="T13" i="37"/>
  <c r="K13" i="37"/>
  <c r="AC12" i="37"/>
  <c r="T12" i="37"/>
  <c r="K12" i="37"/>
  <c r="AC11" i="37"/>
  <c r="T11" i="37"/>
  <c r="K11" i="37"/>
  <c r="AC10" i="37"/>
  <c r="T10" i="37"/>
  <c r="K10" i="37"/>
  <c r="AC9" i="37"/>
  <c r="T9" i="37"/>
  <c r="K9" i="37"/>
  <c r="AC8" i="37"/>
  <c r="T8" i="37"/>
  <c r="K8" i="37"/>
  <c r="AC7" i="37"/>
  <c r="T7" i="37"/>
  <c r="K7" i="37"/>
  <c r="AD8" i="37" l="1"/>
  <c r="AD14" i="37"/>
  <c r="AD10" i="37"/>
  <c r="C62" i="54"/>
  <c r="A63" i="54"/>
  <c r="B62" i="54"/>
  <c r="D106" i="52"/>
  <c r="B106" i="52"/>
  <c r="C106" i="52"/>
  <c r="C108" i="2"/>
  <c r="A109" i="2"/>
  <c r="B108" i="2"/>
  <c r="B22" i="22" s="1"/>
  <c r="A107" i="52"/>
  <c r="A22" i="22"/>
  <c r="A63" i="53"/>
  <c r="B62" i="53"/>
  <c r="C62" i="53"/>
  <c r="AD12" i="37"/>
  <c r="AC6" i="37"/>
  <c r="T6" i="37"/>
  <c r="K6" i="37"/>
  <c r="AC5" i="37"/>
  <c r="T5" i="37"/>
  <c r="K5" i="37"/>
  <c r="L1" i="37"/>
  <c r="C38" i="36"/>
  <c r="AB36" i="36"/>
  <c r="AA36" i="36"/>
  <c r="Z36" i="36"/>
  <c r="Y36" i="36"/>
  <c r="X36" i="36"/>
  <c r="W36" i="36"/>
  <c r="V36" i="36"/>
  <c r="U36" i="36"/>
  <c r="S36" i="36"/>
  <c r="R36" i="36"/>
  <c r="Q36" i="36"/>
  <c r="P36" i="36"/>
  <c r="O36" i="36"/>
  <c r="N36" i="36"/>
  <c r="M36" i="36"/>
  <c r="L36" i="36"/>
  <c r="J36" i="36"/>
  <c r="I36" i="36"/>
  <c r="H36" i="36"/>
  <c r="G36" i="36"/>
  <c r="F36" i="36"/>
  <c r="E36" i="36"/>
  <c r="D36" i="36"/>
  <c r="C36" i="36"/>
  <c r="AC35" i="36"/>
  <c r="T35" i="36"/>
  <c r="K35" i="36"/>
  <c r="AC34" i="36"/>
  <c r="T34" i="36"/>
  <c r="K34" i="36"/>
  <c r="AC33" i="36"/>
  <c r="T33" i="36"/>
  <c r="K33" i="36"/>
  <c r="AC32" i="36"/>
  <c r="T32" i="36"/>
  <c r="K32" i="36"/>
  <c r="AC31" i="36"/>
  <c r="T31" i="36"/>
  <c r="K31" i="36"/>
  <c r="AD6" i="37" l="1"/>
  <c r="AD32" i="36"/>
  <c r="AD34" i="36"/>
  <c r="AD35" i="36"/>
  <c r="A64" i="54"/>
  <c r="B63" i="54"/>
  <c r="C63" i="54"/>
  <c r="C107" i="52"/>
  <c r="B107" i="52"/>
  <c r="D107" i="52"/>
  <c r="A110" i="2"/>
  <c r="B109" i="2"/>
  <c r="B23" i="22" s="1"/>
  <c r="C109" i="2"/>
  <c r="A108" i="52"/>
  <c r="A23" i="22"/>
  <c r="C63" i="53"/>
  <c r="A64" i="53"/>
  <c r="B63" i="53"/>
  <c r="AD33" i="36"/>
  <c r="T36" i="36"/>
  <c r="AC36" i="36"/>
  <c r="K36" i="36"/>
  <c r="AC30" i="36"/>
  <c r="T30" i="36"/>
  <c r="K30" i="36"/>
  <c r="C64" i="54" l="1"/>
  <c r="A65" i="54"/>
  <c r="B64" i="54"/>
  <c r="C108" i="52"/>
  <c r="D108" i="52"/>
  <c r="B108" i="52"/>
  <c r="C110" i="2"/>
  <c r="A111" i="2"/>
  <c r="B110" i="2"/>
  <c r="B24" i="22" s="1"/>
  <c r="A109" i="52"/>
  <c r="A24" i="22"/>
  <c r="A65" i="53"/>
  <c r="B64" i="53"/>
  <c r="C64" i="53"/>
  <c r="AD30" i="36"/>
  <c r="AD36" i="36"/>
  <c r="AD38" i="36" s="1"/>
  <c r="J8" i="47" s="1"/>
  <c r="AC29" i="36"/>
  <c r="T29" i="36"/>
  <c r="K29" i="36"/>
  <c r="A66" i="54" l="1"/>
  <c r="B65" i="54"/>
  <c r="C65" i="54"/>
  <c r="C109" i="52"/>
  <c r="D109" i="52"/>
  <c r="B109" i="52"/>
  <c r="A112" i="2"/>
  <c r="B111" i="2"/>
  <c r="B25" i="22" s="1"/>
  <c r="C111" i="2"/>
  <c r="A110" i="52"/>
  <c r="A25" i="22"/>
  <c r="C65" i="53"/>
  <c r="A66" i="53"/>
  <c r="B65" i="53"/>
  <c r="AD39" i="36"/>
  <c r="AC28" i="36"/>
  <c r="T28" i="36"/>
  <c r="K28" i="36"/>
  <c r="AC27" i="36"/>
  <c r="T27" i="36"/>
  <c r="K27" i="36"/>
  <c r="AC26" i="36"/>
  <c r="T26" i="36"/>
  <c r="K26" i="36"/>
  <c r="C66" i="54" l="1"/>
  <c r="A67" i="54"/>
  <c r="B66" i="54"/>
  <c r="C110" i="52"/>
  <c r="D110" i="52"/>
  <c r="B110" i="52"/>
  <c r="C112" i="2"/>
  <c r="A113" i="2"/>
  <c r="B112" i="2"/>
  <c r="B26" i="22" s="1"/>
  <c r="A111" i="52"/>
  <c r="A26" i="22"/>
  <c r="A67" i="53"/>
  <c r="B66" i="53"/>
  <c r="C66" i="53"/>
  <c r="AD28" i="36"/>
  <c r="AD26" i="36"/>
  <c r="AC25" i="36"/>
  <c r="T25" i="36"/>
  <c r="K25" i="36"/>
  <c r="AC24" i="36"/>
  <c r="T24" i="36"/>
  <c r="K24" i="36"/>
  <c r="A68" i="54" l="1"/>
  <c r="B67" i="54"/>
  <c r="C67" i="54"/>
  <c r="C111" i="52"/>
  <c r="D111" i="52"/>
  <c r="B111" i="52"/>
  <c r="A114" i="2"/>
  <c r="B113" i="2"/>
  <c r="B27" i="22" s="1"/>
  <c r="C113" i="2"/>
  <c r="A112" i="52"/>
  <c r="A27" i="22"/>
  <c r="C67" i="53"/>
  <c r="A68" i="53"/>
  <c r="B67" i="53"/>
  <c r="AD24" i="36"/>
  <c r="AC23" i="36"/>
  <c r="T23" i="36"/>
  <c r="K23" i="36"/>
  <c r="C68" i="54" l="1"/>
  <c r="A69" i="54"/>
  <c r="B68" i="54"/>
  <c r="B112" i="52"/>
  <c r="C112" i="52"/>
  <c r="D112" i="52"/>
  <c r="C114" i="2"/>
  <c r="A115" i="2"/>
  <c r="B114" i="2"/>
  <c r="B28" i="22" s="1"/>
  <c r="A113" i="52"/>
  <c r="A28" i="22"/>
  <c r="A69" i="53"/>
  <c r="B68" i="53"/>
  <c r="C68" i="53"/>
  <c r="AC22" i="36"/>
  <c r="T22" i="36"/>
  <c r="K22" i="36"/>
  <c r="AC21" i="36"/>
  <c r="T21" i="36"/>
  <c r="K21" i="36"/>
  <c r="A70" i="54" l="1"/>
  <c r="B69" i="54"/>
  <c r="C69" i="54"/>
  <c r="C113" i="52"/>
  <c r="D113" i="52"/>
  <c r="B113" i="52"/>
  <c r="A116" i="2"/>
  <c r="B115" i="2"/>
  <c r="B29" i="22" s="1"/>
  <c r="C115" i="2"/>
  <c r="A114" i="52"/>
  <c r="A29" i="22"/>
  <c r="C69" i="53"/>
  <c r="A70" i="53"/>
  <c r="B69" i="53"/>
  <c r="AD22" i="36"/>
  <c r="AC20" i="36"/>
  <c r="T20" i="36"/>
  <c r="K20" i="36"/>
  <c r="AD20" i="36" s="1"/>
  <c r="AC19" i="36"/>
  <c r="T19" i="36"/>
  <c r="K19" i="36"/>
  <c r="AC18" i="36"/>
  <c r="T18" i="36"/>
  <c r="K18" i="36"/>
  <c r="C70" i="54" l="1"/>
  <c r="A71" i="54"/>
  <c r="B70" i="54"/>
  <c r="B114" i="52"/>
  <c r="C114" i="52"/>
  <c r="D114" i="52"/>
  <c r="C116" i="2"/>
  <c r="A117" i="2"/>
  <c r="B116" i="2"/>
  <c r="B30" i="22" s="1"/>
  <c r="A115" i="52"/>
  <c r="A30" i="22"/>
  <c r="A71" i="53"/>
  <c r="B70" i="53"/>
  <c r="C70" i="53"/>
  <c r="AD18" i="36"/>
  <c r="AC17" i="36"/>
  <c r="T17" i="36"/>
  <c r="K17" i="36"/>
  <c r="AC16" i="36"/>
  <c r="T16" i="36"/>
  <c r="K16" i="36"/>
  <c r="AD16" i="36" l="1"/>
  <c r="A72" i="54"/>
  <c r="B71" i="54"/>
  <c r="C71" i="54"/>
  <c r="C115" i="52"/>
  <c r="D115" i="52"/>
  <c r="B115" i="52"/>
  <c r="A118" i="2"/>
  <c r="B117" i="2"/>
  <c r="B31" i="22" s="1"/>
  <c r="C117" i="2"/>
  <c r="A116" i="52"/>
  <c r="A31" i="22"/>
  <c r="C71" i="53"/>
  <c r="A72" i="53"/>
  <c r="B71" i="53"/>
  <c r="AC15" i="36"/>
  <c r="T15" i="36"/>
  <c r="K15" i="36"/>
  <c r="AC14" i="36"/>
  <c r="T14" i="36"/>
  <c r="K14" i="36"/>
  <c r="AC13" i="36"/>
  <c r="T13" i="36"/>
  <c r="K13" i="36"/>
  <c r="AC12" i="36"/>
  <c r="T12" i="36"/>
  <c r="K12" i="36"/>
  <c r="C72" i="54" l="1"/>
  <c r="A73" i="54"/>
  <c r="B72" i="54"/>
  <c r="B116" i="52"/>
  <c r="C116" i="52"/>
  <c r="D116" i="52"/>
  <c r="C118" i="2"/>
  <c r="A119" i="2"/>
  <c r="B118" i="2"/>
  <c r="B32" i="22" s="1"/>
  <c r="A117" i="52"/>
  <c r="A32" i="22"/>
  <c r="A73" i="53"/>
  <c r="B72" i="53"/>
  <c r="C72" i="53"/>
  <c r="AD14" i="36"/>
  <c r="AD12" i="36"/>
  <c r="AD13" i="36"/>
  <c r="AC11" i="36"/>
  <c r="T11" i="36"/>
  <c r="K11" i="36"/>
  <c r="AC10" i="36"/>
  <c r="T10" i="36"/>
  <c r="K10" i="36"/>
  <c r="A74" i="54" l="1"/>
  <c r="B73" i="54"/>
  <c r="C73" i="54"/>
  <c r="AD10" i="36"/>
  <c r="C117" i="52"/>
  <c r="D117" i="52"/>
  <c r="B117" i="52"/>
  <c r="A120" i="2"/>
  <c r="B119" i="2"/>
  <c r="B33" i="22" s="1"/>
  <c r="C119" i="2"/>
  <c r="A118" i="52"/>
  <c r="A33" i="22"/>
  <c r="C73" i="53"/>
  <c r="A74" i="53"/>
  <c r="B73" i="53"/>
  <c r="AC9" i="36"/>
  <c r="T9" i="36"/>
  <c r="K9" i="36"/>
  <c r="AC8" i="36"/>
  <c r="T8" i="36"/>
  <c r="K8" i="36"/>
  <c r="AC7" i="36"/>
  <c r="T7" i="36"/>
  <c r="K7" i="36"/>
  <c r="C74" i="54" l="1"/>
  <c r="A75" i="54"/>
  <c r="B74" i="54"/>
  <c r="C118" i="52"/>
  <c r="D118" i="52"/>
  <c r="B118" i="52"/>
  <c r="C120" i="2"/>
  <c r="A121" i="2"/>
  <c r="B120" i="2"/>
  <c r="B34" i="22" s="1"/>
  <c r="A119" i="52"/>
  <c r="A34" i="22"/>
  <c r="A75" i="53"/>
  <c r="B74" i="53"/>
  <c r="C74" i="53"/>
  <c r="AD8" i="36"/>
  <c r="AD7" i="36"/>
  <c r="AC6" i="36"/>
  <c r="T6" i="36"/>
  <c r="K6" i="36"/>
  <c r="AC5" i="36"/>
  <c r="T5" i="36"/>
  <c r="K5" i="36"/>
  <c r="L1" i="36"/>
  <c r="C38" i="35"/>
  <c r="AB36" i="35"/>
  <c r="AA36" i="35"/>
  <c r="Z36" i="35"/>
  <c r="Y36" i="35"/>
  <c r="X36" i="35"/>
  <c r="W36" i="35"/>
  <c r="V36" i="35"/>
  <c r="U36" i="35"/>
  <c r="S36" i="35"/>
  <c r="R36" i="35"/>
  <c r="Q36" i="35"/>
  <c r="P36" i="35"/>
  <c r="O36" i="35"/>
  <c r="N36" i="35"/>
  <c r="M36" i="35"/>
  <c r="L36" i="35"/>
  <c r="J36" i="35"/>
  <c r="I36" i="35"/>
  <c r="H36" i="35"/>
  <c r="G36" i="35"/>
  <c r="F36" i="35"/>
  <c r="E36" i="35"/>
  <c r="D36" i="35"/>
  <c r="C36" i="35"/>
  <c r="AC35" i="35"/>
  <c r="T35" i="35"/>
  <c r="K35" i="35"/>
  <c r="AC34" i="35"/>
  <c r="T34" i="35"/>
  <c r="K34" i="35"/>
  <c r="AC33" i="35"/>
  <c r="T33" i="35"/>
  <c r="K33" i="35"/>
  <c r="A76" i="54" l="1"/>
  <c r="B75" i="54"/>
  <c r="C75" i="54"/>
  <c r="AD35" i="35"/>
  <c r="C119" i="52"/>
  <c r="B119" i="52"/>
  <c r="D119" i="52"/>
  <c r="A122" i="2"/>
  <c r="B121" i="2"/>
  <c r="B5" i="23" s="1"/>
  <c r="C121" i="2"/>
  <c r="A120" i="52"/>
  <c r="A5" i="23"/>
  <c r="C75" i="53"/>
  <c r="A76" i="53"/>
  <c r="B75" i="53"/>
  <c r="AD33" i="35"/>
  <c r="AD34" i="35"/>
  <c r="AD6" i="36"/>
  <c r="AC36" i="35"/>
  <c r="T36" i="35"/>
  <c r="K36" i="35"/>
  <c r="AC32" i="35"/>
  <c r="T32" i="35"/>
  <c r="K32" i="35"/>
  <c r="AC31" i="35"/>
  <c r="T31" i="35"/>
  <c r="K31" i="35"/>
  <c r="C76" i="54" l="1"/>
  <c r="A77" i="54"/>
  <c r="B76" i="54"/>
  <c r="C120" i="52"/>
  <c r="D120" i="52"/>
  <c r="B120" i="52"/>
  <c r="C122" i="2"/>
  <c r="A123" i="2"/>
  <c r="B122" i="2"/>
  <c r="B6" i="23" s="1"/>
  <c r="A121" i="52"/>
  <c r="A6" i="23"/>
  <c r="A77" i="53"/>
  <c r="B76" i="53"/>
  <c r="C76" i="53"/>
  <c r="AD31" i="35"/>
  <c r="AD36" i="35"/>
  <c r="AD38" i="35" s="1"/>
  <c r="I8" i="47" s="1"/>
  <c r="AC30" i="35"/>
  <c r="T30" i="35"/>
  <c r="K30" i="35"/>
  <c r="AC29" i="35"/>
  <c r="T29" i="35"/>
  <c r="K29" i="35"/>
  <c r="AD29" i="35" l="1"/>
  <c r="A78" i="54"/>
  <c r="B77" i="54"/>
  <c r="C77" i="54"/>
  <c r="C121" i="52"/>
  <c r="D121" i="52"/>
  <c r="B121" i="52"/>
  <c r="A124" i="2"/>
  <c r="B123" i="2"/>
  <c r="B7" i="23" s="1"/>
  <c r="C123" i="2"/>
  <c r="A122" i="52"/>
  <c r="A7" i="23"/>
  <c r="C77" i="53"/>
  <c r="A78" i="53"/>
  <c r="B77" i="53"/>
  <c r="AD39" i="35"/>
  <c r="AC28" i="35"/>
  <c r="T28" i="35"/>
  <c r="K28" i="35"/>
  <c r="C78" i="54" l="1"/>
  <c r="A79" i="54"/>
  <c r="B78" i="54"/>
  <c r="C122" i="52"/>
  <c r="D122" i="52"/>
  <c r="B122" i="52"/>
  <c r="C124" i="2"/>
  <c r="A125" i="2"/>
  <c r="B124" i="2"/>
  <c r="B8" i="23" s="1"/>
  <c r="A123" i="52"/>
  <c r="A8" i="23"/>
  <c r="A79" i="53"/>
  <c r="B78" i="53"/>
  <c r="C78" i="53"/>
  <c r="AC27" i="35"/>
  <c r="T27" i="35"/>
  <c r="K27" i="35"/>
  <c r="A80" i="54" l="1"/>
  <c r="B79" i="54"/>
  <c r="C79" i="54"/>
  <c r="B123" i="52"/>
  <c r="D123" i="52"/>
  <c r="C123" i="52"/>
  <c r="A126" i="2"/>
  <c r="B125" i="2"/>
  <c r="B9" i="23" s="1"/>
  <c r="C125" i="2"/>
  <c r="A124" i="52"/>
  <c r="A9" i="23"/>
  <c r="C79" i="53"/>
  <c r="A80" i="53"/>
  <c r="B79" i="53"/>
  <c r="AD27" i="35"/>
  <c r="AC26" i="35"/>
  <c r="T26" i="35"/>
  <c r="K26" i="35"/>
  <c r="AC25" i="35"/>
  <c r="T25" i="35"/>
  <c r="K25" i="35"/>
  <c r="AC24" i="35"/>
  <c r="T24" i="35"/>
  <c r="K24" i="35"/>
  <c r="AC23" i="35"/>
  <c r="T23" i="35"/>
  <c r="K23" i="35"/>
  <c r="AD23" i="35" l="1"/>
  <c r="C80" i="54"/>
  <c r="A81" i="54"/>
  <c r="B80" i="54"/>
  <c r="C124" i="52"/>
  <c r="D124" i="52"/>
  <c r="B124" i="52"/>
  <c r="C126" i="2"/>
  <c r="A127" i="2"/>
  <c r="B126" i="2"/>
  <c r="B10" i="23" s="1"/>
  <c r="A125" i="52"/>
  <c r="A10" i="23"/>
  <c r="A81" i="53"/>
  <c r="B80" i="53"/>
  <c r="C80" i="53"/>
  <c r="AD25" i="35"/>
  <c r="AD24" i="35"/>
  <c r="AC22" i="35"/>
  <c r="T22" i="35"/>
  <c r="K22" i="35"/>
  <c r="AC21" i="35"/>
  <c r="T21" i="35"/>
  <c r="K21" i="35"/>
  <c r="AD21" i="35" l="1"/>
  <c r="A82" i="54"/>
  <c r="B81" i="54"/>
  <c r="C81" i="54"/>
  <c r="B125" i="52"/>
  <c r="C125" i="52"/>
  <c r="D125" i="52"/>
  <c r="A128" i="2"/>
  <c r="B127" i="2"/>
  <c r="B11" i="23" s="1"/>
  <c r="C127" i="2"/>
  <c r="A126" i="52"/>
  <c r="A11" i="23"/>
  <c r="C81" i="53"/>
  <c r="A82" i="53"/>
  <c r="B81" i="53"/>
  <c r="AC20" i="35"/>
  <c r="T20" i="35"/>
  <c r="K20" i="35"/>
  <c r="AC19" i="35"/>
  <c r="T19" i="35"/>
  <c r="K19" i="35"/>
  <c r="AC18" i="35"/>
  <c r="T18" i="35"/>
  <c r="K18" i="35"/>
  <c r="AC17" i="35"/>
  <c r="T17" i="35"/>
  <c r="K17" i="35"/>
  <c r="AD17" i="35" l="1"/>
  <c r="AD19" i="35"/>
  <c r="C82" i="54"/>
  <c r="A83" i="54"/>
  <c r="B82" i="54"/>
  <c r="C126" i="52"/>
  <c r="D126" i="52"/>
  <c r="B126" i="52"/>
  <c r="C128" i="2"/>
  <c r="A129" i="2"/>
  <c r="B128" i="2"/>
  <c r="B12" i="23" s="1"/>
  <c r="A127" i="52"/>
  <c r="A12" i="23"/>
  <c r="A83" i="53"/>
  <c r="B82" i="53"/>
  <c r="C82" i="53"/>
  <c r="AC16" i="35"/>
  <c r="T16" i="35"/>
  <c r="K16" i="35"/>
  <c r="AC15" i="35"/>
  <c r="T15" i="35"/>
  <c r="K15" i="35"/>
  <c r="AC14" i="35"/>
  <c r="T14" i="35"/>
  <c r="K14" i="35"/>
  <c r="AC13" i="35"/>
  <c r="T13" i="35"/>
  <c r="K13" i="35"/>
  <c r="AD15" i="35" l="1"/>
  <c r="AD13" i="35"/>
  <c r="A84" i="54"/>
  <c r="B83" i="54"/>
  <c r="C83" i="54"/>
  <c r="B127" i="52"/>
  <c r="C127" i="52"/>
  <c r="D127" i="52"/>
  <c r="A130" i="2"/>
  <c r="B129" i="2"/>
  <c r="B13" i="23" s="1"/>
  <c r="C129" i="2"/>
  <c r="A128" i="52"/>
  <c r="A13" i="23"/>
  <c r="C83" i="53"/>
  <c r="A84" i="53"/>
  <c r="B83" i="53"/>
  <c r="AC12" i="35"/>
  <c r="T12" i="35"/>
  <c r="K12" i="35"/>
  <c r="C84" i="54" l="1"/>
  <c r="A85" i="54"/>
  <c r="B84" i="54"/>
  <c r="C128" i="52"/>
  <c r="D128" i="52"/>
  <c r="B128" i="52"/>
  <c r="C130" i="2"/>
  <c r="A131" i="2"/>
  <c r="B130" i="2"/>
  <c r="B14" i="23" s="1"/>
  <c r="A129" i="52"/>
  <c r="A14" i="23"/>
  <c r="A85" i="53"/>
  <c r="B84" i="53"/>
  <c r="C84" i="53"/>
  <c r="AC11" i="35"/>
  <c r="T11" i="35"/>
  <c r="K11" i="35"/>
  <c r="AD11" i="35" l="1"/>
  <c r="A86" i="54"/>
  <c r="B85" i="54"/>
  <c r="C85" i="54"/>
  <c r="B129" i="52"/>
  <c r="C129" i="52"/>
  <c r="D129" i="52"/>
  <c r="A132" i="2"/>
  <c r="B131" i="2"/>
  <c r="B15" i="23" s="1"/>
  <c r="C131" i="2"/>
  <c r="A130" i="52"/>
  <c r="A15" i="23"/>
  <c r="C85" i="53"/>
  <c r="A86" i="53"/>
  <c r="B85" i="53"/>
  <c r="AC10" i="35"/>
  <c r="T10" i="35"/>
  <c r="K10" i="35"/>
  <c r="AC9" i="35"/>
  <c r="T9" i="35"/>
  <c r="K9" i="35"/>
  <c r="AC8" i="35"/>
  <c r="T8" i="35"/>
  <c r="K8" i="35"/>
  <c r="AC7" i="35"/>
  <c r="T7" i="35"/>
  <c r="K7" i="35"/>
  <c r="AD7" i="35" l="1"/>
  <c r="AD9" i="35"/>
  <c r="C86" i="54"/>
  <c r="A87" i="54"/>
  <c r="B86" i="54"/>
  <c r="C130" i="52"/>
  <c r="D130" i="52"/>
  <c r="B130" i="52"/>
  <c r="C132" i="2"/>
  <c r="A133" i="2"/>
  <c r="B132" i="2"/>
  <c r="B16" i="23" s="1"/>
  <c r="A131" i="52"/>
  <c r="A16" i="23"/>
  <c r="A87" i="53"/>
  <c r="B86" i="53"/>
  <c r="C86" i="53"/>
  <c r="AC6" i="35"/>
  <c r="T6" i="35"/>
  <c r="K6" i="35"/>
  <c r="AC5" i="35"/>
  <c r="T5" i="35"/>
  <c r="K5" i="35"/>
  <c r="AD5" i="35" l="1"/>
  <c r="C87" i="54"/>
  <c r="A88" i="54"/>
  <c r="B87" i="54"/>
  <c r="C131" i="52"/>
  <c r="D131" i="52"/>
  <c r="B131" i="52"/>
  <c r="A134" i="2"/>
  <c r="B133" i="2"/>
  <c r="B17" i="23" s="1"/>
  <c r="C133" i="2"/>
  <c r="A132" i="52"/>
  <c r="A17" i="23"/>
  <c r="C87" i="53"/>
  <c r="A88" i="53"/>
  <c r="B87" i="53"/>
  <c r="L1" i="35"/>
  <c r="C38" i="34"/>
  <c r="AB36" i="34"/>
  <c r="AA36" i="34"/>
  <c r="Z36" i="34"/>
  <c r="Y36" i="34"/>
  <c r="X36" i="34"/>
  <c r="W36" i="34"/>
  <c r="V36" i="34"/>
  <c r="U36" i="34"/>
  <c r="S36" i="34"/>
  <c r="R36" i="34"/>
  <c r="Q36" i="34"/>
  <c r="P36" i="34"/>
  <c r="O36" i="34"/>
  <c r="N36" i="34"/>
  <c r="M36" i="34"/>
  <c r="L36" i="34"/>
  <c r="J36" i="34"/>
  <c r="I36" i="34"/>
  <c r="H36" i="34"/>
  <c r="G36" i="34"/>
  <c r="F36" i="34"/>
  <c r="E36" i="34"/>
  <c r="D36" i="34"/>
  <c r="C36" i="34"/>
  <c r="AC35" i="34"/>
  <c r="T35" i="34"/>
  <c r="K35" i="34"/>
  <c r="AC36" i="34" l="1"/>
  <c r="A89" i="54"/>
  <c r="B88" i="54"/>
  <c r="C88" i="54"/>
  <c r="C132" i="52"/>
  <c r="D132" i="52"/>
  <c r="B132" i="52"/>
  <c r="C134" i="2"/>
  <c r="A135" i="2"/>
  <c r="B134" i="2"/>
  <c r="B18" i="23" s="1"/>
  <c r="A133" i="52"/>
  <c r="A18" i="23"/>
  <c r="A89" i="53"/>
  <c r="B88" i="53"/>
  <c r="C88" i="53"/>
  <c r="T36" i="34"/>
  <c r="AD35" i="34"/>
  <c r="K36" i="34"/>
  <c r="AC34" i="34"/>
  <c r="T34" i="34"/>
  <c r="K34" i="34"/>
  <c r="AC33" i="34"/>
  <c r="T33" i="34"/>
  <c r="K33" i="34"/>
  <c r="AC32" i="34"/>
  <c r="T32" i="34"/>
  <c r="K32" i="34"/>
  <c r="AD32" i="34" l="1"/>
  <c r="AD36" i="34"/>
  <c r="AD39" i="34" s="1"/>
  <c r="C89" i="54"/>
  <c r="A90" i="54"/>
  <c r="B89" i="54"/>
  <c r="C133" i="52"/>
  <c r="B133" i="52"/>
  <c r="D133" i="52"/>
  <c r="A136" i="2"/>
  <c r="B135" i="2"/>
  <c r="B19" i="23" s="1"/>
  <c r="C135" i="2"/>
  <c r="A134" i="52"/>
  <c r="A19" i="23"/>
  <c r="C89" i="53"/>
  <c r="A90" i="53"/>
  <c r="B89" i="53"/>
  <c r="AD34" i="34"/>
  <c r="AD33" i="34"/>
  <c r="AC31" i="34"/>
  <c r="T31" i="34"/>
  <c r="K31" i="34"/>
  <c r="AD38" i="34" l="1"/>
  <c r="H8" i="47" s="1"/>
  <c r="A91" i="54"/>
  <c r="B90" i="54"/>
  <c r="C90" i="54"/>
  <c r="B134" i="52"/>
  <c r="C134" i="52"/>
  <c r="D134" i="52"/>
  <c r="C136" i="2"/>
  <c r="A137" i="2"/>
  <c r="B136" i="2"/>
  <c r="B20" i="23" s="1"/>
  <c r="A20" i="23"/>
  <c r="A135" i="52"/>
  <c r="A91" i="53"/>
  <c r="B90" i="53"/>
  <c r="C90" i="53"/>
  <c r="AD31" i="34"/>
  <c r="AC30" i="34"/>
  <c r="T30" i="34"/>
  <c r="K30" i="34"/>
  <c r="AC29" i="34"/>
  <c r="T29" i="34"/>
  <c r="K29" i="34"/>
  <c r="AC28" i="34"/>
  <c r="T28" i="34"/>
  <c r="K28" i="34"/>
  <c r="AD30" i="34" l="1"/>
  <c r="AD28" i="34"/>
  <c r="C91" i="54"/>
  <c r="A92" i="54"/>
  <c r="B91" i="54"/>
  <c r="A138" i="2"/>
  <c r="B137" i="2"/>
  <c r="B21" i="23" s="1"/>
  <c r="C137" i="2"/>
  <c r="A21" i="23"/>
  <c r="A136" i="52"/>
  <c r="D135" i="52"/>
  <c r="C135" i="52"/>
  <c r="B135" i="52"/>
  <c r="C91" i="53"/>
  <c r="A92" i="53"/>
  <c r="B91" i="53"/>
  <c r="AC27" i="34"/>
  <c r="T27" i="34"/>
  <c r="K27" i="34"/>
  <c r="A93" i="54" l="1"/>
  <c r="B92" i="54"/>
  <c r="C92" i="54"/>
  <c r="C136" i="52"/>
  <c r="D136" i="52"/>
  <c r="B136" i="52"/>
  <c r="C138" i="2"/>
  <c r="A139" i="2"/>
  <c r="B138" i="2"/>
  <c r="B22" i="23" s="1"/>
  <c r="A137" i="52"/>
  <c r="A22" i="23"/>
  <c r="A93" i="53"/>
  <c r="B92" i="53"/>
  <c r="C92" i="53"/>
  <c r="AC26" i="34"/>
  <c r="T26" i="34"/>
  <c r="K26" i="34"/>
  <c r="AD26" i="34" s="1"/>
  <c r="AC25" i="34"/>
  <c r="T25" i="34"/>
  <c r="K25" i="34"/>
  <c r="AC24" i="34"/>
  <c r="T24" i="34"/>
  <c r="K24" i="34"/>
  <c r="AD24" i="34" l="1"/>
  <c r="C93" i="54"/>
  <c r="A94" i="54"/>
  <c r="B93" i="54"/>
  <c r="B137" i="52"/>
  <c r="C137" i="52"/>
  <c r="D137" i="52"/>
  <c r="A140" i="2"/>
  <c r="B139" i="2"/>
  <c r="B23" i="23" s="1"/>
  <c r="C139" i="2"/>
  <c r="A23" i="23"/>
  <c r="A138" i="52"/>
  <c r="C93" i="53"/>
  <c r="A94" i="53"/>
  <c r="B93" i="53"/>
  <c r="AC23" i="34"/>
  <c r="T23" i="34"/>
  <c r="K23" i="34"/>
  <c r="A95" i="54" l="1"/>
  <c r="B94" i="54"/>
  <c r="C94" i="54"/>
  <c r="B138" i="52"/>
  <c r="C138" i="52"/>
  <c r="D138" i="52"/>
  <c r="C140" i="2"/>
  <c r="A141" i="2"/>
  <c r="B140" i="2"/>
  <c r="B24" i="23" s="1"/>
  <c r="A24" i="23"/>
  <c r="A139" i="52"/>
  <c r="A95" i="53"/>
  <c r="B94" i="53"/>
  <c r="C94" i="53"/>
  <c r="AC22" i="34"/>
  <c r="T22" i="34"/>
  <c r="K22" i="34"/>
  <c r="AC21" i="34"/>
  <c r="T21" i="34"/>
  <c r="K21" i="34"/>
  <c r="AC20" i="34"/>
  <c r="T20" i="34"/>
  <c r="K20" i="34"/>
  <c r="AD22" i="34" l="1"/>
  <c r="AD20" i="34"/>
  <c r="C95" i="54"/>
  <c r="A96" i="54"/>
  <c r="B95" i="54"/>
  <c r="A142" i="2"/>
  <c r="B141" i="2"/>
  <c r="B25" i="23" s="1"/>
  <c r="C141" i="2"/>
  <c r="A25" i="23"/>
  <c r="A140" i="52"/>
  <c r="B139" i="52"/>
  <c r="C139" i="52"/>
  <c r="D139" i="52"/>
  <c r="C95" i="53"/>
  <c r="A96" i="53"/>
  <c r="B95" i="53"/>
  <c r="AC19" i="34"/>
  <c r="T19" i="34"/>
  <c r="K19" i="34"/>
  <c r="A97" i="54" l="1"/>
  <c r="B96" i="54"/>
  <c r="C96" i="54"/>
  <c r="C140" i="52"/>
  <c r="D140" i="52"/>
  <c r="B140" i="52"/>
  <c r="C142" i="2"/>
  <c r="A143" i="2"/>
  <c r="B142" i="2"/>
  <c r="B26" i="23" s="1"/>
  <c r="A141" i="52"/>
  <c r="A26" i="23"/>
  <c r="A97" i="53"/>
  <c r="B96" i="53"/>
  <c r="C96" i="53"/>
  <c r="AC18" i="34"/>
  <c r="T18" i="34"/>
  <c r="K18" i="34"/>
  <c r="AC17" i="34"/>
  <c r="T17" i="34"/>
  <c r="K17" i="34"/>
  <c r="AC16" i="34"/>
  <c r="T16" i="34"/>
  <c r="K16" i="34"/>
  <c r="AD18" i="34" l="1"/>
  <c r="AD16" i="34"/>
  <c r="C97" i="54"/>
  <c r="A98" i="54"/>
  <c r="B97" i="54"/>
  <c r="B141" i="52"/>
  <c r="C141" i="52"/>
  <c r="D141" i="52"/>
  <c r="A144" i="2"/>
  <c r="B143" i="2"/>
  <c r="B27" i="23" s="1"/>
  <c r="C143" i="2"/>
  <c r="A27" i="23"/>
  <c r="A142" i="52"/>
  <c r="C97" i="53"/>
  <c r="A98" i="53"/>
  <c r="B97" i="53"/>
  <c r="AC15" i="34"/>
  <c r="T15" i="34"/>
  <c r="K15" i="34"/>
  <c r="A99" i="54" l="1"/>
  <c r="B98" i="54"/>
  <c r="C98" i="54"/>
  <c r="C142" i="52"/>
  <c r="D142" i="52"/>
  <c r="B142" i="52"/>
  <c r="C144" i="2"/>
  <c r="A145" i="2"/>
  <c r="B144" i="2"/>
  <c r="B28" i="23" s="1"/>
  <c r="A143" i="52"/>
  <c r="A28" i="23"/>
  <c r="A99" i="53"/>
  <c r="B98" i="53"/>
  <c r="C98" i="53"/>
  <c r="AC14" i="34"/>
  <c r="T14" i="34"/>
  <c r="K14" i="34"/>
  <c r="AC13" i="34"/>
  <c r="T13" i="34"/>
  <c r="K13" i="34"/>
  <c r="AC12" i="34"/>
  <c r="T12" i="34"/>
  <c r="K12" i="34"/>
  <c r="AD14" i="34" l="1"/>
  <c r="AD12" i="34"/>
  <c r="C99" i="54"/>
  <c r="A100" i="54"/>
  <c r="B99" i="54"/>
  <c r="C143" i="52"/>
  <c r="D143" i="52"/>
  <c r="B143" i="52"/>
  <c r="A146" i="2"/>
  <c r="B145" i="2"/>
  <c r="B29" i="23" s="1"/>
  <c r="C145" i="2"/>
  <c r="A144" i="52"/>
  <c r="A29" i="23"/>
  <c r="C99" i="53"/>
  <c r="A100" i="53"/>
  <c r="B99" i="53"/>
  <c r="AC11" i="34"/>
  <c r="T11" i="34"/>
  <c r="K11" i="34"/>
  <c r="A101" i="54" l="1"/>
  <c r="B100" i="54"/>
  <c r="C100" i="54"/>
  <c r="B144" i="52"/>
  <c r="C144" i="52"/>
  <c r="D144" i="52"/>
  <c r="C146" i="2"/>
  <c r="A147" i="2"/>
  <c r="B146" i="2"/>
  <c r="B30" i="23" s="1"/>
  <c r="A30" i="23"/>
  <c r="A145" i="52"/>
  <c r="A101" i="53"/>
  <c r="B100" i="53"/>
  <c r="C100" i="53"/>
  <c r="AC10" i="34"/>
  <c r="T10" i="34"/>
  <c r="K10" i="34"/>
  <c r="AC9" i="34"/>
  <c r="T9" i="34"/>
  <c r="K9" i="34"/>
  <c r="AC8" i="34"/>
  <c r="T8" i="34"/>
  <c r="K8" i="34"/>
  <c r="AD10" i="34" l="1"/>
  <c r="AD8" i="34"/>
  <c r="C101" i="54"/>
  <c r="A102" i="54"/>
  <c r="B101" i="54"/>
  <c r="A148" i="2"/>
  <c r="B147" i="2"/>
  <c r="B31" i="23" s="1"/>
  <c r="C147" i="2"/>
  <c r="A31" i="23"/>
  <c r="A146" i="52"/>
  <c r="B145" i="52"/>
  <c r="C145" i="52"/>
  <c r="D145" i="52"/>
  <c r="C101" i="53"/>
  <c r="A102" i="53"/>
  <c r="B101" i="53"/>
  <c r="AC7" i="34"/>
  <c r="T7" i="34"/>
  <c r="K7" i="34"/>
  <c r="A103" i="54" l="1"/>
  <c r="B102" i="54"/>
  <c r="C102" i="54"/>
  <c r="B146" i="52"/>
  <c r="C146" i="52"/>
  <c r="D146" i="52"/>
  <c r="C148" i="2"/>
  <c r="A149" i="2"/>
  <c r="B148" i="2"/>
  <c r="B32" i="23" s="1"/>
  <c r="A32" i="23"/>
  <c r="A147" i="52"/>
  <c r="A103" i="53"/>
  <c r="B102" i="53"/>
  <c r="C102" i="53"/>
  <c r="AC6" i="34"/>
  <c r="T6" i="34"/>
  <c r="K6" i="34"/>
  <c r="AC5" i="34"/>
  <c r="T5" i="34"/>
  <c r="K5" i="34"/>
  <c r="AD6" i="34" l="1"/>
  <c r="C103" i="54"/>
  <c r="A104" i="54"/>
  <c r="B103" i="54"/>
  <c r="A150" i="2"/>
  <c r="B149" i="2"/>
  <c r="B33" i="23" s="1"/>
  <c r="C149" i="2"/>
  <c r="A33" i="23"/>
  <c r="A148" i="52"/>
  <c r="D147" i="52"/>
  <c r="C147" i="52"/>
  <c r="B147" i="52"/>
  <c r="C103" i="53"/>
  <c r="A104" i="53"/>
  <c r="B103" i="53"/>
  <c r="L1" i="34"/>
  <c r="C38" i="33"/>
  <c r="AB36" i="33"/>
  <c r="AA36" i="33"/>
  <c r="Z36" i="33"/>
  <c r="Y36" i="33"/>
  <c r="X36" i="33"/>
  <c r="W36" i="33"/>
  <c r="V36" i="33"/>
  <c r="U36" i="33"/>
  <c r="S36" i="33"/>
  <c r="R36" i="33"/>
  <c r="Q36" i="33"/>
  <c r="P36" i="33"/>
  <c r="O36" i="33"/>
  <c r="N36" i="33"/>
  <c r="M36" i="33"/>
  <c r="L36" i="33"/>
  <c r="J36" i="33"/>
  <c r="I36" i="33"/>
  <c r="H36" i="33"/>
  <c r="G36" i="33"/>
  <c r="F36" i="33"/>
  <c r="E36" i="33"/>
  <c r="D36" i="33"/>
  <c r="C36" i="33"/>
  <c r="AC35" i="33"/>
  <c r="T35" i="33"/>
  <c r="K35" i="33"/>
  <c r="AC34" i="33"/>
  <c r="T34" i="33"/>
  <c r="K34" i="33"/>
  <c r="AC33" i="33"/>
  <c r="T33" i="33"/>
  <c r="K33" i="33"/>
  <c r="A105" i="54" l="1"/>
  <c r="B104" i="54"/>
  <c r="C104" i="54"/>
  <c r="AD34" i="33"/>
  <c r="AD35" i="33"/>
  <c r="T36" i="33"/>
  <c r="AC36" i="33"/>
  <c r="B148" i="52"/>
  <c r="C148" i="52"/>
  <c r="D148" i="52"/>
  <c r="C150" i="2"/>
  <c r="A151" i="2"/>
  <c r="B150" i="2"/>
  <c r="B34" i="23" s="1"/>
  <c r="A34" i="23"/>
  <c r="A149" i="52"/>
  <c r="A105" i="53"/>
  <c r="B104" i="53"/>
  <c r="C104" i="53"/>
  <c r="AD33" i="33"/>
  <c r="K36" i="33"/>
  <c r="AC32" i="33"/>
  <c r="T32" i="33"/>
  <c r="K32" i="33"/>
  <c r="AD32" i="33" s="1"/>
  <c r="AD36" i="33" l="1"/>
  <c r="AD39" i="33" s="1"/>
  <c r="C105" i="54"/>
  <c r="A106" i="54"/>
  <c r="B105" i="54"/>
  <c r="A152" i="2"/>
  <c r="B151" i="2"/>
  <c r="B35" i="23" s="1"/>
  <c r="C151" i="2"/>
  <c r="A35" i="23"/>
  <c r="A150" i="52"/>
  <c r="B149" i="52"/>
  <c r="C149" i="52"/>
  <c r="D149" i="52"/>
  <c r="C105" i="53"/>
  <c r="A106" i="53"/>
  <c r="B105" i="53"/>
  <c r="AC31" i="33"/>
  <c r="T31" i="33"/>
  <c r="K31" i="33"/>
  <c r="AC30" i="33"/>
  <c r="T30" i="33"/>
  <c r="K30" i="33"/>
  <c r="AC29" i="33"/>
  <c r="T29" i="33"/>
  <c r="K29" i="33"/>
  <c r="AD30" i="33" l="1"/>
  <c r="AD38" i="33"/>
  <c r="G8" i="47" s="1"/>
  <c r="A107" i="54"/>
  <c r="B106" i="54"/>
  <c r="C106" i="54"/>
  <c r="C150" i="52"/>
  <c r="B150" i="52"/>
  <c r="D150" i="52"/>
  <c r="C152" i="2"/>
  <c r="A153" i="2"/>
  <c r="B152" i="2"/>
  <c r="B5" i="40" s="1"/>
  <c r="A5" i="40"/>
  <c r="A151" i="52"/>
  <c r="A107" i="53"/>
  <c r="B106" i="53"/>
  <c r="C106" i="53"/>
  <c r="AD29" i="33"/>
  <c r="AC28" i="33"/>
  <c r="T28" i="33"/>
  <c r="K28" i="33"/>
  <c r="AD28" i="33" l="1"/>
  <c r="C107" i="54"/>
  <c r="A108" i="54"/>
  <c r="B107" i="54"/>
  <c r="A154" i="2"/>
  <c r="B153" i="2"/>
  <c r="B6" i="40" s="1"/>
  <c r="C153" i="2"/>
  <c r="A152" i="52"/>
  <c r="A6" i="40"/>
  <c r="C151" i="52"/>
  <c r="B151" i="52"/>
  <c r="D151" i="52"/>
  <c r="C107" i="53"/>
  <c r="A108" i="53"/>
  <c r="B107" i="53"/>
  <c r="AC27" i="33"/>
  <c r="T27" i="33"/>
  <c r="K27" i="33"/>
  <c r="AC26" i="33"/>
  <c r="T26" i="33"/>
  <c r="K26" i="33"/>
  <c r="AC25" i="33"/>
  <c r="T25" i="33"/>
  <c r="K25" i="33"/>
  <c r="AD26" i="33" l="1"/>
  <c r="A109" i="54"/>
  <c r="B108" i="54"/>
  <c r="C108" i="54"/>
  <c r="C154" i="2"/>
  <c r="A155" i="2"/>
  <c r="B154" i="2"/>
  <c r="B7" i="40" s="1"/>
  <c r="A153" i="52"/>
  <c r="A7" i="40"/>
  <c r="B152" i="52"/>
  <c r="C152" i="52"/>
  <c r="D152" i="52"/>
  <c r="A109" i="53"/>
  <c r="B108" i="53"/>
  <c r="C108" i="53"/>
  <c r="AD27" i="33"/>
  <c r="AC24" i="33"/>
  <c r="T24" i="33"/>
  <c r="K24" i="33"/>
  <c r="AD24" i="33" l="1"/>
  <c r="C109" i="54"/>
  <c r="A110" i="54"/>
  <c r="B109" i="54"/>
  <c r="B153" i="52"/>
  <c r="C153" i="52"/>
  <c r="D153" i="52"/>
  <c r="A156" i="2"/>
  <c r="B155" i="2"/>
  <c r="B8" i="40" s="1"/>
  <c r="C155" i="2"/>
  <c r="A8" i="40"/>
  <c r="A154" i="52"/>
  <c r="C109" i="53"/>
  <c r="A110" i="53"/>
  <c r="B109" i="53"/>
  <c r="AC23" i="33"/>
  <c r="T23" i="33"/>
  <c r="K23" i="33"/>
  <c r="AC22" i="33"/>
  <c r="T22" i="33"/>
  <c r="K22" i="33"/>
  <c r="AD22" i="33" s="1"/>
  <c r="AC21" i="33"/>
  <c r="T21" i="33"/>
  <c r="K21" i="33"/>
  <c r="A111" i="54" l="1"/>
  <c r="B110" i="54"/>
  <c r="C110" i="54"/>
  <c r="B154" i="52"/>
  <c r="D154" i="52"/>
  <c r="C154" i="52"/>
  <c r="C156" i="2"/>
  <c r="A157" i="2"/>
  <c r="B156" i="2"/>
  <c r="B9" i="40" s="1"/>
  <c r="A9" i="40"/>
  <c r="A155" i="52"/>
  <c r="A111" i="53"/>
  <c r="B110" i="53"/>
  <c r="C110" i="53"/>
  <c r="AD23" i="33"/>
  <c r="AC20" i="33"/>
  <c r="T20" i="33"/>
  <c r="K20" i="33"/>
  <c r="AD20" i="33" l="1"/>
  <c r="C111" i="54"/>
  <c r="A112" i="54"/>
  <c r="B111" i="54"/>
  <c r="A158" i="2"/>
  <c r="B157" i="2"/>
  <c r="B10" i="40" s="1"/>
  <c r="C157" i="2"/>
  <c r="A10" i="40"/>
  <c r="A156" i="52"/>
  <c r="B155" i="52"/>
  <c r="D155" i="52"/>
  <c r="C155" i="52"/>
  <c r="C111" i="53"/>
  <c r="A112" i="53"/>
  <c r="B111" i="53"/>
  <c r="AC19" i="33"/>
  <c r="T19" i="33"/>
  <c r="K19" i="33"/>
  <c r="AC18" i="33"/>
  <c r="T18" i="33"/>
  <c r="K18" i="33"/>
  <c r="AC17" i="33"/>
  <c r="T17" i="33"/>
  <c r="K17" i="33"/>
  <c r="AD18" i="33" l="1"/>
  <c r="A113" i="54"/>
  <c r="B112" i="54"/>
  <c r="C112" i="54"/>
  <c r="B156" i="52"/>
  <c r="C156" i="52"/>
  <c r="D156" i="52"/>
  <c r="C158" i="2"/>
  <c r="A159" i="2"/>
  <c r="B158" i="2"/>
  <c r="B11" i="40" s="1"/>
  <c r="A11" i="40"/>
  <c r="A157" i="52"/>
  <c r="A113" i="53"/>
  <c r="B112" i="53"/>
  <c r="C112" i="53"/>
  <c r="AD19" i="33"/>
  <c r="AC16" i="33"/>
  <c r="T16" i="33"/>
  <c r="K16" i="33"/>
  <c r="AD16" i="33" l="1"/>
  <c r="C113" i="54"/>
  <c r="A114" i="54"/>
  <c r="B113" i="54"/>
  <c r="A160" i="2"/>
  <c r="B159" i="2"/>
  <c r="B12" i="40" s="1"/>
  <c r="C159" i="2"/>
  <c r="A12" i="40"/>
  <c r="A158" i="52"/>
  <c r="C157" i="52"/>
  <c r="B157" i="52"/>
  <c r="D157" i="52"/>
  <c r="C113" i="53"/>
  <c r="A114" i="53"/>
  <c r="B113" i="53"/>
  <c r="AC15" i="33"/>
  <c r="T15" i="33"/>
  <c r="K15" i="33"/>
  <c r="AC14" i="33"/>
  <c r="T14" i="33"/>
  <c r="K14" i="33"/>
  <c r="AC13" i="33"/>
  <c r="T13" i="33"/>
  <c r="K13" i="33"/>
  <c r="AD14" i="33" l="1"/>
  <c r="AD13" i="33"/>
  <c r="AD15" i="33"/>
  <c r="A115" i="54"/>
  <c r="B114" i="54"/>
  <c r="C114" i="54"/>
  <c r="B158" i="52"/>
  <c r="D158" i="52"/>
  <c r="C158" i="52"/>
  <c r="C160" i="2"/>
  <c r="A161" i="2"/>
  <c r="B160" i="2"/>
  <c r="B13" i="40" s="1"/>
  <c r="A13" i="40"/>
  <c r="A159" i="52"/>
  <c r="A115" i="53"/>
  <c r="B114" i="53"/>
  <c r="C114" i="53"/>
  <c r="B13" i="33"/>
  <c r="A13" i="33"/>
  <c r="AC12" i="33"/>
  <c r="T12" i="33"/>
  <c r="K12" i="33"/>
  <c r="AD12" i="33" l="1"/>
  <c r="C115" i="54"/>
  <c r="A116" i="54"/>
  <c r="B115" i="54"/>
  <c r="D159" i="52"/>
  <c r="C159" i="52"/>
  <c r="B159" i="52"/>
  <c r="A162" i="2"/>
  <c r="B161" i="2"/>
  <c r="C161" i="2"/>
  <c r="A14" i="40"/>
  <c r="A160" i="52"/>
  <c r="A14" i="33"/>
  <c r="C115" i="53"/>
  <c r="A116" i="53"/>
  <c r="B115" i="53"/>
  <c r="B12" i="33"/>
  <c r="A12" i="33"/>
  <c r="AC11" i="33"/>
  <c r="T11" i="33"/>
  <c r="K11" i="33"/>
  <c r="B11" i="33"/>
  <c r="A11" i="33"/>
  <c r="AC10" i="33"/>
  <c r="T10" i="33"/>
  <c r="K10" i="33"/>
  <c r="B10" i="33"/>
  <c r="A10" i="33"/>
  <c r="AC9" i="33"/>
  <c r="T9" i="33"/>
  <c r="K9" i="33"/>
  <c r="AD11" i="33" l="1"/>
  <c r="AD9" i="33"/>
  <c r="AD10" i="33"/>
  <c r="A117" i="54"/>
  <c r="B116" i="54"/>
  <c r="C116" i="54"/>
  <c r="B14" i="40"/>
  <c r="B14" i="33"/>
  <c r="B160" i="52"/>
  <c r="C160" i="52"/>
  <c r="D160" i="52"/>
  <c r="C162" i="2"/>
  <c r="A163" i="2"/>
  <c r="B162" i="2"/>
  <c r="A15" i="40"/>
  <c r="A161" i="52"/>
  <c r="A15" i="33"/>
  <c r="A117" i="53"/>
  <c r="B116" i="53"/>
  <c r="C116" i="53"/>
  <c r="B9" i="33"/>
  <c r="A9" i="33"/>
  <c r="AC8" i="33"/>
  <c r="T8" i="33"/>
  <c r="K8" i="33"/>
  <c r="AD8" i="33" l="1"/>
  <c r="C117" i="54"/>
  <c r="A118" i="54"/>
  <c r="B117" i="54"/>
  <c r="B15" i="40"/>
  <c r="B15" i="33"/>
  <c r="A164" i="2"/>
  <c r="B163" i="2"/>
  <c r="C163" i="2"/>
  <c r="A16" i="40"/>
  <c r="A162" i="52"/>
  <c r="A16" i="33"/>
  <c r="B161" i="52"/>
  <c r="D161" i="52"/>
  <c r="C161" i="52"/>
  <c r="C117" i="53"/>
  <c r="A118" i="53"/>
  <c r="B117" i="53"/>
  <c r="B8" i="33"/>
  <c r="A8" i="33"/>
  <c r="AC7" i="33"/>
  <c r="T7" i="33"/>
  <c r="K7" i="33"/>
  <c r="B7" i="33"/>
  <c r="A7" i="33"/>
  <c r="AC6" i="33"/>
  <c r="T6" i="33"/>
  <c r="K6" i="33"/>
  <c r="B6" i="33"/>
  <c r="A6" i="33"/>
  <c r="AC5" i="33"/>
  <c r="T5" i="33"/>
  <c r="K5" i="33"/>
  <c r="AD6" i="33" l="1"/>
  <c r="AD7" i="33"/>
  <c r="A119" i="54"/>
  <c r="B118" i="54"/>
  <c r="C118" i="54"/>
  <c r="B16" i="40"/>
  <c r="B16" i="33"/>
  <c r="D162" i="52"/>
  <c r="C162" i="52"/>
  <c r="B162" i="52"/>
  <c r="C164" i="2"/>
  <c r="A165" i="2"/>
  <c r="B164" i="2"/>
  <c r="A163" i="52"/>
  <c r="A17" i="40"/>
  <c r="A17" i="33"/>
  <c r="A119" i="53"/>
  <c r="B118" i="53"/>
  <c r="C118" i="53"/>
  <c r="AD5" i="33"/>
  <c r="B5" i="33"/>
  <c r="A5" i="33"/>
  <c r="L1" i="33"/>
  <c r="C38" i="21"/>
  <c r="AB36" i="21"/>
  <c r="AA36" i="21"/>
  <c r="Z36" i="21"/>
  <c r="Y36" i="21"/>
  <c r="X36" i="21"/>
  <c r="W36" i="21"/>
  <c r="V36" i="21"/>
  <c r="U36" i="21"/>
  <c r="S36" i="21"/>
  <c r="R36" i="21"/>
  <c r="Q36" i="21"/>
  <c r="P36" i="21"/>
  <c r="O36" i="21"/>
  <c r="N36" i="21"/>
  <c r="M36" i="21"/>
  <c r="L36" i="21"/>
  <c r="J36" i="21"/>
  <c r="I36" i="21"/>
  <c r="H36" i="21"/>
  <c r="G36" i="21"/>
  <c r="F36" i="21"/>
  <c r="E36" i="21"/>
  <c r="D36" i="21"/>
  <c r="C36" i="21"/>
  <c r="AC35" i="21"/>
  <c r="T35" i="21"/>
  <c r="K35" i="21"/>
  <c r="B35" i="21"/>
  <c r="A35" i="21"/>
  <c r="AC34" i="21"/>
  <c r="T34" i="21"/>
  <c r="K34" i="21"/>
  <c r="B34" i="21"/>
  <c r="A34" i="21"/>
  <c r="AC33" i="21"/>
  <c r="T33" i="21"/>
  <c r="K33" i="21"/>
  <c r="AD33" i="21" l="1"/>
  <c r="C119" i="54"/>
  <c r="A120" i="54"/>
  <c r="B119" i="54"/>
  <c r="B163" i="52"/>
  <c r="D163" i="52"/>
  <c r="C163" i="52"/>
  <c r="A166" i="2"/>
  <c r="B165" i="2"/>
  <c r="C165" i="2"/>
  <c r="A18" i="40"/>
  <c r="A164" i="52"/>
  <c r="A18" i="33"/>
  <c r="AD17" i="33" s="1"/>
  <c r="B17" i="40"/>
  <c r="B17" i="33"/>
  <c r="C119" i="53"/>
  <c r="A120" i="53"/>
  <c r="B119" i="53"/>
  <c r="AD34" i="21"/>
  <c r="AD35" i="21"/>
  <c r="T36" i="21"/>
  <c r="K36" i="21"/>
  <c r="B33" i="21"/>
  <c r="A33" i="21"/>
  <c r="AC32" i="21"/>
  <c r="T32" i="21"/>
  <c r="K32" i="21"/>
  <c r="B32" i="21"/>
  <c r="A32" i="21"/>
  <c r="AC31" i="21"/>
  <c r="T31" i="21"/>
  <c r="K31" i="21"/>
  <c r="B31" i="21"/>
  <c r="A31" i="21"/>
  <c r="AC30" i="21"/>
  <c r="T30" i="21"/>
  <c r="K30" i="21"/>
  <c r="B30" i="21"/>
  <c r="A30" i="21"/>
  <c r="AC29" i="21"/>
  <c r="T29" i="21"/>
  <c r="AD29" i="21" s="1"/>
  <c r="K29" i="21"/>
  <c r="A121" i="54" l="1"/>
  <c r="B120" i="54"/>
  <c r="C120" i="54"/>
  <c r="AD31" i="21"/>
  <c r="B18" i="40"/>
  <c r="B18" i="33"/>
  <c r="D164" i="52"/>
  <c r="B164" i="52"/>
  <c r="C164" i="52"/>
  <c r="C166" i="2"/>
  <c r="A167" i="2"/>
  <c r="B166" i="2"/>
  <c r="A165" i="52"/>
  <c r="A19" i="40"/>
  <c r="A19" i="33"/>
  <c r="A121" i="53"/>
  <c r="B120" i="53"/>
  <c r="C120" i="53"/>
  <c r="AD30" i="21"/>
  <c r="AD32" i="21"/>
  <c r="AC36" i="21"/>
  <c r="AD36" i="21" s="1"/>
  <c r="AD38" i="21" s="1"/>
  <c r="F8" i="47" s="1"/>
  <c r="B29" i="21"/>
  <c r="A29" i="21"/>
  <c r="AC28" i="21"/>
  <c r="T28" i="21"/>
  <c r="K28" i="21"/>
  <c r="B28" i="21"/>
  <c r="A28" i="21"/>
  <c r="AC27" i="21"/>
  <c r="T27" i="21"/>
  <c r="K27" i="21"/>
  <c r="B27" i="21"/>
  <c r="A27" i="21"/>
  <c r="AC26" i="21"/>
  <c r="T26" i="21"/>
  <c r="K26" i="21"/>
  <c r="B26" i="21"/>
  <c r="A26" i="21"/>
  <c r="AC25" i="21"/>
  <c r="T25" i="21"/>
  <c r="K25" i="21"/>
  <c r="AD27" i="21" l="1"/>
  <c r="C121" i="54"/>
  <c r="A122" i="54"/>
  <c r="B121" i="54"/>
  <c r="D165" i="52"/>
  <c r="C165" i="52"/>
  <c r="B165" i="52"/>
  <c r="A168" i="2"/>
  <c r="B167" i="2"/>
  <c r="C167" i="2"/>
  <c r="A166" i="52"/>
  <c r="A20" i="40"/>
  <c r="A20" i="33"/>
  <c r="B19" i="40"/>
  <c r="B19" i="33"/>
  <c r="C121" i="53"/>
  <c r="A122" i="53"/>
  <c r="B121" i="53"/>
  <c r="AD28" i="21"/>
  <c r="AD25" i="21"/>
  <c r="AD26" i="21"/>
  <c r="AD39" i="21"/>
  <c r="B25" i="21"/>
  <c r="A25" i="21"/>
  <c r="AC24" i="21"/>
  <c r="T24" i="21"/>
  <c r="K24" i="21"/>
  <c r="B24" i="21"/>
  <c r="A24" i="21"/>
  <c r="AC23" i="21"/>
  <c r="T23" i="21"/>
  <c r="K23" i="21"/>
  <c r="B23" i="21"/>
  <c r="A23" i="21"/>
  <c r="AC22" i="21"/>
  <c r="T22" i="21"/>
  <c r="K22" i="21"/>
  <c r="B22" i="21"/>
  <c r="A22" i="21"/>
  <c r="AC21" i="21"/>
  <c r="T21" i="21"/>
  <c r="K21" i="21"/>
  <c r="AD21" i="21" l="1"/>
  <c r="A123" i="54"/>
  <c r="B122" i="54"/>
  <c r="C122" i="54"/>
  <c r="D166" i="52"/>
  <c r="C166" i="52"/>
  <c r="B166" i="52"/>
  <c r="B20" i="40"/>
  <c r="B20" i="33"/>
  <c r="C168" i="2"/>
  <c r="A169" i="2"/>
  <c r="B168" i="2"/>
  <c r="A167" i="52"/>
  <c r="A21" i="40"/>
  <c r="A21" i="33"/>
  <c r="A123" i="53"/>
  <c r="B122" i="53"/>
  <c r="C122" i="53"/>
  <c r="AD23" i="21"/>
  <c r="AD24" i="21"/>
  <c r="AD22" i="21"/>
  <c r="B21" i="21"/>
  <c r="A21" i="21"/>
  <c r="AC20" i="21"/>
  <c r="T20" i="21"/>
  <c r="K20" i="21"/>
  <c r="B20" i="21"/>
  <c r="A20" i="21"/>
  <c r="AC19" i="21"/>
  <c r="T19" i="21"/>
  <c r="K19" i="21"/>
  <c r="B19" i="21"/>
  <c r="A19" i="21"/>
  <c r="AC18" i="21"/>
  <c r="T18" i="21"/>
  <c r="K18" i="21"/>
  <c r="B18" i="21"/>
  <c r="A18" i="21"/>
  <c r="AC17" i="21"/>
  <c r="T17" i="21"/>
  <c r="K17" i="21"/>
  <c r="C123" i="54" l="1"/>
  <c r="A124" i="54"/>
  <c r="B123" i="54"/>
  <c r="AD17" i="21"/>
  <c r="B167" i="52"/>
  <c r="D167" i="52"/>
  <c r="C167" i="52"/>
  <c r="A170" i="2"/>
  <c r="B169" i="2"/>
  <c r="C169" i="2"/>
  <c r="A22" i="40"/>
  <c r="A168" i="52"/>
  <c r="A22" i="33"/>
  <c r="AD21" i="33" s="1"/>
  <c r="B21" i="40"/>
  <c r="B21" i="33"/>
  <c r="C123" i="53"/>
  <c r="A124" i="53"/>
  <c r="B123" i="53"/>
  <c r="AD19" i="21"/>
  <c r="AD18" i="21"/>
  <c r="AD20" i="21"/>
  <c r="B17" i="21"/>
  <c r="A17" i="21"/>
  <c r="AC16" i="21"/>
  <c r="T16" i="21"/>
  <c r="K16" i="21"/>
  <c r="B16" i="21"/>
  <c r="A16" i="21"/>
  <c r="AC15" i="21"/>
  <c r="T15" i="21"/>
  <c r="K15" i="21"/>
  <c r="B15" i="21"/>
  <c r="A15" i="21"/>
  <c r="AC14" i="21"/>
  <c r="T14" i="21"/>
  <c r="K14" i="21"/>
  <c r="B14" i="21"/>
  <c r="A14" i="21"/>
  <c r="AC13" i="21"/>
  <c r="T13" i="21"/>
  <c r="K13" i="21"/>
  <c r="AD15" i="21" l="1"/>
  <c r="A125" i="54"/>
  <c r="B124" i="54"/>
  <c r="C124" i="54"/>
  <c r="B22" i="40"/>
  <c r="B22" i="33"/>
  <c r="C168" i="52"/>
  <c r="D168" i="52"/>
  <c r="B168" i="52"/>
  <c r="C170" i="2"/>
  <c r="A171" i="2"/>
  <c r="B170" i="2"/>
  <c r="A23" i="40"/>
  <c r="A169" i="52"/>
  <c r="A23" i="33"/>
  <c r="A125" i="53"/>
  <c r="B124" i="53"/>
  <c r="C124" i="53"/>
  <c r="AD16" i="21"/>
  <c r="AD13" i="21"/>
  <c r="AD14" i="21"/>
  <c r="B13" i="21"/>
  <c r="A13" i="21"/>
  <c r="AC12" i="21"/>
  <c r="T12" i="21"/>
  <c r="K12" i="21"/>
  <c r="B12" i="21"/>
  <c r="A12" i="21"/>
  <c r="AC11" i="21"/>
  <c r="T11" i="21"/>
  <c r="K11" i="21"/>
  <c r="B11" i="21"/>
  <c r="A11" i="21"/>
  <c r="AC10" i="21"/>
  <c r="T10" i="21"/>
  <c r="K10" i="21"/>
  <c r="B10" i="21"/>
  <c r="A10" i="21"/>
  <c r="AC9" i="21"/>
  <c r="T9" i="21"/>
  <c r="K9" i="21"/>
  <c r="AD11" i="21" l="1"/>
  <c r="C125" i="54"/>
  <c r="A126" i="54"/>
  <c r="B125" i="54"/>
  <c r="A172" i="2"/>
  <c r="B171" i="2"/>
  <c r="C171" i="2"/>
  <c r="A24" i="40"/>
  <c r="A170" i="52"/>
  <c r="A24" i="33"/>
  <c r="B169" i="52"/>
  <c r="D169" i="52"/>
  <c r="C169" i="52"/>
  <c r="B23" i="40"/>
  <c r="B23" i="33"/>
  <c r="C125" i="53"/>
  <c r="A126" i="53"/>
  <c r="B125" i="53"/>
  <c r="AD12" i="21"/>
  <c r="AD9" i="21"/>
  <c r="AD10" i="21"/>
  <c r="B9" i="21"/>
  <c r="A9" i="21"/>
  <c r="AC8" i="21"/>
  <c r="T8" i="21"/>
  <c r="K8" i="21"/>
  <c r="B8" i="21"/>
  <c r="A8" i="21"/>
  <c r="AC7" i="21"/>
  <c r="T7" i="21"/>
  <c r="K7" i="21"/>
  <c r="B7" i="21"/>
  <c r="A7" i="21"/>
  <c r="AC6" i="21"/>
  <c r="T6" i="21"/>
  <c r="K6" i="21"/>
  <c r="B6" i="21"/>
  <c r="A6" i="21"/>
  <c r="AC5" i="21"/>
  <c r="T5" i="21"/>
  <c r="K5" i="21"/>
  <c r="B5" i="21"/>
  <c r="A5" i="21"/>
  <c r="L1" i="21"/>
  <c r="C38" i="20"/>
  <c r="AB36" i="20"/>
  <c r="AA36" i="20"/>
  <c r="Z36" i="20"/>
  <c r="Y36" i="20"/>
  <c r="X36" i="20"/>
  <c r="W36" i="20"/>
  <c r="V36" i="20"/>
  <c r="U36" i="20"/>
  <c r="S36" i="20"/>
  <c r="R36" i="20"/>
  <c r="Q36" i="20"/>
  <c r="P36" i="20"/>
  <c r="O36" i="20"/>
  <c r="N36" i="20"/>
  <c r="M36" i="20"/>
  <c r="L36" i="20"/>
  <c r="T36" i="20" s="1"/>
  <c r="J36" i="20"/>
  <c r="I36" i="20"/>
  <c r="H36" i="20"/>
  <c r="G36" i="20"/>
  <c r="F36" i="20"/>
  <c r="E36" i="20"/>
  <c r="D36" i="20"/>
  <c r="C36" i="20"/>
  <c r="AC35" i="20"/>
  <c r="T35" i="20"/>
  <c r="K35" i="20"/>
  <c r="AC34" i="20"/>
  <c r="T34" i="20"/>
  <c r="K34" i="20"/>
  <c r="AD7" i="21" l="1"/>
  <c r="A127" i="54"/>
  <c r="B126" i="54"/>
  <c r="C126" i="54"/>
  <c r="D170" i="52"/>
  <c r="C170" i="52"/>
  <c r="B170" i="52"/>
  <c r="C172" i="2"/>
  <c r="A173" i="2"/>
  <c r="B172" i="2"/>
  <c r="A171" i="52"/>
  <c r="A25" i="40"/>
  <c r="A25" i="33"/>
  <c r="B24" i="40"/>
  <c r="B24" i="33"/>
  <c r="A127" i="53"/>
  <c r="B126" i="53"/>
  <c r="C126" i="53"/>
  <c r="AD5" i="21"/>
  <c r="AD6" i="21"/>
  <c r="AD35" i="20"/>
  <c r="AD34" i="20"/>
  <c r="AD8" i="21"/>
  <c r="K36" i="20"/>
  <c r="B34" i="20"/>
  <c r="A34" i="20"/>
  <c r="AC33" i="20"/>
  <c r="T33" i="20"/>
  <c r="K33" i="20"/>
  <c r="AD33" i="20" l="1"/>
  <c r="C127" i="54"/>
  <c r="A128" i="54"/>
  <c r="B127" i="54"/>
  <c r="D171" i="52"/>
  <c r="C171" i="52"/>
  <c r="B171" i="52"/>
  <c r="A174" i="2"/>
  <c r="B173" i="2"/>
  <c r="C173" i="2"/>
  <c r="A172" i="52"/>
  <c r="A26" i="40"/>
  <c r="A26" i="33"/>
  <c r="AD25" i="33" s="1"/>
  <c r="B25" i="40"/>
  <c r="B25" i="33"/>
  <c r="C127" i="53"/>
  <c r="A128" i="53"/>
  <c r="B127" i="53"/>
  <c r="AC36" i="20"/>
  <c r="AD36" i="20" s="1"/>
  <c r="B33" i="20"/>
  <c r="A33" i="20"/>
  <c r="AC32" i="20"/>
  <c r="T32" i="20"/>
  <c r="K32" i="20"/>
  <c r="B32" i="20"/>
  <c r="A32" i="20"/>
  <c r="AC31" i="20"/>
  <c r="T31" i="20"/>
  <c r="K31" i="20"/>
  <c r="AD31" i="20" s="1"/>
  <c r="B31" i="20"/>
  <c r="A31" i="20"/>
  <c r="AC30" i="20"/>
  <c r="T30" i="20"/>
  <c r="K30" i="20"/>
  <c r="AD38" i="20" l="1"/>
  <c r="E8" i="47" s="1"/>
  <c r="AD39" i="20"/>
  <c r="AD32" i="20"/>
  <c r="A129" i="54"/>
  <c r="B128" i="54"/>
  <c r="C128" i="54"/>
  <c r="D172" i="52"/>
  <c r="B172" i="52"/>
  <c r="C172" i="52"/>
  <c r="B26" i="40"/>
  <c r="B26" i="33"/>
  <c r="C174" i="2"/>
  <c r="A175" i="2"/>
  <c r="B174" i="2"/>
  <c r="A173" i="52"/>
  <c r="A27" i="40"/>
  <c r="A27" i="33"/>
  <c r="A129" i="53"/>
  <c r="B128" i="53"/>
  <c r="C128" i="53"/>
  <c r="AD30" i="20"/>
  <c r="B30" i="20"/>
  <c r="A30" i="20"/>
  <c r="AC29" i="20"/>
  <c r="T29" i="20"/>
  <c r="K29" i="20"/>
  <c r="AD29" i="20" l="1"/>
  <c r="C129" i="54"/>
  <c r="A130" i="54"/>
  <c r="B129" i="54"/>
  <c r="B27" i="40"/>
  <c r="B27" i="33"/>
  <c r="D173" i="52"/>
  <c r="C173" i="52"/>
  <c r="B173" i="52"/>
  <c r="A176" i="2"/>
  <c r="B175" i="2"/>
  <c r="C175" i="2"/>
  <c r="A174" i="52"/>
  <c r="A28" i="40"/>
  <c r="A28" i="33"/>
  <c r="C129" i="53"/>
  <c r="A130" i="53"/>
  <c r="B129" i="53"/>
  <c r="B29" i="20"/>
  <c r="A29" i="20"/>
  <c r="AC28" i="20"/>
  <c r="T28" i="20"/>
  <c r="K28" i="20"/>
  <c r="B28" i="20"/>
  <c r="A28" i="20"/>
  <c r="AC27" i="20"/>
  <c r="T27" i="20"/>
  <c r="K27" i="20"/>
  <c r="B27" i="20"/>
  <c r="A27" i="20"/>
  <c r="AC26" i="20"/>
  <c r="T26" i="20"/>
  <c r="K26" i="20"/>
  <c r="A131" i="54" l="1"/>
  <c r="B130" i="54"/>
  <c r="C130" i="54"/>
  <c r="AD27" i="20"/>
  <c r="B174" i="52"/>
  <c r="D174" i="52"/>
  <c r="C174" i="52"/>
  <c r="B28" i="40"/>
  <c r="B28" i="33"/>
  <c r="C176" i="2"/>
  <c r="A177" i="2"/>
  <c r="B176" i="2"/>
  <c r="A29" i="40"/>
  <c r="A175" i="52"/>
  <c r="A29" i="33"/>
  <c r="A131" i="53"/>
  <c r="B130" i="53"/>
  <c r="C130" i="53"/>
  <c r="AD28" i="20"/>
  <c r="AD26" i="20"/>
  <c r="B26" i="20"/>
  <c r="A26" i="20"/>
  <c r="AC25" i="20"/>
  <c r="T25" i="20"/>
  <c r="K25" i="20"/>
  <c r="C131" i="54" l="1"/>
  <c r="A132" i="54"/>
  <c r="B131" i="54"/>
  <c r="B175" i="52"/>
  <c r="D175" i="52"/>
  <c r="C175" i="52"/>
  <c r="A178" i="2"/>
  <c r="B177" i="2"/>
  <c r="C177" i="2"/>
  <c r="A30" i="40"/>
  <c r="A176" i="52"/>
  <c r="A30" i="33"/>
  <c r="B29" i="40"/>
  <c r="B29" i="33"/>
  <c r="C131" i="53"/>
  <c r="A132" i="53"/>
  <c r="B131" i="53"/>
  <c r="AD25" i="20"/>
  <c r="B25" i="20"/>
  <c r="A25" i="20"/>
  <c r="AC24" i="20"/>
  <c r="T24" i="20"/>
  <c r="K24" i="20"/>
  <c r="B24" i="20"/>
  <c r="A24" i="20"/>
  <c r="AC23" i="20"/>
  <c r="T23" i="20"/>
  <c r="K23" i="20"/>
  <c r="B23" i="20"/>
  <c r="A23" i="20"/>
  <c r="AC22" i="20"/>
  <c r="T22" i="20"/>
  <c r="K22" i="20"/>
  <c r="AD23" i="20" l="1"/>
  <c r="AD22" i="20"/>
  <c r="A133" i="54"/>
  <c r="B132" i="54"/>
  <c r="C132" i="54"/>
  <c r="B30" i="40"/>
  <c r="B30" i="33"/>
  <c r="D176" i="52"/>
  <c r="B176" i="52"/>
  <c r="C176" i="52"/>
  <c r="C178" i="2"/>
  <c r="A179" i="2"/>
  <c r="B178" i="2"/>
  <c r="A177" i="52"/>
  <c r="A31" i="40"/>
  <c r="A31" i="33"/>
  <c r="A133" i="53"/>
  <c r="B132" i="53"/>
  <c r="C132" i="53"/>
  <c r="AD24" i="20"/>
  <c r="B22" i="20"/>
  <c r="A22" i="20"/>
  <c r="AC21" i="20"/>
  <c r="T21" i="20"/>
  <c r="K21" i="20"/>
  <c r="AD21" i="20" s="1"/>
  <c r="C133" i="54" l="1"/>
  <c r="A134" i="54"/>
  <c r="B133" i="54"/>
  <c r="B31" i="40"/>
  <c r="B31" i="33"/>
  <c r="B177" i="52"/>
  <c r="D177" i="52"/>
  <c r="C177" i="52"/>
  <c r="A180" i="2"/>
  <c r="B179" i="2"/>
  <c r="C179" i="2"/>
  <c r="A32" i="40"/>
  <c r="A178" i="52"/>
  <c r="A32" i="33"/>
  <c r="AD31" i="33" s="1"/>
  <c r="C133" i="53"/>
  <c r="A134" i="53"/>
  <c r="B133" i="53"/>
  <c r="B21" i="20"/>
  <c r="A21" i="20"/>
  <c r="AC20" i="20"/>
  <c r="T20" i="20"/>
  <c r="K20" i="20"/>
  <c r="B20" i="20"/>
  <c r="A20" i="20"/>
  <c r="AC19" i="20"/>
  <c r="T19" i="20"/>
  <c r="K19" i="20"/>
  <c r="B19" i="20"/>
  <c r="A19" i="20"/>
  <c r="AC18" i="20"/>
  <c r="T18" i="20"/>
  <c r="K18" i="20"/>
  <c r="A135" i="54" l="1"/>
  <c r="B134" i="54"/>
  <c r="C134" i="54"/>
  <c r="AD18" i="20"/>
  <c r="AD19" i="20"/>
  <c r="B32" i="40"/>
  <c r="B32" i="33"/>
  <c r="B178" i="52"/>
  <c r="D178" i="52"/>
  <c r="C178" i="52"/>
  <c r="C180" i="2"/>
  <c r="A181" i="2"/>
  <c r="B180" i="2"/>
  <c r="A33" i="40"/>
  <c r="A179" i="52"/>
  <c r="A33" i="33"/>
  <c r="A135" i="53"/>
  <c r="B134" i="53"/>
  <c r="C134" i="53"/>
  <c r="AD20" i="20"/>
  <c r="B18" i="20"/>
  <c r="A18" i="20"/>
  <c r="AC17" i="20"/>
  <c r="T17" i="20"/>
  <c r="K17" i="20"/>
  <c r="AD17" i="20" l="1"/>
  <c r="C135" i="54"/>
  <c r="A136" i="54"/>
  <c r="B135" i="54"/>
  <c r="D179" i="52"/>
  <c r="C179" i="52"/>
  <c r="B179" i="52"/>
  <c r="B33" i="40"/>
  <c r="B33" i="33"/>
  <c r="A182" i="2"/>
  <c r="B181" i="2"/>
  <c r="C181" i="2"/>
  <c r="A180" i="52"/>
  <c r="A34" i="40"/>
  <c r="A34" i="33"/>
  <c r="C135" i="53"/>
  <c r="A136" i="53"/>
  <c r="B135" i="53"/>
  <c r="B17" i="20"/>
  <c r="A17" i="20"/>
  <c r="AC16" i="20"/>
  <c r="T16" i="20"/>
  <c r="K16" i="20"/>
  <c r="B16" i="20"/>
  <c r="A16" i="20"/>
  <c r="AC15" i="20"/>
  <c r="T15" i="20"/>
  <c r="K15" i="20"/>
  <c r="AD15" i="20" s="1"/>
  <c r="B15" i="20"/>
  <c r="A15" i="20"/>
  <c r="AC14" i="20"/>
  <c r="T14" i="20"/>
  <c r="K14" i="20"/>
  <c r="AD14" i="20" l="1"/>
  <c r="A137" i="54"/>
  <c r="B136" i="54"/>
  <c r="C136" i="54"/>
  <c r="C182" i="2"/>
  <c r="A183" i="2"/>
  <c r="B182" i="2"/>
  <c r="A5" i="41"/>
  <c r="A181" i="52"/>
  <c r="A5" i="34"/>
  <c r="C180" i="52"/>
  <c r="D180" i="52"/>
  <c r="B180" i="52"/>
  <c r="B34" i="40"/>
  <c r="B34" i="33"/>
  <c r="A137" i="53"/>
  <c r="B136" i="53"/>
  <c r="C136" i="53"/>
  <c r="AD16" i="20"/>
  <c r="B14" i="20"/>
  <c r="A14" i="20"/>
  <c r="AC13" i="20"/>
  <c r="T13" i="20"/>
  <c r="K13" i="20"/>
  <c r="AD13" i="20" l="1"/>
  <c r="C137" i="54"/>
  <c r="A138" i="54"/>
  <c r="B137" i="54"/>
  <c r="B181" i="52"/>
  <c r="D181" i="52"/>
  <c r="C181" i="52"/>
  <c r="B5" i="41"/>
  <c r="B5" i="34"/>
  <c r="A184" i="2"/>
  <c r="B183" i="2"/>
  <c r="C183" i="2"/>
  <c r="A6" i="41"/>
  <c r="A182" i="52"/>
  <c r="A6" i="34"/>
  <c r="AD5" i="34" s="1"/>
  <c r="C137" i="53"/>
  <c r="A138" i="53"/>
  <c r="B137" i="53"/>
  <c r="B13" i="20"/>
  <c r="A13" i="20"/>
  <c r="AC12" i="20"/>
  <c r="T12" i="20"/>
  <c r="K12" i="20"/>
  <c r="B12" i="20"/>
  <c r="A12" i="20"/>
  <c r="AC11" i="20"/>
  <c r="T11" i="20"/>
  <c r="K11" i="20"/>
  <c r="B11" i="20"/>
  <c r="A11" i="20"/>
  <c r="AC10" i="20"/>
  <c r="T10" i="20"/>
  <c r="K10" i="20"/>
  <c r="A139" i="54" l="1"/>
  <c r="B138" i="54"/>
  <c r="C138" i="54"/>
  <c r="AD10" i="20"/>
  <c r="AD11" i="20"/>
  <c r="C182" i="52"/>
  <c r="D182" i="52"/>
  <c r="B182" i="52"/>
  <c r="C184" i="2"/>
  <c r="A185" i="2"/>
  <c r="B184" i="2"/>
  <c r="A183" i="52"/>
  <c r="A7" i="41"/>
  <c r="A7" i="34"/>
  <c r="B6" i="41"/>
  <c r="B6" i="34"/>
  <c r="A139" i="53"/>
  <c r="B138" i="53"/>
  <c r="C138" i="53"/>
  <c r="AD12" i="20"/>
  <c r="B10" i="20"/>
  <c r="A10" i="20"/>
  <c r="AC9" i="20"/>
  <c r="T9" i="20"/>
  <c r="K9" i="20"/>
  <c r="AD9" i="20" l="1"/>
  <c r="C139" i="54"/>
  <c r="A140" i="54"/>
  <c r="B139" i="54"/>
  <c r="B7" i="41"/>
  <c r="B7" i="34"/>
  <c r="D183" i="52"/>
  <c r="C183" i="52"/>
  <c r="B183" i="52"/>
  <c r="A186" i="2"/>
  <c r="B185" i="2"/>
  <c r="C185" i="2"/>
  <c r="A184" i="52"/>
  <c r="A8" i="41"/>
  <c r="A8" i="34"/>
  <c r="AD7" i="34" s="1"/>
  <c r="C139" i="53"/>
  <c r="A140" i="53"/>
  <c r="B139" i="53"/>
  <c r="B9" i="20"/>
  <c r="A9" i="20"/>
  <c r="AC8" i="20"/>
  <c r="T8" i="20"/>
  <c r="K8" i="20"/>
  <c r="B8" i="20"/>
  <c r="A8" i="20"/>
  <c r="AC7" i="20"/>
  <c r="T7" i="20"/>
  <c r="K7" i="20"/>
  <c r="B7" i="20"/>
  <c r="A7" i="20"/>
  <c r="AC6" i="20"/>
  <c r="T6" i="20"/>
  <c r="K6" i="20"/>
  <c r="AD7" i="20" l="1"/>
  <c r="AD6" i="20"/>
  <c r="A141" i="54"/>
  <c r="B140" i="54"/>
  <c r="C140" i="54"/>
  <c r="D184" i="52"/>
  <c r="C184" i="52"/>
  <c r="B184" i="52"/>
  <c r="B8" i="41"/>
  <c r="B8" i="34"/>
  <c r="C186" i="2"/>
  <c r="A187" i="2"/>
  <c r="B186" i="2"/>
  <c r="A185" i="52"/>
  <c r="A9" i="41"/>
  <c r="A9" i="34"/>
  <c r="A141" i="53"/>
  <c r="B140" i="53"/>
  <c r="C140" i="53"/>
  <c r="AD8" i="20"/>
  <c r="B6" i="20"/>
  <c r="A6" i="20"/>
  <c r="AC5" i="20"/>
  <c r="T5" i="20"/>
  <c r="K5" i="20"/>
  <c r="AD5" i="20" l="1"/>
  <c r="C141" i="54"/>
  <c r="A142" i="54"/>
  <c r="B141" i="54"/>
  <c r="B9" i="41"/>
  <c r="B9" i="34"/>
  <c r="B185" i="52"/>
  <c r="D185" i="52"/>
  <c r="C185" i="52"/>
  <c r="A188" i="2"/>
  <c r="B187" i="2"/>
  <c r="C187" i="2"/>
  <c r="A10" i="41"/>
  <c r="A186" i="52"/>
  <c r="A10" i="34"/>
  <c r="AD9" i="34" s="1"/>
  <c r="C141" i="53"/>
  <c r="A142" i="53"/>
  <c r="B141" i="53"/>
  <c r="B5" i="20"/>
  <c r="A5" i="20"/>
  <c r="L1" i="20"/>
  <c r="C38" i="16"/>
  <c r="AB36" i="16"/>
  <c r="AA36" i="16"/>
  <c r="Z36" i="16"/>
  <c r="Y36" i="16"/>
  <c r="X36" i="16"/>
  <c r="W36" i="16"/>
  <c r="V36" i="16"/>
  <c r="U36" i="16"/>
  <c r="S36" i="16"/>
  <c r="R36" i="16"/>
  <c r="Q36" i="16"/>
  <c r="P36" i="16"/>
  <c r="O36" i="16"/>
  <c r="N36" i="16"/>
  <c r="M36" i="16"/>
  <c r="L36" i="16"/>
  <c r="T36" i="16" s="1"/>
  <c r="J36" i="16"/>
  <c r="I36" i="16"/>
  <c r="H36" i="16"/>
  <c r="G36" i="16"/>
  <c r="F36" i="16"/>
  <c r="E36" i="16"/>
  <c r="D36" i="16"/>
  <c r="C36" i="16"/>
  <c r="AC35" i="16"/>
  <c r="T35" i="16"/>
  <c r="K35" i="16"/>
  <c r="B35" i="16"/>
  <c r="A35" i="16"/>
  <c r="AC34" i="16"/>
  <c r="T34" i="16"/>
  <c r="K34" i="16"/>
  <c r="B34" i="16"/>
  <c r="A34" i="16"/>
  <c r="AC33" i="16"/>
  <c r="T33" i="16"/>
  <c r="K33" i="16"/>
  <c r="AD34" i="16" l="1"/>
  <c r="AD35" i="16"/>
  <c r="A143" i="54"/>
  <c r="B142" i="54"/>
  <c r="C142" i="54"/>
  <c r="AD33" i="16"/>
  <c r="K36" i="16"/>
  <c r="B10" i="41"/>
  <c r="B10" i="34"/>
  <c r="D186" i="52"/>
  <c r="C186" i="52"/>
  <c r="B186" i="52"/>
  <c r="C188" i="2"/>
  <c r="A189" i="2"/>
  <c r="B188" i="2"/>
  <c r="A187" i="52"/>
  <c r="A11" i="41"/>
  <c r="A11" i="34"/>
  <c r="A143" i="53"/>
  <c r="B142" i="53"/>
  <c r="C142" i="53"/>
  <c r="B33" i="16"/>
  <c r="A33" i="16"/>
  <c r="AC32" i="16"/>
  <c r="T32" i="16"/>
  <c r="K32" i="16"/>
  <c r="AD32" i="16" l="1"/>
  <c r="C143" i="54"/>
  <c r="A144" i="54"/>
  <c r="B143" i="54"/>
  <c r="AC36" i="16"/>
  <c r="AD36" i="16" s="1"/>
  <c r="B11" i="41"/>
  <c r="B11" i="34"/>
  <c r="B187" i="52"/>
  <c r="D187" i="52"/>
  <c r="C187" i="52"/>
  <c r="A190" i="2"/>
  <c r="B189" i="2"/>
  <c r="C189" i="2"/>
  <c r="A12" i="41"/>
  <c r="A188" i="52"/>
  <c r="A12" i="34"/>
  <c r="AD11" i="34" s="1"/>
  <c r="C143" i="53"/>
  <c r="A144" i="53"/>
  <c r="B143" i="53"/>
  <c r="B32" i="16"/>
  <c r="A32" i="16"/>
  <c r="AC31" i="16"/>
  <c r="T31" i="16"/>
  <c r="K31" i="16"/>
  <c r="B31" i="16"/>
  <c r="A31" i="16"/>
  <c r="AC30" i="16"/>
  <c r="T30" i="16"/>
  <c r="K30" i="16"/>
  <c r="B30" i="16"/>
  <c r="A30" i="16"/>
  <c r="AC29" i="16"/>
  <c r="T29" i="16"/>
  <c r="K29" i="16"/>
  <c r="AD30" i="16" l="1"/>
  <c r="AD38" i="16"/>
  <c r="D8" i="47" s="1"/>
  <c r="AD39" i="16"/>
  <c r="AD31" i="16"/>
  <c r="A145" i="54"/>
  <c r="B144" i="54"/>
  <c r="C144" i="54"/>
  <c r="AD29" i="16"/>
  <c r="D188" i="52"/>
  <c r="C188" i="52"/>
  <c r="B188" i="52"/>
  <c r="B12" i="41"/>
  <c r="B12" i="34"/>
  <c r="C190" i="2"/>
  <c r="A191" i="2"/>
  <c r="B190" i="2"/>
  <c r="A189" i="52"/>
  <c r="A13" i="41"/>
  <c r="A13" i="34"/>
  <c r="A145" i="53"/>
  <c r="B144" i="53"/>
  <c r="C144" i="53"/>
  <c r="B29" i="16"/>
  <c r="A29" i="16"/>
  <c r="AC28" i="16"/>
  <c r="T28" i="16"/>
  <c r="AD28" i="16" s="1"/>
  <c r="K28" i="16"/>
  <c r="C145" i="54" l="1"/>
  <c r="A146" i="54"/>
  <c r="B145" i="54"/>
  <c r="B13" i="41"/>
  <c r="B13" i="34"/>
  <c r="B189" i="52"/>
  <c r="D189" i="52"/>
  <c r="C189" i="52"/>
  <c r="A192" i="2"/>
  <c r="B191" i="2"/>
  <c r="C191" i="2"/>
  <c r="A14" i="41"/>
  <c r="A190" i="52"/>
  <c r="A14" i="34"/>
  <c r="AD13" i="34" s="1"/>
  <c r="C145" i="53"/>
  <c r="A146" i="53"/>
  <c r="B145" i="53"/>
  <c r="B28" i="16"/>
  <c r="A28" i="16"/>
  <c r="AC27" i="16"/>
  <c r="T27" i="16"/>
  <c r="K27" i="16"/>
  <c r="A147" i="54" l="1"/>
  <c r="B146" i="54"/>
  <c r="C146" i="54"/>
  <c r="AD27" i="16"/>
  <c r="C192" i="2"/>
  <c r="A193" i="2"/>
  <c r="B192" i="2"/>
  <c r="A191" i="52"/>
  <c r="A15" i="41"/>
  <c r="A15" i="34"/>
  <c r="B14" i="41"/>
  <c r="B14" i="34"/>
  <c r="D190" i="52"/>
  <c r="C190" i="52"/>
  <c r="B190" i="52"/>
  <c r="A147" i="53"/>
  <c r="B146" i="53"/>
  <c r="C146" i="53"/>
  <c r="B27" i="16"/>
  <c r="A27" i="16"/>
  <c r="AC26" i="16"/>
  <c r="T26" i="16"/>
  <c r="K26" i="16"/>
  <c r="AD26" i="16" s="1"/>
  <c r="C147" i="54" l="1"/>
  <c r="A148" i="54"/>
  <c r="B147" i="54"/>
  <c r="B191" i="52"/>
  <c r="D191" i="52"/>
  <c r="C191" i="52"/>
  <c r="B15" i="41"/>
  <c r="B15" i="34"/>
  <c r="A194" i="2"/>
  <c r="B193" i="2"/>
  <c r="C193" i="2"/>
  <c r="A16" i="41"/>
  <c r="A192" i="52"/>
  <c r="A16" i="34"/>
  <c r="AD15" i="34" s="1"/>
  <c r="C147" i="53"/>
  <c r="A148" i="53"/>
  <c r="B147" i="53"/>
  <c r="B26" i="16"/>
  <c r="A26" i="16"/>
  <c r="AC25" i="16"/>
  <c r="T25" i="16"/>
  <c r="K25" i="16"/>
  <c r="B25" i="16"/>
  <c r="A25" i="16"/>
  <c r="AC24" i="16"/>
  <c r="T24" i="16"/>
  <c r="K24" i="16"/>
  <c r="B24" i="16"/>
  <c r="A24" i="16"/>
  <c r="AC23" i="16"/>
  <c r="T23" i="16"/>
  <c r="K23" i="16"/>
  <c r="B23" i="16"/>
  <c r="A23" i="16"/>
  <c r="AC22" i="16"/>
  <c r="T22" i="16"/>
  <c r="K22" i="16"/>
  <c r="AD22" i="16" s="1"/>
  <c r="B22" i="16"/>
  <c r="A22" i="16"/>
  <c r="AC21" i="16"/>
  <c r="T21" i="16"/>
  <c r="K21" i="16"/>
  <c r="B21" i="16"/>
  <c r="A21" i="16"/>
  <c r="AC20" i="16"/>
  <c r="T20" i="16"/>
  <c r="K20" i="16"/>
  <c r="B20" i="16"/>
  <c r="A20" i="16"/>
  <c r="AC19" i="16"/>
  <c r="T19" i="16"/>
  <c r="K19" i="16"/>
  <c r="B19" i="16"/>
  <c r="A19" i="16"/>
  <c r="AC18" i="16"/>
  <c r="T18" i="16"/>
  <c r="K18" i="16"/>
  <c r="AD18" i="16" s="1"/>
  <c r="B18" i="16"/>
  <c r="A18" i="16"/>
  <c r="AC17" i="16"/>
  <c r="T17" i="16"/>
  <c r="K17" i="16"/>
  <c r="AD24" i="16" l="1"/>
  <c r="AD20" i="16"/>
  <c r="AD17" i="16"/>
  <c r="AD21" i="16"/>
  <c r="AD23" i="16"/>
  <c r="A149" i="54"/>
  <c r="B148" i="54"/>
  <c r="C148" i="54"/>
  <c r="AD19" i="16"/>
  <c r="AD25" i="16"/>
  <c r="B16" i="41"/>
  <c r="B16" i="34"/>
  <c r="D192" i="52"/>
  <c r="C192" i="52"/>
  <c r="B192" i="52"/>
  <c r="C194" i="2"/>
  <c r="A195" i="2"/>
  <c r="B194" i="2"/>
  <c r="A193" i="52"/>
  <c r="A17" i="41"/>
  <c r="A17" i="34"/>
  <c r="A149" i="53"/>
  <c r="B148" i="53"/>
  <c r="C148" i="53"/>
  <c r="B17" i="16"/>
  <c r="A17" i="16"/>
  <c r="AC16" i="16"/>
  <c r="T16" i="16"/>
  <c r="K16" i="16"/>
  <c r="AD16" i="16" s="1"/>
  <c r="C149" i="54" l="1"/>
  <c r="A150" i="54"/>
  <c r="B149" i="54"/>
  <c r="D193" i="52"/>
  <c r="C193" i="52"/>
  <c r="B193" i="52"/>
  <c r="A196" i="2"/>
  <c r="B195" i="2"/>
  <c r="C195" i="2"/>
  <c r="A194" i="52"/>
  <c r="A18" i="41"/>
  <c r="A18" i="34"/>
  <c r="AD17" i="34" s="1"/>
  <c r="B17" i="41"/>
  <c r="B17" i="34"/>
  <c r="C149" i="53"/>
  <c r="A150" i="53"/>
  <c r="B149" i="53"/>
  <c r="B16" i="16"/>
  <c r="A16" i="16"/>
  <c r="AC15" i="16"/>
  <c r="T15" i="16"/>
  <c r="K15" i="16"/>
  <c r="B15" i="16"/>
  <c r="A15" i="16"/>
  <c r="AC14" i="16"/>
  <c r="T14" i="16"/>
  <c r="K14" i="16"/>
  <c r="A151" i="54" l="1"/>
  <c r="B150" i="54"/>
  <c r="C150" i="54"/>
  <c r="AD14" i="16"/>
  <c r="AD15" i="16"/>
  <c r="D194" i="52"/>
  <c r="C194" i="52"/>
  <c r="B194" i="52"/>
  <c r="B18" i="41"/>
  <c r="B18" i="34"/>
  <c r="C196" i="2"/>
  <c r="A197" i="2"/>
  <c r="B196" i="2"/>
  <c r="A195" i="52"/>
  <c r="A19" i="41"/>
  <c r="A19" i="34"/>
  <c r="A151" i="53"/>
  <c r="B150" i="53"/>
  <c r="C150" i="53"/>
  <c r="B14" i="16"/>
  <c r="A14" i="16"/>
  <c r="AC13" i="16"/>
  <c r="T13" i="16"/>
  <c r="K13" i="16"/>
  <c r="B13" i="16"/>
  <c r="A13" i="16"/>
  <c r="AC12" i="16"/>
  <c r="T12" i="16"/>
  <c r="K12" i="16"/>
  <c r="AD12" i="16" s="1"/>
  <c r="B12" i="16"/>
  <c r="A12" i="16"/>
  <c r="AC11" i="16"/>
  <c r="T11" i="16"/>
  <c r="K11" i="16"/>
  <c r="B11" i="16"/>
  <c r="A11" i="16"/>
  <c r="AC10" i="16"/>
  <c r="T10" i="16"/>
  <c r="K10" i="16"/>
  <c r="AD10" i="16" l="1"/>
  <c r="AD11" i="16"/>
  <c r="AD13" i="16"/>
  <c r="C151" i="54"/>
  <c r="A152" i="54"/>
  <c r="B151" i="54"/>
  <c r="B195" i="52"/>
  <c r="D195" i="52"/>
  <c r="C195" i="52"/>
  <c r="A198" i="2"/>
  <c r="B197" i="2"/>
  <c r="C197" i="2"/>
  <c r="A20" i="41"/>
  <c r="A196" i="52"/>
  <c r="A20" i="34"/>
  <c r="AD19" i="34" s="1"/>
  <c r="B19" i="41"/>
  <c r="B19" i="34"/>
  <c r="C151" i="53"/>
  <c r="A152" i="53"/>
  <c r="B151" i="53"/>
  <c r="B10" i="16"/>
  <c r="A10" i="16"/>
  <c r="AC9" i="16"/>
  <c r="T9" i="16"/>
  <c r="K9" i="16"/>
  <c r="B9" i="16"/>
  <c r="A9" i="16"/>
  <c r="AC8" i="16"/>
  <c r="T8" i="16"/>
  <c r="K8" i="16"/>
  <c r="A153" i="54" l="1"/>
  <c r="B152" i="54"/>
  <c r="C152" i="54"/>
  <c r="AD8" i="16"/>
  <c r="AD9" i="16"/>
  <c r="B20" i="41"/>
  <c r="B20" i="34"/>
  <c r="D196" i="52"/>
  <c r="C196" i="52"/>
  <c r="B196" i="52"/>
  <c r="C198" i="2"/>
  <c r="A199" i="2"/>
  <c r="B198" i="2"/>
  <c r="A197" i="52"/>
  <c r="A21" i="41"/>
  <c r="A21" i="34"/>
  <c r="A153" i="53"/>
  <c r="B152" i="53"/>
  <c r="C152" i="53"/>
  <c r="B8" i="16"/>
  <c r="A8" i="16"/>
  <c r="AC7" i="16"/>
  <c r="T7" i="16"/>
  <c r="K7" i="16"/>
  <c r="AD7" i="16" l="1"/>
  <c r="C153" i="54"/>
  <c r="A154" i="54"/>
  <c r="B153" i="54"/>
  <c r="B197" i="52"/>
  <c r="D197" i="52"/>
  <c r="C197" i="52"/>
  <c r="A200" i="2"/>
  <c r="B199" i="2"/>
  <c r="C199" i="2"/>
  <c r="A22" i="41"/>
  <c r="A198" i="52"/>
  <c r="A22" i="34"/>
  <c r="AD21" i="34" s="1"/>
  <c r="B21" i="41"/>
  <c r="B21" i="34"/>
  <c r="C153" i="53"/>
  <c r="A154" i="53"/>
  <c r="B153" i="53"/>
  <c r="B7" i="16"/>
  <c r="A7" i="16"/>
  <c r="AC6" i="16"/>
  <c r="T6" i="16"/>
  <c r="K6" i="16"/>
  <c r="AD6" i="16" l="1"/>
  <c r="A155" i="54"/>
  <c r="B154" i="54"/>
  <c r="C154" i="54"/>
  <c r="D198" i="52"/>
  <c r="C198" i="52"/>
  <c r="B198" i="52"/>
  <c r="C200" i="2"/>
  <c r="A201" i="2"/>
  <c r="B200" i="2"/>
  <c r="A199" i="52"/>
  <c r="A23" i="41"/>
  <c r="A23" i="34"/>
  <c r="B22" i="41"/>
  <c r="B22" i="34"/>
  <c r="A155" i="53"/>
  <c r="B154" i="53"/>
  <c r="C154" i="53"/>
  <c r="B6" i="16"/>
  <c r="A6" i="16"/>
  <c r="AC5" i="16"/>
  <c r="T5" i="16"/>
  <c r="K5" i="16"/>
  <c r="B5" i="16"/>
  <c r="A5" i="16"/>
  <c r="L1" i="16"/>
  <c r="H41" i="13"/>
  <c r="C41" i="13"/>
  <c r="H40" i="13"/>
  <c r="C40" i="13"/>
  <c r="H39" i="13"/>
  <c r="C39" i="13"/>
  <c r="C38" i="13"/>
  <c r="AB36" i="13"/>
  <c r="AA36" i="13"/>
  <c r="Z36" i="13"/>
  <c r="Y36" i="13"/>
  <c r="X36" i="13"/>
  <c r="W36" i="13"/>
  <c r="V36" i="13"/>
  <c r="U36" i="13"/>
  <c r="S36" i="13"/>
  <c r="R36" i="13"/>
  <c r="Q36" i="13"/>
  <c r="P36" i="13"/>
  <c r="O36" i="13"/>
  <c r="N36" i="13"/>
  <c r="M36" i="13"/>
  <c r="L36" i="13"/>
  <c r="T36" i="13" s="1"/>
  <c r="J36" i="13"/>
  <c r="I36" i="13"/>
  <c r="H36" i="13"/>
  <c r="G36" i="13"/>
  <c r="F36" i="13"/>
  <c r="E36" i="13"/>
  <c r="D36" i="13"/>
  <c r="C36" i="13"/>
  <c r="AC35" i="13"/>
  <c r="T35" i="13"/>
  <c r="K35" i="13"/>
  <c r="AD35" i="13" s="1"/>
  <c r="AC34" i="13"/>
  <c r="T34" i="13"/>
  <c r="K34" i="13"/>
  <c r="AC33" i="13"/>
  <c r="T33" i="13"/>
  <c r="K33" i="13"/>
  <c r="AC32" i="13"/>
  <c r="T32" i="13"/>
  <c r="K32" i="13"/>
  <c r="AD32" i="13" l="1"/>
  <c r="AD33" i="13"/>
  <c r="AD5" i="16"/>
  <c r="C155" i="54"/>
  <c r="A156" i="54"/>
  <c r="B155" i="54"/>
  <c r="B199" i="52"/>
  <c r="D199" i="52"/>
  <c r="C199" i="52"/>
  <c r="A202" i="2"/>
  <c r="B201" i="2"/>
  <c r="C201" i="2"/>
  <c r="A200" i="52"/>
  <c r="A24" i="34"/>
  <c r="AD23" i="34" s="1"/>
  <c r="A24" i="41"/>
  <c r="B23" i="34"/>
  <c r="B23" i="41"/>
  <c r="C155" i="53"/>
  <c r="A156" i="53"/>
  <c r="B155" i="53"/>
  <c r="AD34" i="13"/>
  <c r="K36" i="13"/>
  <c r="B32" i="13"/>
  <c r="A32" i="13"/>
  <c r="AC31" i="13"/>
  <c r="T31" i="13"/>
  <c r="K31" i="13"/>
  <c r="B31" i="13"/>
  <c r="A31" i="13"/>
  <c r="AC30" i="13"/>
  <c r="T30" i="13"/>
  <c r="K30" i="13"/>
  <c r="A157" i="54" l="1"/>
  <c r="B156" i="54"/>
  <c r="C156" i="54"/>
  <c r="AD30" i="13"/>
  <c r="D200" i="52"/>
  <c r="C200" i="52"/>
  <c r="B200" i="52"/>
  <c r="B24" i="41"/>
  <c r="B24" i="34"/>
  <c r="C202" i="2"/>
  <c r="A203" i="2"/>
  <c r="B202" i="2"/>
  <c r="A25" i="41"/>
  <c r="A201" i="52"/>
  <c r="A25" i="34"/>
  <c r="A157" i="53"/>
  <c r="B156" i="53"/>
  <c r="C156" i="53"/>
  <c r="AD31" i="13"/>
  <c r="AC36" i="13"/>
  <c r="AD36" i="13" s="1"/>
  <c r="B30" i="13"/>
  <c r="A30" i="13"/>
  <c r="AC29" i="13"/>
  <c r="T29" i="13"/>
  <c r="K29" i="13"/>
  <c r="B29" i="13"/>
  <c r="A29" i="13"/>
  <c r="AC28" i="13"/>
  <c r="T28" i="13"/>
  <c r="K28" i="13"/>
  <c r="AD39" i="13" l="1"/>
  <c r="AD38" i="13"/>
  <c r="C8" i="47" s="1"/>
  <c r="AD28" i="13"/>
  <c r="C157" i="54"/>
  <c r="A158" i="54"/>
  <c r="B157" i="54"/>
  <c r="B201" i="52"/>
  <c r="D201" i="52"/>
  <c r="C201" i="52"/>
  <c r="B25" i="41"/>
  <c r="B25" i="34"/>
  <c r="A204" i="2"/>
  <c r="B203" i="2"/>
  <c r="C203" i="2"/>
  <c r="A202" i="52"/>
  <c r="A26" i="34"/>
  <c r="AD25" i="34" s="1"/>
  <c r="A26" i="41"/>
  <c r="C157" i="53"/>
  <c r="A158" i="53"/>
  <c r="B157" i="53"/>
  <c r="AD29" i="13"/>
  <c r="B28" i="13"/>
  <c r="A28" i="13"/>
  <c r="AC27" i="13"/>
  <c r="T27" i="13"/>
  <c r="K27" i="13"/>
  <c r="B27" i="13"/>
  <c r="A27" i="13"/>
  <c r="AC26" i="13"/>
  <c r="T26" i="13"/>
  <c r="K26" i="13"/>
  <c r="AD26" i="13" l="1"/>
  <c r="AD27" i="13"/>
  <c r="A159" i="54"/>
  <c r="B158" i="54"/>
  <c r="C158" i="54"/>
  <c r="D202" i="52"/>
  <c r="C202" i="52"/>
  <c r="B202" i="52"/>
  <c r="B26" i="41"/>
  <c r="B26" i="34"/>
  <c r="C204" i="2"/>
  <c r="A205" i="2"/>
  <c r="B204" i="2"/>
  <c r="A27" i="41"/>
  <c r="A203" i="52"/>
  <c r="A27" i="34"/>
  <c r="A159" i="53"/>
  <c r="B158" i="53"/>
  <c r="C158" i="53"/>
  <c r="B26" i="13"/>
  <c r="A26" i="13"/>
  <c r="AC25" i="13"/>
  <c r="T25" i="13"/>
  <c r="K25" i="13"/>
  <c r="B25" i="13"/>
  <c r="A25" i="13"/>
  <c r="AC24" i="13"/>
  <c r="T24" i="13"/>
  <c r="K24" i="13"/>
  <c r="B24" i="13"/>
  <c r="A24" i="13"/>
  <c r="AC23" i="13"/>
  <c r="T23" i="13"/>
  <c r="K23" i="13"/>
  <c r="B23" i="13"/>
  <c r="A23" i="13"/>
  <c r="AC22" i="13"/>
  <c r="T22" i="13"/>
  <c r="K22" i="13"/>
  <c r="B22" i="13"/>
  <c r="A22" i="13"/>
  <c r="AC21" i="13"/>
  <c r="T21" i="13"/>
  <c r="K21" i="13"/>
  <c r="B21" i="13"/>
  <c r="A21" i="13"/>
  <c r="AC20" i="13"/>
  <c r="T20" i="13"/>
  <c r="K20" i="13"/>
  <c r="AD20" i="13" s="1"/>
  <c r="AD22" i="13" l="1"/>
  <c r="AD24" i="13"/>
  <c r="AD23" i="13"/>
  <c r="C159" i="54"/>
  <c r="A160" i="54"/>
  <c r="B159" i="54"/>
  <c r="A206" i="2"/>
  <c r="B205" i="2"/>
  <c r="C205" i="2"/>
  <c r="A204" i="52"/>
  <c r="A28" i="34"/>
  <c r="AD27" i="34" s="1"/>
  <c r="A28" i="41"/>
  <c r="B203" i="52"/>
  <c r="D203" i="52"/>
  <c r="C203" i="52"/>
  <c r="B27" i="41"/>
  <c r="B27" i="34"/>
  <c r="C159" i="53"/>
  <c r="A160" i="53"/>
  <c r="B159" i="53"/>
  <c r="AD21" i="13"/>
  <c r="AD25" i="13"/>
  <c r="B20" i="13"/>
  <c r="A20" i="13"/>
  <c r="AC19" i="13"/>
  <c r="T19" i="13"/>
  <c r="K19" i="13"/>
  <c r="B19" i="13"/>
  <c r="A19" i="13"/>
  <c r="AC18" i="13"/>
  <c r="T18" i="13"/>
  <c r="K18" i="13"/>
  <c r="AD18" i="13" s="1"/>
  <c r="B18" i="13"/>
  <c r="A18" i="13"/>
  <c r="AC17" i="13"/>
  <c r="T17" i="13"/>
  <c r="K17" i="13"/>
  <c r="B17" i="13"/>
  <c r="A17" i="13"/>
  <c r="AC16" i="13"/>
  <c r="T16" i="13"/>
  <c r="K16" i="13"/>
  <c r="AD16" i="13" s="1"/>
  <c r="B16" i="13"/>
  <c r="A16" i="13"/>
  <c r="AC15" i="13"/>
  <c r="T15" i="13"/>
  <c r="K15" i="13"/>
  <c r="A161" i="54" l="1"/>
  <c r="B160" i="54"/>
  <c r="C160" i="54"/>
  <c r="AD15" i="13"/>
  <c r="C206" i="2"/>
  <c r="A207" i="2"/>
  <c r="B206" i="2"/>
  <c r="A29" i="41"/>
  <c r="A205" i="52"/>
  <c r="A29" i="34"/>
  <c r="D204" i="52"/>
  <c r="C204" i="52"/>
  <c r="B204" i="52"/>
  <c r="B28" i="41"/>
  <c r="B28" i="34"/>
  <c r="A161" i="53"/>
  <c r="B160" i="53"/>
  <c r="C160" i="53"/>
  <c r="AD19" i="13"/>
  <c r="AD17" i="13"/>
  <c r="B15" i="13"/>
  <c r="A15" i="13"/>
  <c r="AC14" i="13"/>
  <c r="T14" i="13"/>
  <c r="K14" i="13"/>
  <c r="AD14" i="13" l="1"/>
  <c r="C161" i="54"/>
  <c r="B161" i="54"/>
  <c r="A162" i="54"/>
  <c r="B205" i="52"/>
  <c r="D205" i="52"/>
  <c r="C205" i="52"/>
  <c r="B29" i="41"/>
  <c r="B29" i="34"/>
  <c r="A208" i="2"/>
  <c r="B207" i="2"/>
  <c r="C207" i="2"/>
  <c r="A206" i="52"/>
  <c r="A30" i="34"/>
  <c r="AD29" i="34" s="1"/>
  <c r="A30" i="41"/>
  <c r="C161" i="53"/>
  <c r="A162" i="53"/>
  <c r="B161" i="53"/>
  <c r="B14" i="13"/>
  <c r="A14" i="13"/>
  <c r="AC13" i="13"/>
  <c r="T13" i="13"/>
  <c r="K13" i="13"/>
  <c r="A163" i="54" l="1"/>
  <c r="B162" i="54"/>
  <c r="C162" i="54"/>
  <c r="C208" i="2"/>
  <c r="A209" i="2"/>
  <c r="B208" i="2"/>
  <c r="A31" i="41"/>
  <c r="A207" i="52"/>
  <c r="A31" i="34"/>
  <c r="D206" i="52"/>
  <c r="C206" i="52"/>
  <c r="B206" i="52"/>
  <c r="B30" i="41"/>
  <c r="B30" i="34"/>
  <c r="A163" i="53"/>
  <c r="B162" i="53"/>
  <c r="C162" i="53"/>
  <c r="AD13" i="13"/>
  <c r="B13" i="13"/>
  <c r="A13" i="13"/>
  <c r="AC12" i="13"/>
  <c r="T12" i="13"/>
  <c r="K12" i="13"/>
  <c r="AD12" i="13" l="1"/>
  <c r="C163" i="54"/>
  <c r="A164" i="54"/>
  <c r="B163" i="54"/>
  <c r="A210" i="2"/>
  <c r="B209" i="2"/>
  <c r="C209" i="2"/>
  <c r="A208" i="52"/>
  <c r="A32" i="34"/>
  <c r="A32" i="41"/>
  <c r="B207" i="52"/>
  <c r="D207" i="52"/>
  <c r="C207" i="52"/>
  <c r="B31" i="41"/>
  <c r="B31" i="34"/>
  <c r="C163" i="53"/>
  <c r="A164" i="53"/>
  <c r="B163" i="53"/>
  <c r="B12" i="13"/>
  <c r="A12" i="13"/>
  <c r="AC11" i="13"/>
  <c r="T11" i="13"/>
  <c r="K11" i="13"/>
  <c r="B11" i="13"/>
  <c r="A11" i="13"/>
  <c r="AC10" i="13"/>
  <c r="T10" i="13"/>
  <c r="K10" i="13"/>
  <c r="B10" i="13"/>
  <c r="A10" i="13"/>
  <c r="AC9" i="13"/>
  <c r="T9" i="13"/>
  <c r="K9" i="13"/>
  <c r="B9" i="13"/>
  <c r="A9" i="13"/>
  <c r="AC8" i="13"/>
  <c r="T8" i="13"/>
  <c r="K8" i="13"/>
  <c r="AD8" i="13" s="1"/>
  <c r="B8" i="13"/>
  <c r="A8" i="13"/>
  <c r="AC7" i="13"/>
  <c r="T7" i="13"/>
  <c r="K7" i="13"/>
  <c r="B7" i="13"/>
  <c r="A7" i="13"/>
  <c r="AC6" i="13"/>
  <c r="T6" i="13"/>
  <c r="K6" i="13"/>
  <c r="AD6" i="13" s="1"/>
  <c r="B6" i="13"/>
  <c r="A6" i="13"/>
  <c r="AC5" i="13"/>
  <c r="T5" i="13"/>
  <c r="K5" i="13"/>
  <c r="AD10" i="13" l="1"/>
  <c r="A165" i="54"/>
  <c r="B164" i="54"/>
  <c r="C164" i="54"/>
  <c r="AD5" i="13"/>
  <c r="C210" i="2"/>
  <c r="A211" i="2"/>
  <c r="B210" i="2"/>
  <c r="A33" i="41"/>
  <c r="A209" i="52"/>
  <c r="A33" i="34"/>
  <c r="D208" i="52"/>
  <c r="B208" i="52"/>
  <c r="C208" i="52"/>
  <c r="B32" i="41"/>
  <c r="B32" i="34"/>
  <c r="A165" i="53"/>
  <c r="B164" i="53"/>
  <c r="C164" i="53"/>
  <c r="AD7" i="13"/>
  <c r="AD11" i="13"/>
  <c r="AD9" i="13"/>
  <c r="B5" i="13"/>
  <c r="A5" i="13"/>
  <c r="L1" i="13"/>
  <c r="C38" i="9"/>
  <c r="AB36" i="9"/>
  <c r="AA36" i="9"/>
  <c r="Z36" i="9"/>
  <c r="Y36" i="9"/>
  <c r="X36" i="9"/>
  <c r="W36" i="9"/>
  <c r="V36" i="9"/>
  <c r="U36" i="9"/>
  <c r="AC36" i="9" s="1"/>
  <c r="S36" i="9"/>
  <c r="R36" i="9"/>
  <c r="Q36" i="9"/>
  <c r="P36" i="9"/>
  <c r="O36" i="9"/>
  <c r="N36" i="9"/>
  <c r="M36" i="9"/>
  <c r="L36" i="9"/>
  <c r="J36" i="9"/>
  <c r="I36" i="9"/>
  <c r="H36" i="9"/>
  <c r="G36" i="9"/>
  <c r="F36" i="9"/>
  <c r="E36" i="9"/>
  <c r="D36" i="9"/>
  <c r="C36" i="9"/>
  <c r="AC35" i="9"/>
  <c r="T35" i="9"/>
  <c r="K35" i="9"/>
  <c r="B35" i="9"/>
  <c r="A35" i="9"/>
  <c r="AC34" i="9"/>
  <c r="T34" i="9"/>
  <c r="K34" i="9"/>
  <c r="AD35" i="9" l="1"/>
  <c r="C165" i="54"/>
  <c r="B165" i="54"/>
  <c r="A166" i="54"/>
  <c r="T36" i="9"/>
  <c r="D209" i="52"/>
  <c r="C209" i="52"/>
  <c r="B209" i="52"/>
  <c r="B33" i="34"/>
  <c r="B33" i="41"/>
  <c r="A212" i="2"/>
  <c r="B211" i="2"/>
  <c r="C211" i="2"/>
  <c r="A34" i="41"/>
  <c r="A210" i="52"/>
  <c r="A34" i="34"/>
  <c r="C165" i="53"/>
  <c r="A166" i="53"/>
  <c r="B165" i="53"/>
  <c r="AD34" i="9"/>
  <c r="K36" i="9"/>
  <c r="AD36" i="9" s="1"/>
  <c r="AD40" i="39" s="1"/>
  <c r="AD41" i="39" s="1"/>
  <c r="B34" i="9"/>
  <c r="A34" i="9"/>
  <c r="AC33" i="9"/>
  <c r="T33" i="9"/>
  <c r="K33" i="9"/>
  <c r="B33" i="9"/>
  <c r="A33" i="9"/>
  <c r="AC32" i="9"/>
  <c r="T32" i="9"/>
  <c r="K32" i="9"/>
  <c r="B32" i="9"/>
  <c r="A32" i="9"/>
  <c r="AC31" i="9"/>
  <c r="T31" i="9"/>
  <c r="K31" i="9"/>
  <c r="B31" i="9"/>
  <c r="A31" i="9"/>
  <c r="AC30" i="9"/>
  <c r="T30" i="9"/>
  <c r="K30" i="9"/>
  <c r="B30" i="9"/>
  <c r="A30" i="9"/>
  <c r="AC29" i="9"/>
  <c r="T29" i="9"/>
  <c r="K29" i="9"/>
  <c r="AD29" i="9" l="1"/>
  <c r="AD31" i="9"/>
  <c r="AD33" i="9"/>
  <c r="A167" i="54"/>
  <c r="B166" i="54"/>
  <c r="C166" i="54"/>
  <c r="AD32" i="9"/>
  <c r="AD30" i="9"/>
  <c r="AD39" i="9"/>
  <c r="AD40" i="13"/>
  <c r="AD41" i="13" s="1"/>
  <c r="AD40" i="20"/>
  <c r="AD41" i="20" s="1"/>
  <c r="AD40" i="33"/>
  <c r="AD41" i="33" s="1"/>
  <c r="AD38" i="9"/>
  <c r="B8" i="47" s="1"/>
  <c r="N8" i="47" s="1"/>
  <c r="AD40" i="9"/>
  <c r="AD41" i="9" s="1"/>
  <c r="AD40" i="16"/>
  <c r="AD41" i="16" s="1"/>
  <c r="AD40" i="21"/>
  <c r="AD41" i="21" s="1"/>
  <c r="AD40" i="34"/>
  <c r="AD41" i="34" s="1"/>
  <c r="AD40" i="36"/>
  <c r="AD41" i="36" s="1"/>
  <c r="AD40" i="35"/>
  <c r="AD41" i="35" s="1"/>
  <c r="AD40" i="38"/>
  <c r="AD41" i="38" s="1"/>
  <c r="B34" i="34"/>
  <c r="B34" i="41"/>
  <c r="B210" i="52"/>
  <c r="D210" i="52"/>
  <c r="C210" i="52"/>
  <c r="C212" i="2"/>
  <c r="A213" i="2"/>
  <c r="B212" i="2"/>
  <c r="A211" i="52"/>
  <c r="A35" i="34"/>
  <c r="A35" i="41"/>
  <c r="A167" i="53"/>
  <c r="B166" i="53"/>
  <c r="C166" i="53"/>
  <c r="AD40" i="37"/>
  <c r="AD41" i="37" s="1"/>
  <c r="B29" i="9"/>
  <c r="A29" i="9"/>
  <c r="AC28" i="9"/>
  <c r="T28" i="9"/>
  <c r="K28" i="9"/>
  <c r="B28" i="9"/>
  <c r="A28" i="9"/>
  <c r="AC27" i="9"/>
  <c r="T27" i="9"/>
  <c r="K27" i="9"/>
  <c r="AD27" i="9" s="1"/>
  <c r="B27" i="9"/>
  <c r="A27" i="9"/>
  <c r="AC26" i="9"/>
  <c r="T26" i="9"/>
  <c r="K26" i="9"/>
  <c r="B26" i="9"/>
  <c r="A26" i="9"/>
  <c r="AC25" i="9"/>
  <c r="T25" i="9"/>
  <c r="K25" i="9"/>
  <c r="C167" i="54" l="1"/>
  <c r="A168" i="54"/>
  <c r="B167" i="54"/>
  <c r="AD28" i="9"/>
  <c r="AD25" i="9"/>
  <c r="AD26" i="9"/>
  <c r="B211" i="52"/>
  <c r="D211" i="52"/>
  <c r="C211" i="52"/>
  <c r="A214" i="2"/>
  <c r="B213" i="2"/>
  <c r="C213" i="2"/>
  <c r="A212" i="52"/>
  <c r="A5" i="35"/>
  <c r="A5" i="42"/>
  <c r="B35" i="41"/>
  <c r="B35" i="34"/>
  <c r="C167" i="53"/>
  <c r="A168" i="53"/>
  <c r="B167" i="53"/>
  <c r="B25" i="9"/>
  <c r="A25" i="9"/>
  <c r="AC24" i="9"/>
  <c r="T24" i="9"/>
  <c r="K24" i="9"/>
  <c r="B24" i="9"/>
  <c r="A24" i="9"/>
  <c r="AC23" i="9"/>
  <c r="T23" i="9"/>
  <c r="K23" i="9"/>
  <c r="B23" i="9"/>
  <c r="A23" i="9"/>
  <c r="AC22" i="9"/>
  <c r="T22" i="9"/>
  <c r="K22" i="9"/>
  <c r="B22" i="9"/>
  <c r="A22" i="9"/>
  <c r="AC21" i="9"/>
  <c r="T21" i="9"/>
  <c r="K21" i="9"/>
  <c r="AD21" i="9" l="1"/>
  <c r="AD23" i="9"/>
  <c r="A169" i="54"/>
  <c r="B168" i="54"/>
  <c r="C168" i="54"/>
  <c r="AD24" i="9"/>
  <c r="AD22" i="9"/>
  <c r="D212" i="52"/>
  <c r="B212" i="52"/>
  <c r="C212" i="52"/>
  <c r="B5" i="42"/>
  <c r="B5" i="35"/>
  <c r="C214" i="2"/>
  <c r="A215" i="2"/>
  <c r="B214" i="2"/>
  <c r="A6" i="42"/>
  <c r="A213" i="52"/>
  <c r="A6" i="35"/>
  <c r="A169" i="53"/>
  <c r="B168" i="53"/>
  <c r="C168" i="53"/>
  <c r="B21" i="9"/>
  <c r="A21" i="9"/>
  <c r="AC20" i="9"/>
  <c r="T20" i="9"/>
  <c r="K20" i="9"/>
  <c r="B20" i="9"/>
  <c r="A20" i="9"/>
  <c r="AC19" i="9"/>
  <c r="T19" i="9"/>
  <c r="K19" i="9"/>
  <c r="B19" i="9"/>
  <c r="A19" i="9"/>
  <c r="AC18" i="9"/>
  <c r="T18" i="9"/>
  <c r="K18" i="9"/>
  <c r="B18" i="9"/>
  <c r="A18" i="9"/>
  <c r="AC17" i="9"/>
  <c r="T17" i="9"/>
  <c r="K17" i="9"/>
  <c r="B17" i="9"/>
  <c r="A17" i="9"/>
  <c r="AC16" i="9"/>
  <c r="T16" i="9"/>
  <c r="K16" i="9"/>
  <c r="AD17" i="9" l="1"/>
  <c r="AD19" i="9"/>
  <c r="C169" i="54"/>
  <c r="B169" i="54"/>
  <c r="A170" i="54"/>
  <c r="AD20" i="9"/>
  <c r="AD18" i="9"/>
  <c r="AD16" i="9"/>
  <c r="A216" i="2"/>
  <c r="B215" i="2"/>
  <c r="C215" i="2"/>
  <c r="A214" i="52"/>
  <c r="A7" i="35"/>
  <c r="AD6" i="35" s="1"/>
  <c r="A7" i="42"/>
  <c r="C213" i="52"/>
  <c r="D213" i="52"/>
  <c r="B213" i="52"/>
  <c r="B6" i="35"/>
  <c r="B6" i="42"/>
  <c r="C169" i="53"/>
  <c r="A170" i="53"/>
  <c r="B169" i="53"/>
  <c r="B16" i="9"/>
  <c r="A16" i="9"/>
  <c r="AC15" i="9"/>
  <c r="T15" i="9"/>
  <c r="K15" i="9"/>
  <c r="B15" i="9"/>
  <c r="A15" i="9"/>
  <c r="AC14" i="9"/>
  <c r="T14" i="9"/>
  <c r="K14" i="9"/>
  <c r="AD15" i="9" l="1"/>
  <c r="A171" i="54"/>
  <c r="B170" i="54"/>
  <c r="C170" i="54"/>
  <c r="AD14" i="9"/>
  <c r="C216" i="2"/>
  <c r="A217" i="2"/>
  <c r="B216" i="2"/>
  <c r="A215" i="52"/>
  <c r="A8" i="35"/>
  <c r="A8" i="42"/>
  <c r="C214" i="52"/>
  <c r="D214" i="52"/>
  <c r="B214" i="52"/>
  <c r="B7" i="35"/>
  <c r="B7" i="42"/>
  <c r="A171" i="53"/>
  <c r="B170" i="53"/>
  <c r="C170" i="53"/>
  <c r="B14" i="9"/>
  <c r="A14" i="9"/>
  <c r="AC13" i="9"/>
  <c r="T13" i="9"/>
  <c r="K13" i="9"/>
  <c r="AD13" i="9" s="1"/>
  <c r="B13" i="9"/>
  <c r="A13" i="9"/>
  <c r="AC12" i="9"/>
  <c r="T12" i="9"/>
  <c r="K12" i="9"/>
  <c r="B12" i="9"/>
  <c r="A12" i="9"/>
  <c r="AC11" i="9"/>
  <c r="T11" i="9"/>
  <c r="K11" i="9"/>
  <c r="AD11" i="9" s="1"/>
  <c r="B11" i="9"/>
  <c r="A11" i="9"/>
  <c r="AC10" i="9"/>
  <c r="T10" i="9"/>
  <c r="K10" i="9"/>
  <c r="B10" i="9"/>
  <c r="A10" i="9"/>
  <c r="AC9" i="9"/>
  <c r="T9" i="9"/>
  <c r="K9" i="9"/>
  <c r="AD9" i="9" s="1"/>
  <c r="B9" i="9"/>
  <c r="A9" i="9"/>
  <c r="AC8" i="9"/>
  <c r="T8" i="9"/>
  <c r="K8" i="9"/>
  <c r="B8" i="9"/>
  <c r="A8" i="9"/>
  <c r="AC7" i="9"/>
  <c r="T7" i="9"/>
  <c r="K7" i="9"/>
  <c r="AD7" i="9" s="1"/>
  <c r="B7" i="9"/>
  <c r="A7" i="9"/>
  <c r="AC6" i="9"/>
  <c r="T6" i="9"/>
  <c r="K6" i="9"/>
  <c r="C171" i="54" l="1"/>
  <c r="A172" i="54"/>
  <c r="B171" i="54"/>
  <c r="AD12" i="9"/>
  <c r="AD10" i="9"/>
  <c r="AD8" i="9"/>
  <c r="AD6" i="9"/>
  <c r="B8" i="42"/>
  <c r="B8" i="35"/>
  <c r="D215" i="52"/>
  <c r="B215" i="52"/>
  <c r="C215" i="52"/>
  <c r="A218" i="2"/>
  <c r="B217" i="2"/>
  <c r="C217" i="2"/>
  <c r="A216" i="52"/>
  <c r="A9" i="35"/>
  <c r="AD8" i="35" s="1"/>
  <c r="A9" i="42"/>
  <c r="C171" i="53"/>
  <c r="A172" i="53"/>
  <c r="B171" i="53"/>
  <c r="B6" i="9"/>
  <c r="A6" i="9"/>
  <c r="AC5" i="9"/>
  <c r="T5" i="9"/>
  <c r="K5" i="9"/>
  <c r="B5" i="9"/>
  <c r="A5" i="9"/>
  <c r="L1" i="9"/>
  <c r="C38" i="32"/>
  <c r="AB36" i="32"/>
  <c r="AB36" i="46" s="1"/>
  <c r="AA36" i="32"/>
  <c r="AA36" i="46" s="1"/>
  <c r="Z36" i="32"/>
  <c r="Z36" i="46" s="1"/>
  <c r="Y36" i="32"/>
  <c r="Y36" i="46" s="1"/>
  <c r="X36" i="32"/>
  <c r="X36" i="46" s="1"/>
  <c r="W36" i="32"/>
  <c r="W36" i="46" s="1"/>
  <c r="V36" i="32"/>
  <c r="V36" i="46" s="1"/>
  <c r="U36" i="32"/>
  <c r="U36" i="46" s="1"/>
  <c r="S36" i="32"/>
  <c r="S36" i="46" s="1"/>
  <c r="R36" i="32"/>
  <c r="R36" i="46" s="1"/>
  <c r="Q36" i="32"/>
  <c r="Q36" i="46" s="1"/>
  <c r="P36" i="32"/>
  <c r="P36" i="46" s="1"/>
  <c r="O36" i="32"/>
  <c r="O36" i="46" s="1"/>
  <c r="N36" i="32"/>
  <c r="N36" i="46" s="1"/>
  <c r="M36" i="32"/>
  <c r="M36" i="46" s="1"/>
  <c r="L36" i="32"/>
  <c r="L36" i="46" s="1"/>
  <c r="J36" i="32"/>
  <c r="J36" i="46" s="1"/>
  <c r="I36" i="32"/>
  <c r="I36" i="46" s="1"/>
  <c r="H36" i="32"/>
  <c r="H36" i="46" s="1"/>
  <c r="G36" i="32"/>
  <c r="G36" i="46" s="1"/>
  <c r="F36" i="32"/>
  <c r="F36" i="46" s="1"/>
  <c r="E36" i="32"/>
  <c r="E36" i="46" s="1"/>
  <c r="M19" i="47" s="1"/>
  <c r="D36" i="32"/>
  <c r="D36" i="46" s="1"/>
  <c r="C36" i="32"/>
  <c r="C36" i="46" s="1"/>
  <c r="M24" i="47" s="1"/>
  <c r="AC35" i="32"/>
  <c r="AC35" i="46" s="1"/>
  <c r="T35" i="32"/>
  <c r="T35" i="46" s="1"/>
  <c r="K35" i="32"/>
  <c r="K35" i="46" s="1"/>
  <c r="AC34" i="32"/>
  <c r="AC34" i="46" s="1"/>
  <c r="T34" i="32"/>
  <c r="T34" i="46" s="1"/>
  <c r="K34" i="32"/>
  <c r="K34" i="46" s="1"/>
  <c r="AC33" i="32"/>
  <c r="AC33" i="46" s="1"/>
  <c r="T33" i="32"/>
  <c r="T33" i="46" s="1"/>
  <c r="K33" i="32"/>
  <c r="K33" i="46" s="1"/>
  <c r="AD5" i="9" l="1"/>
  <c r="T36" i="32"/>
  <c r="T36" i="46" s="1"/>
  <c r="A173" i="54"/>
  <c r="B172" i="54"/>
  <c r="C172" i="54"/>
  <c r="M20" i="47"/>
  <c r="M30" i="47"/>
  <c r="M29" i="47"/>
  <c r="AC36" i="32"/>
  <c r="AC36" i="46" s="1"/>
  <c r="M13" i="47" s="1"/>
  <c r="C216" i="52"/>
  <c r="B216" i="52"/>
  <c r="D216" i="52"/>
  <c r="B9" i="35"/>
  <c r="B9" i="42"/>
  <c r="C218" i="2"/>
  <c r="A219" i="2"/>
  <c r="B218" i="2"/>
  <c r="A217" i="52"/>
  <c r="A10" i="35"/>
  <c r="A10" i="42"/>
  <c r="A173" i="53"/>
  <c r="B172" i="53"/>
  <c r="C172" i="53"/>
  <c r="AD35" i="32"/>
  <c r="AD35" i="46" s="1"/>
  <c r="E364" i="52" s="1"/>
  <c r="AD34" i="32"/>
  <c r="AD34" i="46" s="1"/>
  <c r="E363" i="52" s="1"/>
  <c r="AD33" i="32"/>
  <c r="AD33" i="46" s="1"/>
  <c r="E362" i="52" s="1"/>
  <c r="M25" i="47"/>
  <c r="M18" i="47"/>
  <c r="M28" i="47"/>
  <c r="M17" i="47"/>
  <c r="M21" i="47"/>
  <c r="M26" i="47"/>
  <c r="K36" i="32"/>
  <c r="AC32" i="32"/>
  <c r="AC32" i="46" s="1"/>
  <c r="T32" i="32"/>
  <c r="T32" i="46" s="1"/>
  <c r="K32" i="32"/>
  <c r="K32" i="46" s="1"/>
  <c r="AC31" i="32"/>
  <c r="AC31" i="46" s="1"/>
  <c r="T31" i="32"/>
  <c r="T31" i="46" s="1"/>
  <c r="K31" i="32"/>
  <c r="K31" i="46" s="1"/>
  <c r="AC30" i="32"/>
  <c r="AC30" i="46" s="1"/>
  <c r="T30" i="32"/>
  <c r="T30" i="46" s="1"/>
  <c r="K30" i="32"/>
  <c r="K30" i="46" s="1"/>
  <c r="M27" i="47" l="1"/>
  <c r="C173" i="54"/>
  <c r="B173" i="54"/>
  <c r="A174" i="54"/>
  <c r="B10" i="42"/>
  <c r="B10" i="35"/>
  <c r="C217" i="52"/>
  <c r="B217" i="52"/>
  <c r="D217" i="52"/>
  <c r="A220" i="2"/>
  <c r="B219" i="2"/>
  <c r="C219" i="2"/>
  <c r="A11" i="42"/>
  <c r="A218" i="52"/>
  <c r="A11" i="35"/>
  <c r="AD10" i="35" s="1"/>
  <c r="C173" i="53"/>
  <c r="A174" i="53"/>
  <c r="B173" i="53"/>
  <c r="AD32" i="32"/>
  <c r="AD31" i="32"/>
  <c r="AD31" i="46" s="1"/>
  <c r="E360" i="52" s="1"/>
  <c r="AD30" i="32"/>
  <c r="AD30" i="46" s="1"/>
  <c r="E359" i="52" s="1"/>
  <c r="M23" i="47"/>
  <c r="K36" i="46"/>
  <c r="M11" i="47" s="1"/>
  <c r="AD36" i="32"/>
  <c r="AC29" i="32"/>
  <c r="AC29" i="46" s="1"/>
  <c r="T29" i="32"/>
  <c r="T29" i="46" s="1"/>
  <c r="K29" i="32"/>
  <c r="K29" i="46" s="1"/>
  <c r="AC28" i="32"/>
  <c r="AC28" i="46" s="1"/>
  <c r="T28" i="32"/>
  <c r="T28" i="46" s="1"/>
  <c r="K28" i="32"/>
  <c r="K28" i="46" s="1"/>
  <c r="AC27" i="32"/>
  <c r="AC27" i="46" s="1"/>
  <c r="T27" i="32"/>
  <c r="T27" i="46" s="1"/>
  <c r="K27" i="32"/>
  <c r="K27" i="46" s="1"/>
  <c r="AC26" i="32"/>
  <c r="AC26" i="46" s="1"/>
  <c r="T26" i="32"/>
  <c r="T26" i="46" s="1"/>
  <c r="K26" i="32"/>
  <c r="K26" i="46" s="1"/>
  <c r="AC25" i="32"/>
  <c r="AC25" i="46" s="1"/>
  <c r="T25" i="32"/>
  <c r="T25" i="46" s="1"/>
  <c r="K25" i="32"/>
  <c r="K25" i="46" s="1"/>
  <c r="AC24" i="32"/>
  <c r="AC24" i="46" s="1"/>
  <c r="T24" i="32"/>
  <c r="T24" i="46" s="1"/>
  <c r="K24" i="32"/>
  <c r="K24" i="46" s="1"/>
  <c r="AC23" i="32"/>
  <c r="AC23" i="46" s="1"/>
  <c r="T23" i="32"/>
  <c r="T23" i="46" s="1"/>
  <c r="K23" i="32"/>
  <c r="K23" i="46" s="1"/>
  <c r="AC22" i="32"/>
  <c r="AC22" i="46" s="1"/>
  <c r="T22" i="32"/>
  <c r="T22" i="46" s="1"/>
  <c r="K22" i="32"/>
  <c r="K22" i="46" s="1"/>
  <c r="AC21" i="32"/>
  <c r="AC21" i="46" s="1"/>
  <c r="T21" i="32"/>
  <c r="T21" i="46" s="1"/>
  <c r="K21" i="32"/>
  <c r="K21" i="46" s="1"/>
  <c r="A175" i="54" l="1"/>
  <c r="B174" i="54"/>
  <c r="C174" i="54"/>
  <c r="B11" i="35"/>
  <c r="B11" i="42"/>
  <c r="C218" i="52"/>
  <c r="D218" i="52"/>
  <c r="B218" i="52"/>
  <c r="C220" i="2"/>
  <c r="A221" i="2"/>
  <c r="B220" i="2"/>
  <c r="A219" i="52"/>
  <c r="A12" i="35"/>
  <c r="A12" i="42"/>
  <c r="A175" i="53"/>
  <c r="B174" i="53"/>
  <c r="C174" i="53"/>
  <c r="AD28" i="32"/>
  <c r="AD29" i="32"/>
  <c r="AD29" i="46" s="1"/>
  <c r="E358" i="52" s="1"/>
  <c r="AD27" i="32"/>
  <c r="AD27" i="46" s="1"/>
  <c r="E356" i="52" s="1"/>
  <c r="AD26" i="32"/>
  <c r="AD26" i="46" s="1"/>
  <c r="E355" i="52" s="1"/>
  <c r="AD25" i="32"/>
  <c r="AD25" i="46" s="1"/>
  <c r="E354" i="52" s="1"/>
  <c r="AD24" i="32"/>
  <c r="AD24" i="46" s="1"/>
  <c r="E353" i="52" s="1"/>
  <c r="AD23" i="32"/>
  <c r="AD23" i="46" s="1"/>
  <c r="E352" i="52" s="1"/>
  <c r="AD22" i="32"/>
  <c r="AD22" i="46" s="1"/>
  <c r="E351" i="52" s="1"/>
  <c r="AD21" i="32"/>
  <c r="AD21" i="46" s="1"/>
  <c r="E350" i="52" s="1"/>
  <c r="AD36" i="46"/>
  <c r="AD39" i="32"/>
  <c r="AD39" i="46" s="1"/>
  <c r="AD38" i="32"/>
  <c r="AC20" i="32"/>
  <c r="AC20" i="46" s="1"/>
  <c r="T20" i="32"/>
  <c r="T20" i="46" s="1"/>
  <c r="K20" i="32"/>
  <c r="K20" i="46" s="1"/>
  <c r="AC19" i="32"/>
  <c r="AC19" i="46" s="1"/>
  <c r="T19" i="32"/>
  <c r="T19" i="46" s="1"/>
  <c r="K19" i="32"/>
  <c r="K19" i="46" s="1"/>
  <c r="AC18" i="32"/>
  <c r="AC18" i="46" s="1"/>
  <c r="T18" i="32"/>
  <c r="T18" i="46" s="1"/>
  <c r="K18" i="32"/>
  <c r="K18" i="46" s="1"/>
  <c r="AC17" i="32"/>
  <c r="AC17" i="46" s="1"/>
  <c r="T17" i="32"/>
  <c r="T17" i="46" s="1"/>
  <c r="K17" i="32"/>
  <c r="K17" i="46" s="1"/>
  <c r="AC16" i="32"/>
  <c r="AC16" i="46" s="1"/>
  <c r="T16" i="32"/>
  <c r="T16" i="46" s="1"/>
  <c r="K16" i="32"/>
  <c r="K16" i="46" s="1"/>
  <c r="AC15" i="32"/>
  <c r="AC15" i="46" s="1"/>
  <c r="T15" i="32"/>
  <c r="T15" i="46" s="1"/>
  <c r="K15" i="32"/>
  <c r="K15" i="46" s="1"/>
  <c r="AC14" i="32"/>
  <c r="AC14" i="46" s="1"/>
  <c r="T14" i="32"/>
  <c r="T14" i="46" s="1"/>
  <c r="K14" i="32"/>
  <c r="K14" i="46" s="1"/>
  <c r="AC13" i="32"/>
  <c r="AC13" i="46" s="1"/>
  <c r="T13" i="32"/>
  <c r="T13" i="46" s="1"/>
  <c r="K13" i="32"/>
  <c r="K13" i="46" s="1"/>
  <c r="C175" i="54" l="1"/>
  <c r="A176" i="54"/>
  <c r="B175" i="54"/>
  <c r="B12" i="42"/>
  <c r="B12" i="35"/>
  <c r="B219" i="52"/>
  <c r="D219" i="52"/>
  <c r="C219" i="52"/>
  <c r="A222" i="2"/>
  <c r="B221" i="2"/>
  <c r="C221" i="2"/>
  <c r="A13" i="42"/>
  <c r="A220" i="52"/>
  <c r="A13" i="35"/>
  <c r="AD12" i="35" s="1"/>
  <c r="C175" i="53"/>
  <c r="A176" i="53"/>
  <c r="B175" i="53"/>
  <c r="AD15" i="32"/>
  <c r="AD15" i="46" s="1"/>
  <c r="E344" i="52" s="1"/>
  <c r="AD20" i="32"/>
  <c r="AD20" i="46" s="1"/>
  <c r="E349" i="52" s="1"/>
  <c r="AD19" i="32"/>
  <c r="AD19" i="46" s="1"/>
  <c r="E348" i="52" s="1"/>
  <c r="AD18" i="32"/>
  <c r="AD18" i="46" s="1"/>
  <c r="E347" i="52" s="1"/>
  <c r="AD17" i="32"/>
  <c r="AD17" i="46" s="1"/>
  <c r="E346" i="52" s="1"/>
  <c r="AD14" i="32"/>
  <c r="AD13" i="32"/>
  <c r="AD13" i="46" s="1"/>
  <c r="E342" i="52" s="1"/>
  <c r="M7" i="47"/>
  <c r="AD38" i="46"/>
  <c r="M63" i="55" s="1"/>
  <c r="AC12" i="32"/>
  <c r="AC12" i="46" s="1"/>
  <c r="T12" i="32"/>
  <c r="T12" i="46" s="1"/>
  <c r="K12" i="32"/>
  <c r="K12" i="46" s="1"/>
  <c r="AC11" i="32"/>
  <c r="AC11" i="46" s="1"/>
  <c r="T11" i="32"/>
  <c r="T11" i="46" s="1"/>
  <c r="K11" i="32"/>
  <c r="K11" i="46" s="1"/>
  <c r="AC10" i="32"/>
  <c r="AC10" i="46" s="1"/>
  <c r="T10" i="32"/>
  <c r="T10" i="46" s="1"/>
  <c r="K10" i="32"/>
  <c r="K10" i="46" s="1"/>
  <c r="AC9" i="32"/>
  <c r="AC9" i="46" s="1"/>
  <c r="T9" i="32"/>
  <c r="T9" i="46" s="1"/>
  <c r="K9" i="32"/>
  <c r="K9" i="46" s="1"/>
  <c r="AC8" i="32"/>
  <c r="AC8" i="46" s="1"/>
  <c r="T8" i="32"/>
  <c r="T8" i="46" s="1"/>
  <c r="K8" i="32"/>
  <c r="K8" i="46" s="1"/>
  <c r="AC7" i="32"/>
  <c r="AC7" i="46" s="1"/>
  <c r="T7" i="32"/>
  <c r="T7" i="46" s="1"/>
  <c r="K7" i="32"/>
  <c r="K7" i="46" s="1"/>
  <c r="AC6" i="32"/>
  <c r="AC6" i="46" s="1"/>
  <c r="T6" i="32"/>
  <c r="T6" i="46" s="1"/>
  <c r="K6" i="32"/>
  <c r="K6" i="46" s="1"/>
  <c r="AC5" i="32"/>
  <c r="AC5" i="46" s="1"/>
  <c r="T5" i="32"/>
  <c r="T5" i="46" s="1"/>
  <c r="K5" i="32"/>
  <c r="K5" i="46" s="1"/>
  <c r="L1" i="32"/>
  <c r="C38" i="31"/>
  <c r="AB36" i="31"/>
  <c r="AB36" i="45" s="1"/>
  <c r="AA36" i="31"/>
  <c r="AA36" i="45" s="1"/>
  <c r="Z36" i="31"/>
  <c r="Z36" i="45" s="1"/>
  <c r="Y36" i="31"/>
  <c r="Y36" i="45" s="1"/>
  <c r="X36" i="31"/>
  <c r="X36" i="45" s="1"/>
  <c r="W36" i="31"/>
  <c r="W36" i="45" s="1"/>
  <c r="V36" i="31"/>
  <c r="V36" i="45" s="1"/>
  <c r="U36" i="31"/>
  <c r="U36" i="45" s="1"/>
  <c r="S36" i="31"/>
  <c r="S36" i="45" s="1"/>
  <c r="R36" i="31"/>
  <c r="R36" i="45" s="1"/>
  <c r="Q36" i="31"/>
  <c r="Q36" i="45" s="1"/>
  <c r="P36" i="31"/>
  <c r="P36" i="45" s="1"/>
  <c r="O36" i="31"/>
  <c r="O36" i="45" s="1"/>
  <c r="N36" i="31"/>
  <c r="N36" i="45" s="1"/>
  <c r="M36" i="31"/>
  <c r="M36" i="45" s="1"/>
  <c r="L36" i="31"/>
  <c r="L36" i="45" s="1"/>
  <c r="J36" i="31"/>
  <c r="J36" i="45" s="1"/>
  <c r="I36" i="31"/>
  <c r="I36" i="45" s="1"/>
  <c r="H36" i="31"/>
  <c r="H36" i="45" s="1"/>
  <c r="G36" i="31"/>
  <c r="G36" i="45" s="1"/>
  <c r="F36" i="31"/>
  <c r="F36" i="45" s="1"/>
  <c r="E36" i="31"/>
  <c r="E36" i="45" s="1"/>
  <c r="L19" i="47" s="1"/>
  <c r="D36" i="31"/>
  <c r="D36" i="45" s="1"/>
  <c r="C36" i="31"/>
  <c r="C36" i="45" s="1"/>
  <c r="L24" i="47" s="1"/>
  <c r="AC35" i="31"/>
  <c r="AC35" i="45" s="1"/>
  <c r="T35" i="31"/>
  <c r="T35" i="45" s="1"/>
  <c r="K35" i="31"/>
  <c r="K35" i="45" s="1"/>
  <c r="AC34" i="31"/>
  <c r="AC34" i="45" s="1"/>
  <c r="T34" i="31"/>
  <c r="T34" i="45" s="1"/>
  <c r="K34" i="31"/>
  <c r="K34" i="45" s="1"/>
  <c r="AC33" i="31"/>
  <c r="AC33" i="45" s="1"/>
  <c r="T33" i="31"/>
  <c r="T33" i="45" s="1"/>
  <c r="K33" i="31"/>
  <c r="K33" i="45" s="1"/>
  <c r="AC32" i="31"/>
  <c r="AC32" i="45" s="1"/>
  <c r="T32" i="31"/>
  <c r="T32" i="45" s="1"/>
  <c r="K32" i="31"/>
  <c r="K32" i="45" s="1"/>
  <c r="T36" i="31" l="1"/>
  <c r="A177" i="54"/>
  <c r="B176" i="54"/>
  <c r="C176" i="54"/>
  <c r="AD35" i="31"/>
  <c r="AD35" i="45" s="1"/>
  <c r="L20" i="47"/>
  <c r="L31" i="47" s="1"/>
  <c r="L30" i="47"/>
  <c r="L29" i="47"/>
  <c r="T36" i="45"/>
  <c r="L12" i="47" s="1"/>
  <c r="AC36" i="31"/>
  <c r="B13" i="42"/>
  <c r="B13" i="35"/>
  <c r="D220" i="52"/>
  <c r="B220" i="52"/>
  <c r="C220" i="52"/>
  <c r="C222" i="2"/>
  <c r="A223" i="2"/>
  <c r="B222" i="2"/>
  <c r="A221" i="52"/>
  <c r="A14" i="42"/>
  <c r="A14" i="35"/>
  <c r="A177" i="53"/>
  <c r="B176" i="53"/>
  <c r="C176" i="53"/>
  <c r="AD12" i="32"/>
  <c r="AD12" i="46" s="1"/>
  <c r="E341" i="52" s="1"/>
  <c r="AD11" i="32"/>
  <c r="AD11" i="46" s="1"/>
  <c r="E340" i="52" s="1"/>
  <c r="AD10" i="32"/>
  <c r="AD9" i="32"/>
  <c r="AD9" i="46" s="1"/>
  <c r="E338" i="52" s="1"/>
  <c r="AD8" i="32"/>
  <c r="AD7" i="32"/>
  <c r="AD7" i="46" s="1"/>
  <c r="E336" i="52" s="1"/>
  <c r="AD6" i="32"/>
  <c r="AD6" i="46" s="1"/>
  <c r="E335" i="52" s="1"/>
  <c r="AD5" i="32"/>
  <c r="AD5" i="46" s="1"/>
  <c r="E334" i="52" s="1"/>
  <c r="M6" i="47"/>
  <c r="AD34" i="31"/>
  <c r="AD34" i="45" s="1"/>
  <c r="E333" i="52" s="1"/>
  <c r="AD33" i="31"/>
  <c r="AD33" i="45" s="1"/>
  <c r="E332" i="52" s="1"/>
  <c r="AD32" i="31"/>
  <c r="L25" i="47"/>
  <c r="L18" i="47"/>
  <c r="L26" i="47"/>
  <c r="L23" i="47" s="1"/>
  <c r="L21" i="47"/>
  <c r="K36" i="31"/>
  <c r="L28" i="47"/>
  <c r="L17" i="47"/>
  <c r="L16" i="47" s="1"/>
  <c r="AC31" i="31"/>
  <c r="AC31" i="45" s="1"/>
  <c r="T31" i="31"/>
  <c r="T31" i="45" s="1"/>
  <c r="K31" i="31"/>
  <c r="K31" i="45" s="1"/>
  <c r="AC30" i="31"/>
  <c r="AC30" i="45" s="1"/>
  <c r="T30" i="31"/>
  <c r="T30" i="45" s="1"/>
  <c r="K30" i="31"/>
  <c r="K30" i="45" s="1"/>
  <c r="C177" i="54" l="1"/>
  <c r="B177" i="54"/>
  <c r="A178" i="54"/>
  <c r="L27" i="47"/>
  <c r="B221" i="52"/>
  <c r="D221" i="52"/>
  <c r="C221" i="52"/>
  <c r="A224" i="2"/>
  <c r="B223" i="2"/>
  <c r="C223" i="2"/>
  <c r="A222" i="52"/>
  <c r="A15" i="35"/>
  <c r="AD14" i="35" s="1"/>
  <c r="A15" i="42"/>
  <c r="B14" i="42"/>
  <c r="B14" i="35"/>
  <c r="C177" i="53"/>
  <c r="A178" i="53"/>
  <c r="B177" i="53"/>
  <c r="AD31" i="31"/>
  <c r="AD31" i="45" s="1"/>
  <c r="E330" i="52" s="1"/>
  <c r="AD30" i="31"/>
  <c r="K36" i="45"/>
  <c r="L11" i="47" s="1"/>
  <c r="AD36" i="31"/>
  <c r="AC29" i="31"/>
  <c r="AC29" i="45" s="1"/>
  <c r="T29" i="31"/>
  <c r="T29" i="45" s="1"/>
  <c r="K29" i="31"/>
  <c r="K29" i="45" s="1"/>
  <c r="AC28" i="31"/>
  <c r="AC28" i="45" s="1"/>
  <c r="T28" i="31"/>
  <c r="T28" i="45" s="1"/>
  <c r="K28" i="31"/>
  <c r="K28" i="45" s="1"/>
  <c r="AC27" i="31"/>
  <c r="AC27" i="45" s="1"/>
  <c r="T27" i="31"/>
  <c r="T27" i="45" s="1"/>
  <c r="K27" i="31"/>
  <c r="K27" i="45" s="1"/>
  <c r="AC26" i="31"/>
  <c r="AC26" i="45" s="1"/>
  <c r="T26" i="31"/>
  <c r="T26" i="45" s="1"/>
  <c r="K26" i="31"/>
  <c r="K26" i="45" s="1"/>
  <c r="A179" i="54" l="1"/>
  <c r="B178" i="54"/>
  <c r="C178" i="54"/>
  <c r="C222" i="52"/>
  <c r="B222" i="52"/>
  <c r="D222" i="52"/>
  <c r="B15" i="35"/>
  <c r="B15" i="42"/>
  <c r="C224" i="2"/>
  <c r="A225" i="2"/>
  <c r="B224" i="2"/>
  <c r="A223" i="52"/>
  <c r="A16" i="35"/>
  <c r="A16" i="42"/>
  <c r="A179" i="53"/>
  <c r="B178" i="53"/>
  <c r="C178" i="53"/>
  <c r="AD27" i="31"/>
  <c r="AD27" i="45" s="1"/>
  <c r="E326" i="52" s="1"/>
  <c r="AD29" i="31"/>
  <c r="AD29" i="45" s="1"/>
  <c r="E328" i="52" s="1"/>
  <c r="AD26" i="31"/>
  <c r="AD36" i="45"/>
  <c r="AC36" i="45" s="1"/>
  <c r="L13" i="47" s="1"/>
  <c r="AD39" i="31"/>
  <c r="AD39" i="45" s="1"/>
  <c r="AD38" i="31"/>
  <c r="AC25" i="31"/>
  <c r="AC25" i="45" s="1"/>
  <c r="T25" i="31"/>
  <c r="T25" i="45" s="1"/>
  <c r="K25" i="31"/>
  <c r="K25" i="45" s="1"/>
  <c r="AC24" i="31"/>
  <c r="AC24" i="45" s="1"/>
  <c r="T24" i="31"/>
  <c r="T24" i="45" s="1"/>
  <c r="K24" i="31"/>
  <c r="K24" i="45" s="1"/>
  <c r="AC23" i="31"/>
  <c r="AC23" i="45" s="1"/>
  <c r="T23" i="31"/>
  <c r="T23" i="45" s="1"/>
  <c r="K23" i="31"/>
  <c r="K23" i="45" s="1"/>
  <c r="AC22" i="31"/>
  <c r="AC22" i="45" s="1"/>
  <c r="T22" i="31"/>
  <c r="T22" i="45" s="1"/>
  <c r="K22" i="31"/>
  <c r="K22" i="45" s="1"/>
  <c r="AC21" i="31"/>
  <c r="AC21" i="45" s="1"/>
  <c r="T21" i="31"/>
  <c r="T21" i="45" s="1"/>
  <c r="K21" i="31"/>
  <c r="K21" i="45" s="1"/>
  <c r="AC20" i="31"/>
  <c r="AC20" i="45" s="1"/>
  <c r="T20" i="31"/>
  <c r="T20" i="45" s="1"/>
  <c r="K20" i="31"/>
  <c r="K20" i="45" s="1"/>
  <c r="AC19" i="31"/>
  <c r="AC19" i="45" s="1"/>
  <c r="T19" i="31"/>
  <c r="T19" i="45" s="1"/>
  <c r="K19" i="31"/>
  <c r="K19" i="45" s="1"/>
  <c r="AC18" i="31"/>
  <c r="AC18" i="45" s="1"/>
  <c r="T18" i="31"/>
  <c r="T18" i="45" s="1"/>
  <c r="K18" i="31"/>
  <c r="K18" i="45" s="1"/>
  <c r="AC17" i="31"/>
  <c r="AC17" i="45" s="1"/>
  <c r="T17" i="31"/>
  <c r="T17" i="45" s="1"/>
  <c r="K17" i="31"/>
  <c r="K17" i="45" s="1"/>
  <c r="AC16" i="31"/>
  <c r="AC16" i="45" s="1"/>
  <c r="T16" i="31"/>
  <c r="T16" i="45" s="1"/>
  <c r="K16" i="31"/>
  <c r="K16" i="45" s="1"/>
  <c r="AC15" i="31"/>
  <c r="AC15" i="45" s="1"/>
  <c r="T15" i="31"/>
  <c r="T15" i="45" s="1"/>
  <c r="K15" i="31"/>
  <c r="K15" i="45" s="1"/>
  <c r="C179" i="54" l="1"/>
  <c r="A180" i="54"/>
  <c r="B179" i="54"/>
  <c r="C223" i="52"/>
  <c r="D223" i="52"/>
  <c r="B223" i="52"/>
  <c r="A226" i="2"/>
  <c r="B225" i="2"/>
  <c r="C225" i="2"/>
  <c r="A224" i="52"/>
  <c r="A17" i="35"/>
  <c r="AD16" i="35" s="1"/>
  <c r="A17" i="42"/>
  <c r="B16" i="42"/>
  <c r="B16" i="35"/>
  <c r="C179" i="53"/>
  <c r="A180" i="53"/>
  <c r="B179" i="53"/>
  <c r="AD25" i="31"/>
  <c r="AD25" i="45" s="1"/>
  <c r="E324" i="52" s="1"/>
  <c r="AD23" i="31"/>
  <c r="AD23" i="45" s="1"/>
  <c r="E322" i="52" s="1"/>
  <c r="AD22" i="31"/>
  <c r="AD21" i="31"/>
  <c r="AD21" i="45" s="1"/>
  <c r="E320" i="52" s="1"/>
  <c r="AD20" i="31"/>
  <c r="AD19" i="31"/>
  <c r="AD19" i="45" s="1"/>
  <c r="E318" i="52" s="1"/>
  <c r="AD17" i="31"/>
  <c r="AD17" i="45" s="1"/>
  <c r="E316" i="52" s="1"/>
  <c r="AD16" i="31"/>
  <c r="AD15" i="31"/>
  <c r="AD15" i="45" s="1"/>
  <c r="E314" i="52" s="1"/>
  <c r="L7" i="47"/>
  <c r="AD38" i="45"/>
  <c r="L63" i="55" s="1"/>
  <c r="AC14" i="31"/>
  <c r="AC14" i="45" s="1"/>
  <c r="T14" i="31"/>
  <c r="T14" i="45" s="1"/>
  <c r="K14" i="31"/>
  <c r="K14" i="45" s="1"/>
  <c r="AC13" i="31"/>
  <c r="AC13" i="45" s="1"/>
  <c r="T13" i="31"/>
  <c r="T13" i="45" s="1"/>
  <c r="K13" i="31"/>
  <c r="K13" i="45" s="1"/>
  <c r="AC12" i="31"/>
  <c r="AC12" i="45" s="1"/>
  <c r="T12" i="31"/>
  <c r="T12" i="45" s="1"/>
  <c r="K12" i="31"/>
  <c r="K12" i="45" s="1"/>
  <c r="AC11" i="31"/>
  <c r="AC11" i="45" s="1"/>
  <c r="T11" i="31"/>
  <c r="T11" i="45" s="1"/>
  <c r="K11" i="31"/>
  <c r="K11" i="45" s="1"/>
  <c r="AC10" i="31"/>
  <c r="AC10" i="45" s="1"/>
  <c r="T10" i="31"/>
  <c r="T10" i="45" s="1"/>
  <c r="K10" i="31"/>
  <c r="K10" i="45" s="1"/>
  <c r="AC9" i="31"/>
  <c r="AC9" i="45" s="1"/>
  <c r="T9" i="31"/>
  <c r="T9" i="45" s="1"/>
  <c r="K9" i="31"/>
  <c r="K9" i="45" s="1"/>
  <c r="AC8" i="31"/>
  <c r="AC8" i="45" s="1"/>
  <c r="T8" i="31"/>
  <c r="T8" i="45" s="1"/>
  <c r="K8" i="31"/>
  <c r="K8" i="45" s="1"/>
  <c r="AC7" i="31"/>
  <c r="AC7" i="45" s="1"/>
  <c r="T7" i="31"/>
  <c r="T7" i="45" s="1"/>
  <c r="K7" i="31"/>
  <c r="K7" i="45" s="1"/>
  <c r="AC6" i="31"/>
  <c r="AC6" i="45" s="1"/>
  <c r="T6" i="31"/>
  <c r="T6" i="45" s="1"/>
  <c r="K6" i="31"/>
  <c r="K6" i="45" s="1"/>
  <c r="AC5" i="31"/>
  <c r="AC5" i="45" s="1"/>
  <c r="T5" i="31"/>
  <c r="T5" i="45" s="1"/>
  <c r="K5" i="31"/>
  <c r="K5" i="45" s="1"/>
  <c r="L1" i="31"/>
  <c r="C38" i="30"/>
  <c r="AB36" i="30"/>
  <c r="AB36" i="44" s="1"/>
  <c r="AA36" i="30"/>
  <c r="AA36" i="44" s="1"/>
  <c r="Z36" i="30"/>
  <c r="Z36" i="44" s="1"/>
  <c r="Y36" i="30"/>
  <c r="Y36" i="44" s="1"/>
  <c r="X36" i="30"/>
  <c r="X36" i="44" s="1"/>
  <c r="W36" i="30"/>
  <c r="W36" i="44" s="1"/>
  <c r="V36" i="30"/>
  <c r="V36" i="44" s="1"/>
  <c r="U36" i="30"/>
  <c r="U36" i="44" s="1"/>
  <c r="S36" i="30"/>
  <c r="S36" i="44" s="1"/>
  <c r="R36" i="30"/>
  <c r="R36" i="44" s="1"/>
  <c r="Q36" i="30"/>
  <c r="Q36" i="44" s="1"/>
  <c r="P36" i="30"/>
  <c r="P36" i="44" s="1"/>
  <c r="O36" i="30"/>
  <c r="O36" i="44" s="1"/>
  <c r="N36" i="30"/>
  <c r="N36" i="44" s="1"/>
  <c r="M36" i="30"/>
  <c r="M36" i="44" s="1"/>
  <c r="L36" i="30"/>
  <c r="L36" i="44" s="1"/>
  <c r="J36" i="30"/>
  <c r="J36" i="44" s="1"/>
  <c r="K29" i="47" s="1"/>
  <c r="I36" i="30"/>
  <c r="I36" i="44" s="1"/>
  <c r="H36" i="30"/>
  <c r="H36" i="44" s="1"/>
  <c r="K30" i="47" s="1"/>
  <c r="G36" i="30"/>
  <c r="G36" i="44" s="1"/>
  <c r="F36" i="30"/>
  <c r="F36" i="44" s="1"/>
  <c r="K20" i="47" s="1"/>
  <c r="E36" i="30"/>
  <c r="E36" i="44" s="1"/>
  <c r="D36" i="30"/>
  <c r="D36" i="44" s="1"/>
  <c r="C36" i="30"/>
  <c r="AC35" i="30"/>
  <c r="AC35" i="44" s="1"/>
  <c r="T35" i="30"/>
  <c r="T35" i="44" s="1"/>
  <c r="K35" i="30"/>
  <c r="K35" i="44" s="1"/>
  <c r="AC34" i="30"/>
  <c r="AC34" i="44" s="1"/>
  <c r="T34" i="30"/>
  <c r="T34" i="44" s="1"/>
  <c r="K34" i="30"/>
  <c r="K34" i="44" s="1"/>
  <c r="AC33" i="30"/>
  <c r="AC33" i="44" s="1"/>
  <c r="T33" i="30"/>
  <c r="T33" i="44" s="1"/>
  <c r="K33" i="30"/>
  <c r="K33" i="44" s="1"/>
  <c r="AC32" i="30"/>
  <c r="AC32" i="44" s="1"/>
  <c r="T32" i="30"/>
  <c r="T32" i="44" s="1"/>
  <c r="K32" i="30"/>
  <c r="K32" i="44" s="1"/>
  <c r="A181" i="54" l="1"/>
  <c r="B180" i="54"/>
  <c r="C180" i="54"/>
  <c r="K19" i="47"/>
  <c r="K31" i="47" s="1"/>
  <c r="T36" i="30"/>
  <c r="T36" i="44" s="1"/>
  <c r="K12" i="47" s="1"/>
  <c r="C224" i="52"/>
  <c r="B224" i="52"/>
  <c r="D224" i="52"/>
  <c r="B17" i="42"/>
  <c r="B17" i="35"/>
  <c r="C226" i="2"/>
  <c r="A227" i="2"/>
  <c r="B226" i="2"/>
  <c r="A225" i="52"/>
  <c r="A18" i="42"/>
  <c r="A18" i="35"/>
  <c r="A181" i="53"/>
  <c r="B180" i="53"/>
  <c r="C180" i="53"/>
  <c r="AD14" i="31"/>
  <c r="AD12" i="31"/>
  <c r="AD13" i="31"/>
  <c r="AD13" i="45" s="1"/>
  <c r="E312" i="52" s="1"/>
  <c r="AD11" i="31"/>
  <c r="AD11" i="45" s="1"/>
  <c r="E310" i="52" s="1"/>
  <c r="AD10" i="31"/>
  <c r="AD9" i="31"/>
  <c r="AD9" i="45" s="1"/>
  <c r="E308" i="52" s="1"/>
  <c r="AD8" i="31"/>
  <c r="AD7" i="31"/>
  <c r="AD7" i="45" s="1"/>
  <c r="E306" i="52" s="1"/>
  <c r="AD5" i="31"/>
  <c r="AD5" i="45" s="1"/>
  <c r="E304" i="52" s="1"/>
  <c r="AD6" i="31"/>
  <c r="L6" i="47"/>
  <c r="AD34" i="30"/>
  <c r="AD34" i="44" s="1"/>
  <c r="E302" i="52" s="1"/>
  <c r="AD33" i="30"/>
  <c r="AD32" i="30"/>
  <c r="AD32" i="44" s="1"/>
  <c r="E300" i="52" s="1"/>
  <c r="K18" i="47"/>
  <c r="K25" i="47"/>
  <c r="K21" i="47"/>
  <c r="K26" i="47"/>
  <c r="AD35" i="30"/>
  <c r="AD35" i="44" s="1"/>
  <c r="E303" i="52" s="1"/>
  <c r="C36" i="44"/>
  <c r="K24" i="47" s="1"/>
  <c r="K36" i="30"/>
  <c r="K28" i="47"/>
  <c r="K27" i="47" s="1"/>
  <c r="AC31" i="30"/>
  <c r="AC31" i="44" s="1"/>
  <c r="T31" i="30"/>
  <c r="T31" i="44" s="1"/>
  <c r="K31" i="30"/>
  <c r="K31" i="44" s="1"/>
  <c r="AC30" i="30"/>
  <c r="AC30" i="44" s="1"/>
  <c r="T30" i="30"/>
  <c r="T30" i="44" s="1"/>
  <c r="K30" i="30"/>
  <c r="K30" i="44" s="1"/>
  <c r="AC29" i="30"/>
  <c r="AC29" i="44" s="1"/>
  <c r="T29" i="30"/>
  <c r="T29" i="44" s="1"/>
  <c r="K29" i="30"/>
  <c r="K29" i="44" s="1"/>
  <c r="AC28" i="30"/>
  <c r="AC28" i="44" s="1"/>
  <c r="T28" i="30"/>
  <c r="T28" i="44" s="1"/>
  <c r="K28" i="30"/>
  <c r="K28" i="44" s="1"/>
  <c r="AC27" i="30"/>
  <c r="AC27" i="44" s="1"/>
  <c r="T27" i="30"/>
  <c r="T27" i="44" s="1"/>
  <c r="K27" i="30"/>
  <c r="K27" i="44" s="1"/>
  <c r="C181" i="54" l="1"/>
  <c r="B181" i="54"/>
  <c r="A182" i="54"/>
  <c r="D225" i="52"/>
  <c r="B225" i="52"/>
  <c r="C225" i="52"/>
  <c r="A228" i="2"/>
  <c r="B227" i="2"/>
  <c r="C227" i="2"/>
  <c r="A226" i="52"/>
  <c r="A19" i="35"/>
  <c r="AD18" i="35" s="1"/>
  <c r="A19" i="42"/>
  <c r="B18" i="35"/>
  <c r="B18" i="42"/>
  <c r="C181" i="53"/>
  <c r="A182" i="53"/>
  <c r="B181" i="53"/>
  <c r="K23" i="47"/>
  <c r="AD31" i="30"/>
  <c r="AD30" i="30"/>
  <c r="AD30" i="44" s="1"/>
  <c r="E298" i="52" s="1"/>
  <c r="AD29" i="30"/>
  <c r="AD27" i="30"/>
  <c r="AD28" i="30"/>
  <c r="AD28" i="44" s="1"/>
  <c r="E296" i="52" s="1"/>
  <c r="K17" i="47"/>
  <c r="K16" i="47" s="1"/>
  <c r="K36" i="44"/>
  <c r="K11" i="47" s="1"/>
  <c r="AC26" i="30"/>
  <c r="AC26" i="44" s="1"/>
  <c r="T26" i="30"/>
  <c r="T26" i="44" s="1"/>
  <c r="K26" i="30"/>
  <c r="K26" i="44" s="1"/>
  <c r="AC25" i="30"/>
  <c r="AC25" i="44" s="1"/>
  <c r="T25" i="30"/>
  <c r="T25" i="44" s="1"/>
  <c r="K25" i="30"/>
  <c r="K25" i="44" s="1"/>
  <c r="AC24" i="30"/>
  <c r="AC24" i="44" s="1"/>
  <c r="T24" i="30"/>
  <c r="T24" i="44" s="1"/>
  <c r="K24" i="30"/>
  <c r="K24" i="44" s="1"/>
  <c r="AC23" i="30"/>
  <c r="AC23" i="44" s="1"/>
  <c r="T23" i="30"/>
  <c r="T23" i="44" s="1"/>
  <c r="K23" i="30"/>
  <c r="K23" i="44" s="1"/>
  <c r="AC22" i="30"/>
  <c r="AC22" i="44" s="1"/>
  <c r="T22" i="30"/>
  <c r="T22" i="44" s="1"/>
  <c r="K22" i="30"/>
  <c r="K22" i="44" s="1"/>
  <c r="A183" i="54" l="1"/>
  <c r="B182" i="54"/>
  <c r="C182" i="54"/>
  <c r="C226" i="52"/>
  <c r="B226" i="52"/>
  <c r="D226" i="52"/>
  <c r="B19" i="35"/>
  <c r="B19" i="42"/>
  <c r="C228" i="2"/>
  <c r="A229" i="2"/>
  <c r="B228" i="2"/>
  <c r="A227" i="52"/>
  <c r="A20" i="42"/>
  <c r="A20" i="35"/>
  <c r="A183" i="53"/>
  <c r="B182" i="53"/>
  <c r="C182" i="53"/>
  <c r="AD24" i="30"/>
  <c r="AD24" i="44" s="1"/>
  <c r="E292" i="52" s="1"/>
  <c r="AD25" i="30"/>
  <c r="AD26" i="30"/>
  <c r="AD26" i="44" s="1"/>
  <c r="E294" i="52" s="1"/>
  <c r="AD23" i="30"/>
  <c r="AD22" i="30"/>
  <c r="AD22" i="44" s="1"/>
  <c r="E290" i="52" s="1"/>
  <c r="AC36" i="30"/>
  <c r="AC21" i="30"/>
  <c r="AC21" i="44" s="1"/>
  <c r="T21" i="30"/>
  <c r="T21" i="44" s="1"/>
  <c r="K21" i="30"/>
  <c r="K21" i="44" s="1"/>
  <c r="AC36" i="44" l="1"/>
  <c r="K13" i="47" s="1"/>
  <c r="AD36" i="30"/>
  <c r="C183" i="54"/>
  <c r="A184" i="54"/>
  <c r="B183" i="54"/>
  <c r="B20" i="35"/>
  <c r="B20" i="42"/>
  <c r="B227" i="52"/>
  <c r="C227" i="52"/>
  <c r="D227" i="52"/>
  <c r="A230" i="2"/>
  <c r="B229" i="2"/>
  <c r="C229" i="2"/>
  <c r="A21" i="42"/>
  <c r="A228" i="52"/>
  <c r="A21" i="35"/>
  <c r="AD20" i="35" s="1"/>
  <c r="C183" i="53"/>
  <c r="A184" i="53"/>
  <c r="B183" i="53"/>
  <c r="AD21" i="30"/>
  <c r="AC20" i="30"/>
  <c r="AC20" i="44" s="1"/>
  <c r="T20" i="30"/>
  <c r="T20" i="44" s="1"/>
  <c r="K20" i="30"/>
  <c r="K20" i="44" s="1"/>
  <c r="AC19" i="30"/>
  <c r="AC19" i="44" s="1"/>
  <c r="T19" i="30"/>
  <c r="T19" i="44" s="1"/>
  <c r="K19" i="30"/>
  <c r="K19" i="44" s="1"/>
  <c r="A185" i="54" l="1"/>
  <c r="B184" i="54"/>
  <c r="C184" i="54"/>
  <c r="AD36" i="44"/>
  <c r="AD38" i="30"/>
  <c r="AD39" i="30"/>
  <c r="AD39" i="44" s="1"/>
  <c r="C228" i="52"/>
  <c r="D228" i="52"/>
  <c r="B228" i="52"/>
  <c r="B21" i="42"/>
  <c r="B21" i="35"/>
  <c r="C230" i="2"/>
  <c r="A231" i="2"/>
  <c r="B230" i="2"/>
  <c r="A22" i="42"/>
  <c r="A229" i="52"/>
  <c r="A22" i="35"/>
  <c r="A185" i="53"/>
  <c r="B184" i="53"/>
  <c r="C184" i="53"/>
  <c r="AD20" i="30"/>
  <c r="AD20" i="44" s="1"/>
  <c r="E288" i="52" s="1"/>
  <c r="AD19" i="30"/>
  <c r="AC18" i="30"/>
  <c r="AC18" i="44" s="1"/>
  <c r="T18" i="30"/>
  <c r="T18" i="44" s="1"/>
  <c r="K18" i="30"/>
  <c r="K18" i="44" s="1"/>
  <c r="AC17" i="30"/>
  <c r="AC17" i="44" s="1"/>
  <c r="T17" i="30"/>
  <c r="T17" i="44" s="1"/>
  <c r="K17" i="30"/>
  <c r="K17" i="44" s="1"/>
  <c r="AC16" i="30"/>
  <c r="AC16" i="44" s="1"/>
  <c r="T16" i="30"/>
  <c r="T16" i="44" s="1"/>
  <c r="K16" i="30"/>
  <c r="K16" i="44" s="1"/>
  <c r="AC15" i="30"/>
  <c r="AC15" i="44" s="1"/>
  <c r="T15" i="30"/>
  <c r="T15" i="44" s="1"/>
  <c r="K15" i="30"/>
  <c r="K15" i="44" s="1"/>
  <c r="AC14" i="30"/>
  <c r="AC14" i="44" s="1"/>
  <c r="T14" i="30"/>
  <c r="T14" i="44" s="1"/>
  <c r="K14" i="30"/>
  <c r="K14" i="44" s="1"/>
  <c r="AC13" i="30"/>
  <c r="AC13" i="44" s="1"/>
  <c r="T13" i="30"/>
  <c r="T13" i="44" s="1"/>
  <c r="K13" i="30"/>
  <c r="K13" i="44" s="1"/>
  <c r="AC12" i="30"/>
  <c r="AC12" i="44" s="1"/>
  <c r="T12" i="30"/>
  <c r="T12" i="44" s="1"/>
  <c r="K12" i="30"/>
  <c r="K12" i="44" s="1"/>
  <c r="AC11" i="30"/>
  <c r="AC11" i="44" s="1"/>
  <c r="T11" i="30"/>
  <c r="T11" i="44" s="1"/>
  <c r="K11" i="30"/>
  <c r="K11" i="44" s="1"/>
  <c r="K7" i="47" l="1"/>
  <c r="AD38" i="44"/>
  <c r="C185" i="54"/>
  <c r="B185" i="54"/>
  <c r="A186" i="54"/>
  <c r="AD16" i="30"/>
  <c r="AD16" i="44" s="1"/>
  <c r="E284" i="52" s="1"/>
  <c r="A232" i="2"/>
  <c r="B231" i="2"/>
  <c r="C231" i="2"/>
  <c r="A23" i="42"/>
  <c r="A230" i="52"/>
  <c r="A23" i="35"/>
  <c r="AD22" i="35" s="1"/>
  <c r="B229" i="52"/>
  <c r="D229" i="52"/>
  <c r="C229" i="52"/>
  <c r="B22" i="35"/>
  <c r="B22" i="42"/>
  <c r="C185" i="53"/>
  <c r="A186" i="53"/>
  <c r="B185" i="53"/>
  <c r="AD12" i="30"/>
  <c r="AD12" i="44" s="1"/>
  <c r="E280" i="52" s="1"/>
  <c r="AD18" i="30"/>
  <c r="AD18" i="44" s="1"/>
  <c r="E286" i="52" s="1"/>
  <c r="AD17" i="30"/>
  <c r="AD15" i="30"/>
  <c r="AD14" i="30"/>
  <c r="AD14" i="44" s="1"/>
  <c r="E282" i="52" s="1"/>
  <c r="AD13" i="30"/>
  <c r="AD11" i="30"/>
  <c r="AC10" i="30"/>
  <c r="AC10" i="44" s="1"/>
  <c r="T10" i="30"/>
  <c r="T10" i="44" s="1"/>
  <c r="K10" i="30"/>
  <c r="K10" i="44" s="1"/>
  <c r="AC9" i="30"/>
  <c r="AC9" i="44" s="1"/>
  <c r="T9" i="30"/>
  <c r="T9" i="44" s="1"/>
  <c r="K9" i="30"/>
  <c r="K9" i="44" s="1"/>
  <c r="AC8" i="30"/>
  <c r="AC8" i="44" s="1"/>
  <c r="T8" i="30"/>
  <c r="T8" i="44" s="1"/>
  <c r="K8" i="30"/>
  <c r="K8" i="44" s="1"/>
  <c r="AC7" i="30"/>
  <c r="AC7" i="44" s="1"/>
  <c r="T7" i="30"/>
  <c r="T7" i="44" s="1"/>
  <c r="K7" i="30"/>
  <c r="K7" i="44" s="1"/>
  <c r="AC6" i="30"/>
  <c r="AC6" i="44" s="1"/>
  <c r="T6" i="30"/>
  <c r="T6" i="44" s="1"/>
  <c r="K6" i="30"/>
  <c r="K6" i="44" s="1"/>
  <c r="AC5" i="30"/>
  <c r="AC5" i="44" s="1"/>
  <c r="T5" i="30"/>
  <c r="T5" i="44" s="1"/>
  <c r="K5" i="30"/>
  <c r="K5" i="44" s="1"/>
  <c r="L1" i="30"/>
  <c r="C38" i="29"/>
  <c r="AB36" i="29"/>
  <c r="AB36" i="43" s="1"/>
  <c r="AA36" i="29"/>
  <c r="AA36" i="43" s="1"/>
  <c r="Z36" i="29"/>
  <c r="Z36" i="43" s="1"/>
  <c r="Y36" i="29"/>
  <c r="Y36" i="43" s="1"/>
  <c r="X36" i="29"/>
  <c r="X36" i="43" s="1"/>
  <c r="W36" i="29"/>
  <c r="W36" i="43" s="1"/>
  <c r="V36" i="29"/>
  <c r="V36" i="43" s="1"/>
  <c r="U36" i="29"/>
  <c r="U36" i="43" s="1"/>
  <c r="S36" i="29"/>
  <c r="S36" i="43" s="1"/>
  <c r="R36" i="29"/>
  <c r="R36" i="43" s="1"/>
  <c r="Q36" i="29"/>
  <c r="Q36" i="43" s="1"/>
  <c r="P36" i="29"/>
  <c r="P36" i="43" s="1"/>
  <c r="O36" i="29"/>
  <c r="O36" i="43" s="1"/>
  <c r="N36" i="29"/>
  <c r="N36" i="43" s="1"/>
  <c r="M36" i="29"/>
  <c r="M36" i="43" s="1"/>
  <c r="L36" i="29"/>
  <c r="L36" i="43" s="1"/>
  <c r="J36" i="29"/>
  <c r="J36" i="43" s="1"/>
  <c r="I36" i="29"/>
  <c r="I36" i="43" s="1"/>
  <c r="H36" i="29"/>
  <c r="H36" i="43" s="1"/>
  <c r="G36" i="29"/>
  <c r="G36" i="43" s="1"/>
  <c r="F36" i="29"/>
  <c r="F36" i="43" s="1"/>
  <c r="E36" i="29"/>
  <c r="E36" i="43" s="1"/>
  <c r="D36" i="29"/>
  <c r="D36" i="43" s="1"/>
  <c r="C36" i="29"/>
  <c r="C36" i="43" s="1"/>
  <c r="AC35" i="29"/>
  <c r="AC35" i="43" s="1"/>
  <c r="T35" i="29"/>
  <c r="T35" i="43" s="1"/>
  <c r="K35" i="29"/>
  <c r="K35" i="43" s="1"/>
  <c r="AC34" i="29"/>
  <c r="AC34" i="43" s="1"/>
  <c r="T34" i="29"/>
  <c r="T34" i="43" s="1"/>
  <c r="K34" i="29"/>
  <c r="K34" i="43" s="1"/>
  <c r="AC33" i="29"/>
  <c r="AC33" i="43" s="1"/>
  <c r="T33" i="29"/>
  <c r="T33" i="43" s="1"/>
  <c r="K33" i="29"/>
  <c r="K33" i="43" s="1"/>
  <c r="AC32" i="29"/>
  <c r="AC32" i="43" s="1"/>
  <c r="T32" i="29"/>
  <c r="T32" i="43" s="1"/>
  <c r="K32" i="29"/>
  <c r="K32" i="43" s="1"/>
  <c r="AC31" i="29"/>
  <c r="AC31" i="43" s="1"/>
  <c r="T31" i="29"/>
  <c r="T31" i="43" s="1"/>
  <c r="K31" i="29"/>
  <c r="K31" i="43" s="1"/>
  <c r="AC30" i="29"/>
  <c r="AC30" i="43" s="1"/>
  <c r="T30" i="29"/>
  <c r="T30" i="43" s="1"/>
  <c r="K30" i="29"/>
  <c r="K30" i="43" s="1"/>
  <c r="AC29" i="29"/>
  <c r="AC29" i="43" s="1"/>
  <c r="T29" i="29"/>
  <c r="T29" i="43" s="1"/>
  <c r="K29" i="29"/>
  <c r="K29" i="43" s="1"/>
  <c r="AC28" i="29"/>
  <c r="AC28" i="43" s="1"/>
  <c r="T28" i="29"/>
  <c r="T28" i="43" s="1"/>
  <c r="K28" i="29"/>
  <c r="K28" i="43" s="1"/>
  <c r="AC27" i="29"/>
  <c r="AC27" i="43" s="1"/>
  <c r="T27" i="29"/>
  <c r="T27" i="43" s="1"/>
  <c r="K27" i="29"/>
  <c r="K27" i="43" s="1"/>
  <c r="AC26" i="29"/>
  <c r="AC26" i="43" s="1"/>
  <c r="T26" i="29"/>
  <c r="T26" i="43" s="1"/>
  <c r="K26" i="29"/>
  <c r="K26" i="43" s="1"/>
  <c r="AC25" i="29"/>
  <c r="AC25" i="43" s="1"/>
  <c r="T25" i="29"/>
  <c r="T25" i="43" s="1"/>
  <c r="K25" i="29"/>
  <c r="K25" i="43" s="1"/>
  <c r="AC24" i="29"/>
  <c r="AC24" i="43" s="1"/>
  <c r="T24" i="29"/>
  <c r="T24" i="43" s="1"/>
  <c r="K24" i="29"/>
  <c r="K24" i="43" s="1"/>
  <c r="AC23" i="29"/>
  <c r="AC23" i="43" s="1"/>
  <c r="T23" i="29"/>
  <c r="T23" i="43" s="1"/>
  <c r="K23" i="29"/>
  <c r="K23" i="43" s="1"/>
  <c r="AC22" i="29"/>
  <c r="AC22" i="43" s="1"/>
  <c r="T22" i="29"/>
  <c r="T22" i="43" s="1"/>
  <c r="K22" i="29"/>
  <c r="K22" i="43" s="1"/>
  <c r="AC21" i="29"/>
  <c r="AC21" i="43" s="1"/>
  <c r="T21" i="29"/>
  <c r="T21" i="43" s="1"/>
  <c r="K21" i="29"/>
  <c r="K21" i="43" s="1"/>
  <c r="AC20" i="29"/>
  <c r="AC20" i="43" s="1"/>
  <c r="T20" i="29"/>
  <c r="T20" i="43" s="1"/>
  <c r="K20" i="29"/>
  <c r="K20" i="43" s="1"/>
  <c r="AC19" i="29"/>
  <c r="AC19" i="43" s="1"/>
  <c r="T19" i="29"/>
  <c r="T19" i="43" s="1"/>
  <c r="K19" i="29"/>
  <c r="K19" i="43" s="1"/>
  <c r="AC18" i="29"/>
  <c r="AC18" i="43" s="1"/>
  <c r="T18" i="29"/>
  <c r="T18" i="43" s="1"/>
  <c r="K18" i="29"/>
  <c r="K18" i="43" s="1"/>
  <c r="AC17" i="29"/>
  <c r="AC17" i="43" s="1"/>
  <c r="T17" i="29"/>
  <c r="T17" i="43" s="1"/>
  <c r="K17" i="29"/>
  <c r="K17" i="43" s="1"/>
  <c r="AC16" i="29"/>
  <c r="AC16" i="43" s="1"/>
  <c r="T16" i="29"/>
  <c r="T16" i="43" s="1"/>
  <c r="K16" i="29"/>
  <c r="K16" i="43" s="1"/>
  <c r="AC15" i="29"/>
  <c r="AC15" i="43" s="1"/>
  <c r="T15" i="29"/>
  <c r="T15" i="43" s="1"/>
  <c r="K15" i="29"/>
  <c r="K15" i="43" s="1"/>
  <c r="AC14" i="29"/>
  <c r="AC14" i="43" s="1"/>
  <c r="T14" i="29"/>
  <c r="T14" i="43" s="1"/>
  <c r="K14" i="29"/>
  <c r="K14" i="43" s="1"/>
  <c r="AC13" i="29"/>
  <c r="AC13" i="43" s="1"/>
  <c r="T13" i="29"/>
  <c r="T13" i="43" s="1"/>
  <c r="K13" i="29"/>
  <c r="K13" i="43" s="1"/>
  <c r="AC12" i="29"/>
  <c r="AC12" i="43" s="1"/>
  <c r="T12" i="29"/>
  <c r="T12" i="43" s="1"/>
  <c r="K12" i="29"/>
  <c r="K12" i="43" s="1"/>
  <c r="AC11" i="29"/>
  <c r="AC11" i="43" s="1"/>
  <c r="T11" i="29"/>
  <c r="T11" i="43" s="1"/>
  <c r="K11" i="29"/>
  <c r="K11" i="43" s="1"/>
  <c r="AC10" i="29"/>
  <c r="AC10" i="43" s="1"/>
  <c r="T10" i="29"/>
  <c r="T10" i="43" s="1"/>
  <c r="K10" i="29"/>
  <c r="K10" i="43" s="1"/>
  <c r="AC9" i="29"/>
  <c r="AC9" i="43" s="1"/>
  <c r="T9" i="29"/>
  <c r="T9" i="43" s="1"/>
  <c r="K9" i="29"/>
  <c r="K9" i="43" s="1"/>
  <c r="AC8" i="29"/>
  <c r="AC8" i="43" s="1"/>
  <c r="T8" i="29"/>
  <c r="T8" i="43" s="1"/>
  <c r="K8" i="29"/>
  <c r="K8" i="43" s="1"/>
  <c r="AC7" i="29"/>
  <c r="AC7" i="43" s="1"/>
  <c r="T7" i="29"/>
  <c r="T7" i="43" s="1"/>
  <c r="K7" i="29"/>
  <c r="K7" i="43" s="1"/>
  <c r="AC6" i="29"/>
  <c r="AC6" i="43" s="1"/>
  <c r="T6" i="29"/>
  <c r="T6" i="43" s="1"/>
  <c r="K6" i="29"/>
  <c r="K6" i="43" s="1"/>
  <c r="AC5" i="29"/>
  <c r="AC5" i="43" s="1"/>
  <c r="T5" i="29"/>
  <c r="T5" i="43" s="1"/>
  <c r="K5" i="29"/>
  <c r="K5" i="43" s="1"/>
  <c r="L1" i="29"/>
  <c r="C38" i="28"/>
  <c r="AB36" i="28"/>
  <c r="AB36" i="42" s="1"/>
  <c r="AA36" i="28"/>
  <c r="AA36" i="42" s="1"/>
  <c r="Z36" i="28"/>
  <c r="Z36" i="42" s="1"/>
  <c r="Y36" i="28"/>
  <c r="Y36" i="42" s="1"/>
  <c r="X36" i="28"/>
  <c r="X36" i="42" s="1"/>
  <c r="W36" i="28"/>
  <c r="W36" i="42" s="1"/>
  <c r="V36" i="28"/>
  <c r="V36" i="42" s="1"/>
  <c r="U36" i="28"/>
  <c r="U36" i="42" s="1"/>
  <c r="S36" i="28"/>
  <c r="S36" i="42" s="1"/>
  <c r="R36" i="28"/>
  <c r="R36" i="42" s="1"/>
  <c r="Q36" i="28"/>
  <c r="Q36" i="42" s="1"/>
  <c r="P36" i="28"/>
  <c r="P36" i="42" s="1"/>
  <c r="O36" i="28"/>
  <c r="O36" i="42" s="1"/>
  <c r="N36" i="28"/>
  <c r="N36" i="42" s="1"/>
  <c r="M36" i="28"/>
  <c r="M36" i="42" s="1"/>
  <c r="L36" i="28"/>
  <c r="L36" i="42" s="1"/>
  <c r="J36" i="28"/>
  <c r="J36" i="42" s="1"/>
  <c r="I36" i="28"/>
  <c r="I36" i="42" s="1"/>
  <c r="H36" i="28"/>
  <c r="H36" i="42" s="1"/>
  <c r="G36" i="28"/>
  <c r="G36" i="42" s="1"/>
  <c r="F36" i="28"/>
  <c r="F36" i="42" s="1"/>
  <c r="E36" i="28"/>
  <c r="E36" i="42" s="1"/>
  <c r="D36" i="28"/>
  <c r="D36" i="42" s="1"/>
  <c r="C36" i="28"/>
  <c r="C36" i="42" s="1"/>
  <c r="AC35" i="28"/>
  <c r="AC35" i="42" s="1"/>
  <c r="T35" i="28"/>
  <c r="T35" i="42" s="1"/>
  <c r="K35" i="28"/>
  <c r="K35" i="42" s="1"/>
  <c r="AC34" i="28"/>
  <c r="AC34" i="42" s="1"/>
  <c r="T34" i="28"/>
  <c r="T34" i="42" s="1"/>
  <c r="K34" i="28"/>
  <c r="K34" i="42" s="1"/>
  <c r="AC33" i="28"/>
  <c r="AC33" i="42" s="1"/>
  <c r="T33" i="28"/>
  <c r="T33" i="42" s="1"/>
  <c r="K33" i="28"/>
  <c r="K33" i="42" s="1"/>
  <c r="AC32" i="28"/>
  <c r="AC32" i="42" s="1"/>
  <c r="T32" i="28"/>
  <c r="T32" i="42" s="1"/>
  <c r="K32" i="28"/>
  <c r="K32" i="42" s="1"/>
  <c r="J20" i="47" l="1"/>
  <c r="J19" i="47"/>
  <c r="J29" i="47"/>
  <c r="J30" i="47"/>
  <c r="K63" i="55"/>
  <c r="K6" i="47"/>
  <c r="AD35" i="29"/>
  <c r="AD35" i="43" s="1"/>
  <c r="A187" i="54"/>
  <c r="B186" i="54"/>
  <c r="C186" i="54"/>
  <c r="C230" i="52"/>
  <c r="B230" i="52"/>
  <c r="D230" i="52"/>
  <c r="C232" i="2"/>
  <c r="A233" i="2"/>
  <c r="B232" i="2"/>
  <c r="A231" i="52"/>
  <c r="A24" i="42"/>
  <c r="A24" i="35"/>
  <c r="B23" i="35"/>
  <c r="B23" i="42"/>
  <c r="A187" i="53"/>
  <c r="B186" i="53"/>
  <c r="C186" i="53"/>
  <c r="AD5" i="30"/>
  <c r="AD9" i="30"/>
  <c r="AD10" i="30"/>
  <c r="AD10" i="44" s="1"/>
  <c r="E278" i="52" s="1"/>
  <c r="AD8" i="30"/>
  <c r="AD8" i="44" s="1"/>
  <c r="E276" i="52" s="1"/>
  <c r="AD7" i="30"/>
  <c r="AD6" i="30"/>
  <c r="AD6" i="44" s="1"/>
  <c r="E274" i="52" s="1"/>
  <c r="AD34" i="29"/>
  <c r="AD34" i="43" s="1"/>
  <c r="E272" i="52" s="1"/>
  <c r="AD33" i="29"/>
  <c r="AD33" i="43" s="1"/>
  <c r="E271" i="52" s="1"/>
  <c r="AD31" i="29"/>
  <c r="AD32" i="29"/>
  <c r="AD32" i="43" s="1"/>
  <c r="E270" i="52" s="1"/>
  <c r="AD30" i="29"/>
  <c r="AD30" i="43" s="1"/>
  <c r="E268" i="52" s="1"/>
  <c r="AD29" i="29"/>
  <c r="AD28" i="29"/>
  <c r="AD28" i="43" s="1"/>
  <c r="E266" i="52" s="1"/>
  <c r="AD27" i="29"/>
  <c r="AD26" i="29"/>
  <c r="AD26" i="43" s="1"/>
  <c r="E264" i="52" s="1"/>
  <c r="AD25" i="29"/>
  <c r="AD24" i="29"/>
  <c r="AD24" i="43" s="1"/>
  <c r="E262" i="52" s="1"/>
  <c r="AD23" i="29"/>
  <c r="AD22" i="29"/>
  <c r="AD22" i="43" s="1"/>
  <c r="E260" i="52" s="1"/>
  <c r="AD21" i="29"/>
  <c r="AD20" i="29"/>
  <c r="AD20" i="43" s="1"/>
  <c r="E258" i="52" s="1"/>
  <c r="AD19" i="29"/>
  <c r="AD18" i="29"/>
  <c r="AD18" i="43" s="1"/>
  <c r="E256" i="52" s="1"/>
  <c r="AD17" i="29"/>
  <c r="AD16" i="29"/>
  <c r="AD16" i="43" s="1"/>
  <c r="E254" i="52" s="1"/>
  <c r="AD15" i="29"/>
  <c r="AD14" i="29"/>
  <c r="AD14" i="43" s="1"/>
  <c r="E252" i="52" s="1"/>
  <c r="AD13" i="29"/>
  <c r="AD13" i="43" s="1"/>
  <c r="E251" i="52" s="1"/>
  <c r="AD12" i="29"/>
  <c r="AD12" i="43" s="1"/>
  <c r="E250" i="52" s="1"/>
  <c r="AD11" i="29"/>
  <c r="AD10" i="29"/>
  <c r="AD10" i="43" s="1"/>
  <c r="E248" i="52" s="1"/>
  <c r="AD9" i="29"/>
  <c r="AC36" i="29"/>
  <c r="AC36" i="43" s="1"/>
  <c r="J13" i="47" s="1"/>
  <c r="T36" i="29"/>
  <c r="T36" i="43" s="1"/>
  <c r="J12" i="47" s="1"/>
  <c r="J24" i="47"/>
  <c r="AD6" i="29"/>
  <c r="AD6" i="43" s="1"/>
  <c r="E244" i="52" s="1"/>
  <c r="AD8" i="29"/>
  <c r="AD8" i="43" s="1"/>
  <c r="E246" i="52" s="1"/>
  <c r="AD7" i="29"/>
  <c r="AD7" i="43" s="1"/>
  <c r="E245" i="52" s="1"/>
  <c r="J25" i="47"/>
  <c r="J18" i="47"/>
  <c r="J26" i="47"/>
  <c r="J21" i="47"/>
  <c r="J31" i="47"/>
  <c r="AD5" i="29"/>
  <c r="K36" i="29"/>
  <c r="J28" i="47"/>
  <c r="J17" i="47"/>
  <c r="AD35" i="28"/>
  <c r="AD35" i="42" s="1"/>
  <c r="E242" i="52" s="1"/>
  <c r="AD34" i="28"/>
  <c r="AD34" i="42" s="1"/>
  <c r="E241" i="52" s="1"/>
  <c r="AD33" i="28"/>
  <c r="AD33" i="42" s="1"/>
  <c r="E240" i="52" s="1"/>
  <c r="AD32" i="28"/>
  <c r="AC36" i="28"/>
  <c r="AC36" i="42" s="1"/>
  <c r="I13" i="47" s="1"/>
  <c r="I29" i="47"/>
  <c r="I30" i="47"/>
  <c r="I20" i="47"/>
  <c r="I19" i="47"/>
  <c r="I24" i="47"/>
  <c r="T36" i="28"/>
  <c r="T36" i="42" s="1"/>
  <c r="I12" i="47" s="1"/>
  <c r="I17" i="47"/>
  <c r="I28" i="47"/>
  <c r="I26" i="47"/>
  <c r="I21" i="47"/>
  <c r="I25" i="47"/>
  <c r="I18" i="47"/>
  <c r="K36" i="28"/>
  <c r="AC31" i="28"/>
  <c r="AC31" i="42" s="1"/>
  <c r="T31" i="28"/>
  <c r="T31" i="42" s="1"/>
  <c r="K31" i="28"/>
  <c r="K31" i="42" s="1"/>
  <c r="AC30" i="28"/>
  <c r="AC30" i="42" s="1"/>
  <c r="T30" i="28"/>
  <c r="T30" i="42" s="1"/>
  <c r="K30" i="28"/>
  <c r="K30" i="42" s="1"/>
  <c r="AC29" i="28"/>
  <c r="AC29" i="42" s="1"/>
  <c r="T29" i="28"/>
  <c r="T29" i="42" s="1"/>
  <c r="K29" i="28"/>
  <c r="K29" i="42" s="1"/>
  <c r="AC28" i="28"/>
  <c r="AC28" i="42" s="1"/>
  <c r="T28" i="28"/>
  <c r="T28" i="42" s="1"/>
  <c r="K28" i="28"/>
  <c r="K28" i="42" s="1"/>
  <c r="AC27" i="28"/>
  <c r="AC27" i="42" s="1"/>
  <c r="T27" i="28"/>
  <c r="T27" i="42" s="1"/>
  <c r="K27" i="28"/>
  <c r="K27" i="42" s="1"/>
  <c r="AC26" i="28"/>
  <c r="AC26" i="42" s="1"/>
  <c r="T26" i="28"/>
  <c r="T26" i="42" s="1"/>
  <c r="K26" i="28"/>
  <c r="K26" i="42" s="1"/>
  <c r="J27" i="47" l="1"/>
  <c r="I23" i="47"/>
  <c r="C187" i="54"/>
  <c r="A188" i="54"/>
  <c r="B187" i="54"/>
  <c r="B231" i="52"/>
  <c r="C231" i="52"/>
  <c r="D231" i="52"/>
  <c r="A234" i="2"/>
  <c r="A26" i="28" s="1"/>
  <c r="B233" i="2"/>
  <c r="C233" i="2"/>
  <c r="A232" i="52"/>
  <c r="A25" i="42"/>
  <c r="A25" i="35"/>
  <c r="B24" i="35"/>
  <c r="B24" i="42"/>
  <c r="C187" i="53"/>
  <c r="A188" i="53"/>
  <c r="B187" i="53"/>
  <c r="J16" i="47"/>
  <c r="J23" i="47"/>
  <c r="K36" i="43"/>
  <c r="J11" i="47" s="1"/>
  <c r="AD36" i="29"/>
  <c r="AD31" i="28"/>
  <c r="AD31" i="42" s="1"/>
  <c r="E238" i="52" s="1"/>
  <c r="AD30" i="28"/>
  <c r="AD29" i="28"/>
  <c r="AD29" i="42" s="1"/>
  <c r="E236" i="52" s="1"/>
  <c r="AD28" i="28"/>
  <c r="AD27" i="28"/>
  <c r="AD27" i="42" s="1"/>
  <c r="E234" i="52" s="1"/>
  <c r="AD26" i="28"/>
  <c r="I27" i="47"/>
  <c r="I31" i="47"/>
  <c r="I16" i="47"/>
  <c r="K36" i="42"/>
  <c r="I11" i="47" s="1"/>
  <c r="AD36" i="28"/>
  <c r="AC25" i="28"/>
  <c r="AC25" i="42" s="1"/>
  <c r="T25" i="28"/>
  <c r="T25" i="42" s="1"/>
  <c r="K25" i="28"/>
  <c r="K25" i="42" s="1"/>
  <c r="B25" i="28"/>
  <c r="A25" i="28"/>
  <c r="AC24" i="28"/>
  <c r="AC24" i="42" s="1"/>
  <c r="T24" i="28"/>
  <c r="T24" i="42" s="1"/>
  <c r="K24" i="28"/>
  <c r="K24" i="42" s="1"/>
  <c r="B24" i="28"/>
  <c r="A24" i="28"/>
  <c r="AC23" i="28"/>
  <c r="AC23" i="42" s="1"/>
  <c r="T23" i="28"/>
  <c r="T23" i="42" s="1"/>
  <c r="K23" i="28"/>
  <c r="K23" i="42" s="1"/>
  <c r="B23" i="28"/>
  <c r="A23" i="28"/>
  <c r="AC22" i="28"/>
  <c r="AC22" i="42" s="1"/>
  <c r="T22" i="28"/>
  <c r="T22" i="42" s="1"/>
  <c r="K22" i="28"/>
  <c r="K22" i="42" s="1"/>
  <c r="B22" i="28"/>
  <c r="A22" i="28"/>
  <c r="AC21" i="28"/>
  <c r="AC21" i="42" s="1"/>
  <c r="T21" i="28"/>
  <c r="T21" i="42" s="1"/>
  <c r="K21" i="28"/>
  <c r="K21" i="42" s="1"/>
  <c r="B21" i="28"/>
  <c r="A21" i="28"/>
  <c r="AC20" i="28"/>
  <c r="AC20" i="42" s="1"/>
  <c r="T20" i="28"/>
  <c r="T20" i="42" s="1"/>
  <c r="K20" i="28"/>
  <c r="K20" i="42" s="1"/>
  <c r="B20" i="28"/>
  <c r="A20" i="28"/>
  <c r="AC19" i="28"/>
  <c r="AC19" i="42" s="1"/>
  <c r="T19" i="28"/>
  <c r="T19" i="42" s="1"/>
  <c r="K19" i="28"/>
  <c r="K19" i="42" s="1"/>
  <c r="B19" i="28"/>
  <c r="A19" i="28"/>
  <c r="AC18" i="28"/>
  <c r="AC18" i="42" s="1"/>
  <c r="T18" i="28"/>
  <c r="T18" i="42" s="1"/>
  <c r="K18" i="28"/>
  <c r="K18" i="42" s="1"/>
  <c r="A189" i="54" l="1"/>
  <c r="B188" i="54"/>
  <c r="C188" i="54"/>
  <c r="D232" i="52"/>
  <c r="C232" i="52"/>
  <c r="B232" i="52"/>
  <c r="B25" i="35"/>
  <c r="B25" i="42"/>
  <c r="C234" i="2"/>
  <c r="A235" i="2"/>
  <c r="B234" i="2"/>
  <c r="A233" i="52"/>
  <c r="A26" i="35"/>
  <c r="A26" i="42"/>
  <c r="A189" i="53"/>
  <c r="B188" i="53"/>
  <c r="C188" i="53"/>
  <c r="AD36" i="43"/>
  <c r="AD38" i="29"/>
  <c r="AD39" i="29"/>
  <c r="AD39" i="43" s="1"/>
  <c r="AD24" i="28"/>
  <c r="AD24" i="42" s="1"/>
  <c r="E231" i="52" s="1"/>
  <c r="AD23" i="28"/>
  <c r="AD23" i="42" s="1"/>
  <c r="E230" i="52" s="1"/>
  <c r="AD20" i="28"/>
  <c r="AD20" i="42" s="1"/>
  <c r="E227" i="52" s="1"/>
  <c r="AD25" i="28"/>
  <c r="AD25" i="42" s="1"/>
  <c r="E232" i="52" s="1"/>
  <c r="AD22" i="28"/>
  <c r="AD22" i="42" s="1"/>
  <c r="E229" i="52" s="1"/>
  <c r="AD21" i="28"/>
  <c r="AD21" i="42" s="1"/>
  <c r="E228" i="52" s="1"/>
  <c r="AD19" i="28"/>
  <c r="AD19" i="42" s="1"/>
  <c r="E226" i="52" s="1"/>
  <c r="AD18" i="28"/>
  <c r="AD18" i="42" s="1"/>
  <c r="E225" i="52" s="1"/>
  <c r="AD36" i="42"/>
  <c r="AD39" i="28"/>
  <c r="AD39" i="42" s="1"/>
  <c r="AD38" i="28"/>
  <c r="B18" i="28"/>
  <c r="A18" i="28"/>
  <c r="AC17" i="28"/>
  <c r="AC17" i="42" s="1"/>
  <c r="T17" i="28"/>
  <c r="T17" i="42" s="1"/>
  <c r="K17" i="28"/>
  <c r="K17" i="42" s="1"/>
  <c r="B17" i="28"/>
  <c r="A17" i="28"/>
  <c r="AC16" i="28"/>
  <c r="AC16" i="42" s="1"/>
  <c r="T16" i="28"/>
  <c r="T16" i="42" s="1"/>
  <c r="K16" i="28"/>
  <c r="K16" i="42" s="1"/>
  <c r="C189" i="54" l="1"/>
  <c r="B189" i="54"/>
  <c r="A190" i="54"/>
  <c r="C233" i="52"/>
  <c r="B233" i="52"/>
  <c r="D233" i="52"/>
  <c r="A236" i="2"/>
  <c r="B235" i="2"/>
  <c r="C235" i="2"/>
  <c r="A27" i="42"/>
  <c r="A234" i="52"/>
  <c r="A27" i="35"/>
  <c r="AD26" i="35" s="1"/>
  <c r="AD26" i="42" s="1"/>
  <c r="E233" i="52" s="1"/>
  <c r="A27" i="28"/>
  <c r="B26" i="42"/>
  <c r="B26" i="35"/>
  <c r="B26" i="28"/>
  <c r="C189" i="53"/>
  <c r="A190" i="53"/>
  <c r="B189" i="53"/>
  <c r="J7" i="47"/>
  <c r="AD38" i="43"/>
  <c r="J63" i="55" s="1"/>
  <c r="AD17" i="28"/>
  <c r="AD17" i="42" s="1"/>
  <c r="E224" i="52" s="1"/>
  <c r="AD16" i="28"/>
  <c r="AD16" i="42" s="1"/>
  <c r="E223" i="52" s="1"/>
  <c r="I7" i="47"/>
  <c r="AD38" i="42"/>
  <c r="I63" i="55" s="1"/>
  <c r="B16" i="28"/>
  <c r="A16" i="28"/>
  <c r="AC15" i="28"/>
  <c r="AC15" i="42" s="1"/>
  <c r="T15" i="28"/>
  <c r="T15" i="42" s="1"/>
  <c r="K15" i="28"/>
  <c r="K15" i="42" s="1"/>
  <c r="B15" i="28"/>
  <c r="A15" i="28"/>
  <c r="AC14" i="28"/>
  <c r="AC14" i="42" s="1"/>
  <c r="T14" i="28"/>
  <c r="T14" i="42" s="1"/>
  <c r="K14" i="28"/>
  <c r="K14" i="42" s="1"/>
  <c r="B14" i="28"/>
  <c r="A14" i="28"/>
  <c r="AC13" i="28"/>
  <c r="AC13" i="42" s="1"/>
  <c r="T13" i="28"/>
  <c r="T13" i="42" s="1"/>
  <c r="K13" i="28"/>
  <c r="K13" i="42" s="1"/>
  <c r="B13" i="28"/>
  <c r="A13" i="28"/>
  <c r="AC12" i="28"/>
  <c r="AC12" i="42" s="1"/>
  <c r="T12" i="28"/>
  <c r="T12" i="42" s="1"/>
  <c r="K12" i="28"/>
  <c r="K12" i="42" s="1"/>
  <c r="B12" i="28"/>
  <c r="A12" i="28"/>
  <c r="AC11" i="28"/>
  <c r="AC11" i="42" s="1"/>
  <c r="T11" i="28"/>
  <c r="T11" i="42" s="1"/>
  <c r="K11" i="28"/>
  <c r="K11" i="42" s="1"/>
  <c r="B11" i="28"/>
  <c r="A11" i="28"/>
  <c r="AC10" i="28"/>
  <c r="AC10" i="42" s="1"/>
  <c r="T10" i="28"/>
  <c r="T10" i="42" s="1"/>
  <c r="K10" i="28"/>
  <c r="K10" i="42" s="1"/>
  <c r="B10" i="28"/>
  <c r="A10" i="28"/>
  <c r="AC9" i="28"/>
  <c r="AC9" i="42" s="1"/>
  <c r="T9" i="28"/>
  <c r="T9" i="42" s="1"/>
  <c r="K9" i="28"/>
  <c r="K9" i="42" s="1"/>
  <c r="B9" i="28"/>
  <c r="A9" i="28"/>
  <c r="AC8" i="28"/>
  <c r="AC8" i="42" s="1"/>
  <c r="T8" i="28"/>
  <c r="T8" i="42" s="1"/>
  <c r="K8" i="28"/>
  <c r="K8" i="42" s="1"/>
  <c r="B8" i="28"/>
  <c r="A8" i="28"/>
  <c r="AC7" i="28"/>
  <c r="AC7" i="42" s="1"/>
  <c r="T7" i="28"/>
  <c r="T7" i="42" s="1"/>
  <c r="K7" i="28"/>
  <c r="K7" i="42" s="1"/>
  <c r="B7" i="28"/>
  <c r="A7" i="28"/>
  <c r="AC6" i="28"/>
  <c r="AC6" i="42" s="1"/>
  <c r="T6" i="28"/>
  <c r="T6" i="42" s="1"/>
  <c r="K6" i="28"/>
  <c r="K6" i="42" s="1"/>
  <c r="B6" i="28"/>
  <c r="A6" i="28"/>
  <c r="AC5" i="28"/>
  <c r="AC5" i="42" s="1"/>
  <c r="T5" i="28"/>
  <c r="T5" i="42" s="1"/>
  <c r="K5" i="28"/>
  <c r="K5" i="42" s="1"/>
  <c r="B5" i="28"/>
  <c r="A5" i="28"/>
  <c r="L1" i="28"/>
  <c r="C38" i="27"/>
  <c r="AB36" i="27"/>
  <c r="AB36" i="41" s="1"/>
  <c r="AA36" i="27"/>
  <c r="AA36" i="41" s="1"/>
  <c r="Z36" i="27"/>
  <c r="Z36" i="41" s="1"/>
  <c r="Y36" i="27"/>
  <c r="Y36" i="41" s="1"/>
  <c r="X36" i="27"/>
  <c r="X36" i="41" s="1"/>
  <c r="W36" i="27"/>
  <c r="W36" i="41" s="1"/>
  <c r="V36" i="27"/>
  <c r="V36" i="41" s="1"/>
  <c r="U36" i="27"/>
  <c r="U36" i="41" s="1"/>
  <c r="S36" i="27"/>
  <c r="S36" i="41" s="1"/>
  <c r="R36" i="27"/>
  <c r="R36" i="41" s="1"/>
  <c r="Q36" i="27"/>
  <c r="Q36" i="41" s="1"/>
  <c r="P36" i="27"/>
  <c r="P36" i="41" s="1"/>
  <c r="O36" i="27"/>
  <c r="O36" i="41" s="1"/>
  <c r="N36" i="27"/>
  <c r="N36" i="41" s="1"/>
  <c r="M36" i="27"/>
  <c r="M36" i="41" s="1"/>
  <c r="L36" i="27"/>
  <c r="L36" i="41" s="1"/>
  <c r="J36" i="27"/>
  <c r="J36" i="41" s="1"/>
  <c r="I36" i="27"/>
  <c r="I36" i="41" s="1"/>
  <c r="H36" i="27"/>
  <c r="H36" i="41" s="1"/>
  <c r="G36" i="27"/>
  <c r="G36" i="41" s="1"/>
  <c r="F36" i="27"/>
  <c r="F36" i="41" s="1"/>
  <c r="E36" i="27"/>
  <c r="E36" i="41" s="1"/>
  <c r="D36" i="27"/>
  <c r="D36" i="41" s="1"/>
  <c r="C36" i="27"/>
  <c r="AC35" i="27"/>
  <c r="AC35" i="41" s="1"/>
  <c r="T35" i="27"/>
  <c r="T35" i="41" s="1"/>
  <c r="K35" i="27"/>
  <c r="K35" i="41" s="1"/>
  <c r="B35" i="27"/>
  <c r="A35" i="27"/>
  <c r="AC34" i="27"/>
  <c r="AC34" i="41" s="1"/>
  <c r="T34" i="27"/>
  <c r="T34" i="41" s="1"/>
  <c r="K34" i="27"/>
  <c r="K34" i="41" s="1"/>
  <c r="B34" i="27"/>
  <c r="A34" i="27"/>
  <c r="AC33" i="27"/>
  <c r="AC33" i="41" s="1"/>
  <c r="T33" i="27"/>
  <c r="T33" i="41" s="1"/>
  <c r="K33" i="27"/>
  <c r="K33" i="41" s="1"/>
  <c r="A191" i="54" l="1"/>
  <c r="B190" i="54"/>
  <c r="C190" i="54"/>
  <c r="B27" i="35"/>
  <c r="B27" i="42"/>
  <c r="B27" i="28"/>
  <c r="C234" i="52"/>
  <c r="D234" i="52"/>
  <c r="B234" i="52"/>
  <c r="C236" i="2"/>
  <c r="A237" i="2"/>
  <c r="B236" i="2"/>
  <c r="A28" i="42"/>
  <c r="A235" i="52"/>
  <c r="A28" i="35"/>
  <c r="A28" i="28"/>
  <c r="A191" i="53"/>
  <c r="B190" i="53"/>
  <c r="C190" i="53"/>
  <c r="J6" i="47"/>
  <c r="AD15" i="28"/>
  <c r="AD15" i="42" s="1"/>
  <c r="E222" i="52" s="1"/>
  <c r="AD14" i="28"/>
  <c r="AD14" i="42" s="1"/>
  <c r="E221" i="52" s="1"/>
  <c r="AD8" i="28"/>
  <c r="AD8" i="42" s="1"/>
  <c r="E215" i="52" s="1"/>
  <c r="AD13" i="28"/>
  <c r="AD13" i="42" s="1"/>
  <c r="E220" i="52" s="1"/>
  <c r="AD12" i="28"/>
  <c r="AD12" i="42" s="1"/>
  <c r="E219" i="52" s="1"/>
  <c r="AD11" i="28"/>
  <c r="AD11" i="42" s="1"/>
  <c r="E218" i="52" s="1"/>
  <c r="AD10" i="28"/>
  <c r="AD10" i="42" s="1"/>
  <c r="E217" i="52" s="1"/>
  <c r="AD9" i="28"/>
  <c r="AD9" i="42" s="1"/>
  <c r="E216" i="52" s="1"/>
  <c r="AD7" i="28"/>
  <c r="AD7" i="42" s="1"/>
  <c r="E214" i="52" s="1"/>
  <c r="AD6" i="28"/>
  <c r="AD6" i="42" s="1"/>
  <c r="E213" i="52" s="1"/>
  <c r="I6" i="47"/>
  <c r="AD5" i="28"/>
  <c r="AD5" i="42" s="1"/>
  <c r="AD34" i="27"/>
  <c r="AD34" i="41" s="1"/>
  <c r="E210" i="52" s="1"/>
  <c r="AD33" i="27"/>
  <c r="AD33" i="41" s="1"/>
  <c r="E209" i="52" s="1"/>
  <c r="H19" i="47"/>
  <c r="H29" i="47"/>
  <c r="H30" i="47"/>
  <c r="H20" i="47"/>
  <c r="T36" i="27"/>
  <c r="T36" i="41" s="1"/>
  <c r="H12" i="47" s="1"/>
  <c r="H25" i="47"/>
  <c r="H18" i="47"/>
  <c r="H26" i="47"/>
  <c r="H21" i="47"/>
  <c r="AD35" i="27"/>
  <c r="AD35" i="41" s="1"/>
  <c r="E211" i="52" s="1"/>
  <c r="C36" i="41"/>
  <c r="H24" i="47" s="1"/>
  <c r="H28" i="47"/>
  <c r="K36" i="27"/>
  <c r="B33" i="27"/>
  <c r="A33" i="27"/>
  <c r="AC32" i="27"/>
  <c r="AC32" i="41" s="1"/>
  <c r="T32" i="27"/>
  <c r="T32" i="41" s="1"/>
  <c r="K32" i="27"/>
  <c r="K32" i="41" s="1"/>
  <c r="B32" i="27"/>
  <c r="A32" i="27"/>
  <c r="AC31" i="27"/>
  <c r="AC31" i="41" s="1"/>
  <c r="T31" i="27"/>
  <c r="T31" i="41" s="1"/>
  <c r="K31" i="27"/>
  <c r="K31" i="41" s="1"/>
  <c r="B31" i="27"/>
  <c r="A31" i="27"/>
  <c r="AC30" i="27"/>
  <c r="AC30" i="41" s="1"/>
  <c r="T30" i="27"/>
  <c r="T30" i="41" s="1"/>
  <c r="K30" i="27"/>
  <c r="K30" i="41" s="1"/>
  <c r="C191" i="54" l="1"/>
  <c r="A192" i="54"/>
  <c r="B191" i="54"/>
  <c r="C235" i="52"/>
  <c r="B235" i="52"/>
  <c r="D235" i="52"/>
  <c r="B28" i="42"/>
  <c r="B28" i="35"/>
  <c r="B28" i="28"/>
  <c r="A238" i="2"/>
  <c r="B237" i="2"/>
  <c r="C237" i="2"/>
  <c r="A236" i="52"/>
  <c r="A29" i="35"/>
  <c r="AD28" i="35" s="1"/>
  <c r="AD28" i="42" s="1"/>
  <c r="E235" i="52" s="1"/>
  <c r="A29" i="42"/>
  <c r="A29" i="28"/>
  <c r="C191" i="53"/>
  <c r="A192" i="53"/>
  <c r="B191" i="53"/>
  <c r="AD31" i="27"/>
  <c r="AD31" i="41" s="1"/>
  <c r="E207" i="52" s="1"/>
  <c r="AD30" i="27"/>
  <c r="AD30" i="41" s="1"/>
  <c r="E206" i="52" s="1"/>
  <c r="E212" i="52"/>
  <c r="AD32" i="27"/>
  <c r="AD32" i="41" s="1"/>
  <c r="E208" i="52" s="1"/>
  <c r="H23" i="47"/>
  <c r="H27" i="47"/>
  <c r="H31" i="47"/>
  <c r="H17" i="47"/>
  <c r="H16" i="47" s="1"/>
  <c r="K36" i="41"/>
  <c r="H11" i="47" s="1"/>
  <c r="B30" i="27"/>
  <c r="A30" i="27"/>
  <c r="AC29" i="27"/>
  <c r="AC29" i="41" s="1"/>
  <c r="T29" i="27"/>
  <c r="T29" i="41" s="1"/>
  <c r="K29" i="27"/>
  <c r="K29" i="41" s="1"/>
  <c r="A193" i="54" l="1"/>
  <c r="B192" i="54"/>
  <c r="C192" i="54"/>
  <c r="B29" i="42"/>
  <c r="B29" i="35"/>
  <c r="B29" i="28"/>
  <c r="C238" i="2"/>
  <c r="A239" i="2"/>
  <c r="B238" i="2"/>
  <c r="A30" i="42"/>
  <c r="A237" i="52"/>
  <c r="A30" i="35"/>
  <c r="A30" i="28"/>
  <c r="C236" i="52"/>
  <c r="D236" i="52"/>
  <c r="B236" i="52"/>
  <c r="A193" i="53"/>
  <c r="B192" i="53"/>
  <c r="C192" i="53"/>
  <c r="AD29" i="27"/>
  <c r="AD29" i="41" s="1"/>
  <c r="E205" i="52" s="1"/>
  <c r="AC36" i="27"/>
  <c r="B29" i="27"/>
  <c r="A29" i="27"/>
  <c r="AC28" i="27"/>
  <c r="AC28" i="41" s="1"/>
  <c r="T28" i="27"/>
  <c r="T28" i="41" s="1"/>
  <c r="K28" i="27"/>
  <c r="K28" i="41" s="1"/>
  <c r="B28" i="27"/>
  <c r="A28" i="27"/>
  <c r="AC27" i="27"/>
  <c r="AC27" i="41" s="1"/>
  <c r="T27" i="27"/>
  <c r="T27" i="41" s="1"/>
  <c r="K27" i="27"/>
  <c r="K27" i="41" s="1"/>
  <c r="B27" i="27"/>
  <c r="A27" i="27"/>
  <c r="AC26" i="27"/>
  <c r="AC26" i="41" s="1"/>
  <c r="T26" i="27"/>
  <c r="T26" i="41" s="1"/>
  <c r="K26" i="27"/>
  <c r="K26" i="41" s="1"/>
  <c r="C193" i="54" l="1"/>
  <c r="B193" i="54"/>
  <c r="A194" i="54"/>
  <c r="A240" i="2"/>
  <c r="B239" i="2"/>
  <c r="C239" i="2"/>
  <c r="A31" i="35"/>
  <c r="AD30" i="35" s="1"/>
  <c r="AD30" i="42" s="1"/>
  <c r="A31" i="42"/>
  <c r="A238" i="52"/>
  <c r="A31" i="28"/>
  <c r="C237" i="52"/>
  <c r="B237" i="52"/>
  <c r="D237" i="52"/>
  <c r="B30" i="42"/>
  <c r="B30" i="35"/>
  <c r="B30" i="28"/>
  <c r="C193" i="53"/>
  <c r="A194" i="53"/>
  <c r="B193" i="53"/>
  <c r="AD28" i="27"/>
  <c r="AD28" i="41" s="1"/>
  <c r="E204" i="52" s="1"/>
  <c r="AD27" i="27"/>
  <c r="AD27" i="41" s="1"/>
  <c r="E203" i="52" s="1"/>
  <c r="AD26" i="27"/>
  <c r="AD26" i="41" s="1"/>
  <c r="E202" i="52" s="1"/>
  <c r="AC36" i="41"/>
  <c r="H13" i="47" s="1"/>
  <c r="AD36" i="27"/>
  <c r="B26" i="27"/>
  <c r="A26" i="27"/>
  <c r="AC25" i="27"/>
  <c r="AC25" i="41" s="1"/>
  <c r="T25" i="27"/>
  <c r="T25" i="41" s="1"/>
  <c r="K25" i="27"/>
  <c r="K25" i="41" s="1"/>
  <c r="E237" i="52" l="1"/>
  <c r="A195" i="54"/>
  <c r="B194" i="54"/>
  <c r="C194" i="54"/>
  <c r="C240" i="2"/>
  <c r="A241" i="2"/>
  <c r="B240" i="2"/>
  <c r="A239" i="52"/>
  <c r="A32" i="35"/>
  <c r="A32" i="42"/>
  <c r="A32" i="28"/>
  <c r="B238" i="52"/>
  <c r="C238" i="52"/>
  <c r="D238" i="52"/>
  <c r="B31" i="35"/>
  <c r="B31" i="42"/>
  <c r="B31" i="28"/>
  <c r="A195" i="53"/>
  <c r="B194" i="53"/>
  <c r="C194" i="53"/>
  <c r="AD25" i="27"/>
  <c r="AD25" i="41" s="1"/>
  <c r="E201" i="52" s="1"/>
  <c r="AD36" i="41"/>
  <c r="AD39" i="27"/>
  <c r="AD39" i="41" s="1"/>
  <c r="AD38" i="27"/>
  <c r="B25" i="27"/>
  <c r="A25" i="27"/>
  <c r="AC24" i="27"/>
  <c r="AC24" i="41" s="1"/>
  <c r="T24" i="27"/>
  <c r="T24" i="41" s="1"/>
  <c r="K24" i="27"/>
  <c r="K24" i="41" s="1"/>
  <c r="B24" i="27"/>
  <c r="A24" i="27"/>
  <c r="AC23" i="27"/>
  <c r="AC23" i="41" s="1"/>
  <c r="T23" i="27"/>
  <c r="T23" i="41" s="1"/>
  <c r="K23" i="27"/>
  <c r="K23" i="41" s="1"/>
  <c r="B23" i="27"/>
  <c r="A23" i="27"/>
  <c r="AC22" i="27"/>
  <c r="AC22" i="41" s="1"/>
  <c r="T22" i="27"/>
  <c r="T22" i="41" s="1"/>
  <c r="K22" i="27"/>
  <c r="K22" i="41" s="1"/>
  <c r="C195" i="54" l="1"/>
  <c r="A196" i="54"/>
  <c r="B195" i="54"/>
  <c r="B32" i="35"/>
  <c r="B32" i="42"/>
  <c r="B32" i="28"/>
  <c r="C239" i="52"/>
  <c r="B239" i="52"/>
  <c r="D239" i="52"/>
  <c r="A242" i="2"/>
  <c r="B241" i="2"/>
  <c r="C241" i="2"/>
  <c r="A33" i="35"/>
  <c r="AD32" i="35" s="1"/>
  <c r="AD32" i="42" s="1"/>
  <c r="A33" i="42"/>
  <c r="A240" i="52"/>
  <c r="A33" i="28"/>
  <c r="C195" i="53"/>
  <c r="A196" i="53"/>
  <c r="B195" i="53"/>
  <c r="AD24" i="27"/>
  <c r="AD24" i="41" s="1"/>
  <c r="E200" i="52" s="1"/>
  <c r="AD23" i="27"/>
  <c r="AD23" i="41" s="1"/>
  <c r="E199" i="52" s="1"/>
  <c r="AD22" i="27"/>
  <c r="AD22" i="41" s="1"/>
  <c r="E198" i="52" s="1"/>
  <c r="AD38" i="41"/>
  <c r="H63" i="55" s="1"/>
  <c r="H7" i="47"/>
  <c r="B22" i="27"/>
  <c r="A22" i="27"/>
  <c r="AC21" i="27"/>
  <c r="AC21" i="41" s="1"/>
  <c r="T21" i="27"/>
  <c r="T21" i="41" s="1"/>
  <c r="K21" i="27"/>
  <c r="K21" i="41" s="1"/>
  <c r="A197" i="54" l="1"/>
  <c r="B196" i="54"/>
  <c r="C196" i="54"/>
  <c r="E239" i="52"/>
  <c r="I35" i="47"/>
  <c r="I34" i="47"/>
  <c r="I33" i="47"/>
  <c r="C242" i="2"/>
  <c r="A243" i="2"/>
  <c r="B242" i="2"/>
  <c r="A241" i="52"/>
  <c r="A34" i="35"/>
  <c r="A34" i="42"/>
  <c r="A34" i="28"/>
  <c r="C240" i="52"/>
  <c r="D240" i="52"/>
  <c r="B240" i="52"/>
  <c r="B33" i="35"/>
  <c r="B33" i="42"/>
  <c r="B33" i="28"/>
  <c r="A197" i="53"/>
  <c r="B196" i="53"/>
  <c r="C196" i="53"/>
  <c r="AD21" i="27"/>
  <c r="AD21" i="41" s="1"/>
  <c r="E197" i="52" s="1"/>
  <c r="H6" i="47"/>
  <c r="B21" i="27"/>
  <c r="A21" i="27"/>
  <c r="AC20" i="27"/>
  <c r="AC20" i="41" s="1"/>
  <c r="T20" i="27"/>
  <c r="T20" i="41" s="1"/>
  <c r="K20" i="27"/>
  <c r="K20" i="41" s="1"/>
  <c r="B20" i="27"/>
  <c r="A20" i="27"/>
  <c r="AC19" i="27"/>
  <c r="AC19" i="41" s="1"/>
  <c r="T19" i="27"/>
  <c r="T19" i="41" s="1"/>
  <c r="K19" i="27"/>
  <c r="K19" i="41" s="1"/>
  <c r="B19" i="27"/>
  <c r="A19" i="27"/>
  <c r="AC18" i="27"/>
  <c r="AC18" i="41" s="1"/>
  <c r="T18" i="27"/>
  <c r="T18" i="41" s="1"/>
  <c r="K18" i="27"/>
  <c r="K18" i="41" s="1"/>
  <c r="C197" i="54" l="1"/>
  <c r="B197" i="54"/>
  <c r="A198" i="54"/>
  <c r="B34" i="42"/>
  <c r="B34" i="35"/>
  <c r="B34" i="28"/>
  <c r="C241" i="52"/>
  <c r="B241" i="52"/>
  <c r="D241" i="52"/>
  <c r="A244" i="2"/>
  <c r="B243" i="2"/>
  <c r="C243" i="2"/>
  <c r="A35" i="42"/>
  <c r="A242" i="52"/>
  <c r="A35" i="35"/>
  <c r="A35" i="28"/>
  <c r="C197" i="53"/>
  <c r="B197" i="53"/>
  <c r="A198" i="53"/>
  <c r="AD19" i="27"/>
  <c r="AD19" i="41" s="1"/>
  <c r="E195" i="52" s="1"/>
  <c r="AD20" i="27"/>
  <c r="AD20" i="41" s="1"/>
  <c r="E196" i="52" s="1"/>
  <c r="AD18" i="27"/>
  <c r="AD18" i="41" s="1"/>
  <c r="E194" i="52" s="1"/>
  <c r="B18" i="27"/>
  <c r="A18" i="27"/>
  <c r="AC17" i="27"/>
  <c r="AC17" i="41" s="1"/>
  <c r="T17" i="27"/>
  <c r="T17" i="41" s="1"/>
  <c r="K17" i="27"/>
  <c r="K17" i="41" s="1"/>
  <c r="A199" i="54" l="1"/>
  <c r="B198" i="54"/>
  <c r="C198" i="54"/>
  <c r="B35" i="35"/>
  <c r="B35" i="42"/>
  <c r="B35" i="28"/>
  <c r="B242" i="52"/>
  <c r="D242" i="52"/>
  <c r="C242" i="52"/>
  <c r="C244" i="2"/>
  <c r="A245" i="2"/>
  <c r="B244" i="2"/>
  <c r="A5" i="43"/>
  <c r="A243" i="52"/>
  <c r="A5" i="36"/>
  <c r="A5" i="29"/>
  <c r="C198" i="53"/>
  <c r="A199" i="53"/>
  <c r="B198" i="53"/>
  <c r="AD17" i="27"/>
  <c r="AD17" i="41" s="1"/>
  <c r="E193" i="52" s="1"/>
  <c r="B17" i="27"/>
  <c r="A17" i="27"/>
  <c r="AC16" i="27"/>
  <c r="AC16" i="41" s="1"/>
  <c r="T16" i="27"/>
  <c r="T16" i="41" s="1"/>
  <c r="K16" i="27"/>
  <c r="K16" i="41" s="1"/>
  <c r="B16" i="27"/>
  <c r="A16" i="27"/>
  <c r="AC15" i="27"/>
  <c r="AC15" i="41" s="1"/>
  <c r="T15" i="27"/>
  <c r="T15" i="41" s="1"/>
  <c r="K15" i="27"/>
  <c r="K15" i="41" s="1"/>
  <c r="B15" i="27"/>
  <c r="A15" i="27"/>
  <c r="AC14" i="27"/>
  <c r="AC14" i="41" s="1"/>
  <c r="T14" i="27"/>
  <c r="T14" i="41" s="1"/>
  <c r="K14" i="27"/>
  <c r="K14" i="41" s="1"/>
  <c r="C199" i="54" l="1"/>
  <c r="A200" i="54"/>
  <c r="B199" i="54"/>
  <c r="A246" i="2"/>
  <c r="B245" i="2"/>
  <c r="C245" i="2"/>
  <c r="A6" i="43"/>
  <c r="A244" i="52"/>
  <c r="A6" i="36"/>
  <c r="AD5" i="36" s="1"/>
  <c r="AD5" i="43" s="1"/>
  <c r="A6" i="29"/>
  <c r="D243" i="52"/>
  <c r="B243" i="52"/>
  <c r="C243" i="52"/>
  <c r="B5" i="36"/>
  <c r="B5" i="43"/>
  <c r="B5" i="29"/>
  <c r="A200" i="53"/>
  <c r="B199" i="53"/>
  <c r="C199" i="53"/>
  <c r="AD16" i="27"/>
  <c r="AD16" i="41" s="1"/>
  <c r="E192" i="52" s="1"/>
  <c r="AD15" i="27"/>
  <c r="AD15" i="41" s="1"/>
  <c r="E191" i="52" s="1"/>
  <c r="AD14" i="27"/>
  <c r="AD14" i="41" s="1"/>
  <c r="E190" i="52" s="1"/>
  <c r="B14" i="27"/>
  <c r="A14" i="27"/>
  <c r="AC13" i="27"/>
  <c r="AC13" i="41" s="1"/>
  <c r="T13" i="27"/>
  <c r="T13" i="41" s="1"/>
  <c r="K13" i="27"/>
  <c r="K13" i="41" s="1"/>
  <c r="A201" i="54" l="1"/>
  <c r="B200" i="54"/>
  <c r="C200" i="54"/>
  <c r="E243" i="52"/>
  <c r="B6" i="36"/>
  <c r="B6" i="43"/>
  <c r="B6" i="29"/>
  <c r="C244" i="52"/>
  <c r="D244" i="52"/>
  <c r="B244" i="52"/>
  <c r="C246" i="2"/>
  <c r="A247" i="2"/>
  <c r="B246" i="2"/>
  <c r="A7" i="43"/>
  <c r="A245" i="52"/>
  <c r="A7" i="36"/>
  <c r="A7" i="29"/>
  <c r="C200" i="53"/>
  <c r="A201" i="53"/>
  <c r="B200" i="53"/>
  <c r="AD13" i="27"/>
  <c r="AD13" i="41" s="1"/>
  <c r="E189" i="52" s="1"/>
  <c r="B13" i="27"/>
  <c r="A13" i="27"/>
  <c r="AC12" i="27"/>
  <c r="AC12" i="41" s="1"/>
  <c r="T12" i="27"/>
  <c r="T12" i="41" s="1"/>
  <c r="K12" i="27"/>
  <c r="K12" i="41" s="1"/>
  <c r="B12" i="27"/>
  <c r="A12" i="27"/>
  <c r="AC11" i="27"/>
  <c r="AC11" i="41" s="1"/>
  <c r="T11" i="27"/>
  <c r="T11" i="41" s="1"/>
  <c r="K11" i="27"/>
  <c r="K11" i="41" s="1"/>
  <c r="B11" i="27"/>
  <c r="A11" i="27"/>
  <c r="AC10" i="27"/>
  <c r="AC10" i="41" s="1"/>
  <c r="T10" i="27"/>
  <c r="T10" i="41" s="1"/>
  <c r="K10" i="27"/>
  <c r="K10" i="41" s="1"/>
  <c r="C201" i="54" l="1"/>
  <c r="B201" i="54"/>
  <c r="A202" i="54"/>
  <c r="D245" i="52"/>
  <c r="B245" i="52"/>
  <c r="C245" i="52"/>
  <c r="B7" i="36"/>
  <c r="B7" i="43"/>
  <c r="B7" i="29"/>
  <c r="A248" i="2"/>
  <c r="B247" i="2"/>
  <c r="C247" i="2"/>
  <c r="A8" i="43"/>
  <c r="A246" i="52"/>
  <c r="A8" i="36"/>
  <c r="A8" i="29"/>
  <c r="A202" i="53"/>
  <c r="B201" i="53"/>
  <c r="C201" i="53"/>
  <c r="AD12" i="27"/>
  <c r="AD12" i="41" s="1"/>
  <c r="E188" i="52" s="1"/>
  <c r="AD11" i="27"/>
  <c r="AD11" i="41" s="1"/>
  <c r="E187" i="52" s="1"/>
  <c r="AD10" i="27"/>
  <c r="AD10" i="41" s="1"/>
  <c r="E186" i="52" s="1"/>
  <c r="B10" i="27"/>
  <c r="A10" i="27"/>
  <c r="AC9" i="27"/>
  <c r="AC9" i="41" s="1"/>
  <c r="T9" i="27"/>
  <c r="T9" i="41" s="1"/>
  <c r="K9" i="27"/>
  <c r="K9" i="41" s="1"/>
  <c r="A203" i="54" l="1"/>
  <c r="B202" i="54"/>
  <c r="C202" i="54"/>
  <c r="B8" i="43"/>
  <c r="B8" i="36"/>
  <c r="B8" i="29"/>
  <c r="C246" i="52"/>
  <c r="B246" i="52"/>
  <c r="D246" i="52"/>
  <c r="C248" i="2"/>
  <c r="A249" i="2"/>
  <c r="B248" i="2"/>
  <c r="A9" i="36"/>
  <c r="A9" i="43"/>
  <c r="A247" i="52"/>
  <c r="A9" i="29"/>
  <c r="C202" i="53"/>
  <c r="A203" i="53"/>
  <c r="B202" i="53"/>
  <c r="AD9" i="27"/>
  <c r="AD9" i="41" s="1"/>
  <c r="E185" i="52" s="1"/>
  <c r="B9" i="27"/>
  <c r="A9" i="27"/>
  <c r="AC8" i="27"/>
  <c r="AC8" i="41" s="1"/>
  <c r="T8" i="27"/>
  <c r="T8" i="41" s="1"/>
  <c r="K8" i="27"/>
  <c r="K8" i="41" s="1"/>
  <c r="B8" i="27"/>
  <c r="A8" i="27"/>
  <c r="AC7" i="27"/>
  <c r="AC7" i="41" s="1"/>
  <c r="T7" i="27"/>
  <c r="T7" i="41" s="1"/>
  <c r="K7" i="27"/>
  <c r="K7" i="41" s="1"/>
  <c r="B7" i="27"/>
  <c r="A7" i="27"/>
  <c r="AC6" i="27"/>
  <c r="AC6" i="41" s="1"/>
  <c r="T6" i="27"/>
  <c r="T6" i="41" s="1"/>
  <c r="K6" i="27"/>
  <c r="K6" i="41" s="1"/>
  <c r="C203" i="54" l="1"/>
  <c r="A204" i="54"/>
  <c r="B203" i="54"/>
  <c r="B9" i="36"/>
  <c r="B9" i="43"/>
  <c r="B9" i="29"/>
  <c r="B247" i="52"/>
  <c r="D247" i="52"/>
  <c r="C247" i="52"/>
  <c r="A250" i="2"/>
  <c r="B249" i="2"/>
  <c r="C249" i="2"/>
  <c r="A248" i="52"/>
  <c r="A10" i="43"/>
  <c r="A10" i="36"/>
  <c r="AD9" i="36" s="1"/>
  <c r="AD9" i="43" s="1"/>
  <c r="A10" i="29"/>
  <c r="A204" i="53"/>
  <c r="B203" i="53"/>
  <c r="C203" i="53"/>
  <c r="AD8" i="27"/>
  <c r="AD8" i="41" s="1"/>
  <c r="E184" i="52" s="1"/>
  <c r="AD7" i="27"/>
  <c r="AD7" i="41" s="1"/>
  <c r="E183" i="52" s="1"/>
  <c r="AD6" i="27"/>
  <c r="AD6" i="41" s="1"/>
  <c r="E182" i="52" s="1"/>
  <c r="B6" i="27"/>
  <c r="A6" i="27"/>
  <c r="AC5" i="27"/>
  <c r="AC5" i="41" s="1"/>
  <c r="T5" i="27"/>
  <c r="T5" i="41" s="1"/>
  <c r="K5" i="27"/>
  <c r="K5" i="41" s="1"/>
  <c r="B5" i="27"/>
  <c r="A5" i="27"/>
  <c r="L1" i="27"/>
  <c r="C38" i="24"/>
  <c r="AB36" i="24"/>
  <c r="AB36" i="40" s="1"/>
  <c r="AA36" i="24"/>
  <c r="AA36" i="40" s="1"/>
  <c r="Z36" i="24"/>
  <c r="Z36" i="40" s="1"/>
  <c r="Y36" i="24"/>
  <c r="Y36" i="40" s="1"/>
  <c r="X36" i="24"/>
  <c r="X36" i="40" s="1"/>
  <c r="W36" i="24"/>
  <c r="W36" i="40" s="1"/>
  <c r="V36" i="24"/>
  <c r="V36" i="40" s="1"/>
  <c r="U36" i="24"/>
  <c r="U36" i="40" s="1"/>
  <c r="S36" i="24"/>
  <c r="S36" i="40" s="1"/>
  <c r="R36" i="24"/>
  <c r="R36" i="40" s="1"/>
  <c r="Q36" i="24"/>
  <c r="Q36" i="40" s="1"/>
  <c r="P36" i="24"/>
  <c r="P36" i="40" s="1"/>
  <c r="O36" i="24"/>
  <c r="O36" i="40" s="1"/>
  <c r="N36" i="24"/>
  <c r="N36" i="40" s="1"/>
  <c r="M36" i="24"/>
  <c r="M36" i="40" s="1"/>
  <c r="L36" i="24"/>
  <c r="L36" i="40" s="1"/>
  <c r="J36" i="24"/>
  <c r="J36" i="40" s="1"/>
  <c r="I36" i="24"/>
  <c r="I36" i="40" s="1"/>
  <c r="H36" i="24"/>
  <c r="H36" i="40" s="1"/>
  <c r="G36" i="24"/>
  <c r="G36" i="40" s="1"/>
  <c r="F36" i="24"/>
  <c r="F36" i="40" s="1"/>
  <c r="E36" i="24"/>
  <c r="E36" i="40" s="1"/>
  <c r="D36" i="24"/>
  <c r="D36" i="40" s="1"/>
  <c r="C36" i="24"/>
  <c r="C36" i="40" s="1"/>
  <c r="AC35" i="24"/>
  <c r="AC35" i="40" s="1"/>
  <c r="T35" i="24"/>
  <c r="T35" i="40" s="1"/>
  <c r="K35" i="24"/>
  <c r="K35" i="40" s="1"/>
  <c r="AC34" i="24"/>
  <c r="AC34" i="40" s="1"/>
  <c r="T34" i="24"/>
  <c r="T34" i="40" s="1"/>
  <c r="K34" i="24"/>
  <c r="K34" i="40" s="1"/>
  <c r="AD35" i="24" l="1"/>
  <c r="AD35" i="40" s="1"/>
  <c r="A205" i="54"/>
  <c r="B204" i="54"/>
  <c r="C204" i="54"/>
  <c r="E247" i="52"/>
  <c r="C250" i="2"/>
  <c r="A251" i="2"/>
  <c r="B250" i="2"/>
  <c r="A11" i="43"/>
  <c r="A249" i="52"/>
  <c r="A11" i="36"/>
  <c r="A11" i="29"/>
  <c r="C248" i="52"/>
  <c r="D248" i="52"/>
  <c r="B248" i="52"/>
  <c r="B10" i="43"/>
  <c r="B10" i="36"/>
  <c r="B10" i="29"/>
  <c r="C204" i="53"/>
  <c r="A205" i="53"/>
  <c r="B204" i="53"/>
  <c r="AD5" i="27"/>
  <c r="AD5" i="41" s="1"/>
  <c r="H35" i="47" s="1"/>
  <c r="AD34" i="24"/>
  <c r="AD34" i="40" s="1"/>
  <c r="E180" i="52" s="1"/>
  <c r="AC36" i="24"/>
  <c r="AC36" i="40" s="1"/>
  <c r="G13" i="47" s="1"/>
  <c r="G29" i="47"/>
  <c r="G30" i="47"/>
  <c r="G20" i="47"/>
  <c r="G19" i="47"/>
  <c r="G24" i="47"/>
  <c r="T36" i="24"/>
  <c r="T36" i="40" s="1"/>
  <c r="G12" i="47" s="1"/>
  <c r="G25" i="47"/>
  <c r="G18" i="47"/>
  <c r="G21" i="47"/>
  <c r="G26" i="47"/>
  <c r="G28" i="47"/>
  <c r="G17" i="47"/>
  <c r="K36" i="24"/>
  <c r="B34" i="24"/>
  <c r="A34" i="24"/>
  <c r="AC33" i="24"/>
  <c r="AC33" i="40" s="1"/>
  <c r="T33" i="24"/>
  <c r="T33" i="40" s="1"/>
  <c r="K33" i="24"/>
  <c r="K33" i="40" s="1"/>
  <c r="B33" i="24"/>
  <c r="A33" i="24"/>
  <c r="AC32" i="24"/>
  <c r="AC32" i="40" s="1"/>
  <c r="T32" i="24"/>
  <c r="T32" i="40" s="1"/>
  <c r="K32" i="24"/>
  <c r="K32" i="40" s="1"/>
  <c r="B32" i="24"/>
  <c r="A32" i="24"/>
  <c r="AC31" i="24"/>
  <c r="AC31" i="40" s="1"/>
  <c r="T31" i="24"/>
  <c r="T31" i="40" s="1"/>
  <c r="K31" i="24"/>
  <c r="K31" i="40" s="1"/>
  <c r="C205" i="54" l="1"/>
  <c r="B205" i="54"/>
  <c r="A206" i="54"/>
  <c r="B249" i="52"/>
  <c r="C249" i="52"/>
  <c r="D249" i="52"/>
  <c r="B11" i="36"/>
  <c r="B11" i="43"/>
  <c r="B11" i="29"/>
  <c r="A252" i="2"/>
  <c r="B251" i="2"/>
  <c r="C251" i="2"/>
  <c r="A250" i="52"/>
  <c r="A12" i="36"/>
  <c r="AD11" i="36" s="1"/>
  <c r="AD11" i="43" s="1"/>
  <c r="A12" i="43"/>
  <c r="A12" i="29"/>
  <c r="A206" i="53"/>
  <c r="B205" i="53"/>
  <c r="C205" i="53"/>
  <c r="H34" i="47"/>
  <c r="E181" i="52"/>
  <c r="H33" i="47"/>
  <c r="AD33" i="24"/>
  <c r="AD33" i="40" s="1"/>
  <c r="E179" i="52" s="1"/>
  <c r="G31" i="47"/>
  <c r="AD32" i="24"/>
  <c r="AD32" i="40" s="1"/>
  <c r="E178" i="52" s="1"/>
  <c r="AD31" i="24"/>
  <c r="AD31" i="40" s="1"/>
  <c r="E177" i="52" s="1"/>
  <c r="G16" i="47"/>
  <c r="G27" i="47"/>
  <c r="G23" i="47"/>
  <c r="K36" i="40"/>
  <c r="G11" i="47" s="1"/>
  <c r="AD36" i="24"/>
  <c r="B31" i="24"/>
  <c r="A31" i="24"/>
  <c r="AC30" i="24"/>
  <c r="AC30" i="40" s="1"/>
  <c r="T30" i="24"/>
  <c r="T30" i="40" s="1"/>
  <c r="K30" i="24"/>
  <c r="K30" i="40" s="1"/>
  <c r="E249" i="52" l="1"/>
  <c r="A207" i="54"/>
  <c r="B206" i="54"/>
  <c r="C206" i="54"/>
  <c r="C252" i="2"/>
  <c r="A253" i="2"/>
  <c r="B252" i="2"/>
  <c r="A13" i="43"/>
  <c r="A251" i="52"/>
  <c r="A13" i="36"/>
  <c r="A13" i="29"/>
  <c r="B250" i="52"/>
  <c r="D250" i="52"/>
  <c r="C250" i="52"/>
  <c r="B12" i="43"/>
  <c r="B12" i="36"/>
  <c r="B12" i="29"/>
  <c r="C206" i="53"/>
  <c r="A207" i="53"/>
  <c r="B206" i="53"/>
  <c r="AD30" i="24"/>
  <c r="AD30" i="40" s="1"/>
  <c r="E176" i="52" s="1"/>
  <c r="AD36" i="40"/>
  <c r="AD38" i="24"/>
  <c r="AD39" i="24"/>
  <c r="AD39" i="40" s="1"/>
  <c r="B30" i="24"/>
  <c r="A30" i="24"/>
  <c r="AC29" i="24"/>
  <c r="AC29" i="40" s="1"/>
  <c r="T29" i="24"/>
  <c r="T29" i="40" s="1"/>
  <c r="K29" i="24"/>
  <c r="K29" i="40" s="1"/>
  <c r="B29" i="24"/>
  <c r="A29" i="24"/>
  <c r="AC28" i="24"/>
  <c r="AC28" i="40" s="1"/>
  <c r="T28" i="24"/>
  <c r="T28" i="40" s="1"/>
  <c r="K28" i="24"/>
  <c r="K28" i="40" s="1"/>
  <c r="B28" i="24"/>
  <c r="A28" i="24"/>
  <c r="AC27" i="24"/>
  <c r="AC27" i="40" s="1"/>
  <c r="T27" i="24"/>
  <c r="T27" i="40" s="1"/>
  <c r="K27" i="24"/>
  <c r="K27" i="40" s="1"/>
  <c r="C207" i="54" l="1"/>
  <c r="A208" i="54"/>
  <c r="B207" i="54"/>
  <c r="B251" i="52"/>
  <c r="C251" i="52"/>
  <c r="D251" i="52"/>
  <c r="B13" i="43"/>
  <c r="B13" i="36"/>
  <c r="B13" i="29"/>
  <c r="A254" i="2"/>
  <c r="B253" i="2"/>
  <c r="C253" i="2"/>
  <c r="A252" i="52"/>
  <c r="A14" i="36"/>
  <c r="A14" i="43"/>
  <c r="A14" i="29"/>
  <c r="A208" i="53"/>
  <c r="B207" i="53"/>
  <c r="C207" i="53"/>
  <c r="AD29" i="24"/>
  <c r="AD29" i="40" s="1"/>
  <c r="E175" i="52" s="1"/>
  <c r="AD28" i="24"/>
  <c r="AD28" i="40" s="1"/>
  <c r="E174" i="52" s="1"/>
  <c r="AD27" i="24"/>
  <c r="AD27" i="40" s="1"/>
  <c r="E173" i="52" s="1"/>
  <c r="G7" i="47"/>
  <c r="AD38" i="40"/>
  <c r="G63" i="55" s="1"/>
  <c r="B27" i="24"/>
  <c r="A27" i="24"/>
  <c r="AC26" i="24"/>
  <c r="AC26" i="40" s="1"/>
  <c r="T26" i="24"/>
  <c r="T26" i="40" s="1"/>
  <c r="K26" i="24"/>
  <c r="K26" i="40" s="1"/>
  <c r="A209" i="54" l="1"/>
  <c r="B208" i="54"/>
  <c r="C208" i="54"/>
  <c r="B252" i="52"/>
  <c r="D252" i="52"/>
  <c r="C252" i="52"/>
  <c r="B14" i="36"/>
  <c r="B14" i="43"/>
  <c r="B14" i="29"/>
  <c r="C254" i="2"/>
  <c r="A255" i="2"/>
  <c r="B254" i="2"/>
  <c r="A15" i="43"/>
  <c r="A253" i="52"/>
  <c r="A15" i="36"/>
  <c r="A15" i="29"/>
  <c r="C208" i="53"/>
  <c r="A209" i="53"/>
  <c r="B208" i="53"/>
  <c r="AD26" i="24"/>
  <c r="AD26" i="40" s="1"/>
  <c r="E172" i="52" s="1"/>
  <c r="G6" i="47"/>
  <c r="B26" i="24"/>
  <c r="A26" i="24"/>
  <c r="AC25" i="24"/>
  <c r="AC25" i="40" s="1"/>
  <c r="T25" i="24"/>
  <c r="T25" i="40" s="1"/>
  <c r="K25" i="24"/>
  <c r="K25" i="40" s="1"/>
  <c r="B25" i="24"/>
  <c r="A25" i="24"/>
  <c r="AC24" i="24"/>
  <c r="AC24" i="40" s="1"/>
  <c r="T24" i="24"/>
  <c r="T24" i="40" s="1"/>
  <c r="K24" i="24"/>
  <c r="K24" i="40" s="1"/>
  <c r="B24" i="24"/>
  <c r="A24" i="24"/>
  <c r="AC23" i="24"/>
  <c r="AC23" i="40" s="1"/>
  <c r="T23" i="24"/>
  <c r="T23" i="40" s="1"/>
  <c r="K23" i="24"/>
  <c r="K23" i="40" s="1"/>
  <c r="C209" i="54" l="1"/>
  <c r="B209" i="54"/>
  <c r="A210" i="54"/>
  <c r="C253" i="52"/>
  <c r="B253" i="52"/>
  <c r="D253" i="52"/>
  <c r="B15" i="43"/>
  <c r="B15" i="36"/>
  <c r="B15" i="29"/>
  <c r="A256" i="2"/>
  <c r="B255" i="2"/>
  <c r="C255" i="2"/>
  <c r="A254" i="52"/>
  <c r="A16" i="36"/>
  <c r="AD15" i="36" s="1"/>
  <c r="AD15" i="43" s="1"/>
  <c r="A16" i="43"/>
  <c r="A16" i="29"/>
  <c r="A210" i="53"/>
  <c r="B209" i="53"/>
  <c r="C209" i="53"/>
  <c r="AD25" i="24"/>
  <c r="AD25" i="40" s="1"/>
  <c r="E171" i="52" s="1"/>
  <c r="AD24" i="24"/>
  <c r="AD24" i="40" s="1"/>
  <c r="E170" i="52" s="1"/>
  <c r="AD23" i="24"/>
  <c r="AD23" i="40" s="1"/>
  <c r="E169" i="52" s="1"/>
  <c r="B23" i="24"/>
  <c r="A23" i="24"/>
  <c r="AC22" i="24"/>
  <c r="AC22" i="40" s="1"/>
  <c r="T22" i="24"/>
  <c r="T22" i="40" s="1"/>
  <c r="K22" i="24"/>
  <c r="K22" i="40" s="1"/>
  <c r="E253" i="52" l="1"/>
  <c r="A211" i="54"/>
  <c r="B210" i="54"/>
  <c r="C210" i="54"/>
  <c r="C254" i="52"/>
  <c r="B254" i="52"/>
  <c r="D254" i="52"/>
  <c r="B16" i="43"/>
  <c r="B16" i="36"/>
  <c r="B16" i="29"/>
  <c r="C256" i="2"/>
  <c r="A257" i="2"/>
  <c r="B256" i="2"/>
  <c r="A255" i="52"/>
  <c r="A17" i="43"/>
  <c r="A17" i="36"/>
  <c r="A17" i="29"/>
  <c r="C210" i="53"/>
  <c r="A211" i="53"/>
  <c r="B210" i="53"/>
  <c r="AD22" i="24"/>
  <c r="AD22" i="40" s="1"/>
  <c r="E168" i="52" s="1"/>
  <c r="B22" i="24"/>
  <c r="A22" i="24"/>
  <c r="AC21" i="24"/>
  <c r="AC21" i="40" s="1"/>
  <c r="T21" i="24"/>
  <c r="T21" i="40" s="1"/>
  <c r="K21" i="24"/>
  <c r="K21" i="40" s="1"/>
  <c r="B21" i="24"/>
  <c r="A21" i="24"/>
  <c r="AC20" i="24"/>
  <c r="AC20" i="40" s="1"/>
  <c r="T20" i="24"/>
  <c r="T20" i="40" s="1"/>
  <c r="K20" i="24"/>
  <c r="K20" i="40" s="1"/>
  <c r="B20" i="24"/>
  <c r="A20" i="24"/>
  <c r="AC19" i="24"/>
  <c r="AC19" i="40" s="1"/>
  <c r="T19" i="24"/>
  <c r="T19" i="40" s="1"/>
  <c r="K19" i="24"/>
  <c r="K19" i="40" s="1"/>
  <c r="C211" i="54" l="1"/>
  <c r="A212" i="54"/>
  <c r="B211" i="54"/>
  <c r="B17" i="36"/>
  <c r="B17" i="43"/>
  <c r="B17" i="29"/>
  <c r="C255" i="52"/>
  <c r="D255" i="52"/>
  <c r="B255" i="52"/>
  <c r="A258" i="2"/>
  <c r="B257" i="2"/>
  <c r="C257" i="2"/>
  <c r="A18" i="43"/>
  <c r="A256" i="52"/>
  <c r="A18" i="36"/>
  <c r="AD17" i="36" s="1"/>
  <c r="AD17" i="43" s="1"/>
  <c r="A18" i="29"/>
  <c r="A212" i="53"/>
  <c r="B211" i="53"/>
  <c r="C211" i="53"/>
  <c r="AD21" i="24"/>
  <c r="AD21" i="40" s="1"/>
  <c r="E167" i="52" s="1"/>
  <c r="AD20" i="24"/>
  <c r="AD20" i="40" s="1"/>
  <c r="E166" i="52" s="1"/>
  <c r="AD19" i="24"/>
  <c r="AD19" i="40" s="1"/>
  <c r="E165" i="52" s="1"/>
  <c r="B19" i="24"/>
  <c r="A19" i="24"/>
  <c r="AC18" i="24"/>
  <c r="AC18" i="40" s="1"/>
  <c r="T18" i="24"/>
  <c r="T18" i="40" s="1"/>
  <c r="K18" i="24"/>
  <c r="K18" i="40" s="1"/>
  <c r="A213" i="54" l="1"/>
  <c r="B212" i="54"/>
  <c r="C212" i="54"/>
  <c r="E255" i="52"/>
  <c r="B256" i="52"/>
  <c r="D256" i="52"/>
  <c r="C256" i="52"/>
  <c r="C258" i="2"/>
  <c r="A259" i="2"/>
  <c r="B258" i="2"/>
  <c r="A257" i="52"/>
  <c r="A19" i="43"/>
  <c r="A19" i="36"/>
  <c r="A19" i="29"/>
  <c r="B18" i="43"/>
  <c r="B18" i="36"/>
  <c r="B18" i="29"/>
  <c r="C212" i="53"/>
  <c r="A213" i="53"/>
  <c r="B212" i="53"/>
  <c r="AD18" i="24"/>
  <c r="AD18" i="40" s="1"/>
  <c r="E164" i="52" s="1"/>
  <c r="B18" i="24"/>
  <c r="A18" i="24"/>
  <c r="AC17" i="24"/>
  <c r="AC17" i="40" s="1"/>
  <c r="T17" i="24"/>
  <c r="T17" i="40" s="1"/>
  <c r="K17" i="24"/>
  <c r="K17" i="40" s="1"/>
  <c r="B17" i="24"/>
  <c r="A17" i="24"/>
  <c r="AC16" i="24"/>
  <c r="AC16" i="40" s="1"/>
  <c r="T16" i="24"/>
  <c r="T16" i="40" s="1"/>
  <c r="K16" i="24"/>
  <c r="K16" i="40" s="1"/>
  <c r="B16" i="24"/>
  <c r="A16" i="24"/>
  <c r="AC15" i="24"/>
  <c r="AC15" i="40" s="1"/>
  <c r="T15" i="24"/>
  <c r="T15" i="40" s="1"/>
  <c r="K15" i="24"/>
  <c r="K15" i="40" s="1"/>
  <c r="C213" i="54" l="1"/>
  <c r="B213" i="54"/>
  <c r="A214" i="54"/>
  <c r="B257" i="52"/>
  <c r="C257" i="52"/>
  <c r="D257" i="52"/>
  <c r="A260" i="2"/>
  <c r="B259" i="2"/>
  <c r="C259" i="2"/>
  <c r="A258" i="52"/>
  <c r="A20" i="36"/>
  <c r="AD19" i="36" s="1"/>
  <c r="AD19" i="43" s="1"/>
  <c r="E257" i="52" s="1"/>
  <c r="A20" i="43"/>
  <c r="A20" i="29"/>
  <c r="B19" i="43"/>
  <c r="B19" i="36"/>
  <c r="B19" i="29"/>
  <c r="A214" i="53"/>
  <c r="B213" i="53"/>
  <c r="C213" i="53"/>
  <c r="AD17" i="24"/>
  <c r="AD17" i="40" s="1"/>
  <c r="E163" i="52" s="1"/>
  <c r="AD15" i="24"/>
  <c r="AD15" i="40" s="1"/>
  <c r="E161" i="52" s="1"/>
  <c r="AD16" i="24"/>
  <c r="AD16" i="40" s="1"/>
  <c r="E162" i="52" s="1"/>
  <c r="B15" i="24"/>
  <c r="A15" i="24"/>
  <c r="AC14" i="24"/>
  <c r="AC14" i="40" s="1"/>
  <c r="T14" i="24"/>
  <c r="T14" i="40" s="1"/>
  <c r="K14" i="24"/>
  <c r="K14" i="40" s="1"/>
  <c r="A215" i="54" l="1"/>
  <c r="B214" i="54"/>
  <c r="C214" i="54"/>
  <c r="C260" i="2"/>
  <c r="A261" i="2"/>
  <c r="B260" i="2"/>
  <c r="A259" i="52"/>
  <c r="A21" i="36"/>
  <c r="A21" i="43"/>
  <c r="A21" i="29"/>
  <c r="C258" i="52"/>
  <c r="B258" i="52"/>
  <c r="D258" i="52"/>
  <c r="B20" i="36"/>
  <c r="B20" i="43"/>
  <c r="B20" i="29"/>
  <c r="C214" i="53"/>
  <c r="A215" i="53"/>
  <c r="B214" i="53"/>
  <c r="AD14" i="24"/>
  <c r="AD14" i="40" s="1"/>
  <c r="E160" i="52" s="1"/>
  <c r="B14" i="24"/>
  <c r="A14" i="24"/>
  <c r="AC13" i="24"/>
  <c r="AC13" i="40" s="1"/>
  <c r="T13" i="24"/>
  <c r="T13" i="40" s="1"/>
  <c r="K13" i="24"/>
  <c r="K13" i="40" s="1"/>
  <c r="B13" i="24"/>
  <c r="A13" i="24"/>
  <c r="AC12" i="24"/>
  <c r="AC12" i="40" s="1"/>
  <c r="T12" i="24"/>
  <c r="T12" i="40" s="1"/>
  <c r="K12" i="24"/>
  <c r="K12" i="40" s="1"/>
  <c r="B12" i="24"/>
  <c r="A12" i="24"/>
  <c r="AC11" i="24"/>
  <c r="AC11" i="40" s="1"/>
  <c r="T11" i="24"/>
  <c r="T11" i="40" s="1"/>
  <c r="K11" i="24"/>
  <c r="K11" i="40" s="1"/>
  <c r="C215" i="54" l="1"/>
  <c r="A216" i="54"/>
  <c r="B215" i="54"/>
  <c r="B21" i="43"/>
  <c r="B21" i="36"/>
  <c r="B21" i="29"/>
  <c r="B259" i="52"/>
  <c r="D259" i="52"/>
  <c r="C259" i="52"/>
  <c r="A262" i="2"/>
  <c r="B261" i="2"/>
  <c r="C261" i="2"/>
  <c r="A260" i="52"/>
  <c r="A22" i="36"/>
  <c r="AD21" i="36" s="1"/>
  <c r="AD21" i="43" s="1"/>
  <c r="E259" i="52" s="1"/>
  <c r="A22" i="43"/>
  <c r="A22" i="29"/>
  <c r="A216" i="53"/>
  <c r="B215" i="53"/>
  <c r="C215" i="53"/>
  <c r="AD13" i="24"/>
  <c r="AD13" i="40" s="1"/>
  <c r="E159" i="52" s="1"/>
  <c r="AD12" i="24"/>
  <c r="AD12" i="40" s="1"/>
  <c r="E158" i="52" s="1"/>
  <c r="AD11" i="24"/>
  <c r="AD11" i="40" s="1"/>
  <c r="E157" i="52" s="1"/>
  <c r="B11" i="24"/>
  <c r="A11" i="24"/>
  <c r="AC10" i="24"/>
  <c r="AC10" i="40" s="1"/>
  <c r="T10" i="24"/>
  <c r="T10" i="40" s="1"/>
  <c r="K10" i="24"/>
  <c r="K10" i="40" s="1"/>
  <c r="A217" i="54" l="1"/>
  <c r="B216" i="54"/>
  <c r="C216" i="54"/>
  <c r="D260" i="52"/>
  <c r="B260" i="52"/>
  <c r="C260" i="52"/>
  <c r="C262" i="2"/>
  <c r="A263" i="2"/>
  <c r="B262" i="2"/>
  <c r="A261" i="52"/>
  <c r="A23" i="36"/>
  <c r="A23" i="43"/>
  <c r="A23" i="29"/>
  <c r="B22" i="36"/>
  <c r="B22" i="43"/>
  <c r="B22" i="29"/>
  <c r="C216" i="53"/>
  <c r="A217" i="53"/>
  <c r="B216" i="53"/>
  <c r="AD10" i="24"/>
  <c r="AD10" i="40" s="1"/>
  <c r="E156" i="52" s="1"/>
  <c r="B10" i="24"/>
  <c r="A10" i="24"/>
  <c r="AC9" i="24"/>
  <c r="AC9" i="40" s="1"/>
  <c r="T9" i="24"/>
  <c r="T9" i="40" s="1"/>
  <c r="K9" i="24"/>
  <c r="K9" i="40" s="1"/>
  <c r="B9" i="24"/>
  <c r="A9" i="24"/>
  <c r="AC8" i="24"/>
  <c r="AC8" i="40" s="1"/>
  <c r="T8" i="24"/>
  <c r="T8" i="40" s="1"/>
  <c r="K8" i="24"/>
  <c r="K8" i="40" s="1"/>
  <c r="B8" i="24"/>
  <c r="A8" i="24"/>
  <c r="AC7" i="24"/>
  <c r="AC7" i="40" s="1"/>
  <c r="T7" i="24"/>
  <c r="T7" i="40" s="1"/>
  <c r="K7" i="24"/>
  <c r="K7" i="40" s="1"/>
  <c r="C217" i="54" l="1"/>
  <c r="B217" i="54"/>
  <c r="A218" i="54"/>
  <c r="D261" i="52"/>
  <c r="C261" i="52"/>
  <c r="B261" i="52"/>
  <c r="A264" i="2"/>
  <c r="B263" i="2"/>
  <c r="C263" i="2"/>
  <c r="A24" i="43"/>
  <c r="A262" i="52"/>
  <c r="A24" i="36"/>
  <c r="AD23" i="36" s="1"/>
  <c r="AD23" i="43" s="1"/>
  <c r="E261" i="52" s="1"/>
  <c r="A24" i="29"/>
  <c r="B23" i="43"/>
  <c r="B23" i="36"/>
  <c r="B23" i="29"/>
  <c r="A218" i="53"/>
  <c r="B217" i="53"/>
  <c r="C217" i="53"/>
  <c r="AD7" i="24"/>
  <c r="AD7" i="40" s="1"/>
  <c r="E153" i="52" s="1"/>
  <c r="AD8" i="24"/>
  <c r="AD8" i="40" s="1"/>
  <c r="E154" i="52" s="1"/>
  <c r="AD9" i="24"/>
  <c r="AD9" i="40" s="1"/>
  <c r="E155" i="52" s="1"/>
  <c r="B7" i="24"/>
  <c r="A7" i="24"/>
  <c r="AC6" i="24"/>
  <c r="AC6" i="40" s="1"/>
  <c r="T6" i="24"/>
  <c r="T6" i="40" s="1"/>
  <c r="K6" i="24"/>
  <c r="K6" i="40" s="1"/>
  <c r="A219" i="54" l="1"/>
  <c r="B218" i="54"/>
  <c r="C218" i="54"/>
  <c r="B24" i="36"/>
  <c r="B24" i="43"/>
  <c r="B24" i="29"/>
  <c r="C262" i="52"/>
  <c r="D262" i="52"/>
  <c r="B262" i="52"/>
  <c r="C264" i="2"/>
  <c r="A265" i="2"/>
  <c r="B264" i="2"/>
  <c r="A263" i="52"/>
  <c r="A25" i="36"/>
  <c r="A25" i="43"/>
  <c r="A25" i="29"/>
  <c r="C218" i="53"/>
  <c r="A219" i="53"/>
  <c r="B218" i="53"/>
  <c r="AD6" i="24"/>
  <c r="AD6" i="40" s="1"/>
  <c r="E152" i="52" s="1"/>
  <c r="B6" i="24"/>
  <c r="A6" i="24"/>
  <c r="AC5" i="24"/>
  <c r="AC5" i="40" s="1"/>
  <c r="T5" i="24"/>
  <c r="T5" i="40" s="1"/>
  <c r="K5" i="24"/>
  <c r="K5" i="40" s="1"/>
  <c r="B5" i="24"/>
  <c r="A5" i="24"/>
  <c r="L1" i="24"/>
  <c r="C38" i="19"/>
  <c r="AB36" i="19"/>
  <c r="AB36" i="23" s="1"/>
  <c r="AA36" i="19"/>
  <c r="AA36" i="23" s="1"/>
  <c r="Z36" i="19"/>
  <c r="Z36" i="23" s="1"/>
  <c r="Y36" i="19"/>
  <c r="Y36" i="23" s="1"/>
  <c r="X36" i="19"/>
  <c r="X36" i="23" s="1"/>
  <c r="W36" i="19"/>
  <c r="W36" i="23" s="1"/>
  <c r="V36" i="19"/>
  <c r="V36" i="23" s="1"/>
  <c r="U36" i="19"/>
  <c r="U36" i="23" s="1"/>
  <c r="S36" i="19"/>
  <c r="S36" i="23" s="1"/>
  <c r="R36" i="19"/>
  <c r="R36" i="23" s="1"/>
  <c r="Q36" i="19"/>
  <c r="Q36" i="23" s="1"/>
  <c r="P36" i="19"/>
  <c r="P36" i="23" s="1"/>
  <c r="O36" i="19"/>
  <c r="O36" i="23" s="1"/>
  <c r="N36" i="19"/>
  <c r="N36" i="23" s="1"/>
  <c r="M36" i="19"/>
  <c r="M36" i="23" s="1"/>
  <c r="L36" i="19"/>
  <c r="L36" i="23" s="1"/>
  <c r="J36" i="19"/>
  <c r="J36" i="23" s="1"/>
  <c r="I36" i="19"/>
  <c r="I36" i="23" s="1"/>
  <c r="H36" i="19"/>
  <c r="H36" i="23" s="1"/>
  <c r="G36" i="19"/>
  <c r="G36" i="23" s="1"/>
  <c r="F36" i="19"/>
  <c r="F36" i="23" s="1"/>
  <c r="E36" i="19"/>
  <c r="E36" i="23" s="1"/>
  <c r="D36" i="19"/>
  <c r="D36" i="23" s="1"/>
  <c r="C36" i="19"/>
  <c r="C36" i="23" s="1"/>
  <c r="AC35" i="19"/>
  <c r="AC35" i="23" s="1"/>
  <c r="T35" i="19"/>
  <c r="T35" i="23" s="1"/>
  <c r="K35" i="19"/>
  <c r="K35" i="23" s="1"/>
  <c r="B35" i="19"/>
  <c r="A35" i="19"/>
  <c r="AC34" i="19"/>
  <c r="AC34" i="23" s="1"/>
  <c r="T34" i="19"/>
  <c r="T34" i="23" s="1"/>
  <c r="K34" i="19"/>
  <c r="K34" i="23" s="1"/>
  <c r="B34" i="19"/>
  <c r="A34" i="19"/>
  <c r="AC33" i="19"/>
  <c r="AC33" i="23" s="1"/>
  <c r="T33" i="19"/>
  <c r="T33" i="23" s="1"/>
  <c r="K33" i="19"/>
  <c r="K33" i="23" s="1"/>
  <c r="B33" i="19"/>
  <c r="A33" i="19"/>
  <c r="AC32" i="19"/>
  <c r="AC32" i="23" s="1"/>
  <c r="T32" i="19"/>
  <c r="T32" i="23" s="1"/>
  <c r="K32" i="19"/>
  <c r="K32" i="23" s="1"/>
  <c r="C219" i="54" l="1"/>
  <c r="A220" i="54"/>
  <c r="B219" i="54"/>
  <c r="B25" i="43"/>
  <c r="B25" i="36"/>
  <c r="B25" i="29"/>
  <c r="C263" i="52"/>
  <c r="B263" i="52"/>
  <c r="D263" i="52"/>
  <c r="A266" i="2"/>
  <c r="B265" i="2"/>
  <c r="C265" i="2"/>
  <c r="A264" i="52"/>
  <c r="A26" i="36"/>
  <c r="AD25" i="36" s="1"/>
  <c r="AD25" i="43" s="1"/>
  <c r="E263" i="52" s="1"/>
  <c r="A26" i="43"/>
  <c r="A26" i="29"/>
  <c r="A220" i="53"/>
  <c r="B219" i="53"/>
  <c r="C219" i="53"/>
  <c r="AD5" i="24"/>
  <c r="AD5" i="40" s="1"/>
  <c r="E151" i="52" s="1"/>
  <c r="AD35" i="19"/>
  <c r="AD35" i="23" s="1"/>
  <c r="E150" i="52" s="1"/>
  <c r="AD34" i="19"/>
  <c r="AD34" i="23" s="1"/>
  <c r="E149" i="52" s="1"/>
  <c r="AD33" i="19"/>
  <c r="AD33" i="23" s="1"/>
  <c r="E148" i="52" s="1"/>
  <c r="AD32" i="19"/>
  <c r="AD32" i="23" s="1"/>
  <c r="E147" i="52" s="1"/>
  <c r="AC36" i="19"/>
  <c r="F29" i="47"/>
  <c r="F30" i="47"/>
  <c r="F20" i="47"/>
  <c r="F19" i="47"/>
  <c r="F24" i="47"/>
  <c r="T36" i="19"/>
  <c r="T36" i="23" s="1"/>
  <c r="F12" i="47" s="1"/>
  <c r="F18" i="47"/>
  <c r="F25" i="47"/>
  <c r="F21" i="47"/>
  <c r="F26" i="47"/>
  <c r="K36" i="19"/>
  <c r="K36" i="23" s="1"/>
  <c r="F11" i="47" s="1"/>
  <c r="F28" i="47"/>
  <c r="F17" i="47"/>
  <c r="B32" i="19"/>
  <c r="A32" i="19"/>
  <c r="AC31" i="19"/>
  <c r="AC31" i="23" s="1"/>
  <c r="T31" i="19"/>
  <c r="T31" i="23" s="1"/>
  <c r="K31" i="19"/>
  <c r="K31" i="23" s="1"/>
  <c r="B31" i="19"/>
  <c r="A31" i="19"/>
  <c r="AC30" i="19"/>
  <c r="AC30" i="23" s="1"/>
  <c r="T30" i="19"/>
  <c r="T30" i="23" s="1"/>
  <c r="K30" i="19"/>
  <c r="K30" i="23" s="1"/>
  <c r="B30" i="19"/>
  <c r="A30" i="19"/>
  <c r="AC29" i="19"/>
  <c r="AC29" i="23" s="1"/>
  <c r="T29" i="19"/>
  <c r="T29" i="23" s="1"/>
  <c r="K29" i="19"/>
  <c r="K29" i="23" s="1"/>
  <c r="B29" i="19"/>
  <c r="A29" i="19"/>
  <c r="AC28" i="19"/>
  <c r="AC28" i="23" s="1"/>
  <c r="T28" i="19"/>
  <c r="T28" i="23" s="1"/>
  <c r="K28" i="19"/>
  <c r="K28" i="23" s="1"/>
  <c r="A221" i="54" l="1"/>
  <c r="B220" i="54"/>
  <c r="C220" i="54"/>
  <c r="C266" i="2"/>
  <c r="A267" i="2"/>
  <c r="B266" i="2"/>
  <c r="A265" i="52"/>
  <c r="A27" i="36"/>
  <c r="A27" i="43"/>
  <c r="A27" i="29"/>
  <c r="B264" i="52"/>
  <c r="C264" i="52"/>
  <c r="D264" i="52"/>
  <c r="B26" i="36"/>
  <c r="B26" i="43"/>
  <c r="B26" i="29"/>
  <c r="C220" i="53"/>
  <c r="A221" i="53"/>
  <c r="B220" i="53"/>
  <c r="G35" i="47"/>
  <c r="G33" i="47"/>
  <c r="G34" i="47"/>
  <c r="AD31" i="19"/>
  <c r="AD31" i="23" s="1"/>
  <c r="E146" i="52" s="1"/>
  <c r="AD29" i="19"/>
  <c r="AD29" i="23" s="1"/>
  <c r="E144" i="52" s="1"/>
  <c r="AD30" i="19"/>
  <c r="AD30" i="23" s="1"/>
  <c r="E145" i="52" s="1"/>
  <c r="F27" i="47"/>
  <c r="AD28" i="19"/>
  <c r="AD28" i="23" s="1"/>
  <c r="E143" i="52" s="1"/>
  <c r="F23" i="47"/>
  <c r="F16" i="47"/>
  <c r="F31" i="47"/>
  <c r="AD36" i="19"/>
  <c r="AD36" i="23" s="1"/>
  <c r="AC36" i="23" s="1"/>
  <c r="F13" i="47" s="1"/>
  <c r="B28" i="19"/>
  <c r="A28" i="19"/>
  <c r="AC27" i="19"/>
  <c r="AC27" i="23" s="1"/>
  <c r="T27" i="19"/>
  <c r="T27" i="23" s="1"/>
  <c r="K27" i="19"/>
  <c r="K27" i="23" s="1"/>
  <c r="B27" i="19"/>
  <c r="A27" i="19"/>
  <c r="AC26" i="19"/>
  <c r="AC26" i="23" s="1"/>
  <c r="T26" i="19"/>
  <c r="T26" i="23" s="1"/>
  <c r="K26" i="19"/>
  <c r="K26" i="23" s="1"/>
  <c r="B26" i="19"/>
  <c r="A26" i="19"/>
  <c r="AC25" i="19"/>
  <c r="AC25" i="23" s="1"/>
  <c r="T25" i="19"/>
  <c r="T25" i="23" s="1"/>
  <c r="K25" i="19"/>
  <c r="K25" i="23" s="1"/>
  <c r="B25" i="19"/>
  <c r="A25" i="19"/>
  <c r="AC24" i="19"/>
  <c r="AC24" i="23" s="1"/>
  <c r="T24" i="19"/>
  <c r="T24" i="23" s="1"/>
  <c r="K24" i="19"/>
  <c r="K24" i="23" s="1"/>
  <c r="C221" i="54" l="1"/>
  <c r="B221" i="54"/>
  <c r="A222" i="54"/>
  <c r="B27" i="43"/>
  <c r="B27" i="36"/>
  <c r="B27" i="29"/>
  <c r="B265" i="52"/>
  <c r="D265" i="52"/>
  <c r="C265" i="52"/>
  <c r="A268" i="2"/>
  <c r="B267" i="2"/>
  <c r="C267" i="2"/>
  <c r="A28" i="43"/>
  <c r="A266" i="52"/>
  <c r="A28" i="36"/>
  <c r="AD27" i="36" s="1"/>
  <c r="AD27" i="43" s="1"/>
  <c r="E265" i="52" s="1"/>
  <c r="A28" i="29"/>
  <c r="A222" i="53"/>
  <c r="B221" i="53"/>
  <c r="C221" i="53"/>
  <c r="AD27" i="19"/>
  <c r="AD27" i="23" s="1"/>
  <c r="E142" i="52" s="1"/>
  <c r="AD26" i="19"/>
  <c r="AD26" i="23" s="1"/>
  <c r="E141" i="52" s="1"/>
  <c r="AD25" i="19"/>
  <c r="AD25" i="23" s="1"/>
  <c r="E140" i="52" s="1"/>
  <c r="AD24" i="19"/>
  <c r="AD24" i="23" s="1"/>
  <c r="E139" i="52" s="1"/>
  <c r="AD38" i="19"/>
  <c r="AD38" i="23" s="1"/>
  <c r="F63" i="55" s="1"/>
  <c r="AD39" i="19"/>
  <c r="AD39" i="23" s="1"/>
  <c r="B24" i="19"/>
  <c r="A24" i="19"/>
  <c r="AC23" i="19"/>
  <c r="AC23" i="23" s="1"/>
  <c r="T23" i="19"/>
  <c r="T23" i="23" s="1"/>
  <c r="K23" i="19"/>
  <c r="K23" i="23" s="1"/>
  <c r="B23" i="19"/>
  <c r="A23" i="19"/>
  <c r="AC22" i="19"/>
  <c r="AC22" i="23" s="1"/>
  <c r="T22" i="19"/>
  <c r="T22" i="23" s="1"/>
  <c r="K22" i="19"/>
  <c r="K22" i="23" s="1"/>
  <c r="B22" i="19"/>
  <c r="A22" i="19"/>
  <c r="AC21" i="19"/>
  <c r="AC21" i="23" s="1"/>
  <c r="T21" i="19"/>
  <c r="T21" i="23" s="1"/>
  <c r="K21" i="19"/>
  <c r="K21" i="23" s="1"/>
  <c r="B21" i="19"/>
  <c r="A21" i="19"/>
  <c r="AC20" i="19"/>
  <c r="AC20" i="23" s="1"/>
  <c r="T20" i="19"/>
  <c r="T20" i="23" s="1"/>
  <c r="K20" i="19"/>
  <c r="K20" i="23" s="1"/>
  <c r="A223" i="54" l="1"/>
  <c r="B222" i="54"/>
  <c r="C222" i="54"/>
  <c r="B266" i="52"/>
  <c r="C266" i="52"/>
  <c r="D266" i="52"/>
  <c r="C268" i="2"/>
  <c r="A269" i="2"/>
  <c r="B268" i="2"/>
  <c r="A267" i="52"/>
  <c r="A29" i="36"/>
  <c r="A29" i="43"/>
  <c r="A29" i="29"/>
  <c r="B28" i="36"/>
  <c r="B28" i="43"/>
  <c r="B28" i="29"/>
  <c r="C222" i="53"/>
  <c r="A223" i="53"/>
  <c r="B222" i="53"/>
  <c r="F7" i="47"/>
  <c r="AD21" i="19"/>
  <c r="AD21" i="23" s="1"/>
  <c r="E136" i="52" s="1"/>
  <c r="AD23" i="19"/>
  <c r="AD23" i="23" s="1"/>
  <c r="E138" i="52" s="1"/>
  <c r="AD22" i="19"/>
  <c r="AD22" i="23" s="1"/>
  <c r="E137" i="52" s="1"/>
  <c r="AD20" i="19"/>
  <c r="AD20" i="23" s="1"/>
  <c r="E135" i="52" s="1"/>
  <c r="F6" i="47"/>
  <c r="B20" i="19"/>
  <c r="A20" i="19"/>
  <c r="AC19" i="19"/>
  <c r="AC19" i="23" s="1"/>
  <c r="T19" i="19"/>
  <c r="T19" i="23" s="1"/>
  <c r="K19" i="19"/>
  <c r="K19" i="23" s="1"/>
  <c r="B19" i="19"/>
  <c r="A19" i="19"/>
  <c r="AC18" i="19"/>
  <c r="AC18" i="23" s="1"/>
  <c r="T18" i="19"/>
  <c r="T18" i="23" s="1"/>
  <c r="K18" i="19"/>
  <c r="K18" i="23" s="1"/>
  <c r="B18" i="19"/>
  <c r="A18" i="19"/>
  <c r="AC17" i="19"/>
  <c r="AC17" i="23" s="1"/>
  <c r="T17" i="19"/>
  <c r="T17" i="23" s="1"/>
  <c r="K17" i="19"/>
  <c r="K17" i="23" s="1"/>
  <c r="B17" i="19"/>
  <c r="A17" i="19"/>
  <c r="AC16" i="19"/>
  <c r="AC16" i="23" s="1"/>
  <c r="T16" i="19"/>
  <c r="T16" i="23" s="1"/>
  <c r="K16" i="19"/>
  <c r="K16" i="23" s="1"/>
  <c r="C223" i="54" l="1"/>
  <c r="A224" i="54"/>
  <c r="B223" i="54"/>
  <c r="D267" i="52"/>
  <c r="B267" i="52"/>
  <c r="C267" i="52"/>
  <c r="A270" i="2"/>
  <c r="B269" i="2"/>
  <c r="C269" i="2"/>
  <c r="A30" i="43"/>
  <c r="A268" i="52"/>
  <c r="A30" i="36"/>
  <c r="AD29" i="36" s="1"/>
  <c r="AD29" i="43" s="1"/>
  <c r="E267" i="52" s="1"/>
  <c r="A30" i="29"/>
  <c r="B29" i="36"/>
  <c r="B29" i="43"/>
  <c r="B29" i="29"/>
  <c r="A224" i="53"/>
  <c r="B223" i="53"/>
  <c r="C223" i="53"/>
  <c r="AD19" i="19"/>
  <c r="AD19" i="23" s="1"/>
  <c r="E134" i="52" s="1"/>
  <c r="AD18" i="19"/>
  <c r="AD18" i="23" s="1"/>
  <c r="E133" i="52" s="1"/>
  <c r="AD17" i="19"/>
  <c r="AD17" i="23" s="1"/>
  <c r="E132" i="52" s="1"/>
  <c r="AD16" i="19"/>
  <c r="AD16" i="23" s="1"/>
  <c r="E131" i="52" s="1"/>
  <c r="B16" i="19"/>
  <c r="A16" i="19"/>
  <c r="AC15" i="19"/>
  <c r="AC15" i="23" s="1"/>
  <c r="T15" i="19"/>
  <c r="T15" i="23" s="1"/>
  <c r="K15" i="19"/>
  <c r="K15" i="23" s="1"/>
  <c r="B15" i="19"/>
  <c r="A15" i="19"/>
  <c r="AC14" i="19"/>
  <c r="AC14" i="23" s="1"/>
  <c r="T14" i="19"/>
  <c r="T14" i="23" s="1"/>
  <c r="K14" i="19"/>
  <c r="K14" i="23" s="1"/>
  <c r="B14" i="19"/>
  <c r="A14" i="19"/>
  <c r="AC13" i="19"/>
  <c r="AC13" i="23" s="1"/>
  <c r="T13" i="19"/>
  <c r="T13" i="23" s="1"/>
  <c r="K13" i="19"/>
  <c r="K13" i="23" s="1"/>
  <c r="B13" i="19"/>
  <c r="A13" i="19"/>
  <c r="AC12" i="19"/>
  <c r="AC12" i="23" s="1"/>
  <c r="T12" i="19"/>
  <c r="T12" i="23" s="1"/>
  <c r="K12" i="19"/>
  <c r="K12" i="23" s="1"/>
  <c r="A225" i="54" l="1"/>
  <c r="B224" i="54"/>
  <c r="C224" i="54"/>
  <c r="D268" i="52"/>
  <c r="C268" i="52"/>
  <c r="B268" i="52"/>
  <c r="C270" i="2"/>
  <c r="A271" i="2"/>
  <c r="B270" i="2"/>
  <c r="A269" i="52"/>
  <c r="A31" i="36"/>
  <c r="A31" i="43"/>
  <c r="A31" i="29"/>
  <c r="B30" i="36"/>
  <c r="B30" i="43"/>
  <c r="B30" i="29"/>
  <c r="C224" i="53"/>
  <c r="A225" i="53"/>
  <c r="B224" i="53"/>
  <c r="AD15" i="19"/>
  <c r="AD15" i="23" s="1"/>
  <c r="E130" i="52" s="1"/>
  <c r="AD14" i="19"/>
  <c r="AD14" i="23" s="1"/>
  <c r="E129" i="52" s="1"/>
  <c r="AD13" i="19"/>
  <c r="AD13" i="23" s="1"/>
  <c r="E128" i="52" s="1"/>
  <c r="AD12" i="19"/>
  <c r="AD12" i="23" s="1"/>
  <c r="E127" i="52" s="1"/>
  <c r="B12" i="19"/>
  <c r="A12" i="19"/>
  <c r="AC11" i="19"/>
  <c r="AC11" i="23" s="1"/>
  <c r="T11" i="19"/>
  <c r="T11" i="23" s="1"/>
  <c r="K11" i="19"/>
  <c r="K11" i="23" s="1"/>
  <c r="B11" i="19"/>
  <c r="A11" i="19"/>
  <c r="AC10" i="19"/>
  <c r="AC10" i="23" s="1"/>
  <c r="T10" i="19"/>
  <c r="T10" i="23" s="1"/>
  <c r="K10" i="19"/>
  <c r="K10" i="23" s="1"/>
  <c r="B10" i="19"/>
  <c r="A10" i="19"/>
  <c r="AC9" i="19"/>
  <c r="AC9" i="23" s="1"/>
  <c r="T9" i="19"/>
  <c r="T9" i="23" s="1"/>
  <c r="K9" i="19"/>
  <c r="K9" i="23" s="1"/>
  <c r="B9" i="19"/>
  <c r="A9" i="19"/>
  <c r="AC8" i="19"/>
  <c r="AC8" i="23" s="1"/>
  <c r="T8" i="19"/>
  <c r="T8" i="23" s="1"/>
  <c r="K8" i="19"/>
  <c r="K8" i="23" s="1"/>
  <c r="C225" i="54" l="1"/>
  <c r="B225" i="54"/>
  <c r="A226" i="54"/>
  <c r="C269" i="52"/>
  <c r="D269" i="52"/>
  <c r="B269" i="52"/>
  <c r="A272" i="2"/>
  <c r="B271" i="2"/>
  <c r="C271" i="2"/>
  <c r="A270" i="52"/>
  <c r="A32" i="36"/>
  <c r="AD31" i="36" s="1"/>
  <c r="AD31" i="43" s="1"/>
  <c r="A32" i="43"/>
  <c r="A32" i="29"/>
  <c r="B31" i="43"/>
  <c r="B31" i="36"/>
  <c r="B31" i="29"/>
  <c r="A226" i="53"/>
  <c r="B225" i="53"/>
  <c r="C225" i="53"/>
  <c r="AD10" i="19"/>
  <c r="AD10" i="23" s="1"/>
  <c r="E125" i="52" s="1"/>
  <c r="AD11" i="19"/>
  <c r="AD11" i="23" s="1"/>
  <c r="E126" i="52" s="1"/>
  <c r="AD9" i="19"/>
  <c r="AD9" i="23" s="1"/>
  <c r="E124" i="52" s="1"/>
  <c r="AD8" i="19"/>
  <c r="AD8" i="23" s="1"/>
  <c r="E123" i="52" s="1"/>
  <c r="B8" i="19"/>
  <c r="A8" i="19"/>
  <c r="AC7" i="19"/>
  <c r="AC7" i="23" s="1"/>
  <c r="T7" i="19"/>
  <c r="T7" i="23" s="1"/>
  <c r="K7" i="19"/>
  <c r="K7" i="23" s="1"/>
  <c r="B7" i="19"/>
  <c r="A7" i="19"/>
  <c r="AC6" i="19"/>
  <c r="AC6" i="23" s="1"/>
  <c r="T6" i="19"/>
  <c r="T6" i="23" s="1"/>
  <c r="K6" i="19"/>
  <c r="K6" i="23" s="1"/>
  <c r="B6" i="19"/>
  <c r="A6" i="19"/>
  <c r="AC5" i="19"/>
  <c r="AC5" i="23" s="1"/>
  <c r="T5" i="19"/>
  <c r="T5" i="23" s="1"/>
  <c r="K5" i="19"/>
  <c r="K5" i="23" s="1"/>
  <c r="B5" i="19"/>
  <c r="A5" i="19"/>
  <c r="L1" i="19"/>
  <c r="C38" i="18"/>
  <c r="AB36" i="18"/>
  <c r="AB36" i="22" s="1"/>
  <c r="AA36" i="18"/>
  <c r="AA36" i="22" s="1"/>
  <c r="Z36" i="18"/>
  <c r="Z36" i="22" s="1"/>
  <c r="Y36" i="18"/>
  <c r="Y36" i="22" s="1"/>
  <c r="X36" i="18"/>
  <c r="X36" i="22" s="1"/>
  <c r="W36" i="18"/>
  <c r="W36" i="22" s="1"/>
  <c r="V36" i="18"/>
  <c r="V36" i="22" s="1"/>
  <c r="U36" i="18"/>
  <c r="S36" i="18"/>
  <c r="S36" i="22" s="1"/>
  <c r="R36" i="18"/>
  <c r="R36" i="22" s="1"/>
  <c r="Q36" i="18"/>
  <c r="Q36" i="22" s="1"/>
  <c r="P36" i="18"/>
  <c r="P36" i="22" s="1"/>
  <c r="O36" i="18"/>
  <c r="O36" i="22" s="1"/>
  <c r="N36" i="18"/>
  <c r="M36" i="18"/>
  <c r="M36" i="22" s="1"/>
  <c r="L36" i="18"/>
  <c r="L36" i="22" s="1"/>
  <c r="J36" i="18"/>
  <c r="J36" i="22" s="1"/>
  <c r="E29" i="47" s="1"/>
  <c r="I36" i="18"/>
  <c r="I36" i="22" s="1"/>
  <c r="H36" i="18"/>
  <c r="H36" i="22" s="1"/>
  <c r="E30" i="47" s="1"/>
  <c r="G36" i="18"/>
  <c r="G36" i="22" s="1"/>
  <c r="F36" i="18"/>
  <c r="F36" i="22" s="1"/>
  <c r="E20" i="47" s="1"/>
  <c r="E36" i="18"/>
  <c r="E36" i="22" s="1"/>
  <c r="E19" i="47" s="1"/>
  <c r="D36" i="18"/>
  <c r="D36" i="22" s="1"/>
  <c r="C36" i="18"/>
  <c r="C36" i="22" s="1"/>
  <c r="AC35" i="18"/>
  <c r="AC35" i="22" s="1"/>
  <c r="T35" i="18"/>
  <c r="T35" i="22" s="1"/>
  <c r="K35" i="18"/>
  <c r="K35" i="22" s="1"/>
  <c r="AC34" i="18"/>
  <c r="AC34" i="22" s="1"/>
  <c r="T34" i="18"/>
  <c r="T34" i="22" s="1"/>
  <c r="K34" i="18"/>
  <c r="K34" i="22" s="1"/>
  <c r="B34" i="18"/>
  <c r="A34" i="18"/>
  <c r="AC33" i="18"/>
  <c r="AC33" i="22" s="1"/>
  <c r="T33" i="18"/>
  <c r="T33" i="22" s="1"/>
  <c r="K33" i="18"/>
  <c r="K33" i="22" s="1"/>
  <c r="B33" i="18"/>
  <c r="A33" i="18"/>
  <c r="AC32" i="18"/>
  <c r="AC32" i="22" s="1"/>
  <c r="T32" i="18"/>
  <c r="T32" i="22" s="1"/>
  <c r="K32" i="18"/>
  <c r="K32" i="22" s="1"/>
  <c r="B32" i="18"/>
  <c r="A32" i="18"/>
  <c r="AC31" i="18"/>
  <c r="AC31" i="22" s="1"/>
  <c r="T31" i="18"/>
  <c r="T31" i="22" s="1"/>
  <c r="K31" i="18"/>
  <c r="K31" i="22" s="1"/>
  <c r="AD35" i="18" l="1"/>
  <c r="AD35" i="22" s="1"/>
  <c r="T36" i="18"/>
  <c r="U36" i="22"/>
  <c r="AC36" i="18"/>
  <c r="E269" i="52"/>
  <c r="J33" i="47"/>
  <c r="J35" i="47"/>
  <c r="J34" i="47"/>
  <c r="A227" i="54"/>
  <c r="B226" i="54"/>
  <c r="C226" i="54"/>
  <c r="D270" i="52"/>
  <c r="C270" i="52"/>
  <c r="B270" i="52"/>
  <c r="B32" i="36"/>
  <c r="B32" i="43"/>
  <c r="B32" i="29"/>
  <c r="C272" i="2"/>
  <c r="A273" i="2"/>
  <c r="B272" i="2"/>
  <c r="A271" i="52"/>
  <c r="A33" i="36"/>
  <c r="A33" i="43"/>
  <c r="A33" i="29"/>
  <c r="C226" i="53"/>
  <c r="A227" i="53"/>
  <c r="B226" i="53"/>
  <c r="AD7" i="19"/>
  <c r="AD7" i="23" s="1"/>
  <c r="E122" i="52" s="1"/>
  <c r="AD6" i="19"/>
  <c r="AD6" i="23" s="1"/>
  <c r="E121" i="52" s="1"/>
  <c r="AD5" i="19"/>
  <c r="AD5" i="23" s="1"/>
  <c r="E120" i="52" s="1"/>
  <c r="AD34" i="18"/>
  <c r="AD34" i="22" s="1"/>
  <c r="E119" i="52" s="1"/>
  <c r="AD33" i="18"/>
  <c r="AD33" i="22" s="1"/>
  <c r="E118" i="52" s="1"/>
  <c r="AD32" i="18"/>
  <c r="AD32" i="22" s="1"/>
  <c r="E117" i="52" s="1"/>
  <c r="AD31" i="18"/>
  <c r="AD31" i="22" s="1"/>
  <c r="E116" i="52" s="1"/>
  <c r="E25" i="47"/>
  <c r="E18" i="47"/>
  <c r="E21" i="47"/>
  <c r="E26" i="47"/>
  <c r="E31" i="47"/>
  <c r="E28" i="47"/>
  <c r="E27" i="47" s="1"/>
  <c r="E17" i="47"/>
  <c r="K36" i="18"/>
  <c r="B31" i="18"/>
  <c r="A31" i="18"/>
  <c r="AC30" i="18"/>
  <c r="AC30" i="22" s="1"/>
  <c r="T30" i="18"/>
  <c r="T30" i="22" s="1"/>
  <c r="K30" i="18"/>
  <c r="K30" i="22" s="1"/>
  <c r="B30" i="18"/>
  <c r="A30" i="18"/>
  <c r="AC29" i="18"/>
  <c r="AC29" i="22" s="1"/>
  <c r="T29" i="18"/>
  <c r="T29" i="22" s="1"/>
  <c r="K29" i="18"/>
  <c r="K29" i="22" s="1"/>
  <c r="B29" i="18"/>
  <c r="A29" i="18"/>
  <c r="AC28" i="18"/>
  <c r="AC28" i="22" s="1"/>
  <c r="T28" i="18"/>
  <c r="T28" i="22" s="1"/>
  <c r="K28" i="18"/>
  <c r="K28" i="22" s="1"/>
  <c r="B28" i="18"/>
  <c r="A28" i="18"/>
  <c r="AC27" i="18"/>
  <c r="AC27" i="22" s="1"/>
  <c r="T27" i="18"/>
  <c r="T27" i="22" s="1"/>
  <c r="K27" i="18"/>
  <c r="K27" i="22" s="1"/>
  <c r="AD29" i="18" l="1"/>
  <c r="AD29" i="22" s="1"/>
  <c r="E114" i="52" s="1"/>
  <c r="AD30" i="18"/>
  <c r="AD30" i="22" s="1"/>
  <c r="E115" i="52" s="1"/>
  <c r="C227" i="54"/>
  <c r="A228" i="54"/>
  <c r="B227" i="54"/>
  <c r="T36" i="22"/>
  <c r="E12" i="47" s="1"/>
  <c r="E24" i="47"/>
  <c r="B33" i="43"/>
  <c r="B33" i="36"/>
  <c r="B33" i="29"/>
  <c r="C271" i="52"/>
  <c r="D271" i="52"/>
  <c r="B271" i="52"/>
  <c r="A274" i="2"/>
  <c r="B273" i="2"/>
  <c r="C273" i="2"/>
  <c r="A272" i="52"/>
  <c r="A34" i="36"/>
  <c r="A34" i="43"/>
  <c r="A34" i="29"/>
  <c r="A228" i="53"/>
  <c r="B227" i="53"/>
  <c r="C227" i="53"/>
  <c r="F33" i="47"/>
  <c r="F34" i="47"/>
  <c r="F35" i="47"/>
  <c r="E23" i="47"/>
  <c r="AD27" i="18"/>
  <c r="AD27" i="22" s="1"/>
  <c r="E112" i="52" s="1"/>
  <c r="AD28" i="18"/>
  <c r="AD28" i="22" s="1"/>
  <c r="E113" i="52" s="1"/>
  <c r="E16" i="47"/>
  <c r="K36" i="22"/>
  <c r="E11" i="47" s="1"/>
  <c r="AD36" i="18"/>
  <c r="B27" i="18"/>
  <c r="A27" i="18"/>
  <c r="AC26" i="18"/>
  <c r="AC26" i="22" s="1"/>
  <c r="T26" i="18"/>
  <c r="T26" i="22" s="1"/>
  <c r="K26" i="18"/>
  <c r="K26" i="22" s="1"/>
  <c r="B26" i="18"/>
  <c r="A26" i="18"/>
  <c r="AC25" i="18"/>
  <c r="AC25" i="22" s="1"/>
  <c r="T25" i="18"/>
  <c r="T25" i="22" s="1"/>
  <c r="K25" i="18"/>
  <c r="K25" i="22" s="1"/>
  <c r="B25" i="18"/>
  <c r="A25" i="18"/>
  <c r="AC24" i="18"/>
  <c r="AC24" i="22" s="1"/>
  <c r="T24" i="18"/>
  <c r="T24" i="22" s="1"/>
  <c r="K24" i="18"/>
  <c r="K24" i="22" s="1"/>
  <c r="B24" i="18"/>
  <c r="A24" i="18"/>
  <c r="AC23" i="18"/>
  <c r="AC23" i="22" s="1"/>
  <c r="T23" i="18"/>
  <c r="T23" i="22" s="1"/>
  <c r="K23" i="18"/>
  <c r="K23" i="22" s="1"/>
  <c r="A229" i="54" l="1"/>
  <c r="B228" i="54"/>
  <c r="C228" i="54"/>
  <c r="C274" i="2"/>
  <c r="A275" i="2"/>
  <c r="B274" i="2"/>
  <c r="A273" i="52"/>
  <c r="A5" i="37"/>
  <c r="A5" i="44"/>
  <c r="A5" i="30"/>
  <c r="D272" i="52"/>
  <c r="C272" i="52"/>
  <c r="B272" i="52"/>
  <c r="B34" i="36"/>
  <c r="B34" i="43"/>
  <c r="B34" i="29"/>
  <c r="C228" i="53"/>
  <c r="A229" i="53"/>
  <c r="B228" i="53"/>
  <c r="AD25" i="18"/>
  <c r="AD25" i="22" s="1"/>
  <c r="E110" i="52" s="1"/>
  <c r="AD26" i="18"/>
  <c r="AD26" i="22" s="1"/>
  <c r="E111" i="52" s="1"/>
  <c r="AD24" i="18"/>
  <c r="AD24" i="22" s="1"/>
  <c r="E109" i="52" s="1"/>
  <c r="AD23" i="18"/>
  <c r="AD23" i="22" s="1"/>
  <c r="E108" i="52" s="1"/>
  <c r="AD36" i="22"/>
  <c r="AC36" i="22" s="1"/>
  <c r="E13" i="47" s="1"/>
  <c r="AD38" i="18"/>
  <c r="AD39" i="18"/>
  <c r="AD39" i="22" s="1"/>
  <c r="B23" i="18"/>
  <c r="A23" i="18"/>
  <c r="AC22" i="18"/>
  <c r="AC22" i="22" s="1"/>
  <c r="T22" i="18"/>
  <c r="T22" i="22" s="1"/>
  <c r="K22" i="18"/>
  <c r="K22" i="22" s="1"/>
  <c r="B22" i="18"/>
  <c r="A22" i="18"/>
  <c r="AC21" i="18"/>
  <c r="AC21" i="22" s="1"/>
  <c r="T21" i="18"/>
  <c r="T21" i="22" s="1"/>
  <c r="K21" i="18"/>
  <c r="K21" i="22" s="1"/>
  <c r="B21" i="18"/>
  <c r="A21" i="18"/>
  <c r="AC20" i="18"/>
  <c r="AC20" i="22" s="1"/>
  <c r="T20" i="18"/>
  <c r="T20" i="22" s="1"/>
  <c r="K20" i="18"/>
  <c r="K20" i="22" s="1"/>
  <c r="B20" i="18"/>
  <c r="A20" i="18"/>
  <c r="AC19" i="18"/>
  <c r="AC19" i="22" s="1"/>
  <c r="T19" i="18"/>
  <c r="T19" i="22" s="1"/>
  <c r="K19" i="18"/>
  <c r="K19" i="22" s="1"/>
  <c r="AD21" i="18" l="1"/>
  <c r="AD21" i="22" s="1"/>
  <c r="E106" i="52" s="1"/>
  <c r="AD22" i="18"/>
  <c r="AD22" i="22" s="1"/>
  <c r="E107" i="52" s="1"/>
  <c r="C229" i="54"/>
  <c r="B229" i="54"/>
  <c r="A230" i="54"/>
  <c r="B5" i="44"/>
  <c r="B5" i="37"/>
  <c r="B5" i="30"/>
  <c r="B273" i="52"/>
  <c r="D273" i="52"/>
  <c r="C273" i="52"/>
  <c r="A276" i="2"/>
  <c r="B275" i="2"/>
  <c r="C275" i="2"/>
  <c r="A274" i="52"/>
  <c r="A6" i="37"/>
  <c r="AD5" i="37" s="1"/>
  <c r="AD5" i="44" s="1"/>
  <c r="A6" i="44"/>
  <c r="A6" i="30"/>
  <c r="A230" i="53"/>
  <c r="B229" i="53"/>
  <c r="C229" i="53"/>
  <c r="AD20" i="18"/>
  <c r="AD20" i="22" s="1"/>
  <c r="E105" i="52" s="1"/>
  <c r="AD19" i="18"/>
  <c r="AD19" i="22" s="1"/>
  <c r="E104" i="52" s="1"/>
  <c r="E7" i="47"/>
  <c r="AD38" i="22"/>
  <c r="E63" i="55" s="1"/>
  <c r="B19" i="18"/>
  <c r="A19" i="18"/>
  <c r="AC18" i="18"/>
  <c r="AC18" i="22" s="1"/>
  <c r="T18" i="18"/>
  <c r="T18" i="22" s="1"/>
  <c r="K18" i="18"/>
  <c r="K18" i="22" s="1"/>
  <c r="B18" i="18"/>
  <c r="A18" i="18"/>
  <c r="AC17" i="18"/>
  <c r="AC17" i="22" s="1"/>
  <c r="T17" i="18"/>
  <c r="T17" i="22" s="1"/>
  <c r="K17" i="18"/>
  <c r="K17" i="22" s="1"/>
  <c r="B17" i="18"/>
  <c r="A17" i="18"/>
  <c r="AC16" i="18"/>
  <c r="AC16" i="22" s="1"/>
  <c r="T16" i="18"/>
  <c r="T16" i="22" s="1"/>
  <c r="K16" i="18"/>
  <c r="K16" i="22" s="1"/>
  <c r="B16" i="18"/>
  <c r="A16" i="18"/>
  <c r="AC15" i="18"/>
  <c r="AC15" i="22" s="1"/>
  <c r="T15" i="18"/>
  <c r="T15" i="22" s="1"/>
  <c r="K15" i="18"/>
  <c r="K15" i="22" s="1"/>
  <c r="E273" i="52" l="1"/>
  <c r="A231" i="54"/>
  <c r="B230" i="54"/>
  <c r="C230" i="54"/>
  <c r="C276" i="2"/>
  <c r="A277" i="2"/>
  <c r="B276" i="2"/>
  <c r="A275" i="52"/>
  <c r="A7" i="37"/>
  <c r="A7" i="44"/>
  <c r="A7" i="30"/>
  <c r="C274" i="52"/>
  <c r="D274" i="52"/>
  <c r="B274" i="52"/>
  <c r="B6" i="37"/>
  <c r="B6" i="44"/>
  <c r="B6" i="30"/>
  <c r="C230" i="53"/>
  <c r="A231" i="53"/>
  <c r="B230" i="53"/>
  <c r="AD18" i="18"/>
  <c r="AD18" i="22" s="1"/>
  <c r="E103" i="52" s="1"/>
  <c r="AD17" i="18"/>
  <c r="AD17" i="22" s="1"/>
  <c r="E102" i="52" s="1"/>
  <c r="AD16" i="18"/>
  <c r="AD16" i="22" s="1"/>
  <c r="E101" i="52" s="1"/>
  <c r="AD15" i="18"/>
  <c r="AD15" i="22" s="1"/>
  <c r="E100" i="52" s="1"/>
  <c r="E6" i="47"/>
  <c r="B15" i="18"/>
  <c r="A15" i="18"/>
  <c r="AC14" i="18"/>
  <c r="AC14" i="22" s="1"/>
  <c r="T14" i="18"/>
  <c r="T14" i="22" s="1"/>
  <c r="K14" i="18"/>
  <c r="K14" i="22" s="1"/>
  <c r="B14" i="18"/>
  <c r="A14" i="18"/>
  <c r="AC13" i="18"/>
  <c r="AC13" i="22" s="1"/>
  <c r="T13" i="18"/>
  <c r="T13" i="22" s="1"/>
  <c r="K13" i="18"/>
  <c r="K13" i="22" s="1"/>
  <c r="B13" i="18"/>
  <c r="A13" i="18"/>
  <c r="AC12" i="18"/>
  <c r="AC12" i="22" s="1"/>
  <c r="T12" i="18"/>
  <c r="T12" i="22" s="1"/>
  <c r="K12" i="18"/>
  <c r="K12" i="22" s="1"/>
  <c r="B12" i="18"/>
  <c r="A12" i="18"/>
  <c r="AC11" i="18"/>
  <c r="AC11" i="22" s="1"/>
  <c r="T11" i="18"/>
  <c r="T11" i="22" s="1"/>
  <c r="K11" i="18"/>
  <c r="K11" i="22" s="1"/>
  <c r="C231" i="54" l="1"/>
  <c r="A232" i="54"/>
  <c r="B231" i="54"/>
  <c r="B7" i="44"/>
  <c r="B7" i="37"/>
  <c r="B7" i="30"/>
  <c r="C275" i="52"/>
  <c r="D275" i="52"/>
  <c r="B275" i="52"/>
  <c r="A278" i="2"/>
  <c r="B277" i="2"/>
  <c r="C277" i="2"/>
  <c r="A276" i="52"/>
  <c r="A8" i="37"/>
  <c r="AD7" i="37" s="1"/>
  <c r="AD7" i="44" s="1"/>
  <c r="A8" i="44"/>
  <c r="A8" i="30"/>
  <c r="A232" i="53"/>
  <c r="B231" i="53"/>
  <c r="C231" i="53"/>
  <c r="AD14" i="18"/>
  <c r="AD14" i="22" s="1"/>
  <c r="E99" i="52" s="1"/>
  <c r="AD13" i="18"/>
  <c r="AD13" i="22" s="1"/>
  <c r="E98" i="52" s="1"/>
  <c r="AD12" i="18"/>
  <c r="AD12" i="22" s="1"/>
  <c r="E97" i="52" s="1"/>
  <c r="AD11" i="18"/>
  <c r="AD11" i="22" s="1"/>
  <c r="E96" i="52" s="1"/>
  <c r="B11" i="18"/>
  <c r="A11" i="18"/>
  <c r="AC10" i="18"/>
  <c r="AC10" i="22" s="1"/>
  <c r="T10" i="18"/>
  <c r="T10" i="22" s="1"/>
  <c r="K10" i="18"/>
  <c r="K10" i="22" s="1"/>
  <c r="B10" i="18"/>
  <c r="A10" i="18"/>
  <c r="AC9" i="18"/>
  <c r="AC9" i="22" s="1"/>
  <c r="T9" i="18"/>
  <c r="T9" i="22" s="1"/>
  <c r="K9" i="18"/>
  <c r="K9" i="22" s="1"/>
  <c r="B9" i="18"/>
  <c r="A9" i="18"/>
  <c r="AC8" i="18"/>
  <c r="AC8" i="22" s="1"/>
  <c r="T8" i="18"/>
  <c r="T8" i="22" s="1"/>
  <c r="K8" i="18"/>
  <c r="K8" i="22" s="1"/>
  <c r="B8" i="18"/>
  <c r="A8" i="18"/>
  <c r="AC7" i="18"/>
  <c r="AC7" i="22" s="1"/>
  <c r="T7" i="18"/>
  <c r="T7" i="22" s="1"/>
  <c r="K7" i="18"/>
  <c r="K7" i="22" s="1"/>
  <c r="E275" i="52" l="1"/>
  <c r="A233" i="54"/>
  <c r="B232" i="54"/>
  <c r="C232" i="54"/>
  <c r="C278" i="2"/>
  <c r="A279" i="2"/>
  <c r="B278" i="2"/>
  <c r="A277" i="52"/>
  <c r="A9" i="44"/>
  <c r="A9" i="37"/>
  <c r="A9" i="30"/>
  <c r="C276" i="52"/>
  <c r="B276" i="52"/>
  <c r="D276" i="52"/>
  <c r="B8" i="44"/>
  <c r="B8" i="37"/>
  <c r="B8" i="30"/>
  <c r="C232" i="53"/>
  <c r="A233" i="53"/>
  <c r="B232" i="53"/>
  <c r="AD10" i="18"/>
  <c r="AD10" i="22" s="1"/>
  <c r="E95" i="52" s="1"/>
  <c r="AD9" i="18"/>
  <c r="AD9" i="22" s="1"/>
  <c r="E94" i="52" s="1"/>
  <c r="AD8" i="18"/>
  <c r="AD8" i="22" s="1"/>
  <c r="E93" i="52" s="1"/>
  <c r="AD7" i="18"/>
  <c r="AD7" i="22" s="1"/>
  <c r="E92" i="52" s="1"/>
  <c r="B7" i="18"/>
  <c r="A7" i="18"/>
  <c r="AC6" i="18"/>
  <c r="AC6" i="22" s="1"/>
  <c r="T6" i="18"/>
  <c r="T6" i="22" s="1"/>
  <c r="K6" i="18"/>
  <c r="K6" i="22" s="1"/>
  <c r="B6" i="18"/>
  <c r="A6" i="18"/>
  <c r="AC5" i="18"/>
  <c r="AC5" i="22" s="1"/>
  <c r="T5" i="18"/>
  <c r="T5" i="22" s="1"/>
  <c r="K5" i="18"/>
  <c r="K5" i="22" s="1"/>
  <c r="B5" i="18"/>
  <c r="A5" i="18"/>
  <c r="L1" i="18"/>
  <c r="C38" i="15"/>
  <c r="AB36" i="15"/>
  <c r="AB36" i="17" s="1"/>
  <c r="AA36" i="15"/>
  <c r="AA36" i="17" s="1"/>
  <c r="Z36" i="15"/>
  <c r="Z36" i="17" s="1"/>
  <c r="Y36" i="15"/>
  <c r="Y36" i="17" s="1"/>
  <c r="X36" i="15"/>
  <c r="X36" i="17" s="1"/>
  <c r="W36" i="15"/>
  <c r="W36" i="17" s="1"/>
  <c r="V36" i="15"/>
  <c r="V36" i="17" s="1"/>
  <c r="U36" i="15"/>
  <c r="S36" i="15"/>
  <c r="S36" i="17" s="1"/>
  <c r="R36" i="15"/>
  <c r="R36" i="17" s="1"/>
  <c r="Q36" i="15"/>
  <c r="Q36" i="17" s="1"/>
  <c r="P36" i="15"/>
  <c r="P36" i="17" s="1"/>
  <c r="O36" i="15"/>
  <c r="O36" i="17" s="1"/>
  <c r="N36" i="15"/>
  <c r="M36" i="15"/>
  <c r="M36" i="17" s="1"/>
  <c r="L36" i="15"/>
  <c r="L36" i="17" s="1"/>
  <c r="J36" i="15"/>
  <c r="J36" i="17" s="1"/>
  <c r="D29" i="47" s="1"/>
  <c r="I36" i="15"/>
  <c r="I36" i="17" s="1"/>
  <c r="H36" i="15"/>
  <c r="H36" i="17" s="1"/>
  <c r="D30" i="47" s="1"/>
  <c r="G36" i="15"/>
  <c r="G36" i="17" s="1"/>
  <c r="F36" i="15"/>
  <c r="F36" i="17" s="1"/>
  <c r="D20" i="47" s="1"/>
  <c r="E36" i="15"/>
  <c r="E36" i="17" s="1"/>
  <c r="D36" i="15"/>
  <c r="D36" i="17" s="1"/>
  <c r="C36" i="15"/>
  <c r="AC35" i="15"/>
  <c r="AC35" i="17" s="1"/>
  <c r="T35" i="15"/>
  <c r="T35" i="17" s="1"/>
  <c r="K35" i="15"/>
  <c r="K35" i="17" s="1"/>
  <c r="B35" i="15"/>
  <c r="A35" i="15"/>
  <c r="AC34" i="15"/>
  <c r="AC34" i="17" s="1"/>
  <c r="T34" i="15"/>
  <c r="T34" i="17" s="1"/>
  <c r="K34" i="15"/>
  <c r="K34" i="17" s="1"/>
  <c r="D19" i="47" l="1"/>
  <c r="N36" i="17"/>
  <c r="N26" i="17"/>
  <c r="T36" i="15"/>
  <c r="U36" i="17"/>
  <c r="T36" i="17" s="1"/>
  <c r="D12" i="47" s="1"/>
  <c r="AC36" i="15"/>
  <c r="C233" i="54"/>
  <c r="B233" i="54"/>
  <c r="A234" i="54"/>
  <c r="B9" i="44"/>
  <c r="B9" i="37"/>
  <c r="B9" i="30"/>
  <c r="B277" i="52"/>
  <c r="C277" i="52"/>
  <c r="D277" i="52"/>
  <c r="A280" i="2"/>
  <c r="B279" i="2"/>
  <c r="C279" i="2"/>
  <c r="A10" i="44"/>
  <c r="A278" i="52"/>
  <c r="A10" i="37"/>
  <c r="AD9" i="37" s="1"/>
  <c r="AD9" i="44" s="1"/>
  <c r="A10" i="30"/>
  <c r="A234" i="53"/>
  <c r="B233" i="53"/>
  <c r="C233" i="53"/>
  <c r="AD5" i="18"/>
  <c r="AD5" i="22" s="1"/>
  <c r="E90" i="52" s="1"/>
  <c r="AD6" i="18"/>
  <c r="AD6" i="22" s="1"/>
  <c r="E91" i="52" s="1"/>
  <c r="AD34" i="15"/>
  <c r="AD34" i="17" s="1"/>
  <c r="E88" i="52" s="1"/>
  <c r="D25" i="47"/>
  <c r="D18" i="47"/>
  <c r="D21" i="47"/>
  <c r="D26" i="47"/>
  <c r="D31" i="47"/>
  <c r="K36" i="15"/>
  <c r="K36" i="17" s="1"/>
  <c r="D11" i="47" s="1"/>
  <c r="AD35" i="15"/>
  <c r="AD35" i="17" s="1"/>
  <c r="E89" i="52" s="1"/>
  <c r="C36" i="17"/>
  <c r="D24" i="47" s="1"/>
  <c r="D28" i="47"/>
  <c r="D27" i="47" s="1"/>
  <c r="D17" i="47"/>
  <c r="D16" i="47" s="1"/>
  <c r="B34" i="15"/>
  <c r="A34" i="15"/>
  <c r="AC33" i="15"/>
  <c r="AC33" i="17" s="1"/>
  <c r="T33" i="15"/>
  <c r="T33" i="17" s="1"/>
  <c r="K33" i="15"/>
  <c r="K33" i="17" s="1"/>
  <c r="B33" i="15"/>
  <c r="A33" i="15"/>
  <c r="AC32" i="15"/>
  <c r="AC32" i="17" s="1"/>
  <c r="T32" i="15"/>
  <c r="T32" i="17" s="1"/>
  <c r="K32" i="15"/>
  <c r="K32" i="17" s="1"/>
  <c r="B32" i="15"/>
  <c r="A32" i="15"/>
  <c r="AC31" i="15"/>
  <c r="AC31" i="17" s="1"/>
  <c r="T31" i="15"/>
  <c r="T31" i="17" s="1"/>
  <c r="K31" i="15"/>
  <c r="K31" i="17" s="1"/>
  <c r="B31" i="15"/>
  <c r="A31" i="15"/>
  <c r="AC30" i="15"/>
  <c r="AC30" i="17" s="1"/>
  <c r="T30" i="15"/>
  <c r="T30" i="17" s="1"/>
  <c r="K30" i="15"/>
  <c r="K30" i="17" s="1"/>
  <c r="B30" i="15"/>
  <c r="A30" i="15"/>
  <c r="AC29" i="15"/>
  <c r="AC29" i="17" s="1"/>
  <c r="T29" i="15"/>
  <c r="T29" i="17" s="1"/>
  <c r="K29" i="15"/>
  <c r="K29" i="17" s="1"/>
  <c r="B29" i="15"/>
  <c r="A29" i="15"/>
  <c r="AC28" i="15"/>
  <c r="AC28" i="17" s="1"/>
  <c r="T28" i="15"/>
  <c r="T28" i="17" s="1"/>
  <c r="K28" i="15"/>
  <c r="K28" i="17" s="1"/>
  <c r="B28" i="15"/>
  <c r="A28" i="15"/>
  <c r="AC27" i="15"/>
  <c r="AC27" i="17" s="1"/>
  <c r="T27" i="15"/>
  <c r="T27" i="17" s="1"/>
  <c r="K27" i="15"/>
  <c r="K27" i="17" s="1"/>
  <c r="B27" i="15"/>
  <c r="A27" i="15"/>
  <c r="AC26" i="15"/>
  <c r="AC26" i="17" s="1"/>
  <c r="T26" i="15"/>
  <c r="T26" i="17" s="1"/>
  <c r="K26" i="15"/>
  <c r="K26" i="17" s="1"/>
  <c r="B26" i="15"/>
  <c r="A26" i="15"/>
  <c r="AC25" i="15"/>
  <c r="AC25" i="17" s="1"/>
  <c r="T25" i="15"/>
  <c r="T25" i="17" s="1"/>
  <c r="K25" i="15"/>
  <c r="K25" i="17" s="1"/>
  <c r="B25" i="15"/>
  <c r="A25" i="15"/>
  <c r="AC24" i="15"/>
  <c r="AC24" i="17" s="1"/>
  <c r="T24" i="15"/>
  <c r="T24" i="17" s="1"/>
  <c r="K24" i="15"/>
  <c r="K24" i="17" s="1"/>
  <c r="B24" i="15"/>
  <c r="A24" i="15"/>
  <c r="AC23" i="15"/>
  <c r="AC23" i="17" s="1"/>
  <c r="T23" i="15"/>
  <c r="T23" i="17" s="1"/>
  <c r="K23" i="15"/>
  <c r="K23" i="17" s="1"/>
  <c r="B23" i="15"/>
  <c r="A23" i="15"/>
  <c r="AC22" i="15"/>
  <c r="AC22" i="17" s="1"/>
  <c r="T22" i="15"/>
  <c r="T22" i="17" s="1"/>
  <c r="K22" i="15"/>
  <c r="K22" i="17" s="1"/>
  <c r="B22" i="15"/>
  <c r="A22" i="15"/>
  <c r="AC21" i="15"/>
  <c r="AC21" i="17" s="1"/>
  <c r="T21" i="15"/>
  <c r="T21" i="17" s="1"/>
  <c r="K21" i="15"/>
  <c r="K21" i="17" s="1"/>
  <c r="B21" i="15"/>
  <c r="A21" i="15"/>
  <c r="AC20" i="15"/>
  <c r="AC20" i="17" s="1"/>
  <c r="T20" i="15"/>
  <c r="T20" i="17" s="1"/>
  <c r="K20" i="15"/>
  <c r="K20" i="17" s="1"/>
  <c r="B20" i="15"/>
  <c r="A20" i="15"/>
  <c r="AC19" i="15"/>
  <c r="AC19" i="17" s="1"/>
  <c r="T19" i="15"/>
  <c r="T19" i="17" s="1"/>
  <c r="K19" i="15"/>
  <c r="K19" i="17" s="1"/>
  <c r="B19" i="15"/>
  <c r="A19" i="15"/>
  <c r="AC18" i="15"/>
  <c r="AC18" i="17" s="1"/>
  <c r="T18" i="15"/>
  <c r="T18" i="17" s="1"/>
  <c r="K18" i="15"/>
  <c r="K18" i="17" s="1"/>
  <c r="B18" i="15"/>
  <c r="A18" i="15"/>
  <c r="AC17" i="15"/>
  <c r="AC17" i="17" s="1"/>
  <c r="T17" i="15"/>
  <c r="T17" i="17" s="1"/>
  <c r="K17" i="15"/>
  <c r="K17" i="17" s="1"/>
  <c r="B17" i="15"/>
  <c r="A17" i="15"/>
  <c r="AC16" i="15"/>
  <c r="AC16" i="17" s="1"/>
  <c r="T16" i="15"/>
  <c r="T16" i="17" s="1"/>
  <c r="K16" i="15"/>
  <c r="K16" i="17" s="1"/>
  <c r="B16" i="15"/>
  <c r="A16" i="15"/>
  <c r="AC15" i="15"/>
  <c r="AC15" i="17" s="1"/>
  <c r="T15" i="15"/>
  <c r="T15" i="17" s="1"/>
  <c r="K15" i="15"/>
  <c r="K15" i="17" s="1"/>
  <c r="B15" i="15"/>
  <c r="A15" i="15"/>
  <c r="AC14" i="15"/>
  <c r="AC14" i="17" s="1"/>
  <c r="T14" i="15"/>
  <c r="T14" i="17" s="1"/>
  <c r="K14" i="15"/>
  <c r="K14" i="17" s="1"/>
  <c r="B14" i="15"/>
  <c r="A14" i="15"/>
  <c r="AC13" i="15"/>
  <c r="AC13" i="17" s="1"/>
  <c r="T13" i="15"/>
  <c r="T13" i="17" s="1"/>
  <c r="K13" i="15"/>
  <c r="K13" i="17" s="1"/>
  <c r="B13" i="15"/>
  <c r="A13" i="15"/>
  <c r="AC12" i="15"/>
  <c r="AC12" i="17" s="1"/>
  <c r="T12" i="15"/>
  <c r="T12" i="17" s="1"/>
  <c r="K12" i="15"/>
  <c r="K12" i="17" s="1"/>
  <c r="B12" i="15"/>
  <c r="A12" i="15"/>
  <c r="AC11" i="15"/>
  <c r="AC11" i="17" s="1"/>
  <c r="T11" i="15"/>
  <c r="T11" i="17" s="1"/>
  <c r="K11" i="15"/>
  <c r="K11" i="17" s="1"/>
  <c r="B11" i="15"/>
  <c r="A11" i="15"/>
  <c r="AC10" i="15"/>
  <c r="AC10" i="17" s="1"/>
  <c r="T10" i="15"/>
  <c r="T10" i="17" s="1"/>
  <c r="K10" i="15"/>
  <c r="K10" i="17" s="1"/>
  <c r="B10" i="15"/>
  <c r="A10" i="15"/>
  <c r="AC9" i="15"/>
  <c r="AC9" i="17" s="1"/>
  <c r="T9" i="15"/>
  <c r="T9" i="17" s="1"/>
  <c r="K9" i="15"/>
  <c r="K9" i="17" s="1"/>
  <c r="B9" i="15"/>
  <c r="A9" i="15"/>
  <c r="AC8" i="15"/>
  <c r="AC8" i="17" s="1"/>
  <c r="T8" i="15"/>
  <c r="T8" i="17" s="1"/>
  <c r="K8" i="15"/>
  <c r="K8" i="17" s="1"/>
  <c r="B8" i="15"/>
  <c r="A8" i="15"/>
  <c r="AC7" i="15"/>
  <c r="AC7" i="17" s="1"/>
  <c r="T7" i="15"/>
  <c r="T7" i="17" s="1"/>
  <c r="K7" i="15"/>
  <c r="K7" i="17" s="1"/>
  <c r="B7" i="15"/>
  <c r="A7" i="15"/>
  <c r="AC6" i="15"/>
  <c r="AC6" i="17" s="1"/>
  <c r="T6" i="15"/>
  <c r="T6" i="17" s="1"/>
  <c r="K6" i="15"/>
  <c r="K6" i="17" s="1"/>
  <c r="B6" i="15"/>
  <c r="A6" i="15"/>
  <c r="AC5" i="15"/>
  <c r="AC5" i="17" s="1"/>
  <c r="T5" i="15"/>
  <c r="T5" i="17" s="1"/>
  <c r="K5" i="15"/>
  <c r="K5" i="17" s="1"/>
  <c r="B5" i="15"/>
  <c r="A5" i="15"/>
  <c r="L1" i="15"/>
  <c r="C38" i="12"/>
  <c r="AB36" i="12"/>
  <c r="AB36" i="14" s="1"/>
  <c r="AA36" i="12"/>
  <c r="AA36" i="14" s="1"/>
  <c r="Z36" i="12"/>
  <c r="Z36" i="14" s="1"/>
  <c r="Y36" i="12"/>
  <c r="Y36" i="14" s="1"/>
  <c r="X36" i="12"/>
  <c r="X36" i="14" s="1"/>
  <c r="W36" i="12"/>
  <c r="W36" i="14" s="1"/>
  <c r="V36" i="12"/>
  <c r="V36" i="14" s="1"/>
  <c r="U36" i="12"/>
  <c r="S36" i="12"/>
  <c r="S36" i="14" s="1"/>
  <c r="R36" i="12"/>
  <c r="R36" i="14" s="1"/>
  <c r="Q36" i="12"/>
  <c r="Q36" i="14" s="1"/>
  <c r="P36" i="12"/>
  <c r="P36" i="14" s="1"/>
  <c r="O36" i="12"/>
  <c r="O36" i="14" s="1"/>
  <c r="N36" i="12"/>
  <c r="N36" i="14" s="1"/>
  <c r="M36" i="12"/>
  <c r="M36" i="14" s="1"/>
  <c r="L36" i="12"/>
  <c r="L36" i="14" s="1"/>
  <c r="J36" i="12"/>
  <c r="J36" i="14" s="1"/>
  <c r="C29" i="47" s="1"/>
  <c r="I36" i="12"/>
  <c r="I36" i="14" s="1"/>
  <c r="H36" i="12"/>
  <c r="H36" i="14" s="1"/>
  <c r="C30" i="47" s="1"/>
  <c r="G36" i="12"/>
  <c r="G36" i="14" s="1"/>
  <c r="F36" i="12"/>
  <c r="F36" i="14" s="1"/>
  <c r="C20" i="47" s="1"/>
  <c r="E36" i="12"/>
  <c r="E36" i="14" s="1"/>
  <c r="C19" i="47" s="1"/>
  <c r="D36" i="12"/>
  <c r="D36" i="14" s="1"/>
  <c r="C28" i="47" s="1"/>
  <c r="C36" i="12"/>
  <c r="C36" i="14" s="1"/>
  <c r="AC35" i="12"/>
  <c r="AC35" i="14" s="1"/>
  <c r="T35" i="12"/>
  <c r="T35" i="14" s="1"/>
  <c r="K35" i="12"/>
  <c r="K35" i="14" s="1"/>
  <c r="AC34" i="12"/>
  <c r="AC34" i="14" s="1"/>
  <c r="T34" i="12"/>
  <c r="T34" i="14" s="1"/>
  <c r="K34" i="12"/>
  <c r="AC33" i="12"/>
  <c r="AC33" i="14" s="1"/>
  <c r="T33" i="12"/>
  <c r="T33" i="14" s="1"/>
  <c r="K33" i="12"/>
  <c r="K33" i="14" s="1"/>
  <c r="AC32" i="12"/>
  <c r="AC32" i="14" s="1"/>
  <c r="T32" i="12"/>
  <c r="T32" i="14" s="1"/>
  <c r="K32" i="12"/>
  <c r="K32" i="14" s="1"/>
  <c r="B32" i="12"/>
  <c r="A32" i="12"/>
  <c r="AC31" i="12"/>
  <c r="AC31" i="14" s="1"/>
  <c r="T31" i="12"/>
  <c r="T31" i="14" s="1"/>
  <c r="K31" i="12"/>
  <c r="K31" i="14" s="1"/>
  <c r="B31" i="12"/>
  <c r="A31" i="12"/>
  <c r="AC30" i="12"/>
  <c r="AC30" i="14" s="1"/>
  <c r="T30" i="12"/>
  <c r="T30" i="14" s="1"/>
  <c r="K30" i="12"/>
  <c r="K30" i="14" s="1"/>
  <c r="B30" i="12"/>
  <c r="A30" i="12"/>
  <c r="AC29" i="12"/>
  <c r="AC29" i="14" s="1"/>
  <c r="T29" i="12"/>
  <c r="T29" i="14" s="1"/>
  <c r="K29" i="12"/>
  <c r="K29" i="14" s="1"/>
  <c r="B29" i="12"/>
  <c r="A29" i="12"/>
  <c r="AC28" i="12"/>
  <c r="AC28" i="14" s="1"/>
  <c r="T28" i="12"/>
  <c r="T28" i="14" s="1"/>
  <c r="K28" i="12"/>
  <c r="K28" i="14" s="1"/>
  <c r="B28" i="12"/>
  <c r="A28" i="12"/>
  <c r="AC27" i="12"/>
  <c r="AC27" i="14" s="1"/>
  <c r="T27" i="12"/>
  <c r="T27" i="14" s="1"/>
  <c r="K27" i="12"/>
  <c r="K27" i="14" s="1"/>
  <c r="B27" i="12"/>
  <c r="A27" i="12"/>
  <c r="AC26" i="12"/>
  <c r="AC26" i="14" s="1"/>
  <c r="T26" i="12"/>
  <c r="T26" i="14" s="1"/>
  <c r="K26" i="12"/>
  <c r="K26" i="14" s="1"/>
  <c r="B26" i="12"/>
  <c r="A26" i="12"/>
  <c r="AC25" i="12"/>
  <c r="AC25" i="14" s="1"/>
  <c r="T25" i="12"/>
  <c r="T25" i="14" s="1"/>
  <c r="K25" i="12"/>
  <c r="K25" i="14" s="1"/>
  <c r="B25" i="12"/>
  <c r="A25" i="12"/>
  <c r="AC24" i="12"/>
  <c r="AC24" i="14" s="1"/>
  <c r="T24" i="12"/>
  <c r="T24" i="14" s="1"/>
  <c r="K24" i="12"/>
  <c r="K24" i="14" s="1"/>
  <c r="B24" i="12"/>
  <c r="A24" i="12"/>
  <c r="AC23" i="12"/>
  <c r="AC23" i="14" s="1"/>
  <c r="T23" i="12"/>
  <c r="T23" i="14" s="1"/>
  <c r="K23" i="12"/>
  <c r="K23" i="14" s="1"/>
  <c r="B23" i="12"/>
  <c r="A23" i="12"/>
  <c r="AC22" i="12"/>
  <c r="AC22" i="14" s="1"/>
  <c r="T22" i="12"/>
  <c r="T22" i="14" s="1"/>
  <c r="K22" i="12"/>
  <c r="K22" i="14" s="1"/>
  <c r="B22" i="12"/>
  <c r="A22" i="12"/>
  <c r="AC21" i="12"/>
  <c r="AC21" i="14" s="1"/>
  <c r="T21" i="12"/>
  <c r="T21" i="14" s="1"/>
  <c r="K21" i="12"/>
  <c r="K21" i="14" s="1"/>
  <c r="B21" i="12"/>
  <c r="A21" i="12"/>
  <c r="AC20" i="12"/>
  <c r="AC20" i="14" s="1"/>
  <c r="T20" i="12"/>
  <c r="T20" i="14" s="1"/>
  <c r="K20" i="12"/>
  <c r="K20" i="14" s="1"/>
  <c r="B20" i="12"/>
  <c r="A20" i="12"/>
  <c r="AC19" i="12"/>
  <c r="AC19" i="14" s="1"/>
  <c r="T19" i="12"/>
  <c r="T19" i="14" s="1"/>
  <c r="K19" i="12"/>
  <c r="K19" i="14" s="1"/>
  <c r="B19" i="12"/>
  <c r="A19" i="12"/>
  <c r="AC18" i="12"/>
  <c r="AC18" i="14" s="1"/>
  <c r="T18" i="12"/>
  <c r="T18" i="14" s="1"/>
  <c r="K18" i="12"/>
  <c r="K18" i="14" s="1"/>
  <c r="B18" i="12"/>
  <c r="A18" i="12"/>
  <c r="AC17" i="12"/>
  <c r="AC17" i="14" s="1"/>
  <c r="T17" i="12"/>
  <c r="T17" i="14" s="1"/>
  <c r="K17" i="12"/>
  <c r="K17" i="14" s="1"/>
  <c r="B17" i="12"/>
  <c r="A17" i="12"/>
  <c r="AC16" i="12"/>
  <c r="AC16" i="14" s="1"/>
  <c r="T16" i="12"/>
  <c r="T16" i="14" s="1"/>
  <c r="K16" i="12"/>
  <c r="K16" i="14" s="1"/>
  <c r="B16" i="12"/>
  <c r="A16" i="12"/>
  <c r="AC15" i="12"/>
  <c r="AC15" i="14" s="1"/>
  <c r="T15" i="12"/>
  <c r="T15" i="14" s="1"/>
  <c r="K15" i="12"/>
  <c r="K15" i="14" s="1"/>
  <c r="B15" i="12"/>
  <c r="A15" i="12"/>
  <c r="AC14" i="12"/>
  <c r="AC14" i="14" s="1"/>
  <c r="T14" i="12"/>
  <c r="T14" i="14" s="1"/>
  <c r="K14" i="12"/>
  <c r="K14" i="14" s="1"/>
  <c r="B14" i="12"/>
  <c r="A14" i="12"/>
  <c r="AC13" i="12"/>
  <c r="AC13" i="14" s="1"/>
  <c r="T13" i="12"/>
  <c r="T13" i="14" s="1"/>
  <c r="K13" i="12"/>
  <c r="K13" i="14" s="1"/>
  <c r="B13" i="12"/>
  <c r="A13" i="12"/>
  <c r="AC12" i="12"/>
  <c r="AC12" i="14" s="1"/>
  <c r="T12" i="12"/>
  <c r="T12" i="14" s="1"/>
  <c r="K12" i="12"/>
  <c r="K12" i="14" s="1"/>
  <c r="B12" i="12"/>
  <c r="A12" i="12"/>
  <c r="AC11" i="12"/>
  <c r="AC11" i="14" s="1"/>
  <c r="T11" i="12"/>
  <c r="T11" i="14" s="1"/>
  <c r="K11" i="12"/>
  <c r="K11" i="14" s="1"/>
  <c r="B11" i="12"/>
  <c r="A11" i="12"/>
  <c r="AC10" i="12"/>
  <c r="AC10" i="14" s="1"/>
  <c r="T10" i="12"/>
  <c r="T10" i="14" s="1"/>
  <c r="K10" i="12"/>
  <c r="K10" i="14" s="1"/>
  <c r="B10" i="12"/>
  <c r="A10" i="12"/>
  <c r="AC9" i="12"/>
  <c r="AC9" i="14" s="1"/>
  <c r="T9" i="12"/>
  <c r="T9" i="14" s="1"/>
  <c r="K9" i="12"/>
  <c r="K9" i="14" s="1"/>
  <c r="B9" i="12"/>
  <c r="A9" i="12"/>
  <c r="AC8" i="12"/>
  <c r="AC8" i="14" s="1"/>
  <c r="T8" i="12"/>
  <c r="T8" i="14" s="1"/>
  <c r="K8" i="12"/>
  <c r="K8" i="14" s="1"/>
  <c r="B8" i="12"/>
  <c r="A8" i="12"/>
  <c r="AC7" i="12"/>
  <c r="AC7" i="14" s="1"/>
  <c r="T7" i="12"/>
  <c r="T7" i="14" s="1"/>
  <c r="K7" i="12"/>
  <c r="K7" i="14" s="1"/>
  <c r="B7" i="12"/>
  <c r="A7" i="12"/>
  <c r="AC6" i="12"/>
  <c r="AC6" i="14" s="1"/>
  <c r="T6" i="12"/>
  <c r="T6" i="14" s="1"/>
  <c r="K6" i="12"/>
  <c r="K6" i="14" s="1"/>
  <c r="B6" i="12"/>
  <c r="A6" i="12"/>
  <c r="AC5" i="12"/>
  <c r="AC5" i="14" s="1"/>
  <c r="T5" i="12"/>
  <c r="T5" i="14" s="1"/>
  <c r="K5" i="12"/>
  <c r="K5" i="14" s="1"/>
  <c r="B5" i="12"/>
  <c r="A5" i="12"/>
  <c r="L1" i="12"/>
  <c r="C38" i="1"/>
  <c r="AB36" i="1"/>
  <c r="AB36" i="10" s="1"/>
  <c r="AA36" i="1"/>
  <c r="AA36" i="10" s="1"/>
  <c r="Z36" i="1"/>
  <c r="Z36" i="10" s="1"/>
  <c r="Y36" i="1"/>
  <c r="Y36" i="10" s="1"/>
  <c r="X36" i="1"/>
  <c r="X36" i="10" s="1"/>
  <c r="W36" i="1"/>
  <c r="W36" i="10" s="1"/>
  <c r="V36" i="1"/>
  <c r="V36" i="10" s="1"/>
  <c r="U36" i="1"/>
  <c r="U36" i="10" s="1"/>
  <c r="S36" i="1"/>
  <c r="S36" i="10" s="1"/>
  <c r="R36" i="1"/>
  <c r="R36" i="10" s="1"/>
  <c r="Q36" i="1"/>
  <c r="Q36" i="10" s="1"/>
  <c r="P36" i="1"/>
  <c r="P36" i="10" s="1"/>
  <c r="O36" i="1"/>
  <c r="O36" i="10" s="1"/>
  <c r="N36" i="1"/>
  <c r="N36" i="10" s="1"/>
  <c r="M36" i="1"/>
  <c r="M36" i="10" s="1"/>
  <c r="L36" i="1"/>
  <c r="L36" i="10" s="1"/>
  <c r="J36" i="1"/>
  <c r="J36" i="10" s="1"/>
  <c r="B29" i="47" s="1"/>
  <c r="I36" i="1"/>
  <c r="I36" i="10" s="1"/>
  <c r="H36" i="1"/>
  <c r="H36" i="10" s="1"/>
  <c r="B30" i="47" s="1"/>
  <c r="G36" i="1"/>
  <c r="G36" i="10" s="1"/>
  <c r="F36" i="1"/>
  <c r="F36" i="10" s="1"/>
  <c r="B20" i="47" s="1"/>
  <c r="E36" i="1"/>
  <c r="E36" i="10" s="1"/>
  <c r="B19" i="47" s="1"/>
  <c r="D36" i="1"/>
  <c r="D36" i="10" s="1"/>
  <c r="B28" i="47" s="1"/>
  <c r="C36" i="1"/>
  <c r="C36" i="10" s="1"/>
  <c r="AC35" i="1"/>
  <c r="AC35" i="10" s="1"/>
  <c r="T35" i="1"/>
  <c r="T35" i="10" s="1"/>
  <c r="K35" i="1"/>
  <c r="K35" i="10" s="1"/>
  <c r="B35" i="1"/>
  <c r="A35" i="1"/>
  <c r="AC34" i="1"/>
  <c r="AC34" i="10" s="1"/>
  <c r="T34" i="1"/>
  <c r="T34" i="10" s="1"/>
  <c r="K34" i="1"/>
  <c r="K34" i="10" s="1"/>
  <c r="B34" i="1"/>
  <c r="A34" i="1"/>
  <c r="AC33" i="1"/>
  <c r="AC33" i="10" s="1"/>
  <c r="T33" i="1"/>
  <c r="T33" i="10" s="1"/>
  <c r="K33" i="1"/>
  <c r="K33" i="10" s="1"/>
  <c r="B33" i="1"/>
  <c r="A33" i="1"/>
  <c r="AC32" i="1"/>
  <c r="AC32" i="10" s="1"/>
  <c r="T32" i="1"/>
  <c r="T32" i="10" s="1"/>
  <c r="K32" i="1"/>
  <c r="K32" i="10" s="1"/>
  <c r="B32" i="1"/>
  <c r="A32" i="1"/>
  <c r="AC31" i="1"/>
  <c r="AC31" i="10" s="1"/>
  <c r="T31" i="1"/>
  <c r="T31" i="10" s="1"/>
  <c r="K31" i="1"/>
  <c r="K31" i="10" s="1"/>
  <c r="B31" i="1"/>
  <c r="A31" i="1"/>
  <c r="AC30" i="1"/>
  <c r="AC30" i="10" s="1"/>
  <c r="T30" i="1"/>
  <c r="T30" i="10" s="1"/>
  <c r="K30" i="1"/>
  <c r="K30" i="10" s="1"/>
  <c r="B30" i="1"/>
  <c r="A30" i="1"/>
  <c r="AC29" i="1"/>
  <c r="AC29" i="10" s="1"/>
  <c r="T29" i="1"/>
  <c r="T29" i="10" s="1"/>
  <c r="K29" i="1"/>
  <c r="K29" i="10" s="1"/>
  <c r="B29" i="1"/>
  <c r="A29" i="1"/>
  <c r="AC28" i="1"/>
  <c r="AC28" i="10" s="1"/>
  <c r="T28" i="1"/>
  <c r="T28" i="10" s="1"/>
  <c r="K28" i="1"/>
  <c r="K28" i="10" s="1"/>
  <c r="B28" i="1"/>
  <c r="A28" i="1"/>
  <c r="AC27" i="1"/>
  <c r="AC27" i="10" s="1"/>
  <c r="T27" i="1"/>
  <c r="T27" i="10" s="1"/>
  <c r="K27" i="1"/>
  <c r="K27" i="10" s="1"/>
  <c r="B27" i="1"/>
  <c r="A27" i="1"/>
  <c r="AC26" i="1"/>
  <c r="AC26" i="10" s="1"/>
  <c r="T26" i="1"/>
  <c r="T26" i="10" s="1"/>
  <c r="K26" i="1"/>
  <c r="K26" i="10" s="1"/>
  <c r="B26" i="1"/>
  <c r="A26" i="1"/>
  <c r="AC25" i="1"/>
  <c r="AC25" i="10" s="1"/>
  <c r="T25" i="1"/>
  <c r="T25" i="10" s="1"/>
  <c r="K25" i="1"/>
  <c r="K25" i="10" s="1"/>
  <c r="B25" i="1"/>
  <c r="A25" i="1"/>
  <c r="AC24" i="1"/>
  <c r="AC24" i="10" s="1"/>
  <c r="T24" i="1"/>
  <c r="T24" i="10" s="1"/>
  <c r="K24" i="1"/>
  <c r="K24" i="10" s="1"/>
  <c r="B24" i="1"/>
  <c r="A24" i="1"/>
  <c r="AC23" i="1"/>
  <c r="AC23" i="10" s="1"/>
  <c r="T23" i="1"/>
  <c r="T23" i="10" s="1"/>
  <c r="K23" i="1"/>
  <c r="K23" i="10" s="1"/>
  <c r="B23" i="1"/>
  <c r="A23" i="1"/>
  <c r="AC22" i="1"/>
  <c r="AC22" i="10" s="1"/>
  <c r="T22" i="1"/>
  <c r="T22" i="10" s="1"/>
  <c r="K22" i="1"/>
  <c r="K22" i="10" s="1"/>
  <c r="B22" i="1"/>
  <c r="A22" i="1"/>
  <c r="AC21" i="1"/>
  <c r="AC21" i="10" s="1"/>
  <c r="T21" i="1"/>
  <c r="T21" i="10" s="1"/>
  <c r="K21" i="1"/>
  <c r="K21" i="10" s="1"/>
  <c r="B21" i="1"/>
  <c r="A21" i="1"/>
  <c r="AC20" i="1"/>
  <c r="AC20" i="10" s="1"/>
  <c r="T20" i="1"/>
  <c r="T20" i="10" s="1"/>
  <c r="K20" i="1"/>
  <c r="K20" i="10" s="1"/>
  <c r="B20" i="1"/>
  <c r="A20" i="1"/>
  <c r="AC19" i="1"/>
  <c r="AC19" i="10" s="1"/>
  <c r="T19" i="1"/>
  <c r="T19" i="10" s="1"/>
  <c r="K19" i="1"/>
  <c r="K19" i="10" s="1"/>
  <c r="B19" i="1"/>
  <c r="A19" i="1"/>
  <c r="AC18" i="1"/>
  <c r="AC18" i="10" s="1"/>
  <c r="T18" i="1"/>
  <c r="T18" i="10" s="1"/>
  <c r="K18" i="1"/>
  <c r="K18" i="10" s="1"/>
  <c r="B18" i="1"/>
  <c r="A18" i="1"/>
  <c r="AC17" i="1"/>
  <c r="AC17" i="10" s="1"/>
  <c r="T17" i="1"/>
  <c r="T17" i="10" s="1"/>
  <c r="K17" i="1"/>
  <c r="K17" i="10" s="1"/>
  <c r="B17" i="1"/>
  <c r="A17" i="1"/>
  <c r="AC16" i="1"/>
  <c r="AC16" i="10" s="1"/>
  <c r="T16" i="1"/>
  <c r="T16" i="10" s="1"/>
  <c r="K16" i="1"/>
  <c r="K16" i="10" s="1"/>
  <c r="B16" i="1"/>
  <c r="A16" i="1"/>
  <c r="AC15" i="1"/>
  <c r="AC15" i="10" s="1"/>
  <c r="T15" i="1"/>
  <c r="T15" i="10" s="1"/>
  <c r="K15" i="1"/>
  <c r="K15" i="10" s="1"/>
  <c r="B15" i="1"/>
  <c r="A15" i="1"/>
  <c r="AC14" i="1"/>
  <c r="AC14" i="10" s="1"/>
  <c r="T14" i="1"/>
  <c r="T14" i="10" s="1"/>
  <c r="K14" i="1"/>
  <c r="K14" i="10" s="1"/>
  <c r="B14" i="1"/>
  <c r="A14" i="1"/>
  <c r="AC13" i="1"/>
  <c r="AC13" i="10" s="1"/>
  <c r="T13" i="1"/>
  <c r="T13" i="10" s="1"/>
  <c r="K13" i="1"/>
  <c r="K13" i="10" s="1"/>
  <c r="B13" i="1"/>
  <c r="A13" i="1"/>
  <c r="AC12" i="1"/>
  <c r="AC12" i="10" s="1"/>
  <c r="T12" i="1"/>
  <c r="T12" i="10" s="1"/>
  <c r="K12" i="1"/>
  <c r="K12" i="10" s="1"/>
  <c r="B12" i="1"/>
  <c r="A12" i="1"/>
  <c r="AC11" i="1"/>
  <c r="AC11" i="10" s="1"/>
  <c r="T11" i="1"/>
  <c r="T11" i="10" s="1"/>
  <c r="K11" i="1"/>
  <c r="K11" i="10" s="1"/>
  <c r="B11" i="1"/>
  <c r="A11" i="1"/>
  <c r="AC10" i="1"/>
  <c r="AC10" i="10" s="1"/>
  <c r="T10" i="1"/>
  <c r="T10" i="10" s="1"/>
  <c r="K10" i="1"/>
  <c r="K10" i="10" s="1"/>
  <c r="B10" i="1"/>
  <c r="A10" i="1"/>
  <c r="AC9" i="1"/>
  <c r="AC9" i="10" s="1"/>
  <c r="T9" i="1"/>
  <c r="T9" i="10" s="1"/>
  <c r="K9" i="1"/>
  <c r="K9" i="10" s="1"/>
  <c r="B9" i="1"/>
  <c r="A9" i="1"/>
  <c r="AC8" i="1"/>
  <c r="AC8" i="10" s="1"/>
  <c r="T8" i="1"/>
  <c r="T8" i="10" s="1"/>
  <c r="K8" i="1"/>
  <c r="K8" i="10" s="1"/>
  <c r="B8" i="1"/>
  <c r="A8" i="1"/>
  <c r="AC7" i="1"/>
  <c r="AC7" i="10" s="1"/>
  <c r="T7" i="1"/>
  <c r="T7" i="10" s="1"/>
  <c r="K7" i="1"/>
  <c r="K7" i="10" s="1"/>
  <c r="B7" i="1"/>
  <c r="A7" i="1"/>
  <c r="AC6" i="1"/>
  <c r="AC6" i="10" s="1"/>
  <c r="T6" i="1"/>
  <c r="T6" i="10" s="1"/>
  <c r="K6" i="1"/>
  <c r="K6" i="10" s="1"/>
  <c r="B6" i="1"/>
  <c r="A6" i="1"/>
  <c r="AC5" i="1"/>
  <c r="AC5" i="10" s="1"/>
  <c r="T5" i="1"/>
  <c r="T5" i="10" s="1"/>
  <c r="K5" i="1"/>
  <c r="K5" i="10" s="1"/>
  <c r="B5" i="1"/>
  <c r="A5" i="1"/>
  <c r="L1" i="1"/>
  <c r="D23" i="47" l="1"/>
  <c r="E34" i="47"/>
  <c r="T36" i="1"/>
  <c r="T36" i="10" s="1"/>
  <c r="B12" i="47" s="1"/>
  <c r="AD9" i="15"/>
  <c r="AD9" i="17" s="1"/>
  <c r="E63" i="52" s="1"/>
  <c r="E277" i="52"/>
  <c r="A235" i="54"/>
  <c r="B234" i="54"/>
  <c r="C234" i="54"/>
  <c r="AD17" i="15"/>
  <c r="AD17" i="17" s="1"/>
  <c r="E71" i="52" s="1"/>
  <c r="AD16" i="15"/>
  <c r="AD16" i="17" s="1"/>
  <c r="E70" i="52" s="1"/>
  <c r="AD8" i="15"/>
  <c r="AD8" i="17" s="1"/>
  <c r="E62" i="52" s="1"/>
  <c r="B27" i="47"/>
  <c r="D278" i="52"/>
  <c r="C278" i="52"/>
  <c r="B278" i="52"/>
  <c r="C280" i="2"/>
  <c r="A281" i="2"/>
  <c r="B280" i="2"/>
  <c r="A11" i="37"/>
  <c r="A11" i="44"/>
  <c r="A279" i="52"/>
  <c r="A11" i="30"/>
  <c r="B10" i="44"/>
  <c r="B10" i="37"/>
  <c r="B10" i="30"/>
  <c r="C234" i="53"/>
  <c r="A235" i="53"/>
  <c r="B234" i="53"/>
  <c r="AD23" i="15"/>
  <c r="AD23" i="17" s="1"/>
  <c r="E77" i="52" s="1"/>
  <c r="AD12" i="15"/>
  <c r="AD12" i="17" s="1"/>
  <c r="E66" i="52" s="1"/>
  <c r="AD13" i="15"/>
  <c r="AD13" i="17" s="1"/>
  <c r="E67" i="52" s="1"/>
  <c r="E33" i="47"/>
  <c r="E35" i="47"/>
  <c r="AD33" i="15"/>
  <c r="AD33" i="17" s="1"/>
  <c r="E87" i="52" s="1"/>
  <c r="AD31" i="15"/>
  <c r="AD31" i="17" s="1"/>
  <c r="E85" i="52" s="1"/>
  <c r="AD30" i="15"/>
  <c r="AD30" i="17" s="1"/>
  <c r="E84" i="52" s="1"/>
  <c r="AD29" i="15"/>
  <c r="AD29" i="17" s="1"/>
  <c r="E83" i="52" s="1"/>
  <c r="AD28" i="15"/>
  <c r="AD28" i="17" s="1"/>
  <c r="E82" i="52" s="1"/>
  <c r="AD27" i="15"/>
  <c r="AD27" i="17" s="1"/>
  <c r="E81" i="52" s="1"/>
  <c r="AD26" i="15"/>
  <c r="AD26" i="17" s="1"/>
  <c r="E80" i="52" s="1"/>
  <c r="AD25" i="15"/>
  <c r="AD25" i="17" s="1"/>
  <c r="E79" i="52" s="1"/>
  <c r="AD24" i="15"/>
  <c r="AD24" i="17" s="1"/>
  <c r="E78" i="52" s="1"/>
  <c r="AD20" i="15"/>
  <c r="AD20" i="17" s="1"/>
  <c r="E74" i="52" s="1"/>
  <c r="AD19" i="15"/>
  <c r="AD19" i="17" s="1"/>
  <c r="E73" i="52" s="1"/>
  <c r="AD22" i="15"/>
  <c r="AD22" i="17" s="1"/>
  <c r="E76" i="52" s="1"/>
  <c r="AD21" i="15"/>
  <c r="AD21" i="17" s="1"/>
  <c r="E75" i="52" s="1"/>
  <c r="AD32" i="15"/>
  <c r="AD32" i="17" s="1"/>
  <c r="E86" i="52" s="1"/>
  <c r="AD18" i="15"/>
  <c r="AD18" i="17" s="1"/>
  <c r="E72" i="52" s="1"/>
  <c r="AD15" i="15"/>
  <c r="AD15" i="17" s="1"/>
  <c r="E69" i="52" s="1"/>
  <c r="AD14" i="15"/>
  <c r="AD14" i="17" s="1"/>
  <c r="E68" i="52" s="1"/>
  <c r="AD11" i="15"/>
  <c r="AD11" i="17" s="1"/>
  <c r="E65" i="52" s="1"/>
  <c r="AD10" i="15"/>
  <c r="AD10" i="17" s="1"/>
  <c r="E64" i="52" s="1"/>
  <c r="AD7" i="15"/>
  <c r="AD7" i="17" s="1"/>
  <c r="E61" i="52" s="1"/>
  <c r="AD6" i="15"/>
  <c r="AD6" i="17" s="1"/>
  <c r="E60" i="52" s="1"/>
  <c r="AD36" i="15"/>
  <c r="AD36" i="17" s="1"/>
  <c r="AC36" i="17" s="1"/>
  <c r="D13" i="47" s="1"/>
  <c r="AD5" i="15"/>
  <c r="AD5" i="17" s="1"/>
  <c r="AD35" i="1"/>
  <c r="AD35" i="10" s="1"/>
  <c r="E31" i="52" s="1"/>
  <c r="AD34" i="1"/>
  <c r="AD34" i="10" s="1"/>
  <c r="E30" i="52" s="1"/>
  <c r="AD33" i="1"/>
  <c r="AD33" i="10" s="1"/>
  <c r="E29" i="52" s="1"/>
  <c r="AD32" i="1"/>
  <c r="AD32" i="10" s="1"/>
  <c r="E28" i="52" s="1"/>
  <c r="AD31" i="1"/>
  <c r="AD31" i="10" s="1"/>
  <c r="E27" i="52" s="1"/>
  <c r="AD30" i="1"/>
  <c r="AD30" i="10" s="1"/>
  <c r="E26" i="52" s="1"/>
  <c r="AD29" i="1"/>
  <c r="AD29" i="10" s="1"/>
  <c r="E25" i="52" s="1"/>
  <c r="AD28" i="1"/>
  <c r="AD28" i="10" s="1"/>
  <c r="E24" i="52" s="1"/>
  <c r="AD27" i="1"/>
  <c r="AD27" i="10" s="1"/>
  <c r="E23" i="52" s="1"/>
  <c r="AD26" i="1"/>
  <c r="AD26" i="10" s="1"/>
  <c r="E22" i="52" s="1"/>
  <c r="AD25" i="1"/>
  <c r="AD25" i="10" s="1"/>
  <c r="E21" i="52" s="1"/>
  <c r="AD24" i="1"/>
  <c r="AD24" i="10" s="1"/>
  <c r="E20" i="52" s="1"/>
  <c r="AD22" i="1"/>
  <c r="AD22" i="10" s="1"/>
  <c r="E18" i="52" s="1"/>
  <c r="AD23" i="1"/>
  <c r="AD23" i="10" s="1"/>
  <c r="E19" i="52" s="1"/>
  <c r="AD21" i="1"/>
  <c r="AD21" i="10" s="1"/>
  <c r="E17" i="52" s="1"/>
  <c r="AD20" i="1"/>
  <c r="AD20" i="10" s="1"/>
  <c r="E16" i="52" s="1"/>
  <c r="AD19" i="1"/>
  <c r="AD19" i="10" s="1"/>
  <c r="E15" i="52" s="1"/>
  <c r="AD18" i="1"/>
  <c r="AD18" i="10" s="1"/>
  <c r="E14" i="52" s="1"/>
  <c r="AD17" i="1"/>
  <c r="AD17" i="10" s="1"/>
  <c r="E13" i="52" s="1"/>
  <c r="AD16" i="1"/>
  <c r="AD16" i="10" s="1"/>
  <c r="E12" i="52" s="1"/>
  <c r="AD15" i="1"/>
  <c r="AD15" i="10" s="1"/>
  <c r="E11" i="52" s="1"/>
  <c r="AD14" i="1"/>
  <c r="AD14" i="10" s="1"/>
  <c r="E10" i="52" s="1"/>
  <c r="AD13" i="1"/>
  <c r="AD13" i="10" s="1"/>
  <c r="E9" i="52" s="1"/>
  <c r="AD12" i="1"/>
  <c r="AD12" i="10" s="1"/>
  <c r="E8" i="52" s="1"/>
  <c r="AD11" i="1"/>
  <c r="AD11" i="10" s="1"/>
  <c r="E7" i="52" s="1"/>
  <c r="AD10" i="1"/>
  <c r="AD10" i="10" s="1"/>
  <c r="E6" i="52" s="1"/>
  <c r="AD9" i="1"/>
  <c r="AD9" i="10" s="1"/>
  <c r="E5" i="52" s="1"/>
  <c r="AD8" i="1"/>
  <c r="AD8" i="10" s="1"/>
  <c r="E4" i="52" s="1"/>
  <c r="AD7" i="1"/>
  <c r="AD7" i="10" s="1"/>
  <c r="E3" i="52" s="1"/>
  <c r="AD6" i="1"/>
  <c r="AD6" i="10" s="1"/>
  <c r="E2" i="52" s="1"/>
  <c r="N29" i="47"/>
  <c r="B18" i="47"/>
  <c r="B25" i="47"/>
  <c r="N30" i="47"/>
  <c r="B26" i="47"/>
  <c r="B21" i="47"/>
  <c r="B31" i="47"/>
  <c r="N20" i="47"/>
  <c r="AD5" i="1"/>
  <c r="AD5" i="10" s="1"/>
  <c r="E1" i="52" s="1"/>
  <c r="AD34" i="12"/>
  <c r="AD34" i="14" s="1"/>
  <c r="C27" i="47"/>
  <c r="N28" i="47"/>
  <c r="AD6" i="12"/>
  <c r="AD6" i="14" s="1"/>
  <c r="E33" i="52" s="1"/>
  <c r="AD7" i="12"/>
  <c r="AD7" i="14" s="1"/>
  <c r="E34" i="52" s="1"/>
  <c r="AD10" i="12"/>
  <c r="AD10" i="14" s="1"/>
  <c r="E37" i="52" s="1"/>
  <c r="AD11" i="12"/>
  <c r="AD11" i="14" s="1"/>
  <c r="E38" i="52" s="1"/>
  <c r="AD14" i="12"/>
  <c r="AD14" i="14" s="1"/>
  <c r="E41" i="52" s="1"/>
  <c r="AD15" i="12"/>
  <c r="AD15" i="14" s="1"/>
  <c r="E42" i="52" s="1"/>
  <c r="AD18" i="12"/>
  <c r="AD18" i="14" s="1"/>
  <c r="E45" i="52" s="1"/>
  <c r="AD19" i="12"/>
  <c r="AD19" i="14" s="1"/>
  <c r="E46" i="52" s="1"/>
  <c r="AD22" i="12"/>
  <c r="AD22" i="14" s="1"/>
  <c r="E49" i="52" s="1"/>
  <c r="AD23" i="12"/>
  <c r="AD23" i="14" s="1"/>
  <c r="E50" i="52" s="1"/>
  <c r="AD26" i="12"/>
  <c r="AD26" i="14" s="1"/>
  <c r="E53" i="52" s="1"/>
  <c r="AD27" i="12"/>
  <c r="AD27" i="14" s="1"/>
  <c r="E54" i="52" s="1"/>
  <c r="AD30" i="12"/>
  <c r="AD30" i="14" s="1"/>
  <c r="E57" i="52" s="1"/>
  <c r="AD31" i="12"/>
  <c r="AD31" i="14" s="1"/>
  <c r="E58" i="52" s="1"/>
  <c r="AD35" i="12"/>
  <c r="AD35" i="14" s="1"/>
  <c r="AD33" i="12"/>
  <c r="AD33" i="14" s="1"/>
  <c r="K34" i="14"/>
  <c r="C31" i="47"/>
  <c r="N19" i="47"/>
  <c r="C21" i="47"/>
  <c r="N21" i="47" s="1"/>
  <c r="C26" i="47"/>
  <c r="N26" i="47" s="1"/>
  <c r="C25" i="47"/>
  <c r="C18" i="47"/>
  <c r="T36" i="12"/>
  <c r="U36" i="14"/>
  <c r="C17" i="47" s="1"/>
  <c r="AD5" i="12"/>
  <c r="AD5" i="14" s="1"/>
  <c r="E32" i="52" s="1"/>
  <c r="AD8" i="12"/>
  <c r="AD8" i="14" s="1"/>
  <c r="E35" i="52" s="1"/>
  <c r="AD9" i="12"/>
  <c r="AD9" i="14" s="1"/>
  <c r="E36" i="52" s="1"/>
  <c r="AD12" i="12"/>
  <c r="AD12" i="14" s="1"/>
  <c r="E39" i="52" s="1"/>
  <c r="AD13" i="12"/>
  <c r="AD13" i="14" s="1"/>
  <c r="E40" i="52" s="1"/>
  <c r="AD16" i="12"/>
  <c r="AD16" i="14" s="1"/>
  <c r="E43" i="52" s="1"/>
  <c r="AD17" i="12"/>
  <c r="AD17" i="14" s="1"/>
  <c r="E44" i="52" s="1"/>
  <c r="AD20" i="12"/>
  <c r="AD20" i="14" s="1"/>
  <c r="E47" i="52" s="1"/>
  <c r="AD21" i="12"/>
  <c r="AD21" i="14" s="1"/>
  <c r="E48" i="52" s="1"/>
  <c r="AD24" i="12"/>
  <c r="AD24" i="14" s="1"/>
  <c r="E51" i="52" s="1"/>
  <c r="AD25" i="12"/>
  <c r="AD25" i="14" s="1"/>
  <c r="E52" i="52" s="1"/>
  <c r="AD28" i="12"/>
  <c r="AD28" i="14" s="1"/>
  <c r="E55" i="52" s="1"/>
  <c r="AD29" i="12"/>
  <c r="AD29" i="14" s="1"/>
  <c r="E56" i="52" s="1"/>
  <c r="AD32" i="12"/>
  <c r="AD32" i="14" s="1"/>
  <c r="E59" i="52" s="1"/>
  <c r="AC36" i="12"/>
  <c r="C24" i="47"/>
  <c r="K36" i="12"/>
  <c r="B24" i="47"/>
  <c r="B17" i="47"/>
  <c r="K36" i="1"/>
  <c r="K36" i="10" s="1"/>
  <c r="B11" i="47" s="1"/>
  <c r="M31" i="47"/>
  <c r="M12" i="47"/>
  <c r="M16" i="47"/>
  <c r="D384" i="52"/>
  <c r="C235" i="54" l="1"/>
  <c r="A236" i="54"/>
  <c r="B235" i="54"/>
  <c r="C23" i="47"/>
  <c r="N27" i="47"/>
  <c r="B34" i="47"/>
  <c r="B35" i="47"/>
  <c r="D279" i="52"/>
  <c r="B279" i="52"/>
  <c r="C279" i="52"/>
  <c r="A282" i="2"/>
  <c r="B281" i="2"/>
  <c r="C281" i="2"/>
  <c r="A280" i="52"/>
  <c r="A12" i="37"/>
  <c r="AD11" i="37" s="1"/>
  <c r="AD11" i="44" s="1"/>
  <c r="A12" i="44"/>
  <c r="A12" i="30"/>
  <c r="B11" i="44"/>
  <c r="B11" i="37"/>
  <c r="B11" i="30"/>
  <c r="A236" i="53"/>
  <c r="B235" i="53"/>
  <c r="C235" i="53"/>
  <c r="B33" i="47"/>
  <c r="C33" i="47"/>
  <c r="N31" i="47"/>
  <c r="AD38" i="15"/>
  <c r="AD38" i="17" s="1"/>
  <c r="D63" i="55" s="1"/>
  <c r="AD39" i="15"/>
  <c r="AD39" i="17" s="1"/>
  <c r="D34" i="47"/>
  <c r="D35" i="47"/>
  <c r="D33" i="47"/>
  <c r="C34" i="47"/>
  <c r="C16" i="47"/>
  <c r="C35" i="47"/>
  <c r="N25" i="47"/>
  <c r="N18" i="47"/>
  <c r="T36" i="14"/>
  <c r="C12" i="47" s="1"/>
  <c r="N12" i="47" s="1"/>
  <c r="K36" i="14"/>
  <c r="C11" i="47" s="1"/>
  <c r="N11" i="47" s="1"/>
  <c r="AD36" i="12"/>
  <c r="AC36" i="1"/>
  <c r="AD36" i="1" s="1"/>
  <c r="AD36" i="10" s="1"/>
  <c r="AC36" i="10" s="1"/>
  <c r="B13" i="47" s="1"/>
  <c r="N17" i="47"/>
  <c r="B16" i="47"/>
  <c r="N24" i="47"/>
  <c r="B23" i="47"/>
  <c r="N23" i="47" s="1"/>
  <c r="A237" i="54" l="1"/>
  <c r="B236" i="54"/>
  <c r="C236" i="54"/>
  <c r="E279" i="52"/>
  <c r="D7" i="47"/>
  <c r="C282" i="2"/>
  <c r="A283" i="2"/>
  <c r="B282" i="2"/>
  <c r="A13" i="37"/>
  <c r="A13" i="44"/>
  <c r="A281" i="52"/>
  <c r="A13" i="30"/>
  <c r="C280" i="52"/>
  <c r="B280" i="52"/>
  <c r="D280" i="52"/>
  <c r="B12" i="44"/>
  <c r="B12" i="37"/>
  <c r="B12" i="30"/>
  <c r="C236" i="53"/>
  <c r="A237" i="53"/>
  <c r="B236" i="53"/>
  <c r="D6" i="47"/>
  <c r="N16" i="47"/>
  <c r="AD40" i="31"/>
  <c r="AD41" i="31" s="1"/>
  <c r="AD41" i="45" s="1"/>
  <c r="AD40" i="15"/>
  <c r="AD41" i="15" s="1"/>
  <c r="AD41" i="17" s="1"/>
  <c r="AD40" i="1"/>
  <c r="AD40" i="10" s="1"/>
  <c r="AD40" i="28"/>
  <c r="AD40" i="42" s="1"/>
  <c r="AD38" i="1"/>
  <c r="B7" i="47" s="1"/>
  <c r="AD39" i="1"/>
  <c r="AD39" i="10" s="1"/>
  <c r="AD40" i="19"/>
  <c r="AD40" i="23" s="1"/>
  <c r="AD40" i="32"/>
  <c r="AD40" i="46" s="1"/>
  <c r="AD40" i="12"/>
  <c r="AD40" i="14" s="1"/>
  <c r="AD40" i="18"/>
  <c r="AD41" i="18" s="1"/>
  <c r="AD41" i="22" s="1"/>
  <c r="AD40" i="24"/>
  <c r="AD41" i="24" s="1"/>
  <c r="AD41" i="40" s="1"/>
  <c r="AD40" i="30"/>
  <c r="AD40" i="44" s="1"/>
  <c r="AD40" i="27"/>
  <c r="AD40" i="41" s="1"/>
  <c r="AD40" i="29"/>
  <c r="AD40" i="43" s="1"/>
  <c r="AD36" i="14"/>
  <c r="AC36" i="14" s="1"/>
  <c r="C13" i="47" s="1"/>
  <c r="N13" i="47" s="1"/>
  <c r="AD38" i="12"/>
  <c r="AD39" i="12"/>
  <c r="AD39" i="14" s="1"/>
  <c r="AD40" i="22"/>
  <c r="C237" i="54" l="1"/>
  <c r="B237" i="54"/>
  <c r="A238" i="54"/>
  <c r="AD40" i="17"/>
  <c r="AD40" i="40"/>
  <c r="AD41" i="12"/>
  <c r="AD41" i="14" s="1"/>
  <c r="AD38" i="10"/>
  <c r="B63" i="55" s="1"/>
  <c r="AD41" i="1"/>
  <c r="AD41" i="10" s="1"/>
  <c r="B13" i="44"/>
  <c r="B13" i="37"/>
  <c r="B13" i="30"/>
  <c r="C281" i="52"/>
  <c r="B281" i="52"/>
  <c r="D281" i="52"/>
  <c r="A284" i="2"/>
  <c r="B283" i="2"/>
  <c r="C283" i="2"/>
  <c r="A282" i="52"/>
  <c r="A14" i="37"/>
  <c r="AD13" i="37" s="1"/>
  <c r="AD13" i="44" s="1"/>
  <c r="A14" i="44"/>
  <c r="A14" i="30"/>
  <c r="A238" i="53"/>
  <c r="B237" i="53"/>
  <c r="C237" i="53"/>
  <c r="AD41" i="28"/>
  <c r="AD41" i="42" s="1"/>
  <c r="AD41" i="29"/>
  <c r="AD41" i="43" s="1"/>
  <c r="AD41" i="32"/>
  <c r="AD41" i="46" s="1"/>
  <c r="AD41" i="30"/>
  <c r="AD41" i="44" s="1"/>
  <c r="AD40" i="45"/>
  <c r="AD41" i="27"/>
  <c r="AD41" i="41" s="1"/>
  <c r="AD41" i="19"/>
  <c r="AD41" i="23" s="1"/>
  <c r="C7" i="47"/>
  <c r="AD38" i="14"/>
  <c r="C63" i="55" s="1"/>
  <c r="N7" i="47"/>
  <c r="E281" i="52" l="1"/>
  <c r="A239" i="54"/>
  <c r="B238" i="54"/>
  <c r="C238" i="54"/>
  <c r="N63" i="55"/>
  <c r="B6" i="47"/>
  <c r="B38" i="47" s="1"/>
  <c r="B282" i="52"/>
  <c r="C282" i="52"/>
  <c r="D282" i="52"/>
  <c r="C284" i="2"/>
  <c r="A285" i="2"/>
  <c r="B284" i="2"/>
  <c r="A15" i="44"/>
  <c r="A283" i="52"/>
  <c r="A15" i="37"/>
  <c r="A15" i="30"/>
  <c r="B14" i="37"/>
  <c r="B14" i="44"/>
  <c r="B14" i="30"/>
  <c r="C238" i="53"/>
  <c r="A239" i="53"/>
  <c r="B238" i="53"/>
  <c r="C6" i="47"/>
  <c r="C239" i="54" l="1"/>
  <c r="A240" i="54"/>
  <c r="B239" i="54"/>
  <c r="N6" i="47"/>
  <c r="O8" i="47" s="1"/>
  <c r="A286" i="2"/>
  <c r="B285" i="2"/>
  <c r="C285" i="2"/>
  <c r="A16" i="44"/>
  <c r="A284" i="52"/>
  <c r="A16" i="37"/>
  <c r="AD15" i="37" s="1"/>
  <c r="AD15" i="44" s="1"/>
  <c r="E283" i="52" s="1"/>
  <c r="A16" i="30"/>
  <c r="D283" i="52"/>
  <c r="B283" i="52"/>
  <c r="C283" i="52"/>
  <c r="B15" i="44"/>
  <c r="B15" i="37"/>
  <c r="B15" i="30"/>
  <c r="A240" i="53"/>
  <c r="B239" i="53"/>
  <c r="C239" i="53"/>
  <c r="A241" i="54" l="1"/>
  <c r="B240" i="54"/>
  <c r="C240" i="54"/>
  <c r="O21" i="47"/>
  <c r="O12" i="47"/>
  <c r="O16" i="47"/>
  <c r="O27" i="47"/>
  <c r="O13" i="47"/>
  <c r="O7" i="47"/>
  <c r="O31" i="47"/>
  <c r="O11" i="47"/>
  <c r="O23" i="47"/>
  <c r="N38" i="47"/>
  <c r="M38" i="47" s="1"/>
  <c r="L38" i="47" s="1"/>
  <c r="K38" i="47" s="1"/>
  <c r="J38" i="47" s="1"/>
  <c r="I38" i="47" s="1"/>
  <c r="H38" i="47" s="1"/>
  <c r="G38" i="47" s="1"/>
  <c r="F38" i="47" s="1"/>
  <c r="E38" i="47" s="1"/>
  <c r="D38" i="47" s="1"/>
  <c r="C38" i="47" s="1"/>
  <c r="C284" i="52"/>
  <c r="B284" i="52"/>
  <c r="D284" i="52"/>
  <c r="C286" i="2"/>
  <c r="A287" i="2"/>
  <c r="B286" i="2"/>
  <c r="A17" i="44"/>
  <c r="A285" i="52"/>
  <c r="A17" i="37"/>
  <c r="A17" i="30"/>
  <c r="B16" i="37"/>
  <c r="B16" i="44"/>
  <c r="B16" i="30"/>
  <c r="C240" i="53"/>
  <c r="A241" i="53"/>
  <c r="B240" i="53"/>
  <c r="C241" i="54" l="1"/>
  <c r="B241" i="54"/>
  <c r="A242" i="54"/>
  <c r="B17" i="37"/>
  <c r="B17" i="44"/>
  <c r="B17" i="30"/>
  <c r="A288" i="2"/>
  <c r="B287" i="2"/>
  <c r="C287" i="2"/>
  <c r="A18" i="44"/>
  <c r="A286" i="52"/>
  <c r="A18" i="37"/>
  <c r="AD17" i="37" s="1"/>
  <c r="AD17" i="44" s="1"/>
  <c r="E285" i="52" s="1"/>
  <c r="A18" i="30"/>
  <c r="B285" i="52"/>
  <c r="C285" i="52"/>
  <c r="D285" i="52"/>
  <c r="A242" i="53"/>
  <c r="B241" i="53"/>
  <c r="C241" i="53"/>
  <c r="A243" i="54" l="1"/>
  <c r="B242" i="54"/>
  <c r="C242" i="54"/>
  <c r="C286" i="52"/>
  <c r="D286" i="52"/>
  <c r="B286" i="52"/>
  <c r="C288" i="2"/>
  <c r="A289" i="2"/>
  <c r="B288" i="2"/>
  <c r="A287" i="52"/>
  <c r="A19" i="37"/>
  <c r="A19" i="44"/>
  <c r="A19" i="30"/>
  <c r="B18" i="37"/>
  <c r="B18" i="44"/>
  <c r="B18" i="30"/>
  <c r="C242" i="53"/>
  <c r="A243" i="53"/>
  <c r="B242" i="53"/>
  <c r="C243" i="54" l="1"/>
  <c r="A244" i="54"/>
  <c r="B243" i="54"/>
  <c r="B19" i="44"/>
  <c r="B19" i="37"/>
  <c r="B19" i="30"/>
  <c r="B287" i="52"/>
  <c r="C287" i="52"/>
  <c r="D287" i="52"/>
  <c r="A290" i="2"/>
  <c r="B289" i="2"/>
  <c r="C289" i="2"/>
  <c r="A20" i="44"/>
  <c r="A20" i="30"/>
  <c r="A288" i="52"/>
  <c r="A20" i="37"/>
  <c r="AD19" i="37" s="1"/>
  <c r="AD19" i="44" s="1"/>
  <c r="E287" i="52" s="1"/>
  <c r="A244" i="53"/>
  <c r="B243" i="53"/>
  <c r="C243" i="53"/>
  <c r="A245" i="54" l="1"/>
  <c r="B244" i="54"/>
  <c r="C244" i="54"/>
  <c r="B20" i="30"/>
  <c r="B20" i="37"/>
  <c r="B20" i="44"/>
  <c r="C290" i="2"/>
  <c r="A291" i="2"/>
  <c r="B290" i="2"/>
  <c r="A21" i="30"/>
  <c r="A289" i="52"/>
  <c r="A21" i="37"/>
  <c r="A21" i="44"/>
  <c r="C288" i="52"/>
  <c r="B288" i="52"/>
  <c r="D288" i="52"/>
  <c r="C244" i="53"/>
  <c r="A245" i="53"/>
  <c r="B244" i="53"/>
  <c r="C245" i="54" l="1"/>
  <c r="A246" i="54"/>
  <c r="B245" i="54"/>
  <c r="B21" i="37"/>
  <c r="B21" i="44"/>
  <c r="B21" i="30"/>
  <c r="A292" i="2"/>
  <c r="B291" i="2"/>
  <c r="C291" i="2"/>
  <c r="A290" i="52"/>
  <c r="A22" i="37"/>
  <c r="AD21" i="37" s="1"/>
  <c r="AD21" i="44" s="1"/>
  <c r="E289" i="52" s="1"/>
  <c r="A22" i="44"/>
  <c r="A22" i="30"/>
  <c r="D289" i="52"/>
  <c r="C289" i="52"/>
  <c r="B289" i="52"/>
  <c r="A246" i="53"/>
  <c r="B245" i="53"/>
  <c r="C245" i="53"/>
  <c r="A247" i="54" l="1"/>
  <c r="B246" i="54"/>
  <c r="C246" i="54"/>
  <c r="C292" i="2"/>
  <c r="A293" i="2"/>
  <c r="B292" i="2"/>
  <c r="A291" i="52"/>
  <c r="A23" i="37"/>
  <c r="A23" i="44"/>
  <c r="A23" i="30"/>
  <c r="D290" i="52"/>
  <c r="C290" i="52"/>
  <c r="B290" i="52"/>
  <c r="B22" i="44"/>
  <c r="B22" i="30"/>
  <c r="B22" i="37"/>
  <c r="C246" i="53"/>
  <c r="A247" i="53"/>
  <c r="B246" i="53"/>
  <c r="C247" i="54" l="1"/>
  <c r="A248" i="54"/>
  <c r="B247" i="54"/>
  <c r="B23" i="44"/>
  <c r="B23" i="30"/>
  <c r="B23" i="37"/>
  <c r="C291" i="52"/>
  <c r="D291" i="52"/>
  <c r="B291" i="52"/>
  <c r="A294" i="2"/>
  <c r="B293" i="2"/>
  <c r="C293" i="2"/>
  <c r="A24" i="44"/>
  <c r="A24" i="30"/>
  <c r="A292" i="52"/>
  <c r="A24" i="37"/>
  <c r="AD23" i="37" s="1"/>
  <c r="AD23" i="44" s="1"/>
  <c r="E291" i="52" s="1"/>
  <c r="A248" i="53"/>
  <c r="B247" i="53"/>
  <c r="C247" i="53"/>
  <c r="A249" i="54" l="1"/>
  <c r="B248" i="54"/>
  <c r="C248" i="54"/>
  <c r="C292" i="52"/>
  <c r="B292" i="52"/>
  <c r="D292" i="52"/>
  <c r="B24" i="44"/>
  <c r="B24" i="30"/>
  <c r="B24" i="37"/>
  <c r="C294" i="2"/>
  <c r="A295" i="2"/>
  <c r="B294" i="2"/>
  <c r="A293" i="52"/>
  <c r="A25" i="37"/>
  <c r="A25" i="44"/>
  <c r="A25" i="30"/>
  <c r="C248" i="53"/>
  <c r="A249" i="53"/>
  <c r="B248" i="53"/>
  <c r="C249" i="54" l="1"/>
  <c r="A250" i="54"/>
  <c r="B249" i="54"/>
  <c r="C293" i="52"/>
  <c r="D293" i="52"/>
  <c r="B293" i="52"/>
  <c r="A296" i="2"/>
  <c r="B295" i="2"/>
  <c r="C295" i="2"/>
  <c r="A26" i="44"/>
  <c r="A26" i="30"/>
  <c r="A294" i="52"/>
  <c r="A26" i="37"/>
  <c r="AD25" i="37" s="1"/>
  <c r="AD25" i="44" s="1"/>
  <c r="E293" i="52" s="1"/>
  <c r="B25" i="44"/>
  <c r="B25" i="30"/>
  <c r="B25" i="37"/>
  <c r="A250" i="53"/>
  <c r="B249" i="53"/>
  <c r="C249" i="53"/>
  <c r="A251" i="54" l="1"/>
  <c r="B250" i="54"/>
  <c r="C250" i="54"/>
  <c r="D294" i="52"/>
  <c r="C294" i="52"/>
  <c r="B294" i="52"/>
  <c r="B26" i="37"/>
  <c r="B26" i="44"/>
  <c r="B26" i="30"/>
  <c r="C296" i="2"/>
  <c r="A297" i="2"/>
  <c r="B296" i="2"/>
  <c r="A27" i="44"/>
  <c r="A27" i="30"/>
  <c r="A295" i="52"/>
  <c r="A27" i="37"/>
  <c r="C250" i="53"/>
  <c r="A251" i="53"/>
  <c r="B250" i="53"/>
  <c r="C251" i="54" l="1"/>
  <c r="A252" i="54"/>
  <c r="B251" i="54"/>
  <c r="D295" i="52"/>
  <c r="C295" i="52"/>
  <c r="B295" i="52"/>
  <c r="A298" i="2"/>
  <c r="B297" i="2"/>
  <c r="C297" i="2"/>
  <c r="A28" i="44"/>
  <c r="A296" i="52"/>
  <c r="A28" i="37"/>
  <c r="AD27" i="37" s="1"/>
  <c r="AD27" i="44" s="1"/>
  <c r="E295" i="52" s="1"/>
  <c r="A28" i="30"/>
  <c r="B27" i="44"/>
  <c r="B27" i="37"/>
  <c r="B27" i="30"/>
  <c r="A252" i="53"/>
  <c r="B251" i="53"/>
  <c r="C251" i="53"/>
  <c r="A253" i="54" l="1"/>
  <c r="B252" i="54"/>
  <c r="C252" i="54"/>
  <c r="D296" i="52"/>
  <c r="B296" i="52"/>
  <c r="C296" i="52"/>
  <c r="B28" i="44"/>
  <c r="B28" i="30"/>
  <c r="B28" i="37"/>
  <c r="C298" i="2"/>
  <c r="A299" i="2"/>
  <c r="B298" i="2"/>
  <c r="A297" i="52"/>
  <c r="A29" i="37"/>
  <c r="A29" i="44"/>
  <c r="A29" i="30"/>
  <c r="C252" i="53"/>
  <c r="A253" i="53"/>
  <c r="B252" i="53"/>
  <c r="C253" i="54" l="1"/>
  <c r="A254" i="54"/>
  <c r="B253" i="54"/>
  <c r="C297" i="52"/>
  <c r="B297" i="52"/>
  <c r="D297" i="52"/>
  <c r="A300" i="2"/>
  <c r="B299" i="2"/>
  <c r="C299" i="2"/>
  <c r="A30" i="44"/>
  <c r="A298" i="52"/>
  <c r="A30" i="37"/>
  <c r="AD29" i="37" s="1"/>
  <c r="AD29" i="44" s="1"/>
  <c r="E297" i="52" s="1"/>
  <c r="A30" i="30"/>
  <c r="B29" i="37"/>
  <c r="B29" i="44"/>
  <c r="B29" i="30"/>
  <c r="A254" i="53"/>
  <c r="B253" i="53"/>
  <c r="C253" i="53"/>
  <c r="A255" i="54" l="1"/>
  <c r="B254" i="54"/>
  <c r="C254" i="54"/>
  <c r="B30" i="37"/>
  <c r="B30" i="44"/>
  <c r="B30" i="30"/>
  <c r="C298" i="52"/>
  <c r="D298" i="52"/>
  <c r="B298" i="52"/>
  <c r="C300" i="2"/>
  <c r="A301" i="2"/>
  <c r="B300" i="2"/>
  <c r="A31" i="44"/>
  <c r="A31" i="30"/>
  <c r="A299" i="52"/>
  <c r="A31" i="37"/>
  <c r="C254" i="53"/>
  <c r="A255" i="53"/>
  <c r="B254" i="53"/>
  <c r="C255" i="54" l="1"/>
  <c r="A256" i="54"/>
  <c r="B255" i="54"/>
  <c r="A302" i="2"/>
  <c r="B301" i="2"/>
  <c r="C301" i="2"/>
  <c r="A32" i="44"/>
  <c r="A300" i="52"/>
  <c r="A32" i="37"/>
  <c r="AD31" i="37" s="1"/>
  <c r="AD31" i="44" s="1"/>
  <c r="E299" i="52" s="1"/>
  <c r="A32" i="30"/>
  <c r="B31" i="30"/>
  <c r="B31" i="37"/>
  <c r="B31" i="44"/>
  <c r="C299" i="52"/>
  <c r="D299" i="52"/>
  <c r="B299" i="52"/>
  <c r="A256" i="53"/>
  <c r="B255" i="53"/>
  <c r="C255" i="53"/>
  <c r="A257" i="54" l="1"/>
  <c r="B256" i="54"/>
  <c r="C256" i="54"/>
  <c r="B32" i="44"/>
  <c r="B32" i="30"/>
  <c r="B32" i="37"/>
  <c r="B300" i="52"/>
  <c r="C300" i="52"/>
  <c r="D300" i="52"/>
  <c r="C302" i="2"/>
  <c r="A303" i="2"/>
  <c r="B302" i="2"/>
  <c r="A301" i="52"/>
  <c r="A33" i="37"/>
  <c r="A33" i="44"/>
  <c r="A33" i="30"/>
  <c r="C256" i="53"/>
  <c r="A257" i="53"/>
  <c r="B256" i="53"/>
  <c r="C257" i="54" l="1"/>
  <c r="A258" i="54"/>
  <c r="B257" i="54"/>
  <c r="B301" i="52"/>
  <c r="D301" i="52"/>
  <c r="C301" i="52"/>
  <c r="B33" i="44"/>
  <c r="B33" i="37"/>
  <c r="B33" i="30"/>
  <c r="A304" i="2"/>
  <c r="B303" i="2"/>
  <c r="C303" i="2"/>
  <c r="A302" i="52"/>
  <c r="A34" i="37"/>
  <c r="AD33" i="37" s="1"/>
  <c r="AD33" i="44" s="1"/>
  <c r="A34" i="44"/>
  <c r="A34" i="30"/>
  <c r="A258" i="53"/>
  <c r="B257" i="53"/>
  <c r="C257" i="53"/>
  <c r="E301" i="52" l="1"/>
  <c r="K33" i="47"/>
  <c r="K35" i="47"/>
  <c r="K34" i="47"/>
  <c r="A259" i="54"/>
  <c r="B258" i="54"/>
  <c r="C258" i="54"/>
  <c r="B302" i="52"/>
  <c r="D302" i="52"/>
  <c r="C302" i="52"/>
  <c r="B34" i="37"/>
  <c r="B34" i="44"/>
  <c r="B34" i="30"/>
  <c r="C304" i="2"/>
  <c r="A305" i="2"/>
  <c r="B304" i="2"/>
  <c r="A303" i="52"/>
  <c r="A35" i="44"/>
  <c r="A35" i="30"/>
  <c r="A35" i="37"/>
  <c r="C258" i="53"/>
  <c r="A259" i="53"/>
  <c r="B258" i="53"/>
  <c r="C259" i="54" l="1"/>
  <c r="A260" i="54"/>
  <c r="B259" i="54"/>
  <c r="C303" i="52"/>
  <c r="D303" i="52"/>
  <c r="B303" i="52"/>
  <c r="B35" i="30"/>
  <c r="B35" i="37"/>
  <c r="B35" i="44"/>
  <c r="A306" i="2"/>
  <c r="B305" i="2"/>
  <c r="C305" i="2"/>
  <c r="A5" i="31"/>
  <c r="A304" i="52"/>
  <c r="A5" i="38"/>
  <c r="A5" i="45"/>
  <c r="A260" i="53"/>
  <c r="B259" i="53"/>
  <c r="C259" i="53"/>
  <c r="A261" i="54" l="1"/>
  <c r="B260" i="54"/>
  <c r="C260" i="54"/>
  <c r="C304" i="52"/>
  <c r="D304" i="52"/>
  <c r="B304" i="52"/>
  <c r="C306" i="2"/>
  <c r="A307" i="2"/>
  <c r="B306" i="2"/>
  <c r="A305" i="52"/>
  <c r="A6" i="38"/>
  <c r="A6" i="45"/>
  <c r="A6" i="31"/>
  <c r="B5" i="45"/>
  <c r="B5" i="31"/>
  <c r="B5" i="38"/>
  <c r="C260" i="53"/>
  <c r="A261" i="53"/>
  <c r="B260" i="53"/>
  <c r="A262" i="54" l="1"/>
  <c r="C261" i="54"/>
  <c r="B261" i="54"/>
  <c r="B305" i="52"/>
  <c r="D305" i="52"/>
  <c r="C305" i="52"/>
  <c r="A308" i="2"/>
  <c r="B307" i="2"/>
  <c r="C307" i="2"/>
  <c r="A7" i="45"/>
  <c r="A306" i="52"/>
  <c r="A7" i="38"/>
  <c r="AD6" i="38" s="1"/>
  <c r="AD6" i="45" s="1"/>
  <c r="A7" i="31"/>
  <c r="B6" i="38"/>
  <c r="B6" i="45"/>
  <c r="B6" i="31"/>
  <c r="A262" i="53"/>
  <c r="B261" i="53"/>
  <c r="C261" i="53"/>
  <c r="C262" i="54" l="1"/>
  <c r="A263" i="54"/>
  <c r="B262" i="54"/>
  <c r="E305" i="52"/>
  <c r="C308" i="2"/>
  <c r="A309" i="2"/>
  <c r="B308" i="2"/>
  <c r="A307" i="52"/>
  <c r="A8" i="38"/>
  <c r="A8" i="31"/>
  <c r="A8" i="45"/>
  <c r="B7" i="45"/>
  <c r="B7" i="31"/>
  <c r="B7" i="38"/>
  <c r="B306" i="52"/>
  <c r="C306" i="52"/>
  <c r="D306" i="52"/>
  <c r="C262" i="53"/>
  <c r="A263" i="53"/>
  <c r="B262" i="53"/>
  <c r="A264" i="54" l="1"/>
  <c r="B263" i="54"/>
  <c r="C263" i="54"/>
  <c r="B307" i="52"/>
  <c r="D307" i="52"/>
  <c r="C307" i="52"/>
  <c r="A310" i="2"/>
  <c r="B309" i="2"/>
  <c r="C309" i="2"/>
  <c r="A9" i="45"/>
  <c r="A9" i="31"/>
  <c r="A308" i="52"/>
  <c r="A9" i="38"/>
  <c r="AD8" i="38" s="1"/>
  <c r="AD8" i="45" s="1"/>
  <c r="B8" i="45"/>
  <c r="B8" i="31"/>
  <c r="B8" i="38"/>
  <c r="A264" i="53"/>
  <c r="B263" i="53"/>
  <c r="C263" i="53"/>
  <c r="E307" i="52" l="1"/>
  <c r="C264" i="54"/>
  <c r="B264" i="54"/>
  <c r="A265" i="54"/>
  <c r="C310" i="2"/>
  <c r="A311" i="2"/>
  <c r="B310" i="2"/>
  <c r="A10" i="45"/>
  <c r="A10" i="31"/>
  <c r="A309" i="52"/>
  <c r="A10" i="38"/>
  <c r="D308" i="52"/>
  <c r="C308" i="52"/>
  <c r="B308" i="52"/>
  <c r="B9" i="38"/>
  <c r="B9" i="45"/>
  <c r="B9" i="31"/>
  <c r="C264" i="53"/>
  <c r="A265" i="53"/>
  <c r="B264" i="53"/>
  <c r="A266" i="54" l="1"/>
  <c r="B265" i="54"/>
  <c r="C265" i="54"/>
  <c r="B309" i="52"/>
  <c r="C309" i="52"/>
  <c r="D309" i="52"/>
  <c r="A312" i="2"/>
  <c r="B311" i="2"/>
  <c r="C311" i="2"/>
  <c r="A11" i="45"/>
  <c r="A11" i="31"/>
  <c r="A310" i="52"/>
  <c r="A11" i="38"/>
  <c r="AD10" i="38" s="1"/>
  <c r="AD10" i="45" s="1"/>
  <c r="B10" i="38"/>
  <c r="B10" i="45"/>
  <c r="B10" i="31"/>
  <c r="A266" i="53"/>
  <c r="B265" i="53"/>
  <c r="C265" i="53"/>
  <c r="E309" i="52" l="1"/>
  <c r="C266" i="54"/>
  <c r="A267" i="54"/>
  <c r="B266" i="54"/>
  <c r="C312" i="2"/>
  <c r="A313" i="2"/>
  <c r="B312" i="2"/>
  <c r="A12" i="45"/>
  <c r="A311" i="52"/>
  <c r="A12" i="38"/>
  <c r="A12" i="31"/>
  <c r="D310" i="52"/>
  <c r="B310" i="52"/>
  <c r="C310" i="52"/>
  <c r="B11" i="38"/>
  <c r="B11" i="45"/>
  <c r="B11" i="31"/>
  <c r="C266" i="53"/>
  <c r="A267" i="53"/>
  <c r="B266" i="53"/>
  <c r="A268" i="54" l="1"/>
  <c r="B267" i="54"/>
  <c r="C267" i="54"/>
  <c r="A314" i="2"/>
  <c r="B313" i="2"/>
  <c r="C313" i="2"/>
  <c r="A13" i="38"/>
  <c r="AD12" i="38" s="1"/>
  <c r="AD12" i="45" s="1"/>
  <c r="A13" i="45"/>
  <c r="A13" i="31"/>
  <c r="A312" i="52"/>
  <c r="D311" i="52"/>
  <c r="B311" i="52"/>
  <c r="C311" i="52"/>
  <c r="B12" i="38"/>
  <c r="B12" i="45"/>
  <c r="B12" i="31"/>
  <c r="A268" i="53"/>
  <c r="B267" i="53"/>
  <c r="C267" i="53"/>
  <c r="E311" i="52" l="1"/>
  <c r="C268" i="54"/>
  <c r="B268" i="54"/>
  <c r="A269" i="54"/>
  <c r="B13" i="45"/>
  <c r="B13" i="38"/>
  <c r="B13" i="31"/>
  <c r="B312" i="52"/>
  <c r="D312" i="52"/>
  <c r="C312" i="52"/>
  <c r="C314" i="2"/>
  <c r="A315" i="2"/>
  <c r="B314" i="2"/>
  <c r="A14" i="45"/>
  <c r="A14" i="31"/>
  <c r="A313" i="52"/>
  <c r="A14" i="38"/>
  <c r="C268" i="53"/>
  <c r="A269" i="53"/>
  <c r="B268" i="53"/>
  <c r="A270" i="54" l="1"/>
  <c r="B269" i="54"/>
  <c r="C269" i="54"/>
  <c r="B313" i="52"/>
  <c r="D313" i="52"/>
  <c r="C313" i="52"/>
  <c r="A316" i="2"/>
  <c r="B315" i="2"/>
  <c r="C315" i="2"/>
  <c r="A314" i="52"/>
  <c r="A15" i="38"/>
  <c r="AD14" i="38" s="1"/>
  <c r="AD14" i="45" s="1"/>
  <c r="A15" i="45"/>
  <c r="A15" i="31"/>
  <c r="B14" i="31"/>
  <c r="B14" i="38"/>
  <c r="B14" i="45"/>
  <c r="A270" i="53"/>
  <c r="B269" i="53"/>
  <c r="C269" i="53"/>
  <c r="E313" i="52" l="1"/>
  <c r="C270" i="54"/>
  <c r="A271" i="54"/>
  <c r="B270" i="54"/>
  <c r="C316" i="2"/>
  <c r="A317" i="2"/>
  <c r="B316" i="2"/>
  <c r="A16" i="31"/>
  <c r="A315" i="52"/>
  <c r="A16" i="38"/>
  <c r="A16" i="45"/>
  <c r="D314" i="52"/>
  <c r="C314" i="52"/>
  <c r="B314" i="52"/>
  <c r="B15" i="38"/>
  <c r="B15" i="45"/>
  <c r="B15" i="31"/>
  <c r="C270" i="53"/>
  <c r="A271" i="53"/>
  <c r="B270" i="53"/>
  <c r="A272" i="54" l="1"/>
  <c r="B271" i="54"/>
  <c r="C271" i="54"/>
  <c r="A318" i="2"/>
  <c r="B317" i="2"/>
  <c r="C317" i="2"/>
  <c r="A316" i="52"/>
  <c r="A17" i="45"/>
  <c r="A17" i="31"/>
  <c r="A17" i="38"/>
  <c r="AD16" i="38" s="1"/>
  <c r="AD16" i="45" s="1"/>
  <c r="E315" i="52" s="1"/>
  <c r="D315" i="52"/>
  <c r="B315" i="52"/>
  <c r="C315" i="52"/>
  <c r="B16" i="45"/>
  <c r="B16" i="31"/>
  <c r="B16" i="38"/>
  <c r="A272" i="53"/>
  <c r="B271" i="53"/>
  <c r="C271" i="53"/>
  <c r="C272" i="54" l="1"/>
  <c r="B272" i="54"/>
  <c r="A273" i="54"/>
  <c r="B316" i="52"/>
  <c r="D316" i="52"/>
  <c r="C316" i="52"/>
  <c r="B17" i="38"/>
  <c r="B17" i="45"/>
  <c r="B17" i="31"/>
  <c r="C318" i="2"/>
  <c r="A319" i="2"/>
  <c r="B318" i="2"/>
  <c r="A18" i="45"/>
  <c r="A18" i="31"/>
  <c r="A317" i="52"/>
  <c r="A18" i="38"/>
  <c r="C272" i="53"/>
  <c r="A273" i="53"/>
  <c r="B272" i="53"/>
  <c r="A274" i="54" l="1"/>
  <c r="B273" i="54"/>
  <c r="C273" i="54"/>
  <c r="C317" i="52"/>
  <c r="D317" i="52"/>
  <c r="B317" i="52"/>
  <c r="A320" i="2"/>
  <c r="B319" i="2"/>
  <c r="C319" i="2"/>
  <c r="A19" i="45"/>
  <c r="A318" i="52"/>
  <c r="A19" i="38"/>
  <c r="AD18" i="38" s="1"/>
  <c r="A19" i="31"/>
  <c r="AD18" i="31" s="1"/>
  <c r="B18" i="31"/>
  <c r="B18" i="38"/>
  <c r="B18" i="45"/>
  <c r="A274" i="53"/>
  <c r="B273" i="53"/>
  <c r="C273" i="53"/>
  <c r="AD18" i="45" l="1"/>
  <c r="E317" i="52" s="1"/>
  <c r="C274" i="54"/>
  <c r="A275" i="54"/>
  <c r="B274" i="54"/>
  <c r="C318" i="52"/>
  <c r="B318" i="52"/>
  <c r="D318" i="52"/>
  <c r="C320" i="2"/>
  <c r="A321" i="2"/>
  <c r="B320" i="2"/>
  <c r="A20" i="38"/>
  <c r="A20" i="45"/>
  <c r="A20" i="31"/>
  <c r="A319" i="52"/>
  <c r="B19" i="38"/>
  <c r="B19" i="45"/>
  <c r="B19" i="31"/>
  <c r="C274" i="53"/>
  <c r="A275" i="53"/>
  <c r="B274" i="53"/>
  <c r="A276" i="54" l="1"/>
  <c r="B275" i="54"/>
  <c r="C275" i="54"/>
  <c r="A322" i="2"/>
  <c r="B321" i="2"/>
  <c r="C321" i="2"/>
  <c r="A320" i="52"/>
  <c r="A21" i="38"/>
  <c r="AD20" i="38" s="1"/>
  <c r="AD20" i="45" s="1"/>
  <c r="E319" i="52" s="1"/>
  <c r="A21" i="45"/>
  <c r="A21" i="31"/>
  <c r="B319" i="52"/>
  <c r="C319" i="52"/>
  <c r="D319" i="52"/>
  <c r="B20" i="31"/>
  <c r="B20" i="38"/>
  <c r="B20" i="45"/>
  <c r="A276" i="53"/>
  <c r="B275" i="53"/>
  <c r="C275" i="53"/>
  <c r="C276" i="54" l="1"/>
  <c r="B276" i="54"/>
  <c r="A277" i="54"/>
  <c r="C320" i="52"/>
  <c r="B320" i="52"/>
  <c r="D320" i="52"/>
  <c r="B21" i="45"/>
  <c r="B21" i="31"/>
  <c r="B21" i="38"/>
  <c r="C322" i="2"/>
  <c r="A323" i="2"/>
  <c r="B322" i="2"/>
  <c r="A22" i="31"/>
  <c r="A321" i="52"/>
  <c r="A22" i="38"/>
  <c r="A22" i="45"/>
  <c r="C276" i="53"/>
  <c r="A277" i="53"/>
  <c r="B276" i="53"/>
  <c r="A278" i="54" l="1"/>
  <c r="B277" i="54"/>
  <c r="C277" i="54"/>
  <c r="A324" i="2"/>
  <c r="B323" i="2"/>
  <c r="C323" i="2"/>
  <c r="A23" i="45"/>
  <c r="A322" i="52"/>
  <c r="A23" i="38"/>
  <c r="AD22" i="38" s="1"/>
  <c r="AD22" i="45" s="1"/>
  <c r="E321" i="52" s="1"/>
  <c r="A23" i="31"/>
  <c r="C321" i="52"/>
  <c r="D321" i="52"/>
  <c r="B321" i="52"/>
  <c r="B22" i="38"/>
  <c r="B22" i="45"/>
  <c r="B22" i="31"/>
  <c r="A278" i="53"/>
  <c r="B277" i="53"/>
  <c r="C277" i="53"/>
  <c r="C278" i="54" l="1"/>
  <c r="A279" i="54"/>
  <c r="B278" i="54"/>
  <c r="B23" i="38"/>
  <c r="B23" i="45"/>
  <c r="B23" i="31"/>
  <c r="D322" i="52"/>
  <c r="B322" i="52"/>
  <c r="C322" i="52"/>
  <c r="C324" i="2"/>
  <c r="A325" i="2"/>
  <c r="B324" i="2"/>
  <c r="A24" i="45"/>
  <c r="A24" i="31"/>
  <c r="A323" i="52"/>
  <c r="A24" i="38"/>
  <c r="C278" i="53"/>
  <c r="A279" i="53"/>
  <c r="B278" i="53"/>
  <c r="A280" i="54" l="1"/>
  <c r="B279" i="54"/>
  <c r="C279" i="54"/>
  <c r="C323" i="52"/>
  <c r="D323" i="52"/>
  <c r="B323" i="52"/>
  <c r="A326" i="2"/>
  <c r="B325" i="2"/>
  <c r="C325" i="2"/>
  <c r="A25" i="45"/>
  <c r="A25" i="31"/>
  <c r="AD24" i="31" s="1"/>
  <c r="A324" i="52"/>
  <c r="A25" i="38"/>
  <c r="AD24" i="38" s="1"/>
  <c r="B24" i="45"/>
  <c r="B24" i="31"/>
  <c r="B24" i="38"/>
  <c r="A280" i="53"/>
  <c r="B279" i="53"/>
  <c r="C279" i="53"/>
  <c r="AD24" i="45" l="1"/>
  <c r="E323" i="52" s="1"/>
  <c r="C280" i="54"/>
  <c r="B280" i="54"/>
  <c r="A281" i="54"/>
  <c r="C326" i="2"/>
  <c r="A327" i="2"/>
  <c r="B326" i="2"/>
  <c r="A325" i="52"/>
  <c r="A26" i="38"/>
  <c r="A26" i="45"/>
  <c r="A26" i="31"/>
  <c r="B324" i="52"/>
  <c r="D324" i="52"/>
  <c r="C324" i="52"/>
  <c r="B25" i="45"/>
  <c r="B25" i="31"/>
  <c r="B25" i="38"/>
  <c r="C280" i="53"/>
  <c r="A281" i="53"/>
  <c r="B280" i="53"/>
  <c r="A282" i="54" l="1"/>
  <c r="B281" i="54"/>
  <c r="C281" i="54"/>
  <c r="B325" i="52"/>
  <c r="C325" i="52"/>
  <c r="D325" i="52"/>
  <c r="A328" i="2"/>
  <c r="B327" i="2"/>
  <c r="C327" i="2"/>
  <c r="A27" i="45"/>
  <c r="A326" i="52"/>
  <c r="A27" i="38"/>
  <c r="AD26" i="38" s="1"/>
  <c r="AD26" i="45" s="1"/>
  <c r="E325" i="52" s="1"/>
  <c r="A27" i="31"/>
  <c r="B26" i="45"/>
  <c r="B26" i="38"/>
  <c r="B26" i="31"/>
  <c r="A282" i="53"/>
  <c r="B281" i="53"/>
  <c r="C281" i="53"/>
  <c r="C282" i="54" l="1"/>
  <c r="A283" i="54"/>
  <c r="B282" i="54"/>
  <c r="B326" i="52"/>
  <c r="D326" i="52"/>
  <c r="C326" i="52"/>
  <c r="C328" i="2"/>
  <c r="A329" i="2"/>
  <c r="B328" i="2"/>
  <c r="A327" i="52"/>
  <c r="A28" i="38"/>
  <c r="A28" i="45"/>
  <c r="A28" i="31"/>
  <c r="B27" i="45"/>
  <c r="B27" i="31"/>
  <c r="B27" i="38"/>
  <c r="C282" i="53"/>
  <c r="A283" i="53"/>
  <c r="B282" i="53"/>
  <c r="A284" i="54" l="1"/>
  <c r="B283" i="54"/>
  <c r="C283" i="54"/>
  <c r="B28" i="38"/>
  <c r="B28" i="45"/>
  <c r="B28" i="31"/>
  <c r="B327" i="52"/>
  <c r="C327" i="52"/>
  <c r="D327" i="52"/>
  <c r="A330" i="2"/>
  <c r="B329" i="2"/>
  <c r="C329" i="2"/>
  <c r="A328" i="52"/>
  <c r="A29" i="38"/>
  <c r="AD28" i="38" s="1"/>
  <c r="A29" i="45"/>
  <c r="A29" i="31"/>
  <c r="AD28" i="31" s="1"/>
  <c r="AD28" i="45" s="1"/>
  <c r="E327" i="52" s="1"/>
  <c r="A284" i="53"/>
  <c r="B283" i="53"/>
  <c r="C283" i="53"/>
  <c r="C284" i="54" l="1"/>
  <c r="A285" i="54"/>
  <c r="B284" i="54"/>
  <c r="D328" i="52"/>
  <c r="C328" i="52"/>
  <c r="B328" i="52"/>
  <c r="B29" i="38"/>
  <c r="B29" i="45"/>
  <c r="B29" i="31"/>
  <c r="C330" i="2"/>
  <c r="A331" i="2"/>
  <c r="B330" i="2"/>
  <c r="A30" i="45"/>
  <c r="A30" i="31"/>
  <c r="A329" i="52"/>
  <c r="A30" i="38"/>
  <c r="C284" i="53"/>
  <c r="A285" i="53"/>
  <c r="B284" i="53"/>
  <c r="A286" i="54" l="1"/>
  <c r="B285" i="54"/>
  <c r="C285" i="54"/>
  <c r="C329" i="52"/>
  <c r="D329" i="52"/>
  <c r="B329" i="52"/>
  <c r="A332" i="2"/>
  <c r="B331" i="2"/>
  <c r="C331" i="2"/>
  <c r="A31" i="45"/>
  <c r="A31" i="31"/>
  <c r="A330" i="52"/>
  <c r="A31" i="38"/>
  <c r="AD30" i="38" s="1"/>
  <c r="AD30" i="45" s="1"/>
  <c r="E329" i="52" s="1"/>
  <c r="B30" i="45"/>
  <c r="B30" i="31"/>
  <c r="B30" i="38"/>
  <c r="A286" i="53"/>
  <c r="B285" i="53"/>
  <c r="C285" i="53"/>
  <c r="C286" i="54" l="1"/>
  <c r="A287" i="54"/>
  <c r="B286" i="54"/>
  <c r="C332" i="2"/>
  <c r="A333" i="2"/>
  <c r="B332" i="2"/>
  <c r="A331" i="52"/>
  <c r="A32" i="38"/>
  <c r="A32" i="45"/>
  <c r="A32" i="31"/>
  <c r="C330" i="52"/>
  <c r="D330" i="52"/>
  <c r="B330" i="52"/>
  <c r="B31" i="38"/>
  <c r="B31" i="45"/>
  <c r="B31" i="31"/>
  <c r="C286" i="53"/>
  <c r="A287" i="53"/>
  <c r="B286" i="53"/>
  <c r="A288" i="54" l="1"/>
  <c r="B287" i="54"/>
  <c r="C287" i="54"/>
  <c r="C331" i="52"/>
  <c r="D331" i="52"/>
  <c r="B331" i="52"/>
  <c r="A334" i="2"/>
  <c r="B333" i="2"/>
  <c r="C333" i="2"/>
  <c r="A33" i="38"/>
  <c r="AD32" i="38" s="1"/>
  <c r="AD32" i="45" s="1"/>
  <c r="A33" i="45"/>
  <c r="A33" i="31"/>
  <c r="A332" i="52"/>
  <c r="B32" i="38"/>
  <c r="B32" i="45"/>
  <c r="B32" i="31"/>
  <c r="A288" i="53"/>
  <c r="B287" i="53"/>
  <c r="C287" i="53"/>
  <c r="C288" i="54" l="1"/>
  <c r="A289" i="54"/>
  <c r="B288" i="54"/>
  <c r="E331" i="52"/>
  <c r="L35" i="47"/>
  <c r="L33" i="47"/>
  <c r="L34" i="47"/>
  <c r="D332" i="52"/>
  <c r="C332" i="52"/>
  <c r="B332" i="52"/>
  <c r="C334" i="2"/>
  <c r="A335" i="2"/>
  <c r="B334" i="2"/>
  <c r="A34" i="45"/>
  <c r="A34" i="31"/>
  <c r="A333" i="52"/>
  <c r="A34" i="38"/>
  <c r="B33" i="38"/>
  <c r="B33" i="45"/>
  <c r="B33" i="31"/>
  <c r="C288" i="53"/>
  <c r="A289" i="53"/>
  <c r="B288" i="53"/>
  <c r="A290" i="54" l="1"/>
  <c r="B289" i="54"/>
  <c r="C289" i="54"/>
  <c r="B34" i="45"/>
  <c r="B34" i="31"/>
  <c r="B34" i="38"/>
  <c r="B333" i="52"/>
  <c r="D333" i="52"/>
  <c r="C333" i="52"/>
  <c r="A336" i="2"/>
  <c r="B335" i="2"/>
  <c r="C335" i="2"/>
  <c r="A5" i="46"/>
  <c r="A5" i="32"/>
  <c r="A334" i="52"/>
  <c r="A5" i="39"/>
  <c r="A290" i="53"/>
  <c r="B289" i="53"/>
  <c r="C289" i="53"/>
  <c r="C290" i="54" l="1"/>
  <c r="A291" i="54"/>
  <c r="B290" i="54"/>
  <c r="B5" i="39"/>
  <c r="B5" i="46"/>
  <c r="B5" i="32"/>
  <c r="C336" i="2"/>
  <c r="A337" i="2"/>
  <c r="B336" i="2"/>
  <c r="A6" i="46"/>
  <c r="A6" i="32"/>
  <c r="A335" i="52"/>
  <c r="A6" i="39"/>
  <c r="D334" i="52"/>
  <c r="C334" i="52"/>
  <c r="B334" i="52"/>
  <c r="C290" i="53"/>
  <c r="A291" i="53"/>
  <c r="B290" i="53"/>
  <c r="A292" i="54" l="1"/>
  <c r="B291" i="54"/>
  <c r="C291" i="54"/>
  <c r="B6" i="39"/>
  <c r="B6" i="46"/>
  <c r="B6" i="32"/>
  <c r="D335" i="52"/>
  <c r="C335" i="52"/>
  <c r="B335" i="52"/>
  <c r="A338" i="2"/>
  <c r="B337" i="2"/>
  <c r="C337" i="2"/>
  <c r="A336" i="52"/>
  <c r="A7" i="39"/>
  <c r="A7" i="46"/>
  <c r="A7" i="32"/>
  <c r="A292" i="53"/>
  <c r="B291" i="53"/>
  <c r="C291" i="53"/>
  <c r="C292" i="54" l="1"/>
  <c r="A293" i="54"/>
  <c r="B292" i="54"/>
  <c r="D336" i="52"/>
  <c r="B336" i="52"/>
  <c r="C336" i="52"/>
  <c r="B7" i="39"/>
  <c r="B7" i="46"/>
  <c r="B7" i="32"/>
  <c r="C338" i="2"/>
  <c r="A339" i="2"/>
  <c r="B338" i="2"/>
  <c r="A8" i="46"/>
  <c r="A8" i="32"/>
  <c r="A337" i="52"/>
  <c r="A8" i="39"/>
  <c r="C292" i="53"/>
  <c r="A293" i="53"/>
  <c r="B292" i="53"/>
  <c r="A294" i="54" l="1"/>
  <c r="B293" i="54"/>
  <c r="C293" i="54"/>
  <c r="D337" i="52"/>
  <c r="B337" i="52"/>
  <c r="C337" i="52"/>
  <c r="A340" i="2"/>
  <c r="B339" i="2"/>
  <c r="C339" i="2"/>
  <c r="A338" i="52"/>
  <c r="A9" i="39"/>
  <c r="AD8" i="39" s="1"/>
  <c r="AD8" i="46" s="1"/>
  <c r="A9" i="46"/>
  <c r="A9" i="32"/>
  <c r="B8" i="39"/>
  <c r="B8" i="46"/>
  <c r="B8" i="32"/>
  <c r="A294" i="53"/>
  <c r="B293" i="53"/>
  <c r="C293" i="53"/>
  <c r="E337" i="52" l="1"/>
  <c r="C294" i="54"/>
  <c r="A295" i="54"/>
  <c r="B294" i="54"/>
  <c r="C340" i="2"/>
  <c r="A341" i="2"/>
  <c r="B340" i="2"/>
  <c r="A339" i="52"/>
  <c r="A10" i="39"/>
  <c r="A10" i="46"/>
  <c r="A10" i="32"/>
  <c r="D338" i="52"/>
  <c r="C338" i="52"/>
  <c r="B338" i="52"/>
  <c r="B9" i="46"/>
  <c r="B9" i="32"/>
  <c r="B9" i="39"/>
  <c r="C294" i="53"/>
  <c r="A295" i="53"/>
  <c r="B294" i="53"/>
  <c r="A296" i="54" l="1"/>
  <c r="B295" i="54"/>
  <c r="C295" i="54"/>
  <c r="C339" i="52"/>
  <c r="D339" i="52"/>
  <c r="B339" i="52"/>
  <c r="A342" i="2"/>
  <c r="B341" i="2"/>
  <c r="C341" i="2"/>
  <c r="A11" i="46"/>
  <c r="A340" i="52"/>
  <c r="A11" i="39"/>
  <c r="AD10" i="39" s="1"/>
  <c r="AD10" i="46" s="1"/>
  <c r="A11" i="32"/>
  <c r="B10" i="39"/>
  <c r="B10" i="46"/>
  <c r="B10" i="32"/>
  <c r="A296" i="53"/>
  <c r="B295" i="53"/>
  <c r="C295" i="53"/>
  <c r="C296" i="54" l="1"/>
  <c r="A297" i="54"/>
  <c r="B296" i="54"/>
  <c r="E339" i="52"/>
  <c r="D340" i="52"/>
  <c r="B340" i="52"/>
  <c r="C340" i="52"/>
  <c r="C342" i="2"/>
  <c r="A343" i="2"/>
  <c r="B342" i="2"/>
  <c r="A12" i="32"/>
  <c r="A341" i="52"/>
  <c r="A12" i="39"/>
  <c r="A12" i="46"/>
  <c r="B11" i="46"/>
  <c r="B11" i="32"/>
  <c r="B11" i="39"/>
  <c r="C296" i="53"/>
  <c r="A297" i="53"/>
  <c r="B296" i="53"/>
  <c r="A298" i="54" l="1"/>
  <c r="B297" i="54"/>
  <c r="C297" i="54"/>
  <c r="B341" i="52"/>
  <c r="C341" i="52"/>
  <c r="D341" i="52"/>
  <c r="B12" i="46"/>
  <c r="B12" i="32"/>
  <c r="B12" i="39"/>
  <c r="A344" i="2"/>
  <c r="B343" i="2"/>
  <c r="C343" i="2"/>
  <c r="A13" i="32"/>
  <c r="A342" i="52"/>
  <c r="A13" i="39"/>
  <c r="A13" i="46"/>
  <c r="A298" i="53"/>
  <c r="B297" i="53"/>
  <c r="C297" i="53"/>
  <c r="C298" i="54" l="1"/>
  <c r="A299" i="54"/>
  <c r="B298" i="54"/>
  <c r="B13" i="46"/>
  <c r="B13" i="32"/>
  <c r="B13" i="39"/>
  <c r="B342" i="52"/>
  <c r="C342" i="52"/>
  <c r="D342" i="52"/>
  <c r="C344" i="2"/>
  <c r="A345" i="2"/>
  <c r="B344" i="2"/>
  <c r="A343" i="52"/>
  <c r="A14" i="39"/>
  <c r="A14" i="46"/>
  <c r="A14" i="32"/>
  <c r="C298" i="53"/>
  <c r="A299" i="53"/>
  <c r="B298" i="53"/>
  <c r="A300" i="54" l="1"/>
  <c r="B299" i="54"/>
  <c r="C299" i="54"/>
  <c r="C343" i="52"/>
  <c r="B343" i="52"/>
  <c r="D343" i="52"/>
  <c r="A346" i="2"/>
  <c r="B345" i="2"/>
  <c r="C345" i="2"/>
  <c r="A344" i="52"/>
  <c r="A15" i="39"/>
  <c r="AD14" i="39" s="1"/>
  <c r="AD14" i="46" s="1"/>
  <c r="A15" i="46"/>
  <c r="A15" i="32"/>
  <c r="B14" i="39"/>
  <c r="B14" i="46"/>
  <c r="B14" i="32"/>
  <c r="A300" i="53"/>
  <c r="B299" i="53"/>
  <c r="C299" i="53"/>
  <c r="E343" i="52" l="1"/>
  <c r="C300" i="54"/>
  <c r="A301" i="54"/>
  <c r="B300" i="54"/>
  <c r="C346" i="2"/>
  <c r="A347" i="2"/>
  <c r="B346" i="2"/>
  <c r="A345" i="52"/>
  <c r="A16" i="39"/>
  <c r="A16" i="46"/>
  <c r="A16" i="32"/>
  <c r="C344" i="52"/>
  <c r="B344" i="52"/>
  <c r="D344" i="52"/>
  <c r="B15" i="46"/>
  <c r="B15" i="32"/>
  <c r="B15" i="39"/>
  <c r="C300" i="53"/>
  <c r="A301" i="53"/>
  <c r="B300" i="53"/>
  <c r="A302" i="54" l="1"/>
  <c r="B301" i="54"/>
  <c r="C301" i="54"/>
  <c r="C345" i="52"/>
  <c r="D345" i="52"/>
  <c r="B345" i="52"/>
  <c r="A348" i="2"/>
  <c r="B347" i="2"/>
  <c r="C347" i="2"/>
  <c r="A346" i="52"/>
  <c r="A17" i="39"/>
  <c r="A17" i="46"/>
  <c r="A17" i="32"/>
  <c r="AD16" i="32" s="1"/>
  <c r="AD16" i="46" s="1"/>
  <c r="B16" i="39"/>
  <c r="B16" i="46"/>
  <c r="B16" i="32"/>
  <c r="A302" i="53"/>
  <c r="B301" i="53"/>
  <c r="C301" i="53"/>
  <c r="E345" i="52" l="1"/>
  <c r="C302" i="54"/>
  <c r="A303" i="54"/>
  <c r="B302" i="54"/>
  <c r="C348" i="2"/>
  <c r="A349" i="2"/>
  <c r="B348" i="2"/>
  <c r="A18" i="46"/>
  <c r="A18" i="32"/>
  <c r="A347" i="52"/>
  <c r="A18" i="39"/>
  <c r="C346" i="52"/>
  <c r="B346" i="52"/>
  <c r="D346" i="52"/>
  <c r="B17" i="46"/>
  <c r="B17" i="39"/>
  <c r="B17" i="32"/>
  <c r="C302" i="53"/>
  <c r="A303" i="53"/>
  <c r="B302" i="53"/>
  <c r="A304" i="54" l="1"/>
  <c r="B303" i="54"/>
  <c r="C303" i="54"/>
  <c r="B18" i="39"/>
  <c r="B18" i="46"/>
  <c r="B18" i="32"/>
  <c r="B347" i="52"/>
  <c r="C347" i="52"/>
  <c r="D347" i="52"/>
  <c r="A350" i="2"/>
  <c r="B349" i="2"/>
  <c r="C349" i="2"/>
  <c r="A348" i="52"/>
  <c r="A19" i="39"/>
  <c r="A19" i="46"/>
  <c r="A19" i="32"/>
  <c r="A304" i="53"/>
  <c r="B303" i="53"/>
  <c r="C303" i="53"/>
  <c r="C304" i="54" l="1"/>
  <c r="A305" i="54"/>
  <c r="B304" i="54"/>
  <c r="B19" i="32"/>
  <c r="B19" i="39"/>
  <c r="B19" i="46"/>
  <c r="C350" i="2"/>
  <c r="A351" i="2"/>
  <c r="B350" i="2"/>
  <c r="A20" i="46"/>
  <c r="A20" i="32"/>
  <c r="A349" i="52"/>
  <c r="A20" i="39"/>
  <c r="D348" i="52"/>
  <c r="C348" i="52"/>
  <c r="B348" i="52"/>
  <c r="C304" i="53"/>
  <c r="A305" i="53"/>
  <c r="B304" i="53"/>
  <c r="A306" i="54" l="1"/>
  <c r="B305" i="54"/>
  <c r="C305" i="54"/>
  <c r="B349" i="52"/>
  <c r="C349" i="52"/>
  <c r="D349" i="52"/>
  <c r="A352" i="2"/>
  <c r="B351" i="2"/>
  <c r="C351" i="2"/>
  <c r="A21" i="32"/>
  <c r="A350" i="52"/>
  <c r="A21" i="39"/>
  <c r="A21" i="46"/>
  <c r="B20" i="39"/>
  <c r="B20" i="46"/>
  <c r="B20" i="32"/>
  <c r="A306" i="53"/>
  <c r="B305" i="53"/>
  <c r="C305" i="53"/>
  <c r="C306" i="54" l="1"/>
  <c r="A307" i="54"/>
  <c r="B306" i="54"/>
  <c r="D350" i="52"/>
  <c r="C350" i="52"/>
  <c r="B350" i="52"/>
  <c r="C352" i="2"/>
  <c r="A353" i="2"/>
  <c r="B352" i="2"/>
  <c r="A22" i="46"/>
  <c r="A22" i="32"/>
  <c r="A351" i="52"/>
  <c r="A22" i="39"/>
  <c r="B21" i="39"/>
  <c r="B21" i="46"/>
  <c r="B21" i="32"/>
  <c r="C306" i="53"/>
  <c r="A307" i="53"/>
  <c r="B306" i="53"/>
  <c r="A308" i="54" l="1"/>
  <c r="B307" i="54"/>
  <c r="C307" i="54"/>
  <c r="B22" i="46"/>
  <c r="B22" i="39"/>
  <c r="B22" i="32"/>
  <c r="B351" i="52"/>
  <c r="C351" i="52"/>
  <c r="D351" i="52"/>
  <c r="A354" i="2"/>
  <c r="B353" i="2"/>
  <c r="C353" i="2"/>
  <c r="A352" i="52"/>
  <c r="A23" i="39"/>
  <c r="A23" i="46"/>
  <c r="A23" i="32"/>
  <c r="A308" i="53"/>
  <c r="B307" i="53"/>
  <c r="C307" i="53"/>
  <c r="C308" i="54" l="1"/>
  <c r="A309" i="54"/>
  <c r="B308" i="54"/>
  <c r="D352" i="52"/>
  <c r="B352" i="52"/>
  <c r="C352" i="52"/>
  <c r="B23" i="39"/>
  <c r="B23" i="46"/>
  <c r="B23" i="32"/>
  <c r="C354" i="2"/>
  <c r="A355" i="2"/>
  <c r="B354" i="2"/>
  <c r="A353" i="52"/>
  <c r="A24" i="46"/>
  <c r="A24" i="32"/>
  <c r="A24" i="39"/>
  <c r="C308" i="53"/>
  <c r="A309" i="53"/>
  <c r="B308" i="53"/>
  <c r="A310" i="54" l="1"/>
  <c r="B309" i="54"/>
  <c r="C309" i="54"/>
  <c r="C353" i="52"/>
  <c r="B353" i="52"/>
  <c r="D353" i="52"/>
  <c r="A356" i="2"/>
  <c r="B355" i="2"/>
  <c r="C355" i="2"/>
  <c r="A354" i="52"/>
  <c r="A25" i="39"/>
  <c r="A25" i="46"/>
  <c r="A25" i="32"/>
  <c r="B24" i="39"/>
  <c r="B24" i="46"/>
  <c r="B24" i="32"/>
  <c r="A310" i="53"/>
  <c r="B309" i="53"/>
  <c r="C309" i="53"/>
  <c r="A311" i="54" l="1"/>
  <c r="B310" i="54"/>
  <c r="C310" i="54"/>
  <c r="C356" i="2"/>
  <c r="A357" i="2"/>
  <c r="B356" i="2"/>
  <c r="A355" i="52"/>
  <c r="A26" i="46"/>
  <c r="A26" i="32"/>
  <c r="A26" i="39"/>
  <c r="B354" i="52"/>
  <c r="D354" i="52"/>
  <c r="C354" i="52"/>
  <c r="B25" i="39"/>
  <c r="B25" i="46"/>
  <c r="B25" i="32"/>
  <c r="C310" i="53"/>
  <c r="A311" i="53"/>
  <c r="B310" i="53"/>
  <c r="C311" i="54" l="1"/>
  <c r="B311" i="54"/>
  <c r="A312" i="54"/>
  <c r="C355" i="52"/>
  <c r="D355" i="52"/>
  <c r="B355" i="52"/>
  <c r="A358" i="2"/>
  <c r="B357" i="2"/>
  <c r="C357" i="2"/>
  <c r="A356" i="52"/>
  <c r="A27" i="39"/>
  <c r="A27" i="46"/>
  <c r="A27" i="32"/>
  <c r="B26" i="39"/>
  <c r="B26" i="46"/>
  <c r="B26" i="32"/>
  <c r="A312" i="53"/>
  <c r="B311" i="53"/>
  <c r="C311" i="53"/>
  <c r="A313" i="54" l="1"/>
  <c r="B312" i="54"/>
  <c r="C312" i="54"/>
  <c r="C356" i="52"/>
  <c r="B356" i="52"/>
  <c r="D356" i="52"/>
  <c r="B27" i="46"/>
  <c r="B27" i="39"/>
  <c r="B27" i="32"/>
  <c r="C358" i="2"/>
  <c r="A359" i="2"/>
  <c r="B358" i="2"/>
  <c r="A28" i="46"/>
  <c r="A28" i="32"/>
  <c r="A357" i="52"/>
  <c r="A28" i="39"/>
  <c r="C312" i="53"/>
  <c r="A313" i="53"/>
  <c r="B312" i="53"/>
  <c r="C313" i="54" l="1"/>
  <c r="A314" i="54"/>
  <c r="B313" i="54"/>
  <c r="C357" i="52"/>
  <c r="B357" i="52"/>
  <c r="D357" i="52"/>
  <c r="A360" i="2"/>
  <c r="B359" i="2"/>
  <c r="C359" i="2"/>
  <c r="A29" i="46"/>
  <c r="A29" i="32"/>
  <c r="A358" i="52"/>
  <c r="A29" i="39"/>
  <c r="AD28" i="39" s="1"/>
  <c r="AD28" i="46" s="1"/>
  <c r="B28" i="32"/>
  <c r="B28" i="39"/>
  <c r="B28" i="46"/>
  <c r="A314" i="53"/>
  <c r="B313" i="53"/>
  <c r="C313" i="53"/>
  <c r="E357" i="52" l="1"/>
  <c r="A315" i="54"/>
  <c r="B314" i="54"/>
  <c r="C314" i="54"/>
  <c r="C360" i="2"/>
  <c r="A361" i="2"/>
  <c r="B360" i="2"/>
  <c r="A359" i="52"/>
  <c r="A30" i="39"/>
  <c r="A30" i="46"/>
  <c r="A30" i="32"/>
  <c r="D358" i="52"/>
  <c r="C358" i="52"/>
  <c r="B358" i="52"/>
  <c r="B29" i="39"/>
  <c r="B29" i="46"/>
  <c r="B29" i="32"/>
  <c r="C314" i="53"/>
  <c r="A315" i="53"/>
  <c r="B314" i="53"/>
  <c r="C315" i="54" l="1"/>
  <c r="B315" i="54"/>
  <c r="A316" i="54"/>
  <c r="B359" i="52"/>
  <c r="D359" i="52"/>
  <c r="C359" i="52"/>
  <c r="A362" i="2"/>
  <c r="B361" i="2"/>
  <c r="C361" i="2"/>
  <c r="A360" i="52"/>
  <c r="A31" i="39"/>
  <c r="A31" i="46"/>
  <c r="A31" i="32"/>
  <c r="B30" i="39"/>
  <c r="B30" i="46"/>
  <c r="B30" i="32"/>
  <c r="A316" i="53"/>
  <c r="B315" i="53"/>
  <c r="C315" i="53"/>
  <c r="A317" i="54" l="1"/>
  <c r="B316" i="54"/>
  <c r="C316" i="54"/>
  <c r="C362" i="2"/>
  <c r="A363" i="2"/>
  <c r="B362" i="2"/>
  <c r="A32" i="46"/>
  <c r="A361" i="52"/>
  <c r="A32" i="39"/>
  <c r="A32" i="32"/>
  <c r="B360" i="52"/>
  <c r="D360" i="52"/>
  <c r="C360" i="52"/>
  <c r="B31" i="46"/>
  <c r="B31" i="32"/>
  <c r="B31" i="39"/>
  <c r="C316" i="53"/>
  <c r="A317" i="53"/>
  <c r="B316" i="53"/>
  <c r="C317" i="54" l="1"/>
  <c r="A318" i="54"/>
  <c r="B317" i="54"/>
  <c r="A364" i="2"/>
  <c r="B363" i="2"/>
  <c r="C363" i="2"/>
  <c r="A362" i="52"/>
  <c r="A33" i="39"/>
  <c r="AD32" i="39" s="1"/>
  <c r="AD32" i="46" s="1"/>
  <c r="A33" i="46"/>
  <c r="A33" i="32"/>
  <c r="D361" i="52"/>
  <c r="B361" i="52"/>
  <c r="C361" i="52"/>
  <c r="B32" i="39"/>
  <c r="B32" i="46"/>
  <c r="B32" i="32"/>
  <c r="A318" i="53"/>
  <c r="B317" i="53"/>
  <c r="C317" i="53"/>
  <c r="E361" i="52" l="1"/>
  <c r="M34" i="47"/>
  <c r="M33" i="47"/>
  <c r="M35" i="47"/>
  <c r="A319" i="54"/>
  <c r="B318" i="54"/>
  <c r="C318" i="54"/>
  <c r="C362" i="52"/>
  <c r="B362" i="52"/>
  <c r="D362" i="52"/>
  <c r="B33" i="46"/>
  <c r="B33" i="32"/>
  <c r="B33" i="39"/>
  <c r="C364" i="2"/>
  <c r="A365" i="2"/>
  <c r="B364" i="2"/>
  <c r="A34" i="32"/>
  <c r="A363" i="52"/>
  <c r="A34" i="39"/>
  <c r="A34" i="46"/>
  <c r="C318" i="53"/>
  <c r="A319" i="53"/>
  <c r="B318" i="53"/>
  <c r="C319" i="54" l="1"/>
  <c r="B319" i="54"/>
  <c r="A320" i="54"/>
  <c r="B365" i="2"/>
  <c r="C365" i="2"/>
  <c r="A364" i="52"/>
  <c r="A35" i="39"/>
  <c r="A35" i="46"/>
  <c r="A35" i="32"/>
  <c r="C363" i="52"/>
  <c r="D363" i="52"/>
  <c r="B363" i="52"/>
  <c r="B34" i="46"/>
  <c r="B34" i="39"/>
  <c r="B34" i="32"/>
  <c r="A320" i="53"/>
  <c r="B319" i="53"/>
  <c r="C319" i="53"/>
  <c r="A321" i="54" l="1"/>
  <c r="B320" i="54"/>
  <c r="C320" i="54"/>
  <c r="C364" i="52"/>
  <c r="D364" i="52"/>
  <c r="B364" i="52"/>
  <c r="B35" i="39"/>
  <c r="B35" i="46"/>
  <c r="B35" i="32"/>
  <c r="C320" i="53"/>
  <c r="A321" i="53"/>
  <c r="B320" i="53"/>
  <c r="C321" i="54" l="1"/>
  <c r="A322" i="54"/>
  <c r="B321" i="54"/>
  <c r="A322" i="53"/>
  <c r="B321" i="53"/>
  <c r="C321" i="53"/>
  <c r="A323" i="54" l="1"/>
  <c r="B322" i="54"/>
  <c r="C322" i="54"/>
  <c r="C322" i="53"/>
  <c r="A323" i="53"/>
  <c r="B322" i="53"/>
  <c r="C323" i="54" l="1"/>
  <c r="B323" i="54"/>
  <c r="A324" i="54"/>
  <c r="A324" i="53"/>
  <c r="B323" i="53"/>
  <c r="C323" i="53"/>
  <c r="A325" i="54" l="1"/>
  <c r="B324" i="54"/>
  <c r="C324" i="54"/>
  <c r="C324" i="53"/>
  <c r="A325" i="53"/>
  <c r="B324" i="53"/>
  <c r="C325" i="54" l="1"/>
  <c r="A326" i="54"/>
  <c r="B325" i="54"/>
  <c r="A326" i="53"/>
  <c r="B325" i="53"/>
  <c r="C325" i="53"/>
  <c r="C326" i="54" l="1"/>
  <c r="A327" i="54"/>
  <c r="B326" i="54"/>
  <c r="C326" i="53"/>
  <c r="A327" i="53"/>
  <c r="B326" i="53"/>
  <c r="A328" i="54" l="1"/>
  <c r="B327" i="54"/>
  <c r="C327" i="54"/>
  <c r="A328" i="53"/>
  <c r="B327" i="53"/>
  <c r="C327" i="53"/>
  <c r="C328" i="54" l="1"/>
  <c r="A329" i="54"/>
  <c r="B328" i="54"/>
  <c r="C328" i="53"/>
  <c r="A329" i="53"/>
  <c r="B328" i="53"/>
  <c r="A330" i="54" l="1"/>
  <c r="B329" i="54"/>
  <c r="C329" i="54"/>
  <c r="A330" i="53"/>
  <c r="B329" i="53"/>
  <c r="C329" i="53"/>
  <c r="C330" i="54" l="1"/>
  <c r="A331" i="54"/>
  <c r="B330" i="54"/>
  <c r="C330" i="53"/>
  <c r="A331" i="53"/>
  <c r="B330" i="53"/>
  <c r="A332" i="54" l="1"/>
  <c r="B331" i="54"/>
  <c r="C331" i="54"/>
  <c r="A332" i="53"/>
  <c r="B331" i="53"/>
  <c r="C331" i="53"/>
  <c r="C332" i="54" l="1"/>
  <c r="A333" i="54"/>
  <c r="B332" i="54"/>
  <c r="C332" i="53"/>
  <c r="A333" i="53"/>
  <c r="B332" i="53"/>
  <c r="A334" i="54" l="1"/>
  <c r="B333" i="54"/>
  <c r="C333" i="54"/>
  <c r="A334" i="53"/>
  <c r="B333" i="53"/>
  <c r="C333" i="53"/>
  <c r="C334" i="54" l="1"/>
  <c r="A335" i="54"/>
  <c r="B334" i="54"/>
  <c r="C334" i="53"/>
  <c r="A335" i="53"/>
  <c r="B334" i="53"/>
  <c r="A336" i="54" l="1"/>
  <c r="B335" i="54"/>
  <c r="C335" i="54"/>
  <c r="A336" i="53"/>
  <c r="B335" i="53"/>
  <c r="C335" i="53"/>
  <c r="C336" i="54" l="1"/>
  <c r="A337" i="54"/>
  <c r="B336" i="54"/>
  <c r="C336" i="53"/>
  <c r="A337" i="53"/>
  <c r="B336" i="53"/>
  <c r="A338" i="54" l="1"/>
  <c r="B337" i="54"/>
  <c r="C337" i="54"/>
  <c r="A338" i="53"/>
  <c r="B337" i="53"/>
  <c r="C337" i="53"/>
  <c r="C338" i="54" l="1"/>
  <c r="A339" i="54"/>
  <c r="B338" i="54"/>
  <c r="C338" i="53"/>
  <c r="A339" i="53"/>
  <c r="B338" i="53"/>
  <c r="A340" i="54" l="1"/>
  <c r="B339" i="54"/>
  <c r="C339" i="54"/>
  <c r="A340" i="53"/>
  <c r="B339" i="53"/>
  <c r="C339" i="53"/>
  <c r="C340" i="54" l="1"/>
  <c r="A341" i="54"/>
  <c r="B340" i="54"/>
  <c r="C340" i="53"/>
  <c r="A341" i="53"/>
  <c r="B340" i="53"/>
  <c r="A342" i="54" l="1"/>
  <c r="B341" i="54"/>
  <c r="C341" i="54"/>
  <c r="A342" i="53"/>
  <c r="B341" i="53"/>
  <c r="C341" i="53"/>
  <c r="C342" i="54" l="1"/>
  <c r="A343" i="54"/>
  <c r="B342" i="54"/>
  <c r="C342" i="53"/>
  <c r="A343" i="53"/>
  <c r="B342" i="53"/>
  <c r="A344" i="54" l="1"/>
  <c r="B343" i="54"/>
  <c r="C343" i="54"/>
  <c r="A344" i="53"/>
  <c r="B343" i="53"/>
  <c r="C343" i="53"/>
  <c r="C344" i="54" l="1"/>
  <c r="A345" i="54"/>
  <c r="B344" i="54"/>
  <c r="C344" i="53"/>
  <c r="A345" i="53"/>
  <c r="B344" i="53"/>
  <c r="A346" i="54" l="1"/>
  <c r="B345" i="54"/>
  <c r="C345" i="54"/>
  <c r="A346" i="53"/>
  <c r="B345" i="53"/>
  <c r="C345" i="53"/>
  <c r="C346" i="54" l="1"/>
  <c r="A347" i="54"/>
  <c r="B346" i="54"/>
  <c r="C346" i="53"/>
  <c r="A347" i="53"/>
  <c r="B346" i="53"/>
  <c r="A348" i="54" l="1"/>
  <c r="B347" i="54"/>
  <c r="C347" i="54"/>
  <c r="A348" i="53"/>
  <c r="B347" i="53"/>
  <c r="C347" i="53"/>
  <c r="C348" i="54" l="1"/>
  <c r="A349" i="54"/>
  <c r="B348" i="54"/>
  <c r="C348" i="53"/>
  <c r="A349" i="53"/>
  <c r="B348" i="53"/>
  <c r="A350" i="54" l="1"/>
  <c r="B349" i="54"/>
  <c r="C349" i="54"/>
  <c r="A350" i="53"/>
  <c r="B349" i="53"/>
  <c r="C349" i="53"/>
  <c r="C350" i="54" l="1"/>
  <c r="A351" i="54"/>
  <c r="B350" i="54"/>
  <c r="C350" i="53"/>
  <c r="A351" i="53"/>
  <c r="B350" i="53"/>
  <c r="A352" i="54" l="1"/>
  <c r="B351" i="54"/>
  <c r="C351" i="54"/>
  <c r="A352" i="53"/>
  <c r="B351" i="53"/>
  <c r="C351" i="53"/>
  <c r="C352" i="54" l="1"/>
  <c r="A353" i="54"/>
  <c r="B352" i="54"/>
  <c r="C352" i="53"/>
  <c r="A353" i="53"/>
  <c r="B352" i="53"/>
  <c r="A354" i="54" l="1"/>
  <c r="B353" i="54"/>
  <c r="C353" i="54"/>
  <c r="A354" i="53"/>
  <c r="B353" i="53"/>
  <c r="C353" i="53"/>
  <c r="C354" i="54" l="1"/>
  <c r="A355" i="54"/>
  <c r="B354" i="54"/>
  <c r="C354" i="53"/>
  <c r="A355" i="53"/>
  <c r="B354" i="53"/>
  <c r="A356" i="54" l="1"/>
  <c r="B355" i="54"/>
  <c r="C355" i="54"/>
  <c r="A356" i="53"/>
  <c r="B355" i="53"/>
  <c r="C355" i="53"/>
  <c r="C356" i="54" l="1"/>
  <c r="A357" i="54"/>
  <c r="B356" i="54"/>
  <c r="C356" i="53"/>
  <c r="A357" i="53"/>
  <c r="B356" i="53"/>
  <c r="A358" i="54" l="1"/>
  <c r="B357" i="54"/>
  <c r="C357" i="54"/>
  <c r="A358" i="53"/>
  <c r="B357" i="53"/>
  <c r="C357" i="53"/>
  <c r="C358" i="54" l="1"/>
  <c r="A359" i="54"/>
  <c r="B358" i="54"/>
  <c r="C358" i="53"/>
  <c r="A359" i="53"/>
  <c r="B358" i="53"/>
  <c r="A360" i="54" l="1"/>
  <c r="B359" i="54"/>
  <c r="C359" i="54"/>
  <c r="A360" i="53"/>
  <c r="B359" i="53"/>
  <c r="C359" i="53"/>
  <c r="C360" i="54" l="1"/>
  <c r="A361" i="54"/>
  <c r="B360" i="54"/>
  <c r="C360" i="53"/>
  <c r="A361" i="53"/>
  <c r="B360" i="53"/>
  <c r="A362" i="54" l="1"/>
  <c r="B361" i="54"/>
  <c r="C361" i="54"/>
  <c r="A362" i="53"/>
  <c r="B361" i="53"/>
  <c r="C361" i="53"/>
  <c r="C362" i="54" l="1"/>
  <c r="A363" i="54"/>
  <c r="B362" i="54"/>
  <c r="C362" i="53"/>
  <c r="A363" i="53"/>
  <c r="B362" i="53"/>
  <c r="A364" i="54" l="1"/>
  <c r="B363" i="54"/>
  <c r="C363" i="54"/>
  <c r="A364" i="53"/>
  <c r="B363" i="53"/>
  <c r="C363" i="53"/>
  <c r="C364" i="54" l="1"/>
  <c r="A365" i="54"/>
  <c r="B364" i="54"/>
  <c r="C364" i="53"/>
  <c r="A365" i="53"/>
  <c r="B364" i="53"/>
  <c r="B365" i="54" l="1"/>
  <c r="C365" i="54"/>
  <c r="B365" i="53"/>
  <c r="C365" i="53"/>
</calcChain>
</file>

<file path=xl/sharedStrings.xml><?xml version="1.0" encoding="utf-8"?>
<sst xmlns="http://schemas.openxmlformats.org/spreadsheetml/2006/main" count="2309" uniqueCount="276">
  <si>
    <t>YHT.</t>
  </si>
  <si>
    <t>MUSTIKKAMAA</t>
  </si>
  <si>
    <t>KAUPPATORI</t>
  </si>
  <si>
    <t>HAKANIEMI</t>
  </si>
  <si>
    <t xml:space="preserve">         MAKSETUT  KÄYNNIT</t>
  </si>
  <si>
    <t xml:space="preserve"> ILMAISKÄYNNIT</t>
  </si>
  <si>
    <t xml:space="preserve">     PERHELIPPU</t>
  </si>
  <si>
    <t>YHTEENSÄ</t>
  </si>
  <si>
    <t>Aik.</t>
  </si>
  <si>
    <t>Lapset</t>
  </si>
  <si>
    <t>HK</t>
  </si>
  <si>
    <t>VK</t>
  </si>
  <si>
    <t xml:space="preserve"> Kuukauden kokonaiskävijämäärä</t>
  </si>
  <si>
    <t xml:space="preserve"> Erotus edellisvuoteen</t>
  </si>
  <si>
    <t xml:space="preserve"> Kuluvan vuoden kokonaiskävijämäärä </t>
  </si>
  <si>
    <t>KORKEASAAREN ELÄINTARHA</t>
  </si>
  <si>
    <t>Lippujen hinnat:</t>
  </si>
  <si>
    <t>Vuosikortti:</t>
  </si>
  <si>
    <t>Mustikkamaan kautta:</t>
  </si>
  <si>
    <t>Vesibusseilla:</t>
  </si>
  <si>
    <t>KÄYNNIT ILMAN KAMPANJAKÄVIJÖITÄ</t>
  </si>
  <si>
    <t>TAMMIKUU</t>
  </si>
  <si>
    <t>TAMMI</t>
  </si>
  <si>
    <t>HELMI</t>
  </si>
  <si>
    <t>MAALIS</t>
  </si>
  <si>
    <t>HUHTI</t>
  </si>
  <si>
    <t>TOUKO</t>
  </si>
  <si>
    <t>KESÄ</t>
  </si>
  <si>
    <t>HEINÄ</t>
  </si>
  <si>
    <t>ELO</t>
  </si>
  <si>
    <t>SYYS</t>
  </si>
  <si>
    <t>LOKA</t>
  </si>
  <si>
    <t>MARRAS</t>
  </si>
  <si>
    <t>JOULU</t>
  </si>
  <si>
    <t xml:space="preserve">  Kertamaksukäynnit</t>
  </si>
  <si>
    <t xml:space="preserve">  Perhelippukäynnit</t>
  </si>
  <si>
    <t>TILASTOLLISTA ERITTELYÄ</t>
  </si>
  <si>
    <t>AIKUISKÄYNNIT (YLI 16 v.) YHTEENSÄ</t>
  </si>
  <si>
    <t>LAPSIKÄYNNIT YHTEENSÄ</t>
  </si>
  <si>
    <t>KAMPANJAKÄYNNIT</t>
  </si>
  <si>
    <t xml:space="preserve"> Kuukauden kampanjakävijämäärä</t>
  </si>
  <si>
    <t xml:space="preserve"> Kuluvan vuoden kampanjakävijämäärä </t>
  </si>
  <si>
    <t>KÄYNNIT YHTEENSÄ</t>
  </si>
  <si>
    <t>KORKEASAAREN KÄVIJÄTILASTOSOVELLUKSEN KÄYTTÖOHJE</t>
  </si>
  <si>
    <t>N1</t>
  </si>
  <si>
    <t>Käynnit ilman kampanjakävijöitä tammikuussa</t>
  </si>
  <si>
    <t>N12</t>
  </si>
  <si>
    <t>******</t>
  </si>
  <si>
    <t>Käynnit ilman kampanjakävijöitä joulukuussa</t>
  </si>
  <si>
    <t>K1</t>
  </si>
  <si>
    <t>Kampanjakäynnit tammikuussa</t>
  </si>
  <si>
    <t>Kampanjakäynnit joulukuussa</t>
  </si>
  <si>
    <t>Ohje</t>
  </si>
  <si>
    <t>Sovelluksen käyttöohje (tämä taulukko)</t>
  </si>
  <si>
    <t>Yht1</t>
  </si>
  <si>
    <t>Kaikki käynnit tammikuussa</t>
  </si>
  <si>
    <t>Yht12</t>
  </si>
  <si>
    <t>Kaikki käynnit joulukuussa</t>
  </si>
  <si>
    <t>Kalenteri</t>
  </si>
  <si>
    <t>Sovelluksen käyttämä kalenteripohja</t>
  </si>
  <si>
    <t>Edellisvuosi</t>
  </si>
  <si>
    <t>Sovelluksen käyttämät vertailutiedot edellisvuodelta</t>
  </si>
  <si>
    <t>Esille haluttava taulukko valitaan napsauttamalla alapalkissa olevaa kielekettä.</t>
  </si>
  <si>
    <t>HELMIKUU</t>
  </si>
  <si>
    <t>Taulukkoon N1 tallennetaan tammikuun "normaalikäynnit", N2 helmikuun "normaalikäynnit" jne.</t>
  </si>
  <si>
    <t>Taulukkoon K1 tallennetaan tammikuun kampanjakäynnit, K2 helmikuun kampanjakäynnit jne.</t>
  </si>
  <si>
    <t>Tästä taulukosta otetaan tuloste, kun halutaan kaikki käynnit.</t>
  </si>
  <si>
    <t>Taulukko Yht1 laskee yhteen tammikuun kaikki kävijät automaattisesti, Yht2 laskee helmikuun käynnit jne.</t>
  </si>
  <si>
    <t>alareunan kielekkeistä seuraavasti: Yht1=tammikuu, Yht2=helmikuu jne.</t>
  </si>
  <si>
    <t>Ohje taulukon päivitystä ja tarkempaa analysointia varten:</t>
  </si>
  <si>
    <t>MAALISKUU</t>
  </si>
  <si>
    <t xml:space="preserve"> Kuukauden kävijämäärä (ilman kamp.k.)</t>
  </si>
  <si>
    <t xml:space="preserve">Vuoden kävijämäärä (ilman kamp.k.) </t>
  </si>
  <si>
    <t>HUHTIKUU</t>
  </si>
  <si>
    <t>TOUKOKUU</t>
  </si>
  <si>
    <t>KESÄKUU</t>
  </si>
  <si>
    <t>HEINÄKUU</t>
  </si>
  <si>
    <t>ELOKUU</t>
  </si>
  <si>
    <t>SYYSKUU</t>
  </si>
  <si>
    <t>LOKAKUU</t>
  </si>
  <si>
    <t>MARRASKUU</t>
  </si>
  <si>
    <t>JOULUKUU</t>
  </si>
  <si>
    <t>Yhteiskävijämäärä sisältää siis sekä "normaalit" että kampanjakäynnit.</t>
  </si>
  <si>
    <t>Pikakäyttöohje tiedonhakuun</t>
  </si>
  <si>
    <t>Sovelluksessa on seuraavat taulukot:</t>
  </si>
  <si>
    <t>Vuosi</t>
  </si>
  <si>
    <t>Muuta solu A1 :n kaavassa vuosiluku ko. vuodeksi.</t>
  </si>
  <si>
    <t>Taulujen viikonpäivät päivittyvät tällöin automaattisesti.</t>
  </si>
  <si>
    <t>Muuta solu H1;n vuosiluku.</t>
  </si>
  <si>
    <t>Taulujen otsikoiden vuodet päivittyvät automaattisesti.</t>
  </si>
  <si>
    <t>a)</t>
  </si>
  <si>
    <t>b)</t>
  </si>
  <si>
    <t>Huom.!</t>
  </si>
  <si>
    <t>TILASTOYHTEENVETO</t>
  </si>
  <si>
    <t>KOKONAISKÄYNTIMÄÄRÄ</t>
  </si>
  <si>
    <t>KUUKAUDEN MAKSIMI</t>
  </si>
  <si>
    <t>KUUKAUDEN MINIMI</t>
  </si>
  <si>
    <t>KESKIMÄÄRIN PÄIVÄSSÄ</t>
  </si>
  <si>
    <t>MAKSETUT KÄYNNIT YHTEENSÄ</t>
  </si>
  <si>
    <t>ILMAISKÄYNNIT YHTEENSÄ</t>
  </si>
  <si>
    <t xml:space="preserve">  Kampanjakäynnit</t>
  </si>
  <si>
    <t xml:space="preserve"> "Normaalikäynnit"</t>
  </si>
  <si>
    <t xml:space="preserve">  Erotus edellisvuoteen</t>
  </si>
  <si>
    <t xml:space="preserve">  Ilmaiskäynnit</t>
  </si>
  <si>
    <t xml:space="preserve">  Kertamaksukäynnit (7-16 v.)</t>
  </si>
  <si>
    <t xml:space="preserve">  Ilmaiskäynnit (alle 7 v. tai ryhmät)</t>
  </si>
  <si>
    <t>KÄYNNIT TULOSUUNNITTAIN</t>
  </si>
  <si>
    <t xml:space="preserve">  Mustikkamaa</t>
  </si>
  <si>
    <t xml:space="preserve">  Kauppatori</t>
  </si>
  <si>
    <t xml:space="preserve">  Hakaniemi</t>
  </si>
  <si>
    <t xml:space="preserve">  Helsinki-kortilla käynnit</t>
  </si>
  <si>
    <t xml:space="preserve">  Vuosikortilla käynnit</t>
  </si>
  <si>
    <t>EDELLISVUODEN KOKONAISKÄYNTIMÄÄRÄ</t>
  </si>
  <si>
    <t>YHTEENVETO</t>
  </si>
  <si>
    <t>% KOKONAIS-</t>
  </si>
  <si>
    <t>KÄYNNEISTÄ</t>
  </si>
  <si>
    <t>KORTTIKÄYNNIT YHTEENSÄ (Hki-ja v.)</t>
  </si>
  <si>
    <t>Yhteenveto</t>
  </si>
  <si>
    <t>Yhteenvetotietoa kuluvalta vuodelta</t>
  </si>
  <si>
    <t>aik. 5 €, lapset 3 €, kimppalippu 16 €</t>
  </si>
  <si>
    <t>aik. 25 €, lapset 11 €, perhekortti 40 €</t>
  </si>
  <si>
    <t>c)</t>
  </si>
  <si>
    <t>Muuta solun E1 vuosiluku. Grafiikan viittaukset päivittyvät automaattisesti</t>
  </si>
  <si>
    <t>Kuluva</t>
  </si>
  <si>
    <t>Edellinen</t>
  </si>
  <si>
    <t>Korkeasaaren eläintarha Kävijätilasto</t>
  </si>
  <si>
    <t>Graf.1</t>
  </si>
  <si>
    <t>Grafiikka kuluvan vuoden käynneistä yhteensä kuukausittain.</t>
  </si>
  <si>
    <t>Graf.2</t>
  </si>
  <si>
    <t>Vertailugrafiikka kuluvan ja edellisvuoden käynneistä kuukausittain.</t>
  </si>
  <si>
    <t>Graf.3</t>
  </si>
  <si>
    <t>Graafinen vertailu kävijämääristä tulosuunnittain.</t>
  </si>
  <si>
    <t>Graf.4</t>
  </si>
  <si>
    <t>Piirakka maksettujen ja ilmaiskäyntien suhteesta.</t>
  </si>
  <si>
    <t>d)</t>
  </si>
  <si>
    <t>Grafiikkatauluissa (Graf.1 jne.) pitää muuttaa alatunnisteisiin vuosiluvut</t>
  </si>
  <si>
    <t>e)</t>
  </si>
  <si>
    <t>Graf.5</t>
  </si>
  <si>
    <t>Graafinen käyrä päivittäisistä kävijämääristä</t>
  </si>
  <si>
    <t>KÄVIJÄTILASTO 2004</t>
  </si>
  <si>
    <t>NORMAALIVUODEN KALENTERI</t>
  </si>
  <si>
    <t>KARKAUSPÄIVÄ</t>
  </si>
  <si>
    <t>KAAVASSA + 2 KOSKA HYPÄTÄÄN MAALISKUUN 1, PÄIVÄÄN, KARKAUSPÄIVÄ SOLUSSA A370</t>
  </si>
  <si>
    <t>KARKAUSVUOSI</t>
  </si>
  <si>
    <t>TÄMÄ TAULUKKO KOPIOIDAAN KALENTERIPOHJAKSI KARKAUSVUOSINA</t>
  </si>
  <si>
    <t>Kävijätilastossa jokaisen kuukauden yhteiskävijämäärä löytyy</t>
  </si>
  <si>
    <t>Karkausvuoden jälkeen ylimääräinen päivä poistettava helmikuuta!</t>
  </si>
  <si>
    <t>Muuta myös taulu Graf5! (Poista rivi 60 karkauspäivä)</t>
  </si>
  <si>
    <t>Solua E2 ei muuteta (päivittyy automaattisesti kaavalla E1-1)</t>
  </si>
  <si>
    <t>Ohje kävijätilaston rutiinimuutoksiin vuodenvaihteessa.</t>
  </si>
  <si>
    <t>Tarkista, että hintatiedot ovat oikeat ja muuta tarvittaessa soluihin</t>
  </si>
  <si>
    <t>aik. 10 €, lapset 5 €, kimppalippu 28 €</t>
  </si>
  <si>
    <t>H39, H40, H41</t>
  </si>
  <si>
    <t>Lippujen hintoihin liittyvät tekstit muutetaan soluihin E38 - E41</t>
  </si>
  <si>
    <t>f)</t>
  </si>
  <si>
    <t>Kopioi edellisvuoden yhteenvetotaulukko tauluun 'Edellisvuosi'</t>
  </si>
  <si>
    <t>TÄMÄ KOPIOIDAAN KALENTERI-TAULUKKOON POHJAKSI KARKAUSVUODEN JÄLKEEN</t>
  </si>
  <si>
    <t>Kopioi tilastotaulujen helmikuun 29 päivän kohdalle seuraavat kaavat:</t>
  </si>
  <si>
    <t>g)</t>
  </si>
  <si>
    <t>PROSENTTIOSUUS VUODEN KÄVIJÄMÄÄRÄSTÄ</t>
  </si>
  <si>
    <t>Huom.! Vain arvot - ei kaavoja!</t>
  </si>
  <si>
    <t>Lisää  Graf.6 -tauluun edellisvuoden arvot + kuluvan vuoden viittaukset</t>
  </si>
  <si>
    <t>MUUTA TÄMÄ RIVI ARVOIKSI. KUN 2011 TILASTO VALMIS</t>
  </si>
  <si>
    <t>KÄVIJÄTILASTO 2013</t>
  </si>
  <si>
    <r>
      <t>Mustikkamaan kautta:</t>
    </r>
    <r>
      <rPr>
        <b/>
        <sz val="12"/>
        <rFont val="Arial Narrow"/>
        <family val="2"/>
      </rPr>
      <t xml:space="preserve"> 1.9.-30.4.</t>
    </r>
    <r>
      <rPr>
        <sz val="12"/>
        <rFont val="Arial Narrow"/>
        <family val="2"/>
      </rPr>
      <t xml:space="preserve"> aik. 10 €, lapset 5 €, kimppalippu 30 €    </t>
    </r>
    <r>
      <rPr>
        <b/>
        <sz val="12"/>
        <rFont val="Arial Narrow"/>
        <family val="2"/>
      </rPr>
      <t>1.5.-30.8.</t>
    </r>
    <r>
      <rPr>
        <sz val="12"/>
        <rFont val="Arial Narrow"/>
        <family val="2"/>
      </rPr>
      <t xml:space="preserve"> aik. 12 €, lapset 6 €, kimppalippu 36 €</t>
    </r>
  </si>
  <si>
    <t>Vesibusseilla:             1.9.-30.4. aik. 16 €, lapset 8 €, kimppalippu 47 €    1.5.-31.8. aik. 18 €, lapset 9 €, kimppalippu 53 €</t>
  </si>
  <si>
    <t xml:space="preserve">                                  Vuosikortti:     aik. 50 €, lapset 20 €, perhekortti 100 €</t>
  </si>
  <si>
    <t xml:space="preserve">                                    Vuosikortti:     aik. 50 €, lapset 20 €, perhekortti 100 €</t>
  </si>
  <si>
    <t>KÄVIJÄTILASTO 2012</t>
  </si>
  <si>
    <t>lapsia</t>
  </si>
  <si>
    <t xml:space="preserve">lapsia </t>
  </si>
  <si>
    <t>CD aik</t>
  </si>
  <si>
    <t>S-aik</t>
  </si>
  <si>
    <t>S-VK aik</t>
  </si>
  <si>
    <t>S-VK perhe</t>
  </si>
  <si>
    <t>S-VK</t>
  </si>
  <si>
    <t xml:space="preserve">CD aik </t>
  </si>
  <si>
    <t>ryhmä aik</t>
  </si>
  <si>
    <t>DC aik</t>
  </si>
  <si>
    <t>Dc aik</t>
  </si>
  <si>
    <t>S-opisk</t>
  </si>
  <si>
    <t>s-vk aik</t>
  </si>
  <si>
    <t>s-vk opisk</t>
  </si>
  <si>
    <t>hok aik</t>
  </si>
  <si>
    <t>hok lap</t>
  </si>
  <si>
    <t>s etu vk perhe</t>
  </si>
  <si>
    <t>s etu vk perhe vk 2</t>
  </si>
  <si>
    <t>hok kimppa</t>
  </si>
  <si>
    <t>s-etu -20% vk 6-17v</t>
  </si>
  <si>
    <t>s-etu</t>
  </si>
  <si>
    <t>s-etu lapulla aikuisen vk</t>
  </si>
  <si>
    <t>hok-elanto -50%</t>
  </si>
  <si>
    <t xml:space="preserve">hok aik </t>
  </si>
  <si>
    <t>hok 6-17</t>
  </si>
  <si>
    <t xml:space="preserve">hok elanto -50% </t>
  </si>
  <si>
    <t>hok elanto-50%</t>
  </si>
  <si>
    <t>ei ollut hok päivää!</t>
  </si>
  <si>
    <t>hok aik/. 70     hok/lapset 98</t>
  </si>
  <si>
    <t>hok aik/46 hok lapset/7</t>
  </si>
  <si>
    <t>hok vk</t>
  </si>
  <si>
    <t>hok aik 148</t>
  </si>
  <si>
    <t>hok aik 5 lapsi 7 kimppa 2+3</t>
  </si>
  <si>
    <t>hok a 5 lapsi 1</t>
  </si>
  <si>
    <t>hok aik 122 lapsi 0</t>
  </si>
  <si>
    <t>hok aik 21 lapsi 5</t>
  </si>
  <si>
    <t xml:space="preserve">hok aik 2 lapsi  1 </t>
  </si>
  <si>
    <t>hok a 17 lapsi  2</t>
  </si>
  <si>
    <t>hok aik 9 lapsi 3</t>
  </si>
  <si>
    <t>s etu vk 2</t>
  </si>
  <si>
    <t>hok aik 9 lapsi 0 kimppa 2 aik 3 lapsi</t>
  </si>
  <si>
    <t>hok aik 7 lapsi 1</t>
  </si>
  <si>
    <t xml:space="preserve">hok aik 13 lapsi 2 </t>
  </si>
  <si>
    <t>hok aik 3 lapsi 0 kimpa 4 aik 6 lasta</t>
  </si>
  <si>
    <t>kimppa 4 aik 6</t>
  </si>
  <si>
    <t>hok.aik 2 lapsi 0</t>
  </si>
  <si>
    <t>hok aik 6 lapsi 0</t>
  </si>
  <si>
    <t>hok aik 2 lapsi 0 kimppa</t>
  </si>
  <si>
    <t xml:space="preserve"> 2+3</t>
  </si>
  <si>
    <t>hok aik 3 lapsi 0 kimppa 2+3</t>
  </si>
  <si>
    <t>hok aik 10 lapsi1</t>
  </si>
  <si>
    <t>hok aik 2 lapsi 2</t>
  </si>
  <si>
    <t>hok aik 10 lapsi 0</t>
  </si>
  <si>
    <t>hok aik 9 lapsi 2</t>
  </si>
  <si>
    <t>hok aik 9 lapsi 0</t>
  </si>
  <si>
    <t>hok aik 3 lapsi 0</t>
  </si>
  <si>
    <t>hok aik 1 lapsi 0</t>
  </si>
  <si>
    <t>hok aik 10 lapsi 1</t>
  </si>
  <si>
    <t>hok aik 16 lapsi 1 kimppa 2+3</t>
  </si>
  <si>
    <t>hok aik 14 lapsi 3</t>
  </si>
  <si>
    <t xml:space="preserve">hok aik 14 </t>
  </si>
  <si>
    <t xml:space="preserve">    </t>
  </si>
  <si>
    <t xml:space="preserve">hok aik 5 lapsi 2 </t>
  </si>
  <si>
    <t>scandic aik</t>
  </si>
  <si>
    <t>Silja Aik</t>
  </si>
  <si>
    <t>Scandic aik</t>
  </si>
  <si>
    <t xml:space="preserve"> SCANDIC HOTEL</t>
  </si>
  <si>
    <t>SCANDIC HOTEL</t>
  </si>
  <si>
    <t>hok aik 11 lapsi 1</t>
  </si>
  <si>
    <t>hok aik 21 lapsi 8 kimppa 2+3</t>
  </si>
  <si>
    <t xml:space="preserve">hok aik10 lapsi 0 </t>
  </si>
  <si>
    <t>hok aik 1 lapsi 3 kimppa 2+3</t>
  </si>
  <si>
    <t>hok aik 0 lapsi 0</t>
  </si>
  <si>
    <t>hok aik 5 lapsi 2</t>
  </si>
  <si>
    <t>hok aik 12 lapsi 0</t>
  </si>
  <si>
    <t>hok aik 37 lapsi 7 kimppa 2+3</t>
  </si>
  <si>
    <t>hok aik 17 lapsi 1 kimppa 2+3</t>
  </si>
  <si>
    <t>hok aik 22 lapsi 6</t>
  </si>
  <si>
    <t>hok aik 13 lapsi 6</t>
  </si>
  <si>
    <t>hok aik 2 lapsi 0</t>
  </si>
  <si>
    <t>hok aik 4 lapsi 1 kimppa 2+3</t>
  </si>
  <si>
    <t>SILJA AIK</t>
  </si>
  <si>
    <t>SILJA LAPSI</t>
  </si>
  <si>
    <t>hok aik 4 lapsi 2</t>
  </si>
  <si>
    <t>hok aik 2 lapsi 1</t>
  </si>
  <si>
    <t>hok aik 12 lapsi 5 kimppa 2+3</t>
  </si>
  <si>
    <t>hok aik 7 lapsi 3</t>
  </si>
  <si>
    <t>Hok</t>
  </si>
  <si>
    <t>hok</t>
  </si>
  <si>
    <t>SILJALINE</t>
  </si>
  <si>
    <t>SILJA LINE</t>
  </si>
  <si>
    <t>FAZER</t>
  </si>
  <si>
    <t xml:space="preserve">Aik. </t>
  </si>
  <si>
    <t xml:space="preserve">6-17v </t>
  </si>
  <si>
    <t xml:space="preserve">Alle 6v. </t>
  </si>
  <si>
    <t>&lt;6v.</t>
  </si>
  <si>
    <t>VVO</t>
  </si>
  <si>
    <t>klo 10-16</t>
  </si>
  <si>
    <t>HOK</t>
  </si>
  <si>
    <t>PRO-liitto</t>
  </si>
  <si>
    <t>V-A kok.oaketti (Medigroup)</t>
  </si>
  <si>
    <t>Lapsi 6-17v</t>
  </si>
  <si>
    <t>Kissojen Yö 6.9.2013</t>
  </si>
  <si>
    <t>Korkeasaari-päivä</t>
  </si>
  <si>
    <t>hok -50%</t>
  </si>
  <si>
    <t>kup -50%</t>
  </si>
  <si>
    <t>hok-50%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</si>
</sst>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General_)"/>
  </numFmts>
  <fonts count="36" x14ac:knownFonts="1">
    <font>
      <sz val="10"/>
      <name val="Courier"/>
    </font>
    <font>
      <sz val="8"/>
      <name val="Courier New"/>
      <family val="3"/>
    </font>
    <font>
      <sz val="8"/>
      <color indexed="12"/>
      <name val="Courier New"/>
      <family val="3"/>
    </font>
    <font>
      <b/>
      <sz val="12"/>
      <name val="Courier New"/>
      <family val="3"/>
    </font>
    <font>
      <sz val="8"/>
      <name val="Courier"/>
      <family val="3"/>
    </font>
    <font>
      <b/>
      <sz val="8"/>
      <name val="Courier"/>
      <family val="3"/>
    </font>
    <font>
      <sz val="10"/>
      <name val="Courier New"/>
      <family val="3"/>
    </font>
    <font>
      <b/>
      <sz val="8"/>
      <name val="Courier New"/>
      <family val="3"/>
    </font>
    <font>
      <i/>
      <sz val="12"/>
      <name val="Courier New"/>
      <family val="3"/>
    </font>
    <font>
      <i/>
      <sz val="10"/>
      <name val="Courier New"/>
      <family val="3"/>
    </font>
    <font>
      <sz val="12"/>
      <name val="Courier New"/>
      <family val="3"/>
    </font>
    <font>
      <sz val="12"/>
      <name val="Courier New"/>
      <family val="3"/>
    </font>
    <font>
      <b/>
      <sz val="18"/>
      <name val="Times New Roman"/>
      <family val="1"/>
    </font>
    <font>
      <sz val="8"/>
      <name val="Times New Roman"/>
      <family val="1"/>
    </font>
    <font>
      <sz val="10"/>
      <name val="Times New Roman"/>
      <family val="1"/>
    </font>
    <font>
      <b/>
      <sz val="14"/>
      <name val="Times New Roman"/>
      <family val="1"/>
    </font>
    <font>
      <b/>
      <sz val="16"/>
      <name val="Times New Roman"/>
      <family val="1"/>
    </font>
    <font>
      <sz val="16"/>
      <name val="Times New Roman"/>
      <family val="1"/>
    </font>
    <font>
      <sz val="16"/>
      <name val="Courier New"/>
      <family val="3"/>
    </font>
    <font>
      <b/>
      <sz val="15"/>
      <name val="Courier"/>
      <family val="3"/>
    </font>
    <font>
      <b/>
      <i/>
      <u/>
      <sz val="15"/>
      <name val="Courier"/>
      <family val="3"/>
    </font>
    <font>
      <sz val="15"/>
      <color indexed="12"/>
      <name val="Courier"/>
      <family val="3"/>
    </font>
    <font>
      <sz val="12"/>
      <name val="Courier"/>
      <family val="3"/>
    </font>
    <font>
      <sz val="12"/>
      <name val="Times New Roman"/>
      <family val="1"/>
    </font>
    <font>
      <i/>
      <sz val="12"/>
      <name val="Times New Roman"/>
      <family val="1"/>
    </font>
    <font>
      <b/>
      <sz val="16"/>
      <name val="Courier"/>
      <family val="3"/>
    </font>
    <font>
      <b/>
      <sz val="12"/>
      <name val="Times New Roman"/>
      <family val="1"/>
    </font>
    <font>
      <b/>
      <sz val="12"/>
      <color indexed="12"/>
      <name val="Courier"/>
      <family val="3"/>
    </font>
    <font>
      <b/>
      <sz val="12"/>
      <name val="Courier"/>
      <family val="3"/>
    </font>
    <font>
      <b/>
      <sz val="10"/>
      <name val="Courier"/>
      <family val="3"/>
    </font>
    <font>
      <b/>
      <sz val="16"/>
      <color indexed="12"/>
      <name val="Times New Roman"/>
      <family val="1"/>
    </font>
    <font>
      <sz val="12"/>
      <name val="Arial Narrow"/>
      <family val="2"/>
    </font>
    <font>
      <sz val="10"/>
      <name val="Courier"/>
      <family val="3"/>
    </font>
    <font>
      <sz val="11"/>
      <name val="Times New Roman"/>
      <family val="1"/>
    </font>
    <font>
      <b/>
      <sz val="12"/>
      <name val="Arial Narrow"/>
      <family val="2"/>
    </font>
    <font>
      <sz val="10"/>
      <color rgb="FF000000"/>
      <name val="Courier"/>
      <family val="3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</fills>
  <borders count="67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 style="hair">
        <color indexed="64"/>
      </right>
      <top style="double">
        <color indexed="64"/>
      </top>
      <bottom/>
      <diagonal/>
    </border>
    <border>
      <left/>
      <right style="hair">
        <color indexed="64"/>
      </right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double">
        <color indexed="64"/>
      </right>
      <top/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hair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164" fontId="0" fillId="0" borderId="0"/>
    <xf numFmtId="164" fontId="32" fillId="0" borderId="0"/>
  </cellStyleXfs>
  <cellXfs count="200">
    <xf numFmtId="164" fontId="0" fillId="0" borderId="0" xfId="0"/>
    <xf numFmtId="164" fontId="1" fillId="0" borderId="0" xfId="0" applyFont="1"/>
    <xf numFmtId="164" fontId="1" fillId="0" borderId="0" xfId="0" applyFont="1" applyProtection="1"/>
    <xf numFmtId="164" fontId="1" fillId="2" borderId="0" xfId="0" applyFont="1" applyFill="1" applyAlignment="1" applyProtection="1">
      <alignment horizontal="left"/>
    </xf>
    <xf numFmtId="164" fontId="1" fillId="2" borderId="0" xfId="0" applyFont="1" applyFill="1"/>
    <xf numFmtId="164" fontId="1" fillId="2" borderId="0" xfId="0" applyFont="1" applyFill="1" applyProtection="1"/>
    <xf numFmtId="164" fontId="1" fillId="2" borderId="0" xfId="0" applyFont="1" applyFill="1" applyAlignment="1" applyProtection="1">
      <alignment horizontal="right"/>
    </xf>
    <xf numFmtId="164" fontId="1" fillId="2" borderId="1" xfId="0" applyFont="1" applyFill="1" applyBorder="1" applyAlignment="1" applyProtection="1">
      <alignment horizontal="center"/>
    </xf>
    <xf numFmtId="164" fontId="1" fillId="2" borderId="2" xfId="0" applyFont="1" applyFill="1" applyBorder="1" applyAlignment="1" applyProtection="1">
      <alignment horizontal="center"/>
    </xf>
    <xf numFmtId="164" fontId="1" fillId="2" borderId="3" xfId="0" applyFont="1" applyFill="1" applyBorder="1" applyAlignment="1" applyProtection="1">
      <alignment horizontal="center"/>
    </xf>
    <xf numFmtId="164" fontId="2" fillId="2" borderId="4" xfId="0" applyFont="1" applyFill="1" applyBorder="1" applyProtection="1">
      <protection locked="0"/>
    </xf>
    <xf numFmtId="164" fontId="2" fillId="2" borderId="5" xfId="0" applyFont="1" applyFill="1" applyBorder="1" applyProtection="1">
      <protection locked="0"/>
    </xf>
    <xf numFmtId="164" fontId="1" fillId="2" borderId="6" xfId="0" applyFont="1" applyFill="1" applyBorder="1" applyProtection="1"/>
    <xf numFmtId="164" fontId="1" fillId="2" borderId="7" xfId="0" applyFont="1" applyFill="1" applyBorder="1"/>
    <xf numFmtId="164" fontId="1" fillId="2" borderId="8" xfId="0" applyFont="1" applyFill="1" applyBorder="1" applyAlignment="1" applyProtection="1">
      <alignment horizontal="center"/>
    </xf>
    <xf numFmtId="164" fontId="2" fillId="2" borderId="9" xfId="0" applyFont="1" applyFill="1" applyBorder="1" applyProtection="1">
      <protection locked="0"/>
    </xf>
    <xf numFmtId="164" fontId="2" fillId="2" borderId="10" xfId="0" applyFont="1" applyFill="1" applyBorder="1" applyProtection="1">
      <protection locked="0"/>
    </xf>
    <xf numFmtId="164" fontId="1" fillId="2" borderId="11" xfId="0" applyFont="1" applyFill="1" applyBorder="1" applyProtection="1"/>
    <xf numFmtId="164" fontId="2" fillId="2" borderId="12" xfId="0" applyFont="1" applyFill="1" applyBorder="1" applyProtection="1">
      <protection locked="0"/>
    </xf>
    <xf numFmtId="164" fontId="1" fillId="2" borderId="13" xfId="0" applyFont="1" applyFill="1" applyBorder="1" applyProtection="1"/>
    <xf numFmtId="164" fontId="2" fillId="2" borderId="14" xfId="0" applyFont="1" applyFill="1" applyBorder="1" applyProtection="1">
      <protection locked="0"/>
    </xf>
    <xf numFmtId="164" fontId="2" fillId="2" borderId="15" xfId="0" applyFont="1" applyFill="1" applyBorder="1" applyProtection="1">
      <protection locked="0"/>
    </xf>
    <xf numFmtId="164" fontId="3" fillId="2" borderId="0" xfId="0" applyFont="1" applyFill="1" applyAlignment="1" applyProtection="1">
      <alignment horizontal="left"/>
    </xf>
    <xf numFmtId="164" fontId="0" fillId="0" borderId="0" xfId="0" applyBorder="1"/>
    <xf numFmtId="164" fontId="4" fillId="2" borderId="16" xfId="0" applyFont="1" applyFill="1" applyBorder="1" applyAlignment="1" applyProtection="1">
      <alignment horizontal="left"/>
    </xf>
    <xf numFmtId="164" fontId="4" fillId="2" borderId="17" xfId="0" applyFont="1" applyFill="1" applyBorder="1"/>
    <xf numFmtId="164" fontId="4" fillId="2" borderId="18" xfId="0" applyFont="1" applyFill="1" applyBorder="1"/>
    <xf numFmtId="164" fontId="4" fillId="2" borderId="7" xfId="0" applyFont="1" applyFill="1" applyBorder="1"/>
    <xf numFmtId="164" fontId="0" fillId="0" borderId="19" xfId="0" applyBorder="1"/>
    <xf numFmtId="164" fontId="2" fillId="2" borderId="20" xfId="0" applyFont="1" applyFill="1" applyBorder="1" applyProtection="1">
      <protection locked="0"/>
    </xf>
    <xf numFmtId="164" fontId="2" fillId="2" borderId="21" xfId="0" applyFont="1" applyFill="1" applyBorder="1" applyProtection="1">
      <protection locked="0"/>
    </xf>
    <xf numFmtId="164" fontId="2" fillId="2" borderId="22" xfId="0" applyFont="1" applyFill="1" applyBorder="1" applyProtection="1">
      <protection locked="0"/>
    </xf>
    <xf numFmtId="164" fontId="1" fillId="2" borderId="23" xfId="0" applyFont="1" applyFill="1" applyBorder="1" applyProtection="1"/>
    <xf numFmtId="164" fontId="1" fillId="2" borderId="24" xfId="0" applyFont="1" applyFill="1" applyBorder="1" applyProtection="1"/>
    <xf numFmtId="164" fontId="1" fillId="2" borderId="25" xfId="0" applyFont="1" applyFill="1" applyBorder="1" applyProtection="1"/>
    <xf numFmtId="164" fontId="1" fillId="2" borderId="26" xfId="0" applyFont="1" applyFill="1" applyBorder="1"/>
    <xf numFmtId="164" fontId="5" fillId="2" borderId="27" xfId="0" applyFont="1" applyFill="1" applyBorder="1" applyAlignment="1" applyProtection="1">
      <alignment horizontal="center"/>
    </xf>
    <xf numFmtId="164" fontId="6" fillId="0" borderId="0" xfId="0" applyFont="1" applyBorder="1"/>
    <xf numFmtId="164" fontId="5" fillId="2" borderId="26" xfId="0" applyFont="1" applyFill="1" applyBorder="1" applyAlignment="1" applyProtection="1">
      <alignment horizontal="center"/>
    </xf>
    <xf numFmtId="164" fontId="1" fillId="2" borderId="0" xfId="0" applyFont="1" applyFill="1" applyBorder="1" applyProtection="1"/>
    <xf numFmtId="164" fontId="7" fillId="2" borderId="0" xfId="0" applyFont="1" applyFill="1" applyProtection="1"/>
    <xf numFmtId="164" fontId="3" fillId="2" borderId="0" xfId="0" applyFont="1" applyFill="1" applyBorder="1" applyProtection="1"/>
    <xf numFmtId="164" fontId="1" fillId="0" borderId="0" xfId="0" applyFont="1" applyBorder="1" applyProtection="1"/>
    <xf numFmtId="164" fontId="3" fillId="0" borderId="28" xfId="0" applyFont="1" applyBorder="1" applyProtection="1"/>
    <xf numFmtId="164" fontId="3" fillId="2" borderId="28" xfId="0" applyFont="1" applyFill="1" applyBorder="1" applyProtection="1"/>
    <xf numFmtId="164" fontId="3" fillId="2" borderId="29" xfId="0" applyFont="1" applyFill="1" applyBorder="1" applyProtection="1"/>
    <xf numFmtId="164" fontId="3" fillId="2" borderId="30" xfId="0" applyFont="1" applyFill="1" applyBorder="1" applyProtection="1"/>
    <xf numFmtId="164" fontId="3" fillId="2" borderId="31" xfId="0" applyFont="1" applyFill="1" applyBorder="1" applyProtection="1"/>
    <xf numFmtId="164" fontId="3" fillId="2" borderId="32" xfId="0" applyFont="1" applyFill="1" applyBorder="1" applyProtection="1"/>
    <xf numFmtId="164" fontId="3" fillId="0" borderId="33" xfId="0" applyFont="1" applyBorder="1"/>
    <xf numFmtId="164" fontId="6" fillId="0" borderId="28" xfId="0" applyFont="1" applyBorder="1"/>
    <xf numFmtId="164" fontId="3" fillId="0" borderId="0" xfId="0" applyFont="1" applyBorder="1"/>
    <xf numFmtId="164" fontId="9" fillId="0" borderId="34" xfId="0" applyFont="1" applyBorder="1"/>
    <xf numFmtId="164" fontId="8" fillId="0" borderId="34" xfId="0" applyFont="1" applyBorder="1"/>
    <xf numFmtId="164" fontId="8" fillId="2" borderId="34" xfId="0" applyFont="1" applyFill="1" applyBorder="1" applyProtection="1"/>
    <xf numFmtId="164" fontId="8" fillId="2" borderId="35" xfId="0" applyFont="1" applyFill="1" applyBorder="1" applyProtection="1"/>
    <xf numFmtId="164" fontId="8" fillId="2" borderId="36" xfId="0" applyFont="1" applyFill="1" applyBorder="1" applyProtection="1"/>
    <xf numFmtId="164" fontId="9" fillId="0" borderId="37" xfId="0" applyFont="1" applyBorder="1"/>
    <xf numFmtId="164" fontId="8" fillId="0" borderId="37" xfId="0" applyFont="1" applyBorder="1"/>
    <xf numFmtId="164" fontId="8" fillId="2" borderId="37" xfId="0" applyFont="1" applyFill="1" applyBorder="1"/>
    <xf numFmtId="164" fontId="8" fillId="2" borderId="38" xfId="0" applyFont="1" applyFill="1" applyBorder="1"/>
    <xf numFmtId="164" fontId="8" fillId="2" borderId="39" xfId="0" applyFont="1" applyFill="1" applyBorder="1"/>
    <xf numFmtId="164" fontId="8" fillId="0" borderId="40" xfId="0" applyFont="1" applyBorder="1"/>
    <xf numFmtId="164" fontId="3" fillId="0" borderId="41" xfId="0" applyFont="1" applyBorder="1"/>
    <xf numFmtId="164" fontId="8" fillId="0" borderId="42" xfId="0" applyFont="1" applyBorder="1"/>
    <xf numFmtId="164" fontId="1" fillId="0" borderId="0" xfId="0" applyFont="1" applyBorder="1"/>
    <xf numFmtId="164" fontId="7" fillId="2" borderId="0" xfId="0" applyFont="1" applyFill="1" applyBorder="1" applyProtection="1"/>
    <xf numFmtId="164" fontId="8" fillId="2" borderId="0" xfId="0" applyFont="1" applyFill="1" applyBorder="1" applyProtection="1"/>
    <xf numFmtId="164" fontId="8" fillId="2" borderId="0" xfId="0" applyFont="1" applyFill="1" applyBorder="1"/>
    <xf numFmtId="164" fontId="1" fillId="2" borderId="0" xfId="0" applyFont="1" applyFill="1" applyBorder="1"/>
    <xf numFmtId="164" fontId="5" fillId="2" borderId="0" xfId="0" applyFont="1" applyFill="1" applyBorder="1" applyAlignment="1" applyProtection="1">
      <alignment horizontal="center"/>
    </xf>
    <xf numFmtId="164" fontId="10" fillId="0" borderId="0" xfId="0" applyFont="1" applyProtection="1"/>
    <xf numFmtId="164" fontId="13" fillId="2" borderId="16" xfId="0" applyFont="1" applyFill="1" applyBorder="1"/>
    <xf numFmtId="164" fontId="15" fillId="2" borderId="17" xfId="0" applyFont="1" applyFill="1" applyBorder="1" applyAlignment="1" applyProtection="1">
      <alignment horizontal="left"/>
    </xf>
    <xf numFmtId="164" fontId="12" fillId="2" borderId="17" xfId="0" applyFont="1" applyFill="1" applyBorder="1" applyAlignment="1" applyProtection="1">
      <alignment horizontal="left"/>
    </xf>
    <xf numFmtId="164" fontId="13" fillId="2" borderId="17" xfId="0" applyFont="1" applyFill="1" applyBorder="1"/>
    <xf numFmtId="164" fontId="13" fillId="2" borderId="43" xfId="0" applyFont="1" applyFill="1" applyBorder="1"/>
    <xf numFmtId="164" fontId="14" fillId="0" borderId="17" xfId="0" applyFont="1" applyBorder="1"/>
    <xf numFmtId="164" fontId="2" fillId="2" borderId="44" xfId="0" applyFont="1" applyFill="1" applyBorder="1" applyProtection="1">
      <protection locked="0"/>
    </xf>
    <xf numFmtId="164" fontId="2" fillId="2" borderId="45" xfId="0" applyFont="1" applyFill="1" applyBorder="1" applyProtection="1">
      <protection locked="0"/>
    </xf>
    <xf numFmtId="164" fontId="2" fillId="2" borderId="46" xfId="0" applyFont="1" applyFill="1" applyBorder="1" applyProtection="1">
      <protection locked="0"/>
    </xf>
    <xf numFmtId="164" fontId="2" fillId="2" borderId="47" xfId="0" applyFont="1" applyFill="1" applyBorder="1" applyProtection="1">
      <protection locked="0"/>
    </xf>
    <xf numFmtId="164" fontId="1" fillId="2" borderId="48" xfId="0" applyFont="1" applyFill="1" applyBorder="1" applyProtection="1"/>
    <xf numFmtId="164" fontId="1" fillId="2" borderId="49" xfId="0" applyFont="1" applyFill="1" applyBorder="1" applyProtection="1"/>
    <xf numFmtId="164" fontId="1" fillId="2" borderId="50" xfId="0" applyFont="1" applyFill="1" applyBorder="1" applyProtection="1"/>
    <xf numFmtId="164" fontId="1" fillId="2" borderId="51" xfId="0" applyFont="1" applyFill="1" applyBorder="1" applyProtection="1"/>
    <xf numFmtId="164" fontId="1" fillId="2" borderId="52" xfId="0" applyFont="1" applyFill="1" applyBorder="1" applyProtection="1"/>
    <xf numFmtId="164" fontId="7" fillId="2" borderId="53" xfId="0" applyFont="1" applyFill="1" applyBorder="1" applyProtection="1"/>
    <xf numFmtId="164" fontId="11" fillId="0" borderId="54" xfId="0" applyFont="1" applyBorder="1" applyProtection="1"/>
    <xf numFmtId="164" fontId="1" fillId="2" borderId="55" xfId="0" applyFont="1" applyFill="1" applyBorder="1" applyProtection="1"/>
    <xf numFmtId="164" fontId="1" fillId="0" borderId="55" xfId="0" applyFont="1" applyBorder="1" applyProtection="1"/>
    <xf numFmtId="164" fontId="11" fillId="0" borderId="56" xfId="0" applyFont="1" applyBorder="1" applyProtection="1"/>
    <xf numFmtId="164" fontId="10" fillId="0" borderId="57" xfId="0" applyFont="1" applyBorder="1"/>
    <xf numFmtId="164" fontId="1" fillId="2" borderId="34" xfId="0" applyFont="1" applyFill="1" applyBorder="1"/>
    <xf numFmtId="164" fontId="1" fillId="0" borderId="34" xfId="0" applyFont="1" applyBorder="1"/>
    <xf numFmtId="164" fontId="0" fillId="0" borderId="34" xfId="0" applyBorder="1"/>
    <xf numFmtId="164" fontId="4" fillId="0" borderId="34" xfId="0" applyFont="1" applyBorder="1"/>
    <xf numFmtId="164" fontId="0" fillId="0" borderId="32" xfId="0" applyBorder="1"/>
    <xf numFmtId="164" fontId="0" fillId="0" borderId="35" xfId="0" applyBorder="1"/>
    <xf numFmtId="164" fontId="10" fillId="0" borderId="55" xfId="0" applyFont="1" applyBorder="1" applyProtection="1"/>
    <xf numFmtId="164" fontId="10" fillId="0" borderId="0" xfId="0" applyFont="1" applyBorder="1" applyProtection="1"/>
    <xf numFmtId="164" fontId="10" fillId="0" borderId="34" xfId="0" applyFont="1" applyBorder="1"/>
    <xf numFmtId="164" fontId="1" fillId="0" borderId="55" xfId="0" applyFont="1" applyBorder="1"/>
    <xf numFmtId="164" fontId="0" fillId="0" borderId="58" xfId="0" applyBorder="1"/>
    <xf numFmtId="164" fontId="0" fillId="0" borderId="55" xfId="0" applyBorder="1"/>
    <xf numFmtId="164" fontId="16" fillId="2" borderId="0" xfId="0" applyFont="1" applyFill="1"/>
    <xf numFmtId="164" fontId="17" fillId="2" borderId="0" xfId="0" applyFont="1" applyFill="1"/>
    <xf numFmtId="164" fontId="17" fillId="0" borderId="0" xfId="0" applyFont="1"/>
    <xf numFmtId="164" fontId="17" fillId="2" borderId="0" xfId="0" applyFont="1" applyFill="1" applyBorder="1"/>
    <xf numFmtId="164" fontId="18" fillId="0" borderId="0" xfId="0" applyFont="1"/>
    <xf numFmtId="164" fontId="18" fillId="2" borderId="0" xfId="0" applyFont="1" applyFill="1"/>
    <xf numFmtId="164" fontId="2" fillId="2" borderId="44" xfId="0" applyFont="1" applyFill="1" applyBorder="1" applyProtection="1"/>
    <xf numFmtId="164" fontId="2" fillId="2" borderId="9" xfId="0" applyFont="1" applyFill="1" applyBorder="1" applyProtection="1"/>
    <xf numFmtId="164" fontId="2" fillId="2" borderId="10" xfId="0" applyFont="1" applyFill="1" applyBorder="1" applyProtection="1"/>
    <xf numFmtId="164" fontId="2" fillId="2" borderId="12" xfId="0" applyFont="1" applyFill="1" applyBorder="1" applyProtection="1"/>
    <xf numFmtId="164" fontId="2" fillId="2" borderId="4" xfId="0" applyFont="1" applyFill="1" applyBorder="1" applyProtection="1"/>
    <xf numFmtId="164" fontId="2" fillId="2" borderId="5" xfId="0" applyFont="1" applyFill="1" applyBorder="1" applyProtection="1"/>
    <xf numFmtId="164" fontId="2" fillId="2" borderId="45" xfId="0" applyFont="1" applyFill="1" applyBorder="1" applyProtection="1"/>
    <xf numFmtId="164" fontId="2" fillId="2" borderId="46" xfId="0" applyFont="1" applyFill="1" applyBorder="1" applyProtection="1"/>
    <xf numFmtId="164" fontId="2" fillId="2" borderId="47" xfId="0" applyFont="1" applyFill="1" applyBorder="1" applyProtection="1"/>
    <xf numFmtId="164" fontId="2" fillId="2" borderId="20" xfId="0" applyFont="1" applyFill="1" applyBorder="1" applyProtection="1"/>
    <xf numFmtId="164" fontId="2" fillId="2" borderId="21" xfId="0" applyFont="1" applyFill="1" applyBorder="1" applyProtection="1"/>
    <xf numFmtId="164" fontId="2" fillId="2" borderId="14" xfId="0" applyFont="1" applyFill="1" applyBorder="1" applyProtection="1"/>
    <xf numFmtId="164" fontId="2" fillId="2" borderId="15" xfId="0" applyFont="1" applyFill="1" applyBorder="1" applyProtection="1"/>
    <xf numFmtId="164" fontId="2" fillId="2" borderId="22" xfId="0" applyFont="1" applyFill="1" applyBorder="1" applyProtection="1"/>
    <xf numFmtId="164" fontId="0" fillId="3" borderId="0" xfId="0" applyFill="1"/>
    <xf numFmtId="164" fontId="0" fillId="0" borderId="0" xfId="0" applyFill="1"/>
    <xf numFmtId="164" fontId="0" fillId="4" borderId="0" xfId="0" applyFill="1"/>
    <xf numFmtId="164" fontId="19" fillId="0" borderId="0" xfId="0" applyFont="1"/>
    <xf numFmtId="164" fontId="20" fillId="0" borderId="0" xfId="0" applyFont="1"/>
    <xf numFmtId="164" fontId="21" fillId="0" borderId="0" xfId="0" applyFont="1"/>
    <xf numFmtId="164" fontId="22" fillId="0" borderId="0" xfId="0" applyFont="1"/>
    <xf numFmtId="164" fontId="23" fillId="0" borderId="0" xfId="0" applyFont="1"/>
    <xf numFmtId="164" fontId="23" fillId="0" borderId="59" xfId="0" applyFont="1" applyBorder="1"/>
    <xf numFmtId="164" fontId="23" fillId="0" borderId="60" xfId="0" quotePrefix="1" applyFont="1" applyBorder="1"/>
    <xf numFmtId="164" fontId="23" fillId="0" borderId="61" xfId="0" applyFont="1" applyBorder="1"/>
    <xf numFmtId="10" fontId="23" fillId="0" borderId="61" xfId="0" applyNumberFormat="1" applyFont="1" applyBorder="1"/>
    <xf numFmtId="164" fontId="23" fillId="0" borderId="26" xfId="0" applyFont="1" applyBorder="1"/>
    <xf numFmtId="164" fontId="23" fillId="0" borderId="0" xfId="0" quotePrefix="1" applyFont="1" applyBorder="1"/>
    <xf numFmtId="164" fontId="23" fillId="0" borderId="62" xfId="0" applyFont="1" applyBorder="1"/>
    <xf numFmtId="164" fontId="23" fillId="0" borderId="1" xfId="0" applyFont="1" applyBorder="1"/>
    <xf numFmtId="164" fontId="23" fillId="0" borderId="2" xfId="0" quotePrefix="1" applyFont="1" applyBorder="1"/>
    <xf numFmtId="164" fontId="23" fillId="0" borderId="63" xfId="0" applyFont="1" applyBorder="1"/>
    <xf numFmtId="10" fontId="23" fillId="0" borderId="0" xfId="0" applyNumberFormat="1" applyFont="1"/>
    <xf numFmtId="164" fontId="24" fillId="0" borderId="59" xfId="0" applyFont="1" applyBorder="1"/>
    <xf numFmtId="164" fontId="23" fillId="0" borderId="60" xfId="0" applyFont="1" applyBorder="1"/>
    <xf numFmtId="164" fontId="23" fillId="0" borderId="0" xfId="0" applyFont="1" applyBorder="1"/>
    <xf numFmtId="10" fontId="23" fillId="0" borderId="64" xfId="0" applyNumberFormat="1" applyFont="1" applyBorder="1"/>
    <xf numFmtId="164" fontId="23" fillId="0" borderId="2" xfId="0" applyFont="1" applyBorder="1"/>
    <xf numFmtId="164" fontId="24" fillId="0" borderId="1" xfId="0" applyFont="1" applyBorder="1"/>
    <xf numFmtId="10" fontId="23" fillId="0" borderId="3" xfId="0" applyNumberFormat="1" applyFont="1" applyBorder="1"/>
    <xf numFmtId="164" fontId="23" fillId="0" borderId="16" xfId="0" applyFont="1" applyBorder="1"/>
    <xf numFmtId="164" fontId="23" fillId="0" borderId="17" xfId="0" applyFont="1" applyBorder="1"/>
    <xf numFmtId="10" fontId="23" fillId="0" borderId="65" xfId="0" applyNumberFormat="1" applyFont="1" applyBorder="1"/>
    <xf numFmtId="10" fontId="23" fillId="0" borderId="62" xfId="0" applyNumberFormat="1" applyFont="1" applyBorder="1"/>
    <xf numFmtId="10" fontId="23" fillId="0" borderId="63" xfId="0" applyNumberFormat="1" applyFont="1" applyBorder="1"/>
    <xf numFmtId="164" fontId="16" fillId="0" borderId="0" xfId="0" applyFont="1"/>
    <xf numFmtId="164" fontId="25" fillId="0" borderId="0" xfId="0" applyFont="1"/>
    <xf numFmtId="164" fontId="26" fillId="0" borderId="0" xfId="0" applyFont="1"/>
    <xf numFmtId="10" fontId="23" fillId="0" borderId="0" xfId="0" quotePrefix="1" applyNumberFormat="1" applyFont="1"/>
    <xf numFmtId="10" fontId="23" fillId="0" borderId="66" xfId="0" applyNumberFormat="1" applyFont="1" applyBorder="1"/>
    <xf numFmtId="1" fontId="23" fillId="0" borderId="2" xfId="0" applyNumberFormat="1" applyFont="1" applyBorder="1"/>
    <xf numFmtId="10" fontId="0" fillId="0" borderId="0" xfId="0" applyNumberFormat="1"/>
    <xf numFmtId="164" fontId="23" fillId="0" borderId="0" xfId="0" applyFont="1" applyFill="1" applyBorder="1"/>
    <xf numFmtId="164" fontId="27" fillId="0" borderId="0" xfId="0" applyFont="1"/>
    <xf numFmtId="164" fontId="28" fillId="0" borderId="0" xfId="0" applyFont="1"/>
    <xf numFmtId="10" fontId="23" fillId="0" borderId="18" xfId="0" applyNumberFormat="1" applyFont="1" applyBorder="1"/>
    <xf numFmtId="164" fontId="29" fillId="0" borderId="0" xfId="0" applyFont="1"/>
    <xf numFmtId="164" fontId="30" fillId="2" borderId="0" xfId="0" applyFont="1" applyFill="1"/>
    <xf numFmtId="164" fontId="30" fillId="0" borderId="0" xfId="0" applyFont="1"/>
    <xf numFmtId="164" fontId="1" fillId="2" borderId="0" xfId="0" applyFont="1" applyFill="1" applyBorder="1" applyAlignment="1" applyProtection="1">
      <alignment horizontal="right"/>
    </xf>
    <xf numFmtId="164" fontId="10" fillId="0" borderId="0" xfId="0" quotePrefix="1" applyFont="1" applyProtection="1"/>
    <xf numFmtId="164" fontId="1" fillId="3" borderId="0" xfId="0" applyFont="1" applyFill="1" applyProtection="1"/>
    <xf numFmtId="164" fontId="1" fillId="3" borderId="0" xfId="0" applyFont="1" applyFill="1" applyAlignment="1" applyProtection="1">
      <alignment horizontal="left"/>
    </xf>
    <xf numFmtId="164" fontId="31" fillId="0" borderId="55" xfId="0" applyFont="1" applyBorder="1" applyProtection="1"/>
    <xf numFmtId="164" fontId="31" fillId="0" borderId="34" xfId="0" applyFont="1" applyBorder="1"/>
    <xf numFmtId="164" fontId="31" fillId="0" borderId="0" xfId="0" applyFont="1" applyBorder="1" applyProtection="1"/>
    <xf numFmtId="1" fontId="23" fillId="0" borderId="0" xfId="0" applyNumberFormat="1" applyFont="1" applyBorder="1"/>
    <xf numFmtId="1" fontId="23" fillId="0" borderId="61" xfId="0" applyNumberFormat="1" applyFont="1" applyBorder="1"/>
    <xf numFmtId="1" fontId="23" fillId="0" borderId="61" xfId="1" applyNumberFormat="1" applyFont="1" applyBorder="1" applyAlignment="1" applyProtection="1">
      <alignment horizontal="right"/>
    </xf>
    <xf numFmtId="1" fontId="23" fillId="2" borderId="61" xfId="1" applyNumberFormat="1" applyFont="1" applyFill="1" applyBorder="1" applyProtection="1"/>
    <xf numFmtId="1" fontId="23" fillId="0" borderId="61" xfId="1" quotePrefix="1" applyNumberFormat="1" applyFont="1" applyBorder="1"/>
    <xf numFmtId="1" fontId="23" fillId="0" borderId="61" xfId="1" applyNumberFormat="1" applyFont="1" applyBorder="1"/>
    <xf numFmtId="164" fontId="23" fillId="0" borderId="61" xfId="0" quotePrefix="1" applyFont="1" applyBorder="1"/>
    <xf numFmtId="2" fontId="23" fillId="0" borderId="60" xfId="0" applyNumberFormat="1" applyFont="1" applyBorder="1"/>
    <xf numFmtId="2" fontId="23" fillId="0" borderId="61" xfId="0" applyNumberFormat="1" applyFont="1" applyBorder="1"/>
    <xf numFmtId="164" fontId="33" fillId="0" borderId="16" xfId="0" applyFont="1" applyBorder="1"/>
    <xf numFmtId="2" fontId="33" fillId="0" borderId="59" xfId="0" applyNumberFormat="1" applyFont="1" applyBorder="1"/>
    <xf numFmtId="164" fontId="2" fillId="2" borderId="4" xfId="0" quotePrefix="1" applyFont="1" applyFill="1" applyBorder="1" applyProtection="1">
      <protection locked="0"/>
    </xf>
    <xf numFmtId="164" fontId="32" fillId="0" borderId="0" xfId="0" applyFont="1"/>
    <xf numFmtId="2" fontId="33" fillId="0" borderId="26" xfId="0" applyNumberFormat="1" applyFont="1" applyBorder="1"/>
    <xf numFmtId="2" fontId="23" fillId="0" borderId="0" xfId="0" applyNumberFormat="1" applyFont="1" applyBorder="1"/>
    <xf numFmtId="10" fontId="0" fillId="0" borderId="0" xfId="0" applyNumberFormat="1" applyBorder="1"/>
    <xf numFmtId="164" fontId="31" fillId="0" borderId="54" xfId="0" applyFont="1" applyBorder="1" applyProtection="1"/>
    <xf numFmtId="164" fontId="31" fillId="0" borderId="56" xfId="0" applyFont="1" applyBorder="1" applyProtection="1"/>
    <xf numFmtId="164" fontId="31" fillId="0" borderId="57" xfId="0" applyFont="1" applyBorder="1"/>
    <xf numFmtId="164" fontId="31" fillId="0" borderId="0" xfId="0" applyFont="1" applyBorder="1"/>
    <xf numFmtId="164" fontId="10" fillId="0" borderId="0" xfId="0" applyFont="1" applyBorder="1"/>
    <xf numFmtId="164" fontId="4" fillId="0" borderId="0" xfId="0" applyFont="1" applyBorder="1"/>
    <xf numFmtId="164" fontId="1" fillId="0" borderId="0" xfId="0" applyFont="1" applyProtection="1">
      <protection locked="0"/>
    </xf>
  </cellXfs>
  <cellStyles count="2">
    <cellStyle name="Normaali" xfId="0" builtinId="0"/>
    <cellStyle name="Normaali_Taul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10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1.xml"/></Relationships>
</file>

<file path=xl/charts/_rels/chart10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2.xml"/></Relationships>
</file>

<file path=xl/charts/_rels/chart10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4.xml"/></Relationships>
</file>

<file path=xl/charts/_rels/chart10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5.xml"/></Relationships>
</file>

<file path=xl/charts/_rels/chart10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7.xml"/></Relationships>
</file>

<file path=xl/charts/_rels/chart10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8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1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5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.xml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3.xml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.xml"/></Relationships>
</file>

<file path=xl/charts/_rels/chart2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6.xml"/></Relationships>
</file>

<file path=xl/charts/_rels/chart2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7.xml"/></Relationships>
</file>

<file path=xl/charts/_rels/chart2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9.xml"/></Relationships>
</file>

<file path=xl/charts/_rels/chart2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0.xml"/></Relationships>
</file>

<file path=xl/charts/_rels/chart3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2.xml"/></Relationships>
</file>

<file path=xl/charts/_rels/chart3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3.xml"/></Relationships>
</file>

<file path=xl/charts/_rels/chart3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5.xml"/></Relationships>
</file>

<file path=xl/charts/_rels/chart3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6.xml"/></Relationships>
</file>

<file path=xl/charts/_rels/chart3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8.xml"/></Relationships>
</file>

<file path=xl/charts/_rels/chart3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9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4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1.xml"/></Relationships>
</file>

<file path=xl/charts/_rels/chart4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2.xml"/></Relationships>
</file>

<file path=xl/charts/_rels/chart4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4.xml"/></Relationships>
</file>

<file path=xl/charts/_rels/chart4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5.xml"/></Relationships>
</file>

<file path=xl/charts/_rels/chart4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7.xml"/></Relationships>
</file>

<file path=xl/charts/_rels/chart4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8.xml"/></Relationships>
</file>

<file path=xl/charts/_rels/chart4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0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5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1.xml"/></Relationships>
</file>

<file path=xl/charts/_rels/chart5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3.xml"/></Relationships>
</file>

<file path=xl/charts/_rels/chart5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4.xml"/></Relationships>
</file>

<file path=xl/charts/_rels/chart5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6.xml"/></Relationships>
</file>

<file path=xl/charts/_rels/chart5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7.xml"/></Relationships>
</file>

<file path=xl/charts/_rels/chart5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9.xml"/></Relationships>
</file>

<file path=xl/charts/_rels/chart5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0.xml"/></Relationships>
</file>

<file path=xl/charts/_rels/chart6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2.xml"/></Relationships>
</file>

<file path=xl/charts/_rels/chart6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3.xml"/></Relationships>
</file>

<file path=xl/charts/_rels/chart6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5.xml"/></Relationships>
</file>

<file path=xl/charts/_rels/chart6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6.xml"/></Relationships>
</file>

<file path=xl/charts/_rels/chart6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8.xml"/></Relationships>
</file>

<file path=xl/charts/_rels/chart6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9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7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1.xml"/></Relationships>
</file>

<file path=xl/charts/_rels/chart7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2.xml"/></Relationships>
</file>

<file path=xl/charts/_rels/chart7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4.xml"/></Relationships>
</file>

<file path=xl/charts/_rels/chart7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5.xml"/></Relationships>
</file>

<file path=xl/charts/_rels/chart7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7.xml"/></Relationships>
</file>

<file path=xl/charts/_rels/chart7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8.xml"/></Relationships>
</file>

<file path=xl/charts/_rels/chart7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0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8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1.xml"/></Relationships>
</file>

<file path=xl/charts/_rels/chart8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3.xml"/></Relationships>
</file>

<file path=xl/charts/_rels/chart8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4.xml"/></Relationships>
</file>

<file path=xl/charts/_rels/chart8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6.xml"/></Relationships>
</file>

<file path=xl/charts/_rels/chart8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7.xml"/></Relationships>
</file>

<file path=xl/charts/_rels/chart8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9.xml"/></Relationships>
</file>

<file path=xl/charts/_rels/chart8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0.xml"/></Relationships>
</file>

<file path=xl/charts/_rels/chart9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2.xml"/></Relationships>
</file>

<file path=xl/charts/_rels/chart9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3.xml"/></Relationships>
</file>

<file path=xl/charts/_rels/chart9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5.xml"/></Relationships>
</file>

<file path=xl/charts/_rels/chart9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6.xml"/></Relationships>
</file>

<file path=xl/charts/_rels/chart9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8.xml"/></Relationships>
</file>

<file path=xl/charts/_rels/chart9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25"/>
      <c:hPercent val="500"/>
      <c:rotY val="3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'N1'!#REF!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'N1'!#REF!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'N1'!#REF!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'N1'!#REF!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'N1'!#REF!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'N1'!#REF!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'N1'!#REF!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'N1'!#REF!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'N1'!#REF!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3"/>
        <c:gapDepth val="0"/>
        <c:shape val="box"/>
        <c:axId val="616909312"/>
        <c:axId val="550184064"/>
        <c:axId val="0"/>
      </c:bar3DChart>
      <c:catAx>
        <c:axId val="616909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55018406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5018406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61690931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MS Sans Serif"/>
              <a:ea typeface="MS Sans Serif"/>
              <a:cs typeface="MS Sans Serif"/>
            </a:defRPr>
          </a:pPr>
          <a:endParaRPr lang="fi-FI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fi-FI"/>
    </a:p>
  </c:txPr>
  <c:printSettings>
    <c:headerFooter alignWithMargins="0"/>
    <c:pageMargins b="0.98425196850393659" l="0.78740157480314954" r="0.78740157480314954" t="0.98425196850393659" header="0.49212598450000788" footer="0.49212598450000788"/>
    <c:pageSetup paperSize="9" orientation="landscape" horizontalDpi="-4" verticalDpi="-4"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25"/>
      <c:hPercent val="500"/>
      <c:rotY val="3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'N4'!#REF!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'N4'!#REF!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'N4'!#REF!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'N4'!#REF!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'N4'!#REF!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'N4'!#REF!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'N4'!#REF!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'N4'!#REF!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'N4'!#REF!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3"/>
        <c:gapDepth val="0"/>
        <c:shape val="box"/>
        <c:axId val="623095808"/>
        <c:axId val="550736960"/>
        <c:axId val="0"/>
      </c:bar3DChart>
      <c:catAx>
        <c:axId val="623095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55073696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5073696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62309580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MS Sans Serif"/>
              <a:ea typeface="MS Sans Serif"/>
              <a:cs typeface="MS Sans Serif"/>
            </a:defRPr>
          </a:pPr>
          <a:endParaRPr lang="fi-FI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fi-FI"/>
    </a:p>
  </c:txPr>
  <c:printSettings>
    <c:headerFooter alignWithMargins="0"/>
    <c:pageMargins b="0.98425196850393659" l="0.78740157480314954" r="0.78740157480314954" t="0.98425196850393659" header="0.49212598450000788" footer="0.49212598450000788"/>
    <c:pageSetup paperSize="9" orientation="landscape" horizontalDpi="-4" verticalDpi="-4"/>
  </c:printSettings>
  <c:userShapes r:id="rId1"/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25"/>
      <c:hPercent val="500"/>
      <c:rotY val="3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Yht10!#REF!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Yht10!#REF!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Yht10!#REF!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Yht10!#REF!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Yht10!#REF!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Yht10!#REF!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Yht10!#REF!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Yht10!#REF!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Yht10!#REF!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3"/>
        <c:gapDepth val="0"/>
        <c:shape val="box"/>
        <c:axId val="607794688"/>
        <c:axId val="608049344"/>
        <c:axId val="0"/>
      </c:bar3DChart>
      <c:catAx>
        <c:axId val="607794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60804934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6080493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60779468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MS Sans Serif"/>
              <a:ea typeface="MS Sans Serif"/>
              <a:cs typeface="MS Sans Serif"/>
            </a:defRPr>
          </a:pPr>
          <a:endParaRPr lang="fi-FI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fi-FI"/>
    </a:p>
  </c:txPr>
  <c:printSettings>
    <c:headerFooter alignWithMargins="0"/>
    <c:pageMargins b="0.98425196850393659" l="0.78740157480314954" r="0.78740157480314954" t="0.98425196850393659" header="0.49212598450000788" footer="0.49212598450000788"/>
    <c:pageSetup paperSize="9" orientation="landscape" horizontalDpi="-4" verticalDpi="-4"/>
  </c:printSettings>
  <c:userShapes r:id="rId1"/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25"/>
      <c:hPercent val="500"/>
      <c:rotY val="3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Yht10!#REF!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Yht10!#REF!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Yht10!#REF!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Yht10!#REF!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Yht10!#REF!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Yht10!#REF!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Yht10!#REF!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Yht10!#REF!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Yht10!#REF!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3"/>
        <c:gapDepth val="0"/>
        <c:shape val="box"/>
        <c:axId val="607795200"/>
        <c:axId val="607529216"/>
        <c:axId val="0"/>
      </c:bar3DChart>
      <c:catAx>
        <c:axId val="607795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60752921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6075292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60779520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MS Sans Serif"/>
              <a:ea typeface="MS Sans Serif"/>
              <a:cs typeface="MS Sans Serif"/>
            </a:defRPr>
          </a:pPr>
          <a:endParaRPr lang="fi-FI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fi-FI"/>
    </a:p>
  </c:txPr>
  <c:printSettings>
    <c:headerFooter alignWithMargins="0"/>
    <c:pageMargins b="0.98425196850393659" l="0.78740157480314954" r="0.78740157480314954" t="0.98425196850393659" header="0.49212598450000788" footer="0.49212598450000788"/>
    <c:pageSetup paperSize="9" orientation="landscape" horizontalDpi="-4" verticalDpi="-4"/>
  </c:printSettings>
  <c:userShapes r:id="rId1"/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r>
              <a:rPr lang="fi-FI"/>
              <a:t>KOKONAISKÄYNTIMÄÄRÄ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2000</c:v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Yht10!#REF!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Yht10!#REF!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v>1999</c:v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Yht10!#REF!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Yht10!#REF!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608140800"/>
        <c:axId val="607531520"/>
      </c:barChart>
      <c:catAx>
        <c:axId val="60814080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60753152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607531520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60814080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MS Sans Serif"/>
              <a:ea typeface="MS Sans Serif"/>
              <a:cs typeface="MS Sans Serif"/>
            </a:defRPr>
          </a:pPr>
          <a:endParaRPr lang="fi-FI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fi-FI"/>
    </a:p>
  </c:txPr>
  <c:printSettings>
    <c:headerFooter alignWithMargins="0">
      <c:oddHeader>&amp;N</c:oddHeader>
      <c:oddFooter>Sivu &amp;S</c:oddFooter>
    </c:headerFooter>
    <c:pageMargins b="1" l="0.75000000000001465" r="0.75000000000001465" t="1" header="0.49212598450000788" footer="0.49212598450000788"/>
    <c:pageSetup paperSize="9" orientation="portrait" horizontalDpi="-4" verticalDpi="-4"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25"/>
      <c:hPercent val="500"/>
      <c:rotY val="3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Yht11!#REF!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Yht11!#REF!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Yht11!#REF!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Yht11!#REF!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Yht11!#REF!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Yht11!#REF!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Yht11!#REF!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Yht11!#REF!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Yht11!#REF!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3"/>
        <c:gapDepth val="0"/>
        <c:shape val="box"/>
        <c:axId val="607993856"/>
        <c:axId val="607533824"/>
        <c:axId val="0"/>
      </c:bar3DChart>
      <c:catAx>
        <c:axId val="607993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60753382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60753382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60799385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MS Sans Serif"/>
              <a:ea typeface="MS Sans Serif"/>
              <a:cs typeface="MS Sans Serif"/>
            </a:defRPr>
          </a:pPr>
          <a:endParaRPr lang="fi-FI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fi-FI"/>
    </a:p>
  </c:txPr>
  <c:printSettings>
    <c:headerFooter alignWithMargins="0"/>
    <c:pageMargins b="0.98425196850393659" l="0.78740157480314954" r="0.78740157480314954" t="0.98425196850393659" header="0.49212598450000788" footer="0.49212598450000788"/>
    <c:pageSetup paperSize="9" orientation="landscape" horizontalDpi="-4" verticalDpi="-4"/>
  </c:printSettings>
  <c:userShapes r:id="rId1"/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25"/>
      <c:hPercent val="500"/>
      <c:rotY val="3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Yht11!#REF!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Yht11!#REF!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Yht11!#REF!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Yht11!#REF!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Yht11!#REF!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Yht11!#REF!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Yht11!#REF!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Yht11!#REF!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Yht11!#REF!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3"/>
        <c:gapDepth val="0"/>
        <c:shape val="box"/>
        <c:axId val="607996928"/>
        <c:axId val="609649792"/>
        <c:axId val="0"/>
      </c:bar3DChart>
      <c:catAx>
        <c:axId val="607996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60964979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6096497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60799692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MS Sans Serif"/>
              <a:ea typeface="MS Sans Serif"/>
              <a:cs typeface="MS Sans Serif"/>
            </a:defRPr>
          </a:pPr>
          <a:endParaRPr lang="fi-FI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fi-FI"/>
    </a:p>
  </c:txPr>
  <c:printSettings>
    <c:headerFooter alignWithMargins="0"/>
    <c:pageMargins b="0.98425196850393659" l="0.78740157480314954" r="0.78740157480314954" t="0.98425196850393659" header="0.49212598450000788" footer="0.49212598450000788"/>
    <c:pageSetup paperSize="9" orientation="landscape" horizontalDpi="-4" verticalDpi="-4"/>
  </c:printSettings>
  <c:userShapes r:id="rId1"/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r>
              <a:rPr lang="fi-FI"/>
              <a:t>KOKONAISKÄYNTIMÄÄRÄ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2000</c:v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Yht11!#REF!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Yht11!#REF!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v>1999</c:v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Yht11!#REF!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Yht11!#REF!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608006656"/>
        <c:axId val="609652096"/>
      </c:barChart>
      <c:catAx>
        <c:axId val="608006656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60965209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609652096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60800665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MS Sans Serif"/>
              <a:ea typeface="MS Sans Serif"/>
              <a:cs typeface="MS Sans Serif"/>
            </a:defRPr>
          </a:pPr>
          <a:endParaRPr lang="fi-FI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fi-FI"/>
    </a:p>
  </c:txPr>
  <c:printSettings>
    <c:headerFooter alignWithMargins="0">
      <c:oddHeader>&amp;N</c:oddHeader>
      <c:oddFooter>Sivu &amp;S</c:oddFooter>
    </c:headerFooter>
    <c:pageMargins b="1" l="0.75000000000001465" r="0.75000000000001465" t="1" header="0.49212598450000788" footer="0.49212598450000788"/>
    <c:pageSetup paperSize="9" orientation="portrait" horizontalDpi="-4" verticalDpi="-4"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25"/>
      <c:hPercent val="500"/>
      <c:rotY val="3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Yht12!#REF!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Yht12!#REF!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Yht12!#REF!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Yht12!#REF!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Yht12!#REF!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Yht12!#REF!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Yht12!#REF!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Yht12!#REF!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Yht12!#REF!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3"/>
        <c:gapDepth val="0"/>
        <c:shape val="box"/>
        <c:axId val="610003456"/>
        <c:axId val="564453376"/>
        <c:axId val="0"/>
      </c:bar3DChart>
      <c:catAx>
        <c:axId val="610003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56445337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6445337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61000345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MS Sans Serif"/>
              <a:ea typeface="MS Sans Serif"/>
              <a:cs typeface="MS Sans Serif"/>
            </a:defRPr>
          </a:pPr>
          <a:endParaRPr lang="fi-FI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fi-FI"/>
    </a:p>
  </c:txPr>
  <c:printSettings>
    <c:headerFooter alignWithMargins="0"/>
    <c:pageMargins b="0.98425196850393659" l="0.78740157480314954" r="0.78740157480314954" t="0.98425196850393659" header="0.49212598450000788" footer="0.49212598450000788"/>
    <c:pageSetup paperSize="9" orientation="landscape" horizontalDpi="-4" verticalDpi="-4"/>
  </c:printSettings>
  <c:userShapes r:id="rId1"/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25"/>
      <c:hPercent val="500"/>
      <c:rotY val="3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Yht12!#REF!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Yht12!#REF!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Yht12!#REF!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Yht12!#REF!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Yht12!#REF!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Yht12!#REF!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Yht12!#REF!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Yht12!#REF!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Yht12!#REF!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3"/>
        <c:gapDepth val="0"/>
        <c:shape val="box"/>
        <c:axId val="610342400"/>
        <c:axId val="564454528"/>
        <c:axId val="0"/>
      </c:bar3DChart>
      <c:catAx>
        <c:axId val="610342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56445452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644545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61034240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MS Sans Serif"/>
              <a:ea typeface="MS Sans Serif"/>
              <a:cs typeface="MS Sans Serif"/>
            </a:defRPr>
          </a:pPr>
          <a:endParaRPr lang="fi-FI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fi-FI"/>
    </a:p>
  </c:txPr>
  <c:printSettings>
    <c:headerFooter alignWithMargins="0"/>
    <c:pageMargins b="0.98425196850393659" l="0.78740157480314954" r="0.78740157480314954" t="0.98425196850393659" header="0.49212598450000788" footer="0.49212598450000788"/>
    <c:pageSetup paperSize="9" orientation="landscape" horizontalDpi="-4" verticalDpi="-4"/>
  </c:printSettings>
  <c:userShapes r:id="rId1"/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r>
              <a:rPr lang="fi-FI"/>
              <a:t>KOKONAISKÄYNTIMÄÄRÄ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2000</c:v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Yht12!#REF!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Yht12!#REF!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v>1999</c:v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Yht12!#REF!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Yht12!#REF!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609480704"/>
        <c:axId val="564456832"/>
      </c:barChart>
      <c:catAx>
        <c:axId val="609480704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56445683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64456832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60948070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MS Sans Serif"/>
              <a:ea typeface="MS Sans Serif"/>
              <a:cs typeface="MS Sans Serif"/>
            </a:defRPr>
          </a:pPr>
          <a:endParaRPr lang="fi-FI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fi-FI"/>
    </a:p>
  </c:txPr>
  <c:printSettings>
    <c:headerFooter alignWithMargins="0">
      <c:oddHeader>&amp;N</c:oddHeader>
      <c:oddFooter>Sivu &amp;S</c:oddFooter>
    </c:headerFooter>
    <c:pageMargins b="1" l="0.75000000000001465" r="0.75000000000001465" t="1" header="0.49212598450000788" footer="0.49212598450000788"/>
    <c:pageSetup paperSize="9" orientation="portrait" horizontalDpi="-4" verticalDpi="-4"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i-FI"/>
              <a:t>Käynnit yhteensä</a:t>
            </a:r>
          </a:p>
        </c:rich>
      </c:tx>
      <c:layout>
        <c:manualLayout>
          <c:xMode val="edge"/>
          <c:yMode val="edge"/>
          <c:x val="0.39979272110345515"/>
          <c:y val="2.8119507908611598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51"/>
      <c:rotY val="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5.3997977915267524E-2"/>
          <c:y val="0.13181019332161686"/>
          <c:w val="0.93458038699497259"/>
          <c:h val="0.76977152899824264"/>
        </c:manualLayout>
      </c:layout>
      <c:bar3DChart>
        <c:barDir val="col"/>
        <c:grouping val="clustered"/>
        <c:varyColors val="0"/>
        <c:ser>
          <c:idx val="0"/>
          <c:order val="0"/>
          <c:tx>
            <c:v>Käynnit yhteensä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numFmt formatCode="General" sourceLinked="0"/>
            <c:spPr>
              <a:noFill/>
              <a:ln w="25400">
                <a:noFill/>
              </a:ln>
            </c:spPr>
            <c:txPr>
              <a:bodyPr rot="-2700000" vert="horz"/>
              <a:lstStyle/>
              <a:p>
                <a:pPr algn="just"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fi-FI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Yhteenveto!$B$5:$M$5</c:f>
              <c:strCache>
                <c:ptCount val="12"/>
                <c:pt idx="0">
                  <c:v>TAMMI</c:v>
                </c:pt>
                <c:pt idx="1">
                  <c:v>HELMI</c:v>
                </c:pt>
                <c:pt idx="2">
                  <c:v>MAALIS</c:v>
                </c:pt>
                <c:pt idx="3">
                  <c:v>HUHTI</c:v>
                </c:pt>
                <c:pt idx="4">
                  <c:v>TOUKO</c:v>
                </c:pt>
                <c:pt idx="5">
                  <c:v>KESÄ</c:v>
                </c:pt>
                <c:pt idx="6">
                  <c:v>HEINÄ</c:v>
                </c:pt>
                <c:pt idx="7">
                  <c:v>ELO</c:v>
                </c:pt>
                <c:pt idx="8">
                  <c:v>SYYS</c:v>
                </c:pt>
                <c:pt idx="9">
                  <c:v>LOKA</c:v>
                </c:pt>
                <c:pt idx="10">
                  <c:v>MARRAS</c:v>
                </c:pt>
                <c:pt idx="11">
                  <c:v>JOULU</c:v>
                </c:pt>
              </c:strCache>
            </c:strRef>
          </c:cat>
          <c:val>
            <c:numRef>
              <c:f>Yhteenveto!$B$6:$M$6</c:f>
              <c:numCache>
                <c:formatCode>General_)</c:formatCode>
                <c:ptCount val="12"/>
                <c:pt idx="0">
                  <c:v>6730</c:v>
                </c:pt>
                <c:pt idx="1">
                  <c:v>14162</c:v>
                </c:pt>
                <c:pt idx="2">
                  <c:v>14378</c:v>
                </c:pt>
                <c:pt idx="3">
                  <c:v>15113</c:v>
                </c:pt>
                <c:pt idx="4">
                  <c:v>59619</c:v>
                </c:pt>
                <c:pt idx="5">
                  <c:v>92408</c:v>
                </c:pt>
                <c:pt idx="6">
                  <c:v>153545</c:v>
                </c:pt>
                <c:pt idx="7">
                  <c:v>75614</c:v>
                </c:pt>
                <c:pt idx="8">
                  <c:v>37836</c:v>
                </c:pt>
                <c:pt idx="9">
                  <c:v>18035</c:v>
                </c:pt>
                <c:pt idx="10">
                  <c:v>6054</c:v>
                </c:pt>
                <c:pt idx="11">
                  <c:v>8668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611514368"/>
        <c:axId val="564458560"/>
        <c:axId val="0"/>
      </c:bar3DChart>
      <c:catAx>
        <c:axId val="611514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fi-FI"/>
          </a:p>
        </c:txPr>
        <c:crossAx val="5644585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644585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i-FI"/>
          </a:p>
        </c:txPr>
        <c:crossAx val="61151436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i-FI"/>
    </a:p>
  </c:txPr>
  <c:printSettings>
    <c:headerFooter alignWithMargins="0">
      <c:oddFooter>&amp;HKorkeasaaren eläintarha
Kävijätilasto 2002&amp;OTulostettu &amp;P</c:oddFooter>
    </c:headerFooter>
    <c:pageMargins b="0.5905511811021884" l="0.78740157480314954" r="0.82677165354351367" t="0.98425196850393659" header="0.98425196850393659" footer="0.19685039370078738"/>
    <c:pageSetup paperSize="9" orientation="landscape" horizontalDpi="300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25"/>
      <c:hPercent val="500"/>
      <c:rotY val="3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'N4'!#REF!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'N4'!#REF!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'N4'!#REF!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'N4'!#REF!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'N4'!#REF!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'N4'!#REF!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'N4'!#REF!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'N4'!#REF!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'N4'!#REF!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3"/>
        <c:gapDepth val="0"/>
        <c:shape val="box"/>
        <c:axId val="639742976"/>
        <c:axId val="529057472"/>
        <c:axId val="0"/>
      </c:bar3DChart>
      <c:catAx>
        <c:axId val="639742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52905747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290574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63974297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MS Sans Serif"/>
              <a:ea typeface="MS Sans Serif"/>
              <a:cs typeface="MS Sans Serif"/>
            </a:defRPr>
          </a:pPr>
          <a:endParaRPr lang="fi-FI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fi-FI"/>
    </a:p>
  </c:txPr>
  <c:printSettings>
    <c:headerFooter alignWithMargins="0"/>
    <c:pageMargins b="0.98425196850393659" l="0.78740157480314954" r="0.78740157480314954" t="0.98425196850393659" header="0.49212598450000788" footer="0.49212598450000788"/>
    <c:pageSetup paperSize="9" orientation="landscape" horizontalDpi="-4" verticalDpi="-4"/>
  </c:printSettings>
  <c:userShapes r:id="rId1"/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i-FI"/>
              <a:t>Kuluvan ja edellisvuoden käyntivertailu</a:t>
            </a:r>
          </a:p>
        </c:rich>
      </c:tx>
      <c:layout>
        <c:manualLayout>
          <c:xMode val="edge"/>
          <c:yMode val="edge"/>
          <c:x val="0.33956420727495851"/>
          <c:y val="2.930408171660678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47"/>
      <c:rotY val="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7.9958544220681119E-2"/>
          <c:y val="0.11904783197371506"/>
          <c:w val="0.90550455273289998"/>
          <c:h val="0.73077053780790002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Kalenteri!$E$2</c:f>
              <c:strCache>
                <c:ptCount val="1"/>
                <c:pt idx="0">
                  <c:v>2012 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Edellisvuosi!$B$5:$M$5</c:f>
              <c:strCache>
                <c:ptCount val="12"/>
                <c:pt idx="0">
                  <c:v>TAMMI</c:v>
                </c:pt>
                <c:pt idx="1">
                  <c:v>HELMI</c:v>
                </c:pt>
                <c:pt idx="2">
                  <c:v>MAALIS</c:v>
                </c:pt>
                <c:pt idx="3">
                  <c:v>HUHTI</c:v>
                </c:pt>
                <c:pt idx="4">
                  <c:v>TOUKO</c:v>
                </c:pt>
                <c:pt idx="5">
                  <c:v>KESÄ</c:v>
                </c:pt>
                <c:pt idx="6">
                  <c:v>HEINÄ</c:v>
                </c:pt>
                <c:pt idx="7">
                  <c:v>ELO</c:v>
                </c:pt>
                <c:pt idx="8">
                  <c:v>SYYS</c:v>
                </c:pt>
                <c:pt idx="9">
                  <c:v>LOKA</c:v>
                </c:pt>
                <c:pt idx="10">
                  <c:v>MARRAS</c:v>
                </c:pt>
                <c:pt idx="11">
                  <c:v>JOULU</c:v>
                </c:pt>
              </c:strCache>
            </c:strRef>
          </c:cat>
          <c:val>
            <c:numRef>
              <c:f>Edellisvuosi!$B$6:$M$6</c:f>
              <c:numCache>
                <c:formatCode>General_)</c:formatCode>
                <c:ptCount val="12"/>
                <c:pt idx="0">
                  <c:v>5742</c:v>
                </c:pt>
                <c:pt idx="1">
                  <c:v>9712</c:v>
                </c:pt>
                <c:pt idx="2">
                  <c:v>10876</c:v>
                </c:pt>
                <c:pt idx="3">
                  <c:v>24039</c:v>
                </c:pt>
                <c:pt idx="4">
                  <c:v>61128</c:v>
                </c:pt>
                <c:pt idx="5">
                  <c:v>85315</c:v>
                </c:pt>
                <c:pt idx="6">
                  <c:v>161200</c:v>
                </c:pt>
                <c:pt idx="7">
                  <c:v>80163</c:v>
                </c:pt>
                <c:pt idx="8">
                  <c:v>29849</c:v>
                </c:pt>
                <c:pt idx="9">
                  <c:v>11024</c:v>
                </c:pt>
                <c:pt idx="10">
                  <c:v>5566</c:v>
                </c:pt>
                <c:pt idx="11">
                  <c:v>4123</c:v>
                </c:pt>
              </c:numCache>
            </c:numRef>
          </c:val>
        </c:ser>
        <c:ser>
          <c:idx val="1"/>
          <c:order val="1"/>
          <c:tx>
            <c:strRef>
              <c:f>Kalenteri!$E$1</c:f>
              <c:strCache>
                <c:ptCount val="1"/>
                <c:pt idx="0">
                  <c:v>2013 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Yhteenveto!$B$6:$M$6</c:f>
              <c:numCache>
                <c:formatCode>General_)</c:formatCode>
                <c:ptCount val="12"/>
                <c:pt idx="0">
                  <c:v>6730</c:v>
                </c:pt>
                <c:pt idx="1">
                  <c:v>14162</c:v>
                </c:pt>
                <c:pt idx="2">
                  <c:v>14378</c:v>
                </c:pt>
                <c:pt idx="3">
                  <c:v>15113</c:v>
                </c:pt>
                <c:pt idx="4">
                  <c:v>59619</c:v>
                </c:pt>
                <c:pt idx="5">
                  <c:v>92408</c:v>
                </c:pt>
                <c:pt idx="6">
                  <c:v>153545</c:v>
                </c:pt>
                <c:pt idx="7">
                  <c:v>75614</c:v>
                </c:pt>
                <c:pt idx="8">
                  <c:v>37836</c:v>
                </c:pt>
                <c:pt idx="9">
                  <c:v>18035</c:v>
                </c:pt>
                <c:pt idx="10">
                  <c:v>6054</c:v>
                </c:pt>
                <c:pt idx="11">
                  <c:v>8668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608880128"/>
        <c:axId val="564460288"/>
        <c:axId val="0"/>
      </c:bar3DChart>
      <c:catAx>
        <c:axId val="608880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fi-FI"/>
          </a:p>
        </c:txPr>
        <c:crossAx val="5644602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644602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i-FI"/>
          </a:p>
        </c:txPr>
        <c:crossAx val="60888012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3925278188772615"/>
          <c:y val="0.93956212003868556"/>
          <c:w val="0.12149545030934651"/>
          <c:h val="4.761913278948600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i-FI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i-FI"/>
    </a:p>
  </c:txPr>
  <c:printSettings>
    <c:headerFooter alignWithMargins="0">
      <c:oddFooter>&amp;HKorkeasaaren eläintarha
Kävijätilasto&amp;OTulostettu &amp;P</c:oddFooter>
    </c:headerFooter>
    <c:pageMargins b="1" l="0.75000000000001465" r="0.75000000000001465" t="1" header="0.49212598450000788" footer="0.49212598450000788"/>
    <c:pageSetup paperSize="9" orientation="landscape" horizontalDpi="300"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i-FI"/>
              <a:t>Tulosuuntien vertailu</a:t>
            </a:r>
          </a:p>
        </c:rich>
      </c:tx>
      <c:layout>
        <c:manualLayout>
          <c:xMode val="edge"/>
          <c:yMode val="edge"/>
          <c:x val="0.40166513644695973"/>
          <c:y val="2.7681660899656412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50"/>
      <c:rotY val="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5.5150912517332472E-2"/>
          <c:y val="0.12283737024221462"/>
          <c:w val="0.93028143000934393"/>
          <c:h val="0.7439446366784358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Yhteenveto!$A$11</c:f>
              <c:strCache>
                <c:ptCount val="1"/>
                <c:pt idx="0">
                  <c:v>  Mustikkamaa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Yhteenveto!$B$5:$M$5</c:f>
              <c:strCache>
                <c:ptCount val="12"/>
                <c:pt idx="0">
                  <c:v>TAMMI</c:v>
                </c:pt>
                <c:pt idx="1">
                  <c:v>HELMI</c:v>
                </c:pt>
                <c:pt idx="2">
                  <c:v>MAALIS</c:v>
                </c:pt>
                <c:pt idx="3">
                  <c:v>HUHTI</c:v>
                </c:pt>
                <c:pt idx="4">
                  <c:v>TOUKO</c:v>
                </c:pt>
                <c:pt idx="5">
                  <c:v>KESÄ</c:v>
                </c:pt>
                <c:pt idx="6">
                  <c:v>HEINÄ</c:v>
                </c:pt>
                <c:pt idx="7">
                  <c:v>ELO</c:v>
                </c:pt>
                <c:pt idx="8">
                  <c:v>SYYS</c:v>
                </c:pt>
                <c:pt idx="9">
                  <c:v>LOKA</c:v>
                </c:pt>
                <c:pt idx="10">
                  <c:v>MARRAS</c:v>
                </c:pt>
                <c:pt idx="11">
                  <c:v>JOULU</c:v>
                </c:pt>
              </c:strCache>
            </c:strRef>
          </c:cat>
          <c:val>
            <c:numRef>
              <c:f>Yhteenveto!$B$11:$M$11</c:f>
              <c:numCache>
                <c:formatCode>General_)</c:formatCode>
                <c:ptCount val="12"/>
                <c:pt idx="0">
                  <c:v>6725</c:v>
                </c:pt>
                <c:pt idx="1">
                  <c:v>14162</c:v>
                </c:pt>
                <c:pt idx="2">
                  <c:v>14378</c:v>
                </c:pt>
                <c:pt idx="3">
                  <c:v>15113</c:v>
                </c:pt>
                <c:pt idx="4">
                  <c:v>43908</c:v>
                </c:pt>
                <c:pt idx="5">
                  <c:v>62390</c:v>
                </c:pt>
                <c:pt idx="6">
                  <c:v>100135</c:v>
                </c:pt>
                <c:pt idx="7">
                  <c:v>51296</c:v>
                </c:pt>
                <c:pt idx="8">
                  <c:v>29745</c:v>
                </c:pt>
                <c:pt idx="9">
                  <c:v>18025</c:v>
                </c:pt>
                <c:pt idx="10">
                  <c:v>5938</c:v>
                </c:pt>
                <c:pt idx="11">
                  <c:v>8668</c:v>
                </c:pt>
              </c:numCache>
            </c:numRef>
          </c:val>
        </c:ser>
        <c:ser>
          <c:idx val="1"/>
          <c:order val="1"/>
          <c:tx>
            <c:strRef>
              <c:f>Yhteenveto!$A$12</c:f>
              <c:strCache>
                <c:ptCount val="1"/>
                <c:pt idx="0">
                  <c:v>  Kauppatori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Yhteenveto!$B$5:$M$5</c:f>
              <c:strCache>
                <c:ptCount val="12"/>
                <c:pt idx="0">
                  <c:v>TAMMI</c:v>
                </c:pt>
                <c:pt idx="1">
                  <c:v>HELMI</c:v>
                </c:pt>
                <c:pt idx="2">
                  <c:v>MAALIS</c:v>
                </c:pt>
                <c:pt idx="3">
                  <c:v>HUHTI</c:v>
                </c:pt>
                <c:pt idx="4">
                  <c:v>TOUKO</c:v>
                </c:pt>
                <c:pt idx="5">
                  <c:v>KESÄ</c:v>
                </c:pt>
                <c:pt idx="6">
                  <c:v>HEINÄ</c:v>
                </c:pt>
                <c:pt idx="7">
                  <c:v>ELO</c:v>
                </c:pt>
                <c:pt idx="8">
                  <c:v>SYYS</c:v>
                </c:pt>
                <c:pt idx="9">
                  <c:v>LOKA</c:v>
                </c:pt>
                <c:pt idx="10">
                  <c:v>MARRAS</c:v>
                </c:pt>
                <c:pt idx="11">
                  <c:v>JOULU</c:v>
                </c:pt>
              </c:strCache>
            </c:strRef>
          </c:cat>
          <c:val>
            <c:numRef>
              <c:f>Yhteenveto!$B$12:$M$12</c:f>
              <c:numCache>
                <c:formatCode>General_)</c:formatCode>
                <c:ptCount val="12"/>
                <c:pt idx="0">
                  <c:v>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14793</c:v>
                </c:pt>
                <c:pt idx="5">
                  <c:v>22881</c:v>
                </c:pt>
                <c:pt idx="6">
                  <c:v>41768</c:v>
                </c:pt>
                <c:pt idx="7">
                  <c:v>19081</c:v>
                </c:pt>
                <c:pt idx="8">
                  <c:v>7299</c:v>
                </c:pt>
                <c:pt idx="9">
                  <c:v>0</c:v>
                </c:pt>
                <c:pt idx="10">
                  <c:v>116</c:v>
                </c:pt>
                <c:pt idx="11">
                  <c:v>0</c:v>
                </c:pt>
              </c:numCache>
            </c:numRef>
          </c:val>
        </c:ser>
        <c:ser>
          <c:idx val="2"/>
          <c:order val="2"/>
          <c:tx>
            <c:strRef>
              <c:f>Yhteenveto!$A$13</c:f>
              <c:strCache>
                <c:ptCount val="1"/>
                <c:pt idx="0">
                  <c:v>  Hakaniemi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Yhteenveto!$B$5:$M$5</c:f>
              <c:strCache>
                <c:ptCount val="12"/>
                <c:pt idx="0">
                  <c:v>TAMMI</c:v>
                </c:pt>
                <c:pt idx="1">
                  <c:v>HELMI</c:v>
                </c:pt>
                <c:pt idx="2">
                  <c:v>MAALIS</c:v>
                </c:pt>
                <c:pt idx="3">
                  <c:v>HUHTI</c:v>
                </c:pt>
                <c:pt idx="4">
                  <c:v>TOUKO</c:v>
                </c:pt>
                <c:pt idx="5">
                  <c:v>KESÄ</c:v>
                </c:pt>
                <c:pt idx="6">
                  <c:v>HEINÄ</c:v>
                </c:pt>
                <c:pt idx="7">
                  <c:v>ELO</c:v>
                </c:pt>
                <c:pt idx="8">
                  <c:v>SYYS</c:v>
                </c:pt>
                <c:pt idx="9">
                  <c:v>LOKA</c:v>
                </c:pt>
                <c:pt idx="10">
                  <c:v>MARRAS</c:v>
                </c:pt>
                <c:pt idx="11">
                  <c:v>JOULU</c:v>
                </c:pt>
              </c:strCache>
            </c:strRef>
          </c:cat>
          <c:val>
            <c:numRef>
              <c:f>Yhteenveto!$B$13:$M$13</c:f>
              <c:numCache>
                <c:formatCode>General_)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918</c:v>
                </c:pt>
                <c:pt idx="5">
                  <c:v>7137</c:v>
                </c:pt>
                <c:pt idx="6">
                  <c:v>11642</c:v>
                </c:pt>
                <c:pt idx="7">
                  <c:v>5237</c:v>
                </c:pt>
                <c:pt idx="8">
                  <c:v>792</c:v>
                </c:pt>
                <c:pt idx="9">
                  <c:v>10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608882176"/>
        <c:axId val="610165312"/>
        <c:axId val="0"/>
      </c:bar3DChart>
      <c:catAx>
        <c:axId val="608882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i-FI"/>
          </a:p>
        </c:txPr>
        <c:crossAx val="6101653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101653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i-FI"/>
          </a:p>
        </c:txPr>
        <c:crossAx val="60888217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2154022580859881"/>
          <c:y val="0.94117647058823561"/>
          <c:w val="0.35692005648009506"/>
          <c:h val="4.671280276816607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i-FI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i-FI"/>
    </a:p>
  </c:txPr>
  <c:printSettings>
    <c:headerFooter alignWithMargins="0">
      <c:oddFooter>&amp;HKorkeasaaren eläintarha
Kävijätilasto 2013&amp;OTulostettu &amp;P</c:oddFooter>
    </c:headerFooter>
    <c:pageMargins b="0.98425196850393659" l="0.74803149606308927" r="0.74803149606308927" t="0.98425196850393659" header="0.51181102362204722" footer="0.51181102362204722"/>
    <c:pageSetup paperSize="9" orientation="landscape" horizontalDpi="300"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2254713725857981"/>
          <c:y val="2.7444276844812852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4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i-FI"/>
        </a:p>
      </c:txPr>
    </c:title>
    <c:autoTitleDeleted val="0"/>
    <c:view3D>
      <c:rotX val="25"/>
      <c:hPercent val="50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27766193692809776"/>
          <c:y val="0.36878247010222465"/>
          <c:w val="0.44572047770036782"/>
          <c:h val="0.35677559898257138"/>
        </c:manualLayout>
      </c:layout>
      <c:pie3DChart>
        <c:varyColors val="1"/>
        <c:ser>
          <c:idx val="0"/>
          <c:order val="0"/>
          <c:tx>
            <c:v>Maksettujen ja ilmaiskäyntien suhde</c:v>
          </c:tx>
          <c:spPr>
            <a:solidFill>
              <a:srgbClr val="9999FF"/>
            </a:solidFill>
            <a:ln w="25400">
              <a:noFill/>
            </a:ln>
          </c:spPr>
          <c:explosion val="25"/>
          <c:dPt>
            <c:idx val="1"/>
            <c:bubble3D val="0"/>
            <c:spPr>
              <a:solidFill>
                <a:srgbClr val="993366"/>
              </a:solidFill>
              <a:ln w="25400">
                <a:noFill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fi-FI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(Yhteenveto!$A$16,Yhteenveto!$A$21)</c:f>
              <c:strCache>
                <c:ptCount val="2"/>
                <c:pt idx="0">
                  <c:v>MAKSETUT KÄYNNIT YHTEENSÄ</c:v>
                </c:pt>
                <c:pt idx="1">
                  <c:v>ILMAISKÄYNNIT YHTEENSÄ</c:v>
                </c:pt>
              </c:strCache>
            </c:strRef>
          </c:cat>
          <c:val>
            <c:numRef>
              <c:f>(Yhteenveto!$N$16,Yhteenveto!$N$21)</c:f>
              <c:numCache>
                <c:formatCode>General_)</c:formatCode>
                <c:ptCount val="2"/>
                <c:pt idx="0">
                  <c:v>385402</c:v>
                </c:pt>
                <c:pt idx="1">
                  <c:v>116760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i-FI"/>
    </a:p>
  </c:txPr>
  <c:printSettings>
    <c:headerFooter alignWithMargins="0">
      <c:oddFooter>&amp;HKorkeasaaren eläintarha
Kävijätilasto 2002&amp;OTulostettu &amp;P</c:oddFooter>
    </c:headerFooter>
    <c:pageMargins b="1" l="0.75000000000001465" r="0.75000000000001465" t="1" header="0.5" footer="0.5"/>
    <c:pageSetup orientation="landscape" horizontalDpi="300" verticalDpi="300"/>
  </c:printSettings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i-FI"/>
              <a:t>Käynnit / päivä</a:t>
            </a:r>
          </a:p>
        </c:rich>
      </c:tx>
      <c:layout>
        <c:manualLayout>
          <c:xMode val="edge"/>
          <c:yMode val="edge"/>
          <c:x val="0.42084942084943538"/>
          <c:y val="2.630429756736881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8069498069501548E-2"/>
          <c:y val="0.15124971101239143"/>
          <c:w val="0.88262548262562002"/>
          <c:h val="0.68917259626499561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Graf.5!$D$1:$D$364</c:f>
              <c:numCache>
                <c:formatCode>General_)</c:formatCode>
                <c:ptCount val="364"/>
                <c:pt idx="0">
                  <c:v>41275</c:v>
                </c:pt>
                <c:pt idx="1">
                  <c:v>41276</c:v>
                </c:pt>
                <c:pt idx="2">
                  <c:v>41277</c:v>
                </c:pt>
                <c:pt idx="3">
                  <c:v>41278</c:v>
                </c:pt>
                <c:pt idx="4">
                  <c:v>41279</c:v>
                </c:pt>
                <c:pt idx="5">
                  <c:v>41280</c:v>
                </c:pt>
                <c:pt idx="6">
                  <c:v>41281</c:v>
                </c:pt>
                <c:pt idx="7">
                  <c:v>41282</c:v>
                </c:pt>
                <c:pt idx="8">
                  <c:v>41283</c:v>
                </c:pt>
                <c:pt idx="9">
                  <c:v>41284</c:v>
                </c:pt>
                <c:pt idx="10">
                  <c:v>41285</c:v>
                </c:pt>
                <c:pt idx="11">
                  <c:v>41286</c:v>
                </c:pt>
                <c:pt idx="12">
                  <c:v>41287</c:v>
                </c:pt>
                <c:pt idx="13">
                  <c:v>41288</c:v>
                </c:pt>
                <c:pt idx="14">
                  <c:v>41289</c:v>
                </c:pt>
                <c:pt idx="15">
                  <c:v>41290</c:v>
                </c:pt>
                <c:pt idx="16">
                  <c:v>41291</c:v>
                </c:pt>
                <c:pt idx="17">
                  <c:v>41292</c:v>
                </c:pt>
                <c:pt idx="18">
                  <c:v>41293</c:v>
                </c:pt>
                <c:pt idx="19">
                  <c:v>41294</c:v>
                </c:pt>
                <c:pt idx="20">
                  <c:v>41295</c:v>
                </c:pt>
                <c:pt idx="21">
                  <c:v>41296</c:v>
                </c:pt>
                <c:pt idx="22">
                  <c:v>41297</c:v>
                </c:pt>
                <c:pt idx="23">
                  <c:v>41298</c:v>
                </c:pt>
                <c:pt idx="24">
                  <c:v>41299</c:v>
                </c:pt>
                <c:pt idx="25">
                  <c:v>41300</c:v>
                </c:pt>
                <c:pt idx="26">
                  <c:v>41301</c:v>
                </c:pt>
                <c:pt idx="27">
                  <c:v>41302</c:v>
                </c:pt>
                <c:pt idx="28">
                  <c:v>41303</c:v>
                </c:pt>
                <c:pt idx="29">
                  <c:v>41304</c:v>
                </c:pt>
                <c:pt idx="30">
                  <c:v>41305</c:v>
                </c:pt>
                <c:pt idx="31">
                  <c:v>41306</c:v>
                </c:pt>
                <c:pt idx="32">
                  <c:v>41307</c:v>
                </c:pt>
                <c:pt idx="33">
                  <c:v>41308</c:v>
                </c:pt>
                <c:pt idx="34">
                  <c:v>41309</c:v>
                </c:pt>
                <c:pt idx="35">
                  <c:v>41310</c:v>
                </c:pt>
                <c:pt idx="36">
                  <c:v>41311</c:v>
                </c:pt>
                <c:pt idx="37">
                  <c:v>41312</c:v>
                </c:pt>
                <c:pt idx="38">
                  <c:v>41313</c:v>
                </c:pt>
                <c:pt idx="39">
                  <c:v>41314</c:v>
                </c:pt>
                <c:pt idx="40">
                  <c:v>41315</c:v>
                </c:pt>
                <c:pt idx="41">
                  <c:v>41316</c:v>
                </c:pt>
                <c:pt idx="42">
                  <c:v>41317</c:v>
                </c:pt>
                <c:pt idx="43">
                  <c:v>41318</c:v>
                </c:pt>
                <c:pt idx="44">
                  <c:v>41319</c:v>
                </c:pt>
                <c:pt idx="45">
                  <c:v>41320</c:v>
                </c:pt>
                <c:pt idx="46">
                  <c:v>41321</c:v>
                </c:pt>
                <c:pt idx="47">
                  <c:v>41322</c:v>
                </c:pt>
                <c:pt idx="48">
                  <c:v>41323</c:v>
                </c:pt>
                <c:pt idx="49">
                  <c:v>41324</c:v>
                </c:pt>
                <c:pt idx="50">
                  <c:v>41325</c:v>
                </c:pt>
                <c:pt idx="51">
                  <c:v>41326</c:v>
                </c:pt>
                <c:pt idx="52">
                  <c:v>41327</c:v>
                </c:pt>
                <c:pt idx="53">
                  <c:v>41328</c:v>
                </c:pt>
                <c:pt idx="54">
                  <c:v>41329</c:v>
                </c:pt>
                <c:pt idx="55">
                  <c:v>41330</c:v>
                </c:pt>
                <c:pt idx="56">
                  <c:v>41331</c:v>
                </c:pt>
                <c:pt idx="57">
                  <c:v>41332</c:v>
                </c:pt>
                <c:pt idx="58">
                  <c:v>41333</c:v>
                </c:pt>
                <c:pt idx="59">
                  <c:v>41335</c:v>
                </c:pt>
                <c:pt idx="60">
                  <c:v>41336</c:v>
                </c:pt>
                <c:pt idx="61">
                  <c:v>41337</c:v>
                </c:pt>
                <c:pt idx="62">
                  <c:v>41338</c:v>
                </c:pt>
                <c:pt idx="63">
                  <c:v>41339</c:v>
                </c:pt>
                <c:pt idx="64">
                  <c:v>41340</c:v>
                </c:pt>
                <c:pt idx="65">
                  <c:v>41341</c:v>
                </c:pt>
                <c:pt idx="66">
                  <c:v>41342</c:v>
                </c:pt>
                <c:pt idx="67">
                  <c:v>41343</c:v>
                </c:pt>
                <c:pt idx="68">
                  <c:v>41344</c:v>
                </c:pt>
                <c:pt idx="69">
                  <c:v>41345</c:v>
                </c:pt>
                <c:pt idx="70">
                  <c:v>41346</c:v>
                </c:pt>
                <c:pt idx="71">
                  <c:v>41347</c:v>
                </c:pt>
                <c:pt idx="72">
                  <c:v>41348</c:v>
                </c:pt>
                <c:pt idx="73">
                  <c:v>41349</c:v>
                </c:pt>
                <c:pt idx="74">
                  <c:v>41350</c:v>
                </c:pt>
                <c:pt idx="75">
                  <c:v>41351</c:v>
                </c:pt>
                <c:pt idx="76">
                  <c:v>41352</c:v>
                </c:pt>
                <c:pt idx="77">
                  <c:v>41353</c:v>
                </c:pt>
                <c:pt idx="78">
                  <c:v>41354</c:v>
                </c:pt>
                <c:pt idx="79">
                  <c:v>41355</c:v>
                </c:pt>
                <c:pt idx="80">
                  <c:v>41356</c:v>
                </c:pt>
                <c:pt idx="81">
                  <c:v>41357</c:v>
                </c:pt>
                <c:pt idx="82">
                  <c:v>41358</c:v>
                </c:pt>
                <c:pt idx="83">
                  <c:v>41359</c:v>
                </c:pt>
                <c:pt idx="84">
                  <c:v>41360</c:v>
                </c:pt>
                <c:pt idx="85">
                  <c:v>41361</c:v>
                </c:pt>
                <c:pt idx="86">
                  <c:v>41362</c:v>
                </c:pt>
                <c:pt idx="87">
                  <c:v>41363</c:v>
                </c:pt>
                <c:pt idx="88">
                  <c:v>41364</c:v>
                </c:pt>
                <c:pt idx="89">
                  <c:v>41365</c:v>
                </c:pt>
                <c:pt idx="90">
                  <c:v>41366</c:v>
                </c:pt>
                <c:pt idx="91">
                  <c:v>41367</c:v>
                </c:pt>
                <c:pt idx="92">
                  <c:v>41368</c:v>
                </c:pt>
                <c:pt idx="93">
                  <c:v>41369</c:v>
                </c:pt>
                <c:pt idx="94">
                  <c:v>41370</c:v>
                </c:pt>
                <c:pt idx="95">
                  <c:v>41371</c:v>
                </c:pt>
                <c:pt idx="96">
                  <c:v>41372</c:v>
                </c:pt>
                <c:pt idx="97">
                  <c:v>41373</c:v>
                </c:pt>
                <c:pt idx="98">
                  <c:v>41374</c:v>
                </c:pt>
                <c:pt idx="99">
                  <c:v>41375</c:v>
                </c:pt>
                <c:pt idx="100">
                  <c:v>41376</c:v>
                </c:pt>
                <c:pt idx="101">
                  <c:v>41377</c:v>
                </c:pt>
                <c:pt idx="102">
                  <c:v>41378</c:v>
                </c:pt>
                <c:pt idx="103">
                  <c:v>41379</c:v>
                </c:pt>
                <c:pt idx="104">
                  <c:v>41380</c:v>
                </c:pt>
                <c:pt idx="105">
                  <c:v>41381</c:v>
                </c:pt>
                <c:pt idx="106">
                  <c:v>41382</c:v>
                </c:pt>
                <c:pt idx="107">
                  <c:v>41383</c:v>
                </c:pt>
                <c:pt idx="108">
                  <c:v>41384</c:v>
                </c:pt>
                <c:pt idx="109">
                  <c:v>41385</c:v>
                </c:pt>
                <c:pt idx="110">
                  <c:v>41386</c:v>
                </c:pt>
                <c:pt idx="111">
                  <c:v>41387</c:v>
                </c:pt>
                <c:pt idx="112">
                  <c:v>41388</c:v>
                </c:pt>
                <c:pt idx="113">
                  <c:v>41389</c:v>
                </c:pt>
                <c:pt idx="114">
                  <c:v>41390</c:v>
                </c:pt>
                <c:pt idx="115">
                  <c:v>41391</c:v>
                </c:pt>
                <c:pt idx="116">
                  <c:v>41392</c:v>
                </c:pt>
                <c:pt idx="117">
                  <c:v>41393</c:v>
                </c:pt>
                <c:pt idx="118">
                  <c:v>41394</c:v>
                </c:pt>
                <c:pt idx="119">
                  <c:v>41395</c:v>
                </c:pt>
                <c:pt idx="120">
                  <c:v>41396</c:v>
                </c:pt>
                <c:pt idx="121">
                  <c:v>41397</c:v>
                </c:pt>
                <c:pt idx="122">
                  <c:v>41398</c:v>
                </c:pt>
                <c:pt idx="123">
                  <c:v>41399</c:v>
                </c:pt>
                <c:pt idx="124">
                  <c:v>41400</c:v>
                </c:pt>
                <c:pt idx="125">
                  <c:v>41401</c:v>
                </c:pt>
                <c:pt idx="126">
                  <c:v>41402</c:v>
                </c:pt>
                <c:pt idx="127">
                  <c:v>41403</c:v>
                </c:pt>
                <c:pt idx="128">
                  <c:v>41404</c:v>
                </c:pt>
                <c:pt idx="129">
                  <c:v>41405</c:v>
                </c:pt>
                <c:pt idx="130">
                  <c:v>41406</c:v>
                </c:pt>
                <c:pt idx="131">
                  <c:v>41407</c:v>
                </c:pt>
                <c:pt idx="132">
                  <c:v>41408</c:v>
                </c:pt>
                <c:pt idx="133">
                  <c:v>41409</c:v>
                </c:pt>
                <c:pt idx="134">
                  <c:v>41410</c:v>
                </c:pt>
                <c:pt idx="135">
                  <c:v>41411</c:v>
                </c:pt>
                <c:pt idx="136">
                  <c:v>41412</c:v>
                </c:pt>
                <c:pt idx="137">
                  <c:v>41413</c:v>
                </c:pt>
                <c:pt idx="138">
                  <c:v>41414</c:v>
                </c:pt>
                <c:pt idx="139">
                  <c:v>41415</c:v>
                </c:pt>
                <c:pt idx="140">
                  <c:v>41416</c:v>
                </c:pt>
                <c:pt idx="141">
                  <c:v>41417</c:v>
                </c:pt>
                <c:pt idx="142">
                  <c:v>41418</c:v>
                </c:pt>
                <c:pt idx="143">
                  <c:v>41419</c:v>
                </c:pt>
                <c:pt idx="144">
                  <c:v>41420</c:v>
                </c:pt>
                <c:pt idx="145">
                  <c:v>41421</c:v>
                </c:pt>
                <c:pt idx="146">
                  <c:v>41422</c:v>
                </c:pt>
                <c:pt idx="147">
                  <c:v>41423</c:v>
                </c:pt>
                <c:pt idx="148">
                  <c:v>41424</c:v>
                </c:pt>
                <c:pt idx="149">
                  <c:v>41425</c:v>
                </c:pt>
                <c:pt idx="150">
                  <c:v>41426</c:v>
                </c:pt>
                <c:pt idx="151">
                  <c:v>41427</c:v>
                </c:pt>
                <c:pt idx="152">
                  <c:v>41428</c:v>
                </c:pt>
                <c:pt idx="153">
                  <c:v>41429</c:v>
                </c:pt>
                <c:pt idx="154">
                  <c:v>41430</c:v>
                </c:pt>
                <c:pt idx="155">
                  <c:v>41431</c:v>
                </c:pt>
                <c:pt idx="156">
                  <c:v>41432</c:v>
                </c:pt>
                <c:pt idx="157">
                  <c:v>41433</c:v>
                </c:pt>
                <c:pt idx="158">
                  <c:v>41434</c:v>
                </c:pt>
                <c:pt idx="159">
                  <c:v>41435</c:v>
                </c:pt>
                <c:pt idx="160">
                  <c:v>41436</c:v>
                </c:pt>
                <c:pt idx="161">
                  <c:v>41437</c:v>
                </c:pt>
                <c:pt idx="162">
                  <c:v>41438</c:v>
                </c:pt>
                <c:pt idx="163">
                  <c:v>41439</c:v>
                </c:pt>
                <c:pt idx="164">
                  <c:v>41440</c:v>
                </c:pt>
                <c:pt idx="165">
                  <c:v>41441</c:v>
                </c:pt>
                <c:pt idx="166">
                  <c:v>41442</c:v>
                </c:pt>
                <c:pt idx="167">
                  <c:v>41443</c:v>
                </c:pt>
                <c:pt idx="168">
                  <c:v>41444</c:v>
                </c:pt>
                <c:pt idx="169">
                  <c:v>41445</c:v>
                </c:pt>
                <c:pt idx="170">
                  <c:v>41446</c:v>
                </c:pt>
                <c:pt idx="171">
                  <c:v>41447</c:v>
                </c:pt>
                <c:pt idx="172">
                  <c:v>41448</c:v>
                </c:pt>
                <c:pt idx="173">
                  <c:v>41449</c:v>
                </c:pt>
                <c:pt idx="174">
                  <c:v>41450</c:v>
                </c:pt>
                <c:pt idx="175">
                  <c:v>41451</c:v>
                </c:pt>
                <c:pt idx="176">
                  <c:v>41452</c:v>
                </c:pt>
                <c:pt idx="177">
                  <c:v>41453</c:v>
                </c:pt>
                <c:pt idx="178">
                  <c:v>41454</c:v>
                </c:pt>
                <c:pt idx="179">
                  <c:v>41455</c:v>
                </c:pt>
                <c:pt idx="180">
                  <c:v>41456</c:v>
                </c:pt>
                <c:pt idx="181">
                  <c:v>41457</c:v>
                </c:pt>
                <c:pt idx="182">
                  <c:v>41458</c:v>
                </c:pt>
                <c:pt idx="183">
                  <c:v>41459</c:v>
                </c:pt>
                <c:pt idx="184">
                  <c:v>41460</c:v>
                </c:pt>
                <c:pt idx="185">
                  <c:v>41461</c:v>
                </c:pt>
                <c:pt idx="186">
                  <c:v>41462</c:v>
                </c:pt>
                <c:pt idx="187">
                  <c:v>41463</c:v>
                </c:pt>
                <c:pt idx="188">
                  <c:v>41464</c:v>
                </c:pt>
                <c:pt idx="189">
                  <c:v>41465</c:v>
                </c:pt>
                <c:pt idx="190">
                  <c:v>41466</c:v>
                </c:pt>
                <c:pt idx="191">
                  <c:v>41467</c:v>
                </c:pt>
                <c:pt idx="192">
                  <c:v>41468</c:v>
                </c:pt>
                <c:pt idx="193">
                  <c:v>41469</c:v>
                </c:pt>
                <c:pt idx="194">
                  <c:v>41470</c:v>
                </c:pt>
                <c:pt idx="195">
                  <c:v>41471</c:v>
                </c:pt>
                <c:pt idx="196">
                  <c:v>41472</c:v>
                </c:pt>
                <c:pt idx="197">
                  <c:v>41473</c:v>
                </c:pt>
                <c:pt idx="198">
                  <c:v>41474</c:v>
                </c:pt>
                <c:pt idx="199">
                  <c:v>41475</c:v>
                </c:pt>
                <c:pt idx="200">
                  <c:v>41476</c:v>
                </c:pt>
                <c:pt idx="201">
                  <c:v>41477</c:v>
                </c:pt>
                <c:pt idx="202">
                  <c:v>41478</c:v>
                </c:pt>
                <c:pt idx="203">
                  <c:v>41479</c:v>
                </c:pt>
                <c:pt idx="204">
                  <c:v>41480</c:v>
                </c:pt>
                <c:pt idx="205">
                  <c:v>41481</c:v>
                </c:pt>
                <c:pt idx="206">
                  <c:v>41482</c:v>
                </c:pt>
                <c:pt idx="207">
                  <c:v>41483</c:v>
                </c:pt>
                <c:pt idx="208">
                  <c:v>41484</c:v>
                </c:pt>
                <c:pt idx="209">
                  <c:v>41485</c:v>
                </c:pt>
                <c:pt idx="210">
                  <c:v>41486</c:v>
                </c:pt>
                <c:pt idx="211">
                  <c:v>41487</c:v>
                </c:pt>
                <c:pt idx="212">
                  <c:v>41488</c:v>
                </c:pt>
                <c:pt idx="213">
                  <c:v>41489</c:v>
                </c:pt>
                <c:pt idx="214">
                  <c:v>41490</c:v>
                </c:pt>
                <c:pt idx="215">
                  <c:v>41491</c:v>
                </c:pt>
                <c:pt idx="216">
                  <c:v>41492</c:v>
                </c:pt>
                <c:pt idx="217">
                  <c:v>41493</c:v>
                </c:pt>
                <c:pt idx="218">
                  <c:v>41494</c:v>
                </c:pt>
                <c:pt idx="219">
                  <c:v>41495</c:v>
                </c:pt>
                <c:pt idx="220">
                  <c:v>41496</c:v>
                </c:pt>
                <c:pt idx="221">
                  <c:v>41497</c:v>
                </c:pt>
                <c:pt idx="222">
                  <c:v>41498</c:v>
                </c:pt>
                <c:pt idx="223">
                  <c:v>41499</c:v>
                </c:pt>
                <c:pt idx="224">
                  <c:v>41500</c:v>
                </c:pt>
                <c:pt idx="225">
                  <c:v>41501</c:v>
                </c:pt>
                <c:pt idx="226">
                  <c:v>41502</c:v>
                </c:pt>
                <c:pt idx="227">
                  <c:v>41503</c:v>
                </c:pt>
                <c:pt idx="228">
                  <c:v>41504</c:v>
                </c:pt>
                <c:pt idx="229">
                  <c:v>41505</c:v>
                </c:pt>
                <c:pt idx="230">
                  <c:v>41506</c:v>
                </c:pt>
                <c:pt idx="231">
                  <c:v>41507</c:v>
                </c:pt>
                <c:pt idx="232">
                  <c:v>41508</c:v>
                </c:pt>
                <c:pt idx="233">
                  <c:v>41509</c:v>
                </c:pt>
                <c:pt idx="234">
                  <c:v>41510</c:v>
                </c:pt>
                <c:pt idx="235">
                  <c:v>41511</c:v>
                </c:pt>
                <c:pt idx="236">
                  <c:v>41512</c:v>
                </c:pt>
                <c:pt idx="237">
                  <c:v>41513</c:v>
                </c:pt>
                <c:pt idx="238">
                  <c:v>41514</c:v>
                </c:pt>
                <c:pt idx="239">
                  <c:v>41515</c:v>
                </c:pt>
                <c:pt idx="240">
                  <c:v>41516</c:v>
                </c:pt>
                <c:pt idx="241">
                  <c:v>41517</c:v>
                </c:pt>
                <c:pt idx="242">
                  <c:v>41518</c:v>
                </c:pt>
                <c:pt idx="243">
                  <c:v>41519</c:v>
                </c:pt>
                <c:pt idx="244">
                  <c:v>41520</c:v>
                </c:pt>
                <c:pt idx="245">
                  <c:v>41521</c:v>
                </c:pt>
                <c:pt idx="246">
                  <c:v>41522</c:v>
                </c:pt>
                <c:pt idx="247">
                  <c:v>41523</c:v>
                </c:pt>
                <c:pt idx="248">
                  <c:v>41524</c:v>
                </c:pt>
                <c:pt idx="249">
                  <c:v>41525</c:v>
                </c:pt>
                <c:pt idx="250">
                  <c:v>41526</c:v>
                </c:pt>
                <c:pt idx="251">
                  <c:v>41527</c:v>
                </c:pt>
                <c:pt idx="252">
                  <c:v>41528</c:v>
                </c:pt>
                <c:pt idx="253">
                  <c:v>41529</c:v>
                </c:pt>
                <c:pt idx="254">
                  <c:v>41530</c:v>
                </c:pt>
                <c:pt idx="255">
                  <c:v>41531</c:v>
                </c:pt>
                <c:pt idx="256">
                  <c:v>41532</c:v>
                </c:pt>
                <c:pt idx="257">
                  <c:v>41533</c:v>
                </c:pt>
                <c:pt idx="258">
                  <c:v>41534</c:v>
                </c:pt>
                <c:pt idx="259">
                  <c:v>41535</c:v>
                </c:pt>
                <c:pt idx="260">
                  <c:v>41536</c:v>
                </c:pt>
                <c:pt idx="261">
                  <c:v>41537</c:v>
                </c:pt>
                <c:pt idx="262">
                  <c:v>41538</c:v>
                </c:pt>
                <c:pt idx="263">
                  <c:v>41539</c:v>
                </c:pt>
                <c:pt idx="264">
                  <c:v>41540</c:v>
                </c:pt>
                <c:pt idx="265">
                  <c:v>41541</c:v>
                </c:pt>
                <c:pt idx="266">
                  <c:v>41542</c:v>
                </c:pt>
                <c:pt idx="267">
                  <c:v>41543</c:v>
                </c:pt>
                <c:pt idx="268">
                  <c:v>41544</c:v>
                </c:pt>
                <c:pt idx="269">
                  <c:v>41545</c:v>
                </c:pt>
                <c:pt idx="270">
                  <c:v>41546</c:v>
                </c:pt>
                <c:pt idx="271">
                  <c:v>41547</c:v>
                </c:pt>
                <c:pt idx="272">
                  <c:v>41548</c:v>
                </c:pt>
                <c:pt idx="273">
                  <c:v>41549</c:v>
                </c:pt>
                <c:pt idx="274">
                  <c:v>41550</c:v>
                </c:pt>
                <c:pt idx="275">
                  <c:v>41551</c:v>
                </c:pt>
                <c:pt idx="276">
                  <c:v>41552</c:v>
                </c:pt>
                <c:pt idx="277">
                  <c:v>41553</c:v>
                </c:pt>
                <c:pt idx="278">
                  <c:v>41554</c:v>
                </c:pt>
                <c:pt idx="279">
                  <c:v>41555</c:v>
                </c:pt>
                <c:pt idx="280">
                  <c:v>41556</c:v>
                </c:pt>
                <c:pt idx="281">
                  <c:v>41557</c:v>
                </c:pt>
                <c:pt idx="282">
                  <c:v>41558</c:v>
                </c:pt>
                <c:pt idx="283">
                  <c:v>41559</c:v>
                </c:pt>
                <c:pt idx="284">
                  <c:v>41560</c:v>
                </c:pt>
                <c:pt idx="285">
                  <c:v>41561</c:v>
                </c:pt>
                <c:pt idx="286">
                  <c:v>41562</c:v>
                </c:pt>
                <c:pt idx="287">
                  <c:v>41563</c:v>
                </c:pt>
                <c:pt idx="288">
                  <c:v>41564</c:v>
                </c:pt>
                <c:pt idx="289">
                  <c:v>41565</c:v>
                </c:pt>
                <c:pt idx="290">
                  <c:v>41566</c:v>
                </c:pt>
                <c:pt idx="291">
                  <c:v>41567</c:v>
                </c:pt>
                <c:pt idx="292">
                  <c:v>41568</c:v>
                </c:pt>
                <c:pt idx="293">
                  <c:v>41569</c:v>
                </c:pt>
                <c:pt idx="294">
                  <c:v>41570</c:v>
                </c:pt>
                <c:pt idx="295">
                  <c:v>41571</c:v>
                </c:pt>
                <c:pt idx="296">
                  <c:v>41572</c:v>
                </c:pt>
                <c:pt idx="297">
                  <c:v>41573</c:v>
                </c:pt>
                <c:pt idx="298">
                  <c:v>41574</c:v>
                </c:pt>
                <c:pt idx="299">
                  <c:v>41575</c:v>
                </c:pt>
                <c:pt idx="300">
                  <c:v>41576</c:v>
                </c:pt>
                <c:pt idx="301">
                  <c:v>41577</c:v>
                </c:pt>
                <c:pt idx="302">
                  <c:v>41578</c:v>
                </c:pt>
                <c:pt idx="303">
                  <c:v>41579</c:v>
                </c:pt>
                <c:pt idx="304">
                  <c:v>41580</c:v>
                </c:pt>
                <c:pt idx="305">
                  <c:v>41581</c:v>
                </c:pt>
                <c:pt idx="306">
                  <c:v>41582</c:v>
                </c:pt>
                <c:pt idx="307">
                  <c:v>41583</c:v>
                </c:pt>
                <c:pt idx="308">
                  <c:v>41584</c:v>
                </c:pt>
                <c:pt idx="309">
                  <c:v>41585</c:v>
                </c:pt>
                <c:pt idx="310">
                  <c:v>41586</c:v>
                </c:pt>
                <c:pt idx="311">
                  <c:v>41587</c:v>
                </c:pt>
                <c:pt idx="312">
                  <c:v>41588</c:v>
                </c:pt>
                <c:pt idx="313">
                  <c:v>41589</c:v>
                </c:pt>
                <c:pt idx="314">
                  <c:v>41590</c:v>
                </c:pt>
                <c:pt idx="315">
                  <c:v>41591</c:v>
                </c:pt>
                <c:pt idx="316">
                  <c:v>41592</c:v>
                </c:pt>
                <c:pt idx="317">
                  <c:v>41593</c:v>
                </c:pt>
                <c:pt idx="318">
                  <c:v>41594</c:v>
                </c:pt>
                <c:pt idx="319">
                  <c:v>41595</c:v>
                </c:pt>
                <c:pt idx="320">
                  <c:v>41596</c:v>
                </c:pt>
                <c:pt idx="321">
                  <c:v>41597</c:v>
                </c:pt>
                <c:pt idx="322">
                  <c:v>41598</c:v>
                </c:pt>
                <c:pt idx="323">
                  <c:v>41599</c:v>
                </c:pt>
                <c:pt idx="324">
                  <c:v>41600</c:v>
                </c:pt>
                <c:pt idx="325">
                  <c:v>41601</c:v>
                </c:pt>
                <c:pt idx="326">
                  <c:v>41602</c:v>
                </c:pt>
                <c:pt idx="327">
                  <c:v>41603</c:v>
                </c:pt>
                <c:pt idx="328">
                  <c:v>41604</c:v>
                </c:pt>
                <c:pt idx="329">
                  <c:v>41605</c:v>
                </c:pt>
                <c:pt idx="330">
                  <c:v>41606</c:v>
                </c:pt>
                <c:pt idx="331">
                  <c:v>41607</c:v>
                </c:pt>
                <c:pt idx="332">
                  <c:v>41608</c:v>
                </c:pt>
                <c:pt idx="333">
                  <c:v>41609</c:v>
                </c:pt>
                <c:pt idx="334">
                  <c:v>41610</c:v>
                </c:pt>
                <c:pt idx="335">
                  <c:v>41611</c:v>
                </c:pt>
                <c:pt idx="336">
                  <c:v>41612</c:v>
                </c:pt>
                <c:pt idx="337">
                  <c:v>41613</c:v>
                </c:pt>
                <c:pt idx="338">
                  <c:v>41614</c:v>
                </c:pt>
                <c:pt idx="339">
                  <c:v>41615</c:v>
                </c:pt>
                <c:pt idx="340">
                  <c:v>41616</c:v>
                </c:pt>
                <c:pt idx="341">
                  <c:v>41617</c:v>
                </c:pt>
                <c:pt idx="342">
                  <c:v>41618</c:v>
                </c:pt>
                <c:pt idx="343">
                  <c:v>41619</c:v>
                </c:pt>
                <c:pt idx="344">
                  <c:v>41620</c:v>
                </c:pt>
                <c:pt idx="345">
                  <c:v>41621</c:v>
                </c:pt>
                <c:pt idx="346">
                  <c:v>41622</c:v>
                </c:pt>
                <c:pt idx="347">
                  <c:v>41623</c:v>
                </c:pt>
                <c:pt idx="348">
                  <c:v>41624</c:v>
                </c:pt>
                <c:pt idx="349">
                  <c:v>41625</c:v>
                </c:pt>
                <c:pt idx="350">
                  <c:v>41626</c:v>
                </c:pt>
                <c:pt idx="351">
                  <c:v>41627</c:v>
                </c:pt>
                <c:pt idx="352">
                  <c:v>41628</c:v>
                </c:pt>
                <c:pt idx="353">
                  <c:v>41629</c:v>
                </c:pt>
                <c:pt idx="354">
                  <c:v>41630</c:v>
                </c:pt>
                <c:pt idx="355">
                  <c:v>41631</c:v>
                </c:pt>
                <c:pt idx="356">
                  <c:v>41632</c:v>
                </c:pt>
                <c:pt idx="357">
                  <c:v>41633</c:v>
                </c:pt>
                <c:pt idx="358">
                  <c:v>41634</c:v>
                </c:pt>
                <c:pt idx="359">
                  <c:v>41635</c:v>
                </c:pt>
                <c:pt idx="360">
                  <c:v>41636</c:v>
                </c:pt>
                <c:pt idx="361">
                  <c:v>41637</c:v>
                </c:pt>
                <c:pt idx="362">
                  <c:v>41638</c:v>
                </c:pt>
                <c:pt idx="363">
                  <c:v>41639</c:v>
                </c:pt>
              </c:numCache>
            </c:numRef>
          </c:cat>
          <c:val>
            <c:numRef>
              <c:f>Graf.5!$E$1:$E$364</c:f>
              <c:numCache>
                <c:formatCode>General_)</c:formatCode>
                <c:ptCount val="364"/>
                <c:pt idx="0">
                  <c:v>233</c:v>
                </c:pt>
                <c:pt idx="1">
                  <c:v>315</c:v>
                </c:pt>
                <c:pt idx="2">
                  <c:v>696</c:v>
                </c:pt>
                <c:pt idx="3">
                  <c:v>643</c:v>
                </c:pt>
                <c:pt idx="4">
                  <c:v>1027</c:v>
                </c:pt>
                <c:pt idx="5">
                  <c:v>732</c:v>
                </c:pt>
                <c:pt idx="6">
                  <c:v>177</c:v>
                </c:pt>
                <c:pt idx="7">
                  <c:v>88</c:v>
                </c:pt>
                <c:pt idx="8">
                  <c:v>70</c:v>
                </c:pt>
                <c:pt idx="9">
                  <c:v>58</c:v>
                </c:pt>
                <c:pt idx="10">
                  <c:v>62</c:v>
                </c:pt>
                <c:pt idx="11">
                  <c:v>209</c:v>
                </c:pt>
                <c:pt idx="12">
                  <c:v>268</c:v>
                </c:pt>
                <c:pt idx="13">
                  <c:v>56</c:v>
                </c:pt>
                <c:pt idx="14">
                  <c:v>29</c:v>
                </c:pt>
                <c:pt idx="15">
                  <c:v>38</c:v>
                </c:pt>
                <c:pt idx="16">
                  <c:v>43</c:v>
                </c:pt>
                <c:pt idx="17">
                  <c:v>37</c:v>
                </c:pt>
                <c:pt idx="18">
                  <c:v>67</c:v>
                </c:pt>
                <c:pt idx="19">
                  <c:v>347</c:v>
                </c:pt>
                <c:pt idx="20">
                  <c:v>43</c:v>
                </c:pt>
                <c:pt idx="21">
                  <c:v>36</c:v>
                </c:pt>
                <c:pt idx="22">
                  <c:v>28</c:v>
                </c:pt>
                <c:pt idx="23">
                  <c:v>73</c:v>
                </c:pt>
                <c:pt idx="24">
                  <c:v>83</c:v>
                </c:pt>
                <c:pt idx="25">
                  <c:v>573</c:v>
                </c:pt>
                <c:pt idx="26">
                  <c:v>444</c:v>
                </c:pt>
                <c:pt idx="27">
                  <c:v>35</c:v>
                </c:pt>
                <c:pt idx="28">
                  <c:v>56</c:v>
                </c:pt>
                <c:pt idx="29">
                  <c:v>59</c:v>
                </c:pt>
                <c:pt idx="30">
                  <c:v>105</c:v>
                </c:pt>
                <c:pt idx="31">
                  <c:v>44</c:v>
                </c:pt>
                <c:pt idx="32">
                  <c:v>974</c:v>
                </c:pt>
                <c:pt idx="33">
                  <c:v>1687</c:v>
                </c:pt>
                <c:pt idx="34">
                  <c:v>98</c:v>
                </c:pt>
                <c:pt idx="35">
                  <c:v>99</c:v>
                </c:pt>
                <c:pt idx="36">
                  <c:v>72</c:v>
                </c:pt>
                <c:pt idx="37">
                  <c:v>92</c:v>
                </c:pt>
                <c:pt idx="38">
                  <c:v>100</c:v>
                </c:pt>
                <c:pt idx="39">
                  <c:v>1036</c:v>
                </c:pt>
                <c:pt idx="40">
                  <c:v>1467</c:v>
                </c:pt>
                <c:pt idx="41">
                  <c:v>172</c:v>
                </c:pt>
                <c:pt idx="42">
                  <c:v>155</c:v>
                </c:pt>
                <c:pt idx="43">
                  <c:v>277</c:v>
                </c:pt>
                <c:pt idx="44">
                  <c:v>223</c:v>
                </c:pt>
                <c:pt idx="45">
                  <c:v>211</c:v>
                </c:pt>
                <c:pt idx="46">
                  <c:v>834</c:v>
                </c:pt>
                <c:pt idx="47">
                  <c:v>790</c:v>
                </c:pt>
                <c:pt idx="48">
                  <c:v>444</c:v>
                </c:pt>
                <c:pt idx="49">
                  <c:v>450</c:v>
                </c:pt>
                <c:pt idx="50">
                  <c:v>595</c:v>
                </c:pt>
                <c:pt idx="51">
                  <c:v>606</c:v>
                </c:pt>
                <c:pt idx="52">
                  <c:v>684</c:v>
                </c:pt>
                <c:pt idx="53">
                  <c:v>735</c:v>
                </c:pt>
                <c:pt idx="54">
                  <c:v>1046</c:v>
                </c:pt>
                <c:pt idx="55">
                  <c:v>317</c:v>
                </c:pt>
                <c:pt idx="56">
                  <c:v>190</c:v>
                </c:pt>
                <c:pt idx="57">
                  <c:v>335</c:v>
                </c:pt>
                <c:pt idx="58">
                  <c:v>429</c:v>
                </c:pt>
                <c:pt idx="59">
                  <c:v>509</c:v>
                </c:pt>
                <c:pt idx="60">
                  <c:v>192</c:v>
                </c:pt>
                <c:pt idx="61">
                  <c:v>100</c:v>
                </c:pt>
                <c:pt idx="62">
                  <c:v>174</c:v>
                </c:pt>
                <c:pt idx="63">
                  <c:v>206</c:v>
                </c:pt>
                <c:pt idx="64">
                  <c:v>288</c:v>
                </c:pt>
                <c:pt idx="65">
                  <c:v>308</c:v>
                </c:pt>
                <c:pt idx="66">
                  <c:v>606</c:v>
                </c:pt>
                <c:pt idx="67">
                  <c:v>496</c:v>
                </c:pt>
                <c:pt idx="68">
                  <c:v>87</c:v>
                </c:pt>
                <c:pt idx="69">
                  <c:v>74</c:v>
                </c:pt>
                <c:pt idx="70">
                  <c:v>76</c:v>
                </c:pt>
                <c:pt idx="71">
                  <c:v>79</c:v>
                </c:pt>
                <c:pt idx="72">
                  <c:v>102</c:v>
                </c:pt>
                <c:pt idx="73">
                  <c:v>722</c:v>
                </c:pt>
                <c:pt idx="74">
                  <c:v>988</c:v>
                </c:pt>
                <c:pt idx="75">
                  <c:v>165</c:v>
                </c:pt>
                <c:pt idx="76">
                  <c:v>107</c:v>
                </c:pt>
                <c:pt idx="77">
                  <c:v>108</c:v>
                </c:pt>
                <c:pt idx="78">
                  <c:v>128</c:v>
                </c:pt>
                <c:pt idx="79">
                  <c:v>135</c:v>
                </c:pt>
                <c:pt idx="80">
                  <c:v>597</c:v>
                </c:pt>
                <c:pt idx="81">
                  <c:v>660</c:v>
                </c:pt>
                <c:pt idx="82">
                  <c:v>190</c:v>
                </c:pt>
                <c:pt idx="83">
                  <c:v>325</c:v>
                </c:pt>
                <c:pt idx="84">
                  <c:v>247</c:v>
                </c:pt>
                <c:pt idx="85">
                  <c:v>220</c:v>
                </c:pt>
                <c:pt idx="86">
                  <c:v>2199</c:v>
                </c:pt>
                <c:pt idx="87">
                  <c:v>1772</c:v>
                </c:pt>
                <c:pt idx="88">
                  <c:v>2246</c:v>
                </c:pt>
                <c:pt idx="89">
                  <c:v>2367</c:v>
                </c:pt>
                <c:pt idx="90">
                  <c:v>178</c:v>
                </c:pt>
                <c:pt idx="91">
                  <c:v>262</c:v>
                </c:pt>
                <c:pt idx="92">
                  <c:v>201</c:v>
                </c:pt>
                <c:pt idx="93">
                  <c:v>272</c:v>
                </c:pt>
                <c:pt idx="94">
                  <c:v>1317</c:v>
                </c:pt>
                <c:pt idx="95">
                  <c:v>724</c:v>
                </c:pt>
                <c:pt idx="96">
                  <c:v>172</c:v>
                </c:pt>
                <c:pt idx="97">
                  <c:v>217</c:v>
                </c:pt>
                <c:pt idx="98">
                  <c:v>241</c:v>
                </c:pt>
                <c:pt idx="99">
                  <c:v>140</c:v>
                </c:pt>
                <c:pt idx="100">
                  <c:v>198</c:v>
                </c:pt>
                <c:pt idx="101">
                  <c:v>178</c:v>
                </c:pt>
                <c:pt idx="102">
                  <c:v>572</c:v>
                </c:pt>
                <c:pt idx="103">
                  <c:v>273</c:v>
                </c:pt>
                <c:pt idx="104">
                  <c:v>306</c:v>
                </c:pt>
                <c:pt idx="105">
                  <c:v>140</c:v>
                </c:pt>
                <c:pt idx="106">
                  <c:v>189</c:v>
                </c:pt>
                <c:pt idx="107">
                  <c:v>251</c:v>
                </c:pt>
                <c:pt idx="108">
                  <c:v>1253</c:v>
                </c:pt>
                <c:pt idx="109">
                  <c:v>1504</c:v>
                </c:pt>
                <c:pt idx="110">
                  <c:v>462</c:v>
                </c:pt>
                <c:pt idx="111">
                  <c:v>176</c:v>
                </c:pt>
                <c:pt idx="112">
                  <c:v>362</c:v>
                </c:pt>
                <c:pt idx="113">
                  <c:v>286</c:v>
                </c:pt>
                <c:pt idx="114">
                  <c:v>317</c:v>
                </c:pt>
                <c:pt idx="115">
                  <c:v>855</c:v>
                </c:pt>
                <c:pt idx="116">
                  <c:v>1164</c:v>
                </c:pt>
                <c:pt idx="117">
                  <c:v>325</c:v>
                </c:pt>
                <c:pt idx="118">
                  <c:v>211</c:v>
                </c:pt>
                <c:pt idx="119">
                  <c:v>2233</c:v>
                </c:pt>
                <c:pt idx="120">
                  <c:v>1184</c:v>
                </c:pt>
                <c:pt idx="121">
                  <c:v>2004</c:v>
                </c:pt>
                <c:pt idx="122">
                  <c:v>2441</c:v>
                </c:pt>
                <c:pt idx="123">
                  <c:v>884</c:v>
                </c:pt>
                <c:pt idx="124">
                  <c:v>726</c:v>
                </c:pt>
                <c:pt idx="125">
                  <c:v>1523</c:v>
                </c:pt>
                <c:pt idx="126">
                  <c:v>1344</c:v>
                </c:pt>
                <c:pt idx="127">
                  <c:v>2758</c:v>
                </c:pt>
                <c:pt idx="128">
                  <c:v>2139</c:v>
                </c:pt>
                <c:pt idx="129">
                  <c:v>2812</c:v>
                </c:pt>
                <c:pt idx="130">
                  <c:v>1154</c:v>
                </c:pt>
                <c:pt idx="131">
                  <c:v>1589</c:v>
                </c:pt>
                <c:pt idx="132">
                  <c:v>1741</c:v>
                </c:pt>
                <c:pt idx="133">
                  <c:v>1596</c:v>
                </c:pt>
                <c:pt idx="134">
                  <c:v>1662</c:v>
                </c:pt>
                <c:pt idx="135">
                  <c:v>1302</c:v>
                </c:pt>
                <c:pt idx="136">
                  <c:v>1595</c:v>
                </c:pt>
                <c:pt idx="137">
                  <c:v>2996</c:v>
                </c:pt>
                <c:pt idx="138">
                  <c:v>1327</c:v>
                </c:pt>
                <c:pt idx="139">
                  <c:v>2106</c:v>
                </c:pt>
                <c:pt idx="140">
                  <c:v>1473</c:v>
                </c:pt>
                <c:pt idx="141">
                  <c:v>2255</c:v>
                </c:pt>
                <c:pt idx="142">
                  <c:v>1824</c:v>
                </c:pt>
                <c:pt idx="143">
                  <c:v>3601</c:v>
                </c:pt>
                <c:pt idx="144">
                  <c:v>1703</c:v>
                </c:pt>
                <c:pt idx="145">
                  <c:v>1714</c:v>
                </c:pt>
                <c:pt idx="146">
                  <c:v>2880</c:v>
                </c:pt>
                <c:pt idx="147">
                  <c:v>2483</c:v>
                </c:pt>
                <c:pt idx="148">
                  <c:v>2872</c:v>
                </c:pt>
                <c:pt idx="149">
                  <c:v>1698</c:v>
                </c:pt>
                <c:pt idx="150">
                  <c:v>3788</c:v>
                </c:pt>
                <c:pt idx="151">
                  <c:v>4325</c:v>
                </c:pt>
                <c:pt idx="152">
                  <c:v>2301</c:v>
                </c:pt>
                <c:pt idx="153">
                  <c:v>2482</c:v>
                </c:pt>
                <c:pt idx="154">
                  <c:v>2296</c:v>
                </c:pt>
                <c:pt idx="155">
                  <c:v>2472</c:v>
                </c:pt>
                <c:pt idx="156">
                  <c:v>2422</c:v>
                </c:pt>
                <c:pt idx="157">
                  <c:v>6305</c:v>
                </c:pt>
                <c:pt idx="158">
                  <c:v>4962</c:v>
                </c:pt>
                <c:pt idx="159">
                  <c:v>2552</c:v>
                </c:pt>
                <c:pt idx="160">
                  <c:v>2377</c:v>
                </c:pt>
                <c:pt idx="161">
                  <c:v>1954</c:v>
                </c:pt>
                <c:pt idx="162">
                  <c:v>3043</c:v>
                </c:pt>
                <c:pt idx="163">
                  <c:v>481</c:v>
                </c:pt>
                <c:pt idx="164">
                  <c:v>5748</c:v>
                </c:pt>
                <c:pt idx="165">
                  <c:v>2714</c:v>
                </c:pt>
                <c:pt idx="166">
                  <c:v>1764</c:v>
                </c:pt>
                <c:pt idx="167">
                  <c:v>3671</c:v>
                </c:pt>
                <c:pt idx="168">
                  <c:v>3027</c:v>
                </c:pt>
                <c:pt idx="169">
                  <c:v>1009</c:v>
                </c:pt>
                <c:pt idx="170">
                  <c:v>2389</c:v>
                </c:pt>
                <c:pt idx="171">
                  <c:v>2555</c:v>
                </c:pt>
                <c:pt idx="172">
                  <c:v>3766</c:v>
                </c:pt>
                <c:pt idx="173">
                  <c:v>2579</c:v>
                </c:pt>
                <c:pt idx="174">
                  <c:v>3328</c:v>
                </c:pt>
                <c:pt idx="175">
                  <c:v>3463</c:v>
                </c:pt>
                <c:pt idx="176">
                  <c:v>1730</c:v>
                </c:pt>
                <c:pt idx="177">
                  <c:v>3858</c:v>
                </c:pt>
                <c:pt idx="178">
                  <c:v>3830</c:v>
                </c:pt>
                <c:pt idx="179">
                  <c:v>5217</c:v>
                </c:pt>
                <c:pt idx="180">
                  <c:v>3984</c:v>
                </c:pt>
                <c:pt idx="181">
                  <c:v>6210</c:v>
                </c:pt>
                <c:pt idx="182">
                  <c:v>5232</c:v>
                </c:pt>
                <c:pt idx="183">
                  <c:v>4167</c:v>
                </c:pt>
                <c:pt idx="184">
                  <c:v>3635</c:v>
                </c:pt>
                <c:pt idx="185">
                  <c:v>5651</c:v>
                </c:pt>
                <c:pt idx="186">
                  <c:v>5347</c:v>
                </c:pt>
                <c:pt idx="187">
                  <c:v>4706</c:v>
                </c:pt>
                <c:pt idx="188">
                  <c:v>6867</c:v>
                </c:pt>
                <c:pt idx="189">
                  <c:v>2220</c:v>
                </c:pt>
                <c:pt idx="190">
                  <c:v>6497</c:v>
                </c:pt>
                <c:pt idx="191">
                  <c:v>4713</c:v>
                </c:pt>
                <c:pt idx="192">
                  <c:v>6560</c:v>
                </c:pt>
                <c:pt idx="193">
                  <c:v>5127</c:v>
                </c:pt>
                <c:pt idx="194">
                  <c:v>5236</c:v>
                </c:pt>
                <c:pt idx="195">
                  <c:v>7522</c:v>
                </c:pt>
                <c:pt idx="196">
                  <c:v>6800</c:v>
                </c:pt>
                <c:pt idx="197">
                  <c:v>3154</c:v>
                </c:pt>
                <c:pt idx="198">
                  <c:v>2791</c:v>
                </c:pt>
                <c:pt idx="199">
                  <c:v>5870</c:v>
                </c:pt>
                <c:pt idx="200">
                  <c:v>4720</c:v>
                </c:pt>
                <c:pt idx="201">
                  <c:v>2849</c:v>
                </c:pt>
                <c:pt idx="202">
                  <c:v>6587</c:v>
                </c:pt>
                <c:pt idx="203">
                  <c:v>5681</c:v>
                </c:pt>
                <c:pt idx="204">
                  <c:v>5202</c:v>
                </c:pt>
                <c:pt idx="205">
                  <c:v>3867</c:v>
                </c:pt>
                <c:pt idx="206">
                  <c:v>5805</c:v>
                </c:pt>
                <c:pt idx="207">
                  <c:v>4309</c:v>
                </c:pt>
                <c:pt idx="208">
                  <c:v>3968</c:v>
                </c:pt>
                <c:pt idx="209">
                  <c:v>3942</c:v>
                </c:pt>
                <c:pt idx="210">
                  <c:v>4326</c:v>
                </c:pt>
                <c:pt idx="211">
                  <c:v>2542</c:v>
                </c:pt>
                <c:pt idx="212">
                  <c:v>3929</c:v>
                </c:pt>
                <c:pt idx="213">
                  <c:v>6028</c:v>
                </c:pt>
                <c:pt idx="214">
                  <c:v>4596</c:v>
                </c:pt>
                <c:pt idx="215">
                  <c:v>3064</c:v>
                </c:pt>
                <c:pt idx="216">
                  <c:v>4377</c:v>
                </c:pt>
                <c:pt idx="217">
                  <c:v>3362</c:v>
                </c:pt>
                <c:pt idx="218">
                  <c:v>2800</c:v>
                </c:pt>
                <c:pt idx="219">
                  <c:v>1427</c:v>
                </c:pt>
                <c:pt idx="220">
                  <c:v>4338</c:v>
                </c:pt>
                <c:pt idx="221">
                  <c:v>3638</c:v>
                </c:pt>
                <c:pt idx="222">
                  <c:v>838</c:v>
                </c:pt>
                <c:pt idx="223">
                  <c:v>750</c:v>
                </c:pt>
                <c:pt idx="224">
                  <c:v>148</c:v>
                </c:pt>
                <c:pt idx="225">
                  <c:v>885</c:v>
                </c:pt>
                <c:pt idx="226">
                  <c:v>2224</c:v>
                </c:pt>
                <c:pt idx="227">
                  <c:v>4880</c:v>
                </c:pt>
                <c:pt idx="228">
                  <c:v>3366</c:v>
                </c:pt>
                <c:pt idx="229">
                  <c:v>540</c:v>
                </c:pt>
                <c:pt idx="230">
                  <c:v>1522</c:v>
                </c:pt>
                <c:pt idx="231">
                  <c:v>1542</c:v>
                </c:pt>
                <c:pt idx="232">
                  <c:v>703</c:v>
                </c:pt>
                <c:pt idx="233">
                  <c:v>1635</c:v>
                </c:pt>
                <c:pt idx="234">
                  <c:v>5040</c:v>
                </c:pt>
                <c:pt idx="235">
                  <c:v>3620</c:v>
                </c:pt>
                <c:pt idx="236">
                  <c:v>1180</c:v>
                </c:pt>
                <c:pt idx="237">
                  <c:v>1174</c:v>
                </c:pt>
                <c:pt idx="238">
                  <c:v>1211</c:v>
                </c:pt>
                <c:pt idx="239">
                  <c:v>847</c:v>
                </c:pt>
                <c:pt idx="240">
                  <c:v>1083</c:v>
                </c:pt>
                <c:pt idx="241">
                  <c:v>2325</c:v>
                </c:pt>
                <c:pt idx="242">
                  <c:v>1154</c:v>
                </c:pt>
                <c:pt idx="243">
                  <c:v>238</c:v>
                </c:pt>
                <c:pt idx="244">
                  <c:v>539</c:v>
                </c:pt>
                <c:pt idx="245">
                  <c:v>411</c:v>
                </c:pt>
                <c:pt idx="246">
                  <c:v>593</c:v>
                </c:pt>
                <c:pt idx="247">
                  <c:v>5495</c:v>
                </c:pt>
                <c:pt idx="248">
                  <c:v>4130</c:v>
                </c:pt>
                <c:pt idx="249">
                  <c:v>2793</c:v>
                </c:pt>
                <c:pt idx="250">
                  <c:v>503</c:v>
                </c:pt>
                <c:pt idx="251">
                  <c:v>232</c:v>
                </c:pt>
                <c:pt idx="252">
                  <c:v>303</c:v>
                </c:pt>
                <c:pt idx="253">
                  <c:v>517</c:v>
                </c:pt>
                <c:pt idx="254">
                  <c:v>7578</c:v>
                </c:pt>
                <c:pt idx="255">
                  <c:v>2696</c:v>
                </c:pt>
                <c:pt idx="256">
                  <c:v>1436</c:v>
                </c:pt>
                <c:pt idx="257">
                  <c:v>312</c:v>
                </c:pt>
                <c:pt idx="258">
                  <c:v>362</c:v>
                </c:pt>
                <c:pt idx="259">
                  <c:v>375</c:v>
                </c:pt>
                <c:pt idx="260">
                  <c:v>116</c:v>
                </c:pt>
                <c:pt idx="261">
                  <c:v>407</c:v>
                </c:pt>
                <c:pt idx="262">
                  <c:v>1464</c:v>
                </c:pt>
                <c:pt idx="263">
                  <c:v>1288</c:v>
                </c:pt>
                <c:pt idx="264">
                  <c:v>183</c:v>
                </c:pt>
                <c:pt idx="265">
                  <c:v>207</c:v>
                </c:pt>
                <c:pt idx="266">
                  <c:v>1795</c:v>
                </c:pt>
                <c:pt idx="267">
                  <c:v>194</c:v>
                </c:pt>
                <c:pt idx="268">
                  <c:v>398</c:v>
                </c:pt>
                <c:pt idx="269">
                  <c:v>1167</c:v>
                </c:pt>
                <c:pt idx="270">
                  <c:v>851</c:v>
                </c:pt>
                <c:pt idx="271">
                  <c:v>99</c:v>
                </c:pt>
                <c:pt idx="272">
                  <c:v>199</c:v>
                </c:pt>
                <c:pt idx="273">
                  <c:v>130</c:v>
                </c:pt>
                <c:pt idx="274">
                  <c:v>212</c:v>
                </c:pt>
                <c:pt idx="275">
                  <c:v>6578</c:v>
                </c:pt>
                <c:pt idx="276">
                  <c:v>924</c:v>
                </c:pt>
                <c:pt idx="277">
                  <c:v>800</c:v>
                </c:pt>
                <c:pt idx="278">
                  <c:v>246</c:v>
                </c:pt>
                <c:pt idx="279">
                  <c:v>164</c:v>
                </c:pt>
                <c:pt idx="280">
                  <c:v>64</c:v>
                </c:pt>
                <c:pt idx="281">
                  <c:v>276</c:v>
                </c:pt>
                <c:pt idx="282">
                  <c:v>254</c:v>
                </c:pt>
                <c:pt idx="283">
                  <c:v>989</c:v>
                </c:pt>
                <c:pt idx="284">
                  <c:v>938</c:v>
                </c:pt>
                <c:pt idx="285">
                  <c:v>506</c:v>
                </c:pt>
                <c:pt idx="286">
                  <c:v>540</c:v>
                </c:pt>
                <c:pt idx="287">
                  <c:v>760</c:v>
                </c:pt>
                <c:pt idx="288">
                  <c:v>870</c:v>
                </c:pt>
                <c:pt idx="289">
                  <c:v>104</c:v>
                </c:pt>
                <c:pt idx="290">
                  <c:v>885</c:v>
                </c:pt>
                <c:pt idx="291">
                  <c:v>569</c:v>
                </c:pt>
                <c:pt idx="292">
                  <c:v>266</c:v>
                </c:pt>
                <c:pt idx="293">
                  <c:v>224</c:v>
                </c:pt>
                <c:pt idx="294">
                  <c:v>142</c:v>
                </c:pt>
                <c:pt idx="295">
                  <c:v>64</c:v>
                </c:pt>
                <c:pt idx="296">
                  <c:v>250</c:v>
                </c:pt>
                <c:pt idx="297">
                  <c:v>125</c:v>
                </c:pt>
                <c:pt idx="298">
                  <c:v>468</c:v>
                </c:pt>
                <c:pt idx="299">
                  <c:v>72</c:v>
                </c:pt>
                <c:pt idx="300">
                  <c:v>51</c:v>
                </c:pt>
                <c:pt idx="301">
                  <c:v>163</c:v>
                </c:pt>
                <c:pt idx="302">
                  <c:v>202</c:v>
                </c:pt>
                <c:pt idx="303">
                  <c:v>172</c:v>
                </c:pt>
                <c:pt idx="304">
                  <c:v>858</c:v>
                </c:pt>
                <c:pt idx="305">
                  <c:v>699</c:v>
                </c:pt>
                <c:pt idx="306">
                  <c:v>90</c:v>
                </c:pt>
                <c:pt idx="307">
                  <c:v>60</c:v>
                </c:pt>
                <c:pt idx="308">
                  <c:v>297</c:v>
                </c:pt>
                <c:pt idx="309">
                  <c:v>173</c:v>
                </c:pt>
                <c:pt idx="310">
                  <c:v>218</c:v>
                </c:pt>
                <c:pt idx="311">
                  <c:v>405</c:v>
                </c:pt>
                <c:pt idx="312">
                  <c:v>213</c:v>
                </c:pt>
                <c:pt idx="313">
                  <c:v>112</c:v>
                </c:pt>
                <c:pt idx="314">
                  <c:v>116</c:v>
                </c:pt>
                <c:pt idx="315">
                  <c:v>101</c:v>
                </c:pt>
                <c:pt idx="316">
                  <c:v>86</c:v>
                </c:pt>
                <c:pt idx="317">
                  <c:v>100</c:v>
                </c:pt>
                <c:pt idx="318">
                  <c:v>415</c:v>
                </c:pt>
                <c:pt idx="319">
                  <c:v>304</c:v>
                </c:pt>
                <c:pt idx="320">
                  <c:v>68</c:v>
                </c:pt>
                <c:pt idx="321">
                  <c:v>23</c:v>
                </c:pt>
                <c:pt idx="322">
                  <c:v>79</c:v>
                </c:pt>
                <c:pt idx="323">
                  <c:v>82</c:v>
                </c:pt>
                <c:pt idx="324">
                  <c:v>93</c:v>
                </c:pt>
                <c:pt idx="325">
                  <c:v>358</c:v>
                </c:pt>
                <c:pt idx="326">
                  <c:v>343</c:v>
                </c:pt>
                <c:pt idx="327">
                  <c:v>57</c:v>
                </c:pt>
                <c:pt idx="328">
                  <c:v>143</c:v>
                </c:pt>
                <c:pt idx="329">
                  <c:v>50</c:v>
                </c:pt>
                <c:pt idx="330">
                  <c:v>71</c:v>
                </c:pt>
                <c:pt idx="331">
                  <c:v>80</c:v>
                </c:pt>
                <c:pt idx="332">
                  <c:v>188</c:v>
                </c:pt>
                <c:pt idx="333">
                  <c:v>116</c:v>
                </c:pt>
                <c:pt idx="334">
                  <c:v>69</c:v>
                </c:pt>
                <c:pt idx="335">
                  <c:v>24</c:v>
                </c:pt>
                <c:pt idx="336">
                  <c:v>55</c:v>
                </c:pt>
                <c:pt idx="337">
                  <c:v>54</c:v>
                </c:pt>
                <c:pt idx="338">
                  <c:v>207</c:v>
                </c:pt>
                <c:pt idx="339">
                  <c:v>287</c:v>
                </c:pt>
                <c:pt idx="340">
                  <c:v>265</c:v>
                </c:pt>
                <c:pt idx="341">
                  <c:v>86</c:v>
                </c:pt>
                <c:pt idx="342">
                  <c:v>52</c:v>
                </c:pt>
                <c:pt idx="343">
                  <c:v>130</c:v>
                </c:pt>
                <c:pt idx="344">
                  <c:v>63</c:v>
                </c:pt>
                <c:pt idx="345">
                  <c:v>64</c:v>
                </c:pt>
                <c:pt idx="346">
                  <c:v>215</c:v>
                </c:pt>
                <c:pt idx="347">
                  <c:v>85</c:v>
                </c:pt>
                <c:pt idx="348">
                  <c:v>67</c:v>
                </c:pt>
                <c:pt idx="349">
                  <c:v>83</c:v>
                </c:pt>
                <c:pt idx="350">
                  <c:v>67</c:v>
                </c:pt>
                <c:pt idx="351">
                  <c:v>19</c:v>
                </c:pt>
                <c:pt idx="352">
                  <c:v>64</c:v>
                </c:pt>
                <c:pt idx="353">
                  <c:v>215</c:v>
                </c:pt>
                <c:pt idx="354">
                  <c:v>131</c:v>
                </c:pt>
                <c:pt idx="355">
                  <c:v>160</c:v>
                </c:pt>
                <c:pt idx="356">
                  <c:v>38</c:v>
                </c:pt>
                <c:pt idx="357">
                  <c:v>303</c:v>
                </c:pt>
                <c:pt idx="358">
                  <c:v>459</c:v>
                </c:pt>
                <c:pt idx="359">
                  <c:v>203</c:v>
                </c:pt>
                <c:pt idx="360">
                  <c:v>278</c:v>
                </c:pt>
                <c:pt idx="361">
                  <c:v>640</c:v>
                </c:pt>
                <c:pt idx="362">
                  <c:v>663</c:v>
                </c:pt>
                <c:pt idx="363">
                  <c:v>3506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8879616"/>
        <c:axId val="610168768"/>
      </c:lineChart>
      <c:dateAx>
        <c:axId val="608879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i-FI"/>
                  <a:t>Pvm</a:t>
                </a:r>
              </a:p>
            </c:rich>
          </c:tx>
          <c:layout>
            <c:manualLayout>
              <c:xMode val="edge"/>
              <c:yMode val="edge"/>
              <c:x val="0.51583011583011551"/>
              <c:y val="0.92196562973618634"/>
            </c:manualLayout>
          </c:layout>
          <c:overlay val="0"/>
          <c:spPr>
            <a:noFill/>
            <a:ln w="25400">
              <a:noFill/>
            </a:ln>
          </c:spPr>
        </c:title>
        <c:numFmt formatCode="d\.m\.yyyy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i-FI"/>
          </a:p>
        </c:txPr>
        <c:crossAx val="610168768"/>
        <c:crosses val="autoZero"/>
        <c:auto val="0"/>
        <c:lblOffset val="100"/>
        <c:baseTimeUnit val="days"/>
        <c:majorUnit val="14"/>
        <c:majorTimeUnit val="days"/>
        <c:minorUnit val="7"/>
        <c:minorTimeUnit val="days"/>
      </c:dateAx>
      <c:valAx>
        <c:axId val="6101687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i-FI"/>
                  <a:t>Käyntimäärä</a:t>
                </a:r>
              </a:p>
            </c:rich>
          </c:tx>
          <c:layout>
            <c:manualLayout>
              <c:xMode val="edge"/>
              <c:yMode val="edge"/>
              <c:x val="1.2355212355212352E-2"/>
              <c:y val="0.3932492486321251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i-FI"/>
          </a:p>
        </c:txPr>
        <c:crossAx val="60887961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i-FI"/>
    </a:p>
  </c:txPr>
  <c:printSettings>
    <c:headerFooter alignWithMargins="0">
      <c:oddFooter>&amp;HKorkeasaaren eläintarha
Kävijätilasto 2008&amp;OTulostettu &amp;P</c:oddFooter>
    </c:headerFooter>
    <c:pageMargins b="1" l="0.30000000000000032" r="0.19" t="1" header="0.49212598450000788" footer="0.49212598450000788"/>
    <c:pageSetup paperSize="9" orientation="landscape" horizontalDpi="300" verticalDpi="300"/>
  </c:printSettings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i-FI"/>
              <a:t>Korkeasaaren käyntimäärien vertailu kuukausittain vuodesta 1998 
</a:t>
            </a:r>
          </a:p>
        </c:rich>
      </c:tx>
      <c:layout>
        <c:manualLayout>
          <c:xMode val="edge"/>
          <c:yMode val="edge"/>
          <c:x val="0.20845453292939894"/>
          <c:y val="2.59366202789055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2919456385948031E-2"/>
          <c:y val="7.4104629368301533E-2"/>
          <c:w val="0.83249711355433365"/>
          <c:h val="0.8056819986839186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Graf.6!$A$48</c:f>
              <c:strCache>
                <c:ptCount val="1"/>
                <c:pt idx="0">
                  <c:v>1998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Graf.6!$B$47:$M$47</c:f>
              <c:strCache>
                <c:ptCount val="12"/>
                <c:pt idx="0">
                  <c:v>TAMMI</c:v>
                </c:pt>
                <c:pt idx="1">
                  <c:v>HELMI</c:v>
                </c:pt>
                <c:pt idx="2">
                  <c:v>MAALIS</c:v>
                </c:pt>
                <c:pt idx="3">
                  <c:v>HUHTI</c:v>
                </c:pt>
                <c:pt idx="4">
                  <c:v>TOUKO</c:v>
                </c:pt>
                <c:pt idx="5">
                  <c:v>KESÄ</c:v>
                </c:pt>
                <c:pt idx="6">
                  <c:v>HEINÄ</c:v>
                </c:pt>
                <c:pt idx="7">
                  <c:v>ELO</c:v>
                </c:pt>
                <c:pt idx="8">
                  <c:v>SYYS</c:v>
                </c:pt>
                <c:pt idx="9">
                  <c:v>LOKA</c:v>
                </c:pt>
                <c:pt idx="10">
                  <c:v>MARRAS</c:v>
                </c:pt>
                <c:pt idx="11">
                  <c:v>JOULU</c:v>
                </c:pt>
              </c:strCache>
            </c:strRef>
          </c:cat>
          <c:val>
            <c:numRef>
              <c:f>Graf.6!$B$48:$M$48</c:f>
              <c:numCache>
                <c:formatCode>0</c:formatCode>
                <c:ptCount val="12"/>
                <c:pt idx="0">
                  <c:v>9003</c:v>
                </c:pt>
                <c:pt idx="1">
                  <c:v>8616</c:v>
                </c:pt>
                <c:pt idx="2">
                  <c:v>16822</c:v>
                </c:pt>
                <c:pt idx="3">
                  <c:v>20503</c:v>
                </c:pt>
                <c:pt idx="4">
                  <c:v>77447</c:v>
                </c:pt>
                <c:pt idx="5">
                  <c:v>85396</c:v>
                </c:pt>
                <c:pt idx="6">
                  <c:v>148381</c:v>
                </c:pt>
                <c:pt idx="7">
                  <c:v>73915</c:v>
                </c:pt>
                <c:pt idx="8">
                  <c:v>31680</c:v>
                </c:pt>
                <c:pt idx="9">
                  <c:v>11086</c:v>
                </c:pt>
                <c:pt idx="10">
                  <c:v>3104</c:v>
                </c:pt>
                <c:pt idx="11">
                  <c:v>7849</c:v>
                </c:pt>
              </c:numCache>
            </c:numRef>
          </c:val>
        </c:ser>
        <c:ser>
          <c:idx val="1"/>
          <c:order val="1"/>
          <c:tx>
            <c:strRef>
              <c:f>Graf.6!$A$49</c:f>
              <c:strCache>
                <c:ptCount val="1"/>
                <c:pt idx="0">
                  <c:v>1999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Graf.6!$B$47:$M$47</c:f>
              <c:strCache>
                <c:ptCount val="12"/>
                <c:pt idx="0">
                  <c:v>TAMMI</c:v>
                </c:pt>
                <c:pt idx="1">
                  <c:v>HELMI</c:v>
                </c:pt>
                <c:pt idx="2">
                  <c:v>MAALIS</c:v>
                </c:pt>
                <c:pt idx="3">
                  <c:v>HUHTI</c:v>
                </c:pt>
                <c:pt idx="4">
                  <c:v>TOUKO</c:v>
                </c:pt>
                <c:pt idx="5">
                  <c:v>KESÄ</c:v>
                </c:pt>
                <c:pt idx="6">
                  <c:v>HEINÄ</c:v>
                </c:pt>
                <c:pt idx="7">
                  <c:v>ELO</c:v>
                </c:pt>
                <c:pt idx="8">
                  <c:v>SYYS</c:v>
                </c:pt>
                <c:pt idx="9">
                  <c:v>LOKA</c:v>
                </c:pt>
                <c:pt idx="10">
                  <c:v>MARRAS</c:v>
                </c:pt>
                <c:pt idx="11">
                  <c:v>JOULU</c:v>
                </c:pt>
              </c:strCache>
            </c:strRef>
          </c:cat>
          <c:val>
            <c:numRef>
              <c:f>Graf.6!$B$49:$M$49</c:f>
              <c:numCache>
                <c:formatCode>0</c:formatCode>
                <c:ptCount val="12"/>
                <c:pt idx="0">
                  <c:v>8949</c:v>
                </c:pt>
                <c:pt idx="1">
                  <c:v>6929</c:v>
                </c:pt>
                <c:pt idx="2">
                  <c:v>12178</c:v>
                </c:pt>
                <c:pt idx="3">
                  <c:v>26415</c:v>
                </c:pt>
                <c:pt idx="4">
                  <c:v>69728</c:v>
                </c:pt>
                <c:pt idx="5">
                  <c:v>110647</c:v>
                </c:pt>
                <c:pt idx="6">
                  <c:v>160652</c:v>
                </c:pt>
                <c:pt idx="7">
                  <c:v>97951</c:v>
                </c:pt>
                <c:pt idx="8">
                  <c:v>33482</c:v>
                </c:pt>
                <c:pt idx="9">
                  <c:v>13869</c:v>
                </c:pt>
                <c:pt idx="10">
                  <c:v>5119</c:v>
                </c:pt>
                <c:pt idx="11">
                  <c:v>5980</c:v>
                </c:pt>
              </c:numCache>
            </c:numRef>
          </c:val>
        </c:ser>
        <c:ser>
          <c:idx val="2"/>
          <c:order val="2"/>
          <c:tx>
            <c:strRef>
              <c:f>Graf.6!$A$50</c:f>
              <c:strCache>
                <c:ptCount val="1"/>
                <c:pt idx="0">
                  <c:v>2000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Graf.6!$B$47:$M$47</c:f>
              <c:strCache>
                <c:ptCount val="12"/>
                <c:pt idx="0">
                  <c:v>TAMMI</c:v>
                </c:pt>
                <c:pt idx="1">
                  <c:v>HELMI</c:v>
                </c:pt>
                <c:pt idx="2">
                  <c:v>MAALIS</c:v>
                </c:pt>
                <c:pt idx="3">
                  <c:v>HUHTI</c:v>
                </c:pt>
                <c:pt idx="4">
                  <c:v>TOUKO</c:v>
                </c:pt>
                <c:pt idx="5">
                  <c:v>KESÄ</c:v>
                </c:pt>
                <c:pt idx="6">
                  <c:v>HEINÄ</c:v>
                </c:pt>
                <c:pt idx="7">
                  <c:v>ELO</c:v>
                </c:pt>
                <c:pt idx="8">
                  <c:v>SYYS</c:v>
                </c:pt>
                <c:pt idx="9">
                  <c:v>LOKA</c:v>
                </c:pt>
                <c:pt idx="10">
                  <c:v>MARRAS</c:v>
                </c:pt>
                <c:pt idx="11">
                  <c:v>JOULU</c:v>
                </c:pt>
              </c:strCache>
            </c:strRef>
          </c:cat>
          <c:val>
            <c:numRef>
              <c:f>Graf.6!$B$50:$M$50</c:f>
              <c:numCache>
                <c:formatCode>0</c:formatCode>
                <c:ptCount val="12"/>
                <c:pt idx="0">
                  <c:v>6721</c:v>
                </c:pt>
                <c:pt idx="1">
                  <c:v>9374</c:v>
                </c:pt>
                <c:pt idx="2">
                  <c:v>12271</c:v>
                </c:pt>
                <c:pt idx="3">
                  <c:v>34262</c:v>
                </c:pt>
                <c:pt idx="4">
                  <c:v>70416</c:v>
                </c:pt>
                <c:pt idx="5">
                  <c:v>94011</c:v>
                </c:pt>
                <c:pt idx="6">
                  <c:v>150414</c:v>
                </c:pt>
                <c:pt idx="7">
                  <c:v>99397</c:v>
                </c:pt>
                <c:pt idx="8">
                  <c:v>34547</c:v>
                </c:pt>
                <c:pt idx="9">
                  <c:v>9457</c:v>
                </c:pt>
                <c:pt idx="10">
                  <c:v>3525</c:v>
                </c:pt>
                <c:pt idx="11">
                  <c:v>9818</c:v>
                </c:pt>
              </c:numCache>
            </c:numRef>
          </c:val>
        </c:ser>
        <c:ser>
          <c:idx val="3"/>
          <c:order val="3"/>
          <c:tx>
            <c:strRef>
              <c:f>Graf.6!$A$51</c:f>
              <c:strCache>
                <c:ptCount val="1"/>
                <c:pt idx="0">
                  <c:v>2001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Graf.6!$B$47:$M$47</c:f>
              <c:strCache>
                <c:ptCount val="12"/>
                <c:pt idx="0">
                  <c:v>TAMMI</c:v>
                </c:pt>
                <c:pt idx="1">
                  <c:v>HELMI</c:v>
                </c:pt>
                <c:pt idx="2">
                  <c:v>MAALIS</c:v>
                </c:pt>
                <c:pt idx="3">
                  <c:v>HUHTI</c:v>
                </c:pt>
                <c:pt idx="4">
                  <c:v>TOUKO</c:v>
                </c:pt>
                <c:pt idx="5">
                  <c:v>KESÄ</c:v>
                </c:pt>
                <c:pt idx="6">
                  <c:v>HEINÄ</c:v>
                </c:pt>
                <c:pt idx="7">
                  <c:v>ELO</c:v>
                </c:pt>
                <c:pt idx="8">
                  <c:v>SYYS</c:v>
                </c:pt>
                <c:pt idx="9">
                  <c:v>LOKA</c:v>
                </c:pt>
                <c:pt idx="10">
                  <c:v>MARRAS</c:v>
                </c:pt>
                <c:pt idx="11">
                  <c:v>JOULU</c:v>
                </c:pt>
              </c:strCache>
            </c:strRef>
          </c:cat>
          <c:val>
            <c:numRef>
              <c:f>Graf.6!$B$51:$M$51</c:f>
              <c:numCache>
                <c:formatCode>0</c:formatCode>
                <c:ptCount val="12"/>
                <c:pt idx="0">
                  <c:v>9085</c:v>
                </c:pt>
                <c:pt idx="1">
                  <c:v>6889</c:v>
                </c:pt>
                <c:pt idx="2">
                  <c:v>10154</c:v>
                </c:pt>
                <c:pt idx="3">
                  <c:v>18785</c:v>
                </c:pt>
                <c:pt idx="4">
                  <c:v>64361</c:v>
                </c:pt>
                <c:pt idx="5">
                  <c:v>95856</c:v>
                </c:pt>
                <c:pt idx="6">
                  <c:v>153801</c:v>
                </c:pt>
                <c:pt idx="7">
                  <c:v>95712</c:v>
                </c:pt>
                <c:pt idx="8">
                  <c:v>30910</c:v>
                </c:pt>
                <c:pt idx="9">
                  <c:v>9780</c:v>
                </c:pt>
                <c:pt idx="10">
                  <c:v>4671</c:v>
                </c:pt>
                <c:pt idx="11">
                  <c:v>5796</c:v>
                </c:pt>
              </c:numCache>
            </c:numRef>
          </c:val>
        </c:ser>
        <c:ser>
          <c:idx val="4"/>
          <c:order val="4"/>
          <c:tx>
            <c:strRef>
              <c:f>Graf.6!$A$52</c:f>
              <c:strCache>
                <c:ptCount val="1"/>
                <c:pt idx="0">
                  <c:v>2002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Graf.6!$B$47:$M$47</c:f>
              <c:strCache>
                <c:ptCount val="12"/>
                <c:pt idx="0">
                  <c:v>TAMMI</c:v>
                </c:pt>
                <c:pt idx="1">
                  <c:v>HELMI</c:v>
                </c:pt>
                <c:pt idx="2">
                  <c:v>MAALIS</c:v>
                </c:pt>
                <c:pt idx="3">
                  <c:v>HUHTI</c:v>
                </c:pt>
                <c:pt idx="4">
                  <c:v>TOUKO</c:v>
                </c:pt>
                <c:pt idx="5">
                  <c:v>KESÄ</c:v>
                </c:pt>
                <c:pt idx="6">
                  <c:v>HEINÄ</c:v>
                </c:pt>
                <c:pt idx="7">
                  <c:v>ELO</c:v>
                </c:pt>
                <c:pt idx="8">
                  <c:v>SYYS</c:v>
                </c:pt>
                <c:pt idx="9">
                  <c:v>LOKA</c:v>
                </c:pt>
                <c:pt idx="10">
                  <c:v>MARRAS</c:v>
                </c:pt>
                <c:pt idx="11">
                  <c:v>JOULU</c:v>
                </c:pt>
              </c:strCache>
            </c:strRef>
          </c:cat>
          <c:val>
            <c:numRef>
              <c:f>Graf.6!$B$52:$M$52</c:f>
              <c:numCache>
                <c:formatCode>0</c:formatCode>
                <c:ptCount val="12"/>
                <c:pt idx="0">
                  <c:v>7513</c:v>
                </c:pt>
                <c:pt idx="1">
                  <c:v>14809</c:v>
                </c:pt>
                <c:pt idx="2">
                  <c:v>23403</c:v>
                </c:pt>
                <c:pt idx="3">
                  <c:v>22841</c:v>
                </c:pt>
                <c:pt idx="4">
                  <c:v>93342</c:v>
                </c:pt>
                <c:pt idx="5">
                  <c:v>105846</c:v>
                </c:pt>
                <c:pt idx="6">
                  <c:v>151023</c:v>
                </c:pt>
                <c:pt idx="7">
                  <c:v>99497</c:v>
                </c:pt>
                <c:pt idx="8">
                  <c:v>31054</c:v>
                </c:pt>
                <c:pt idx="9">
                  <c:v>7402</c:v>
                </c:pt>
                <c:pt idx="10">
                  <c:v>4310</c:v>
                </c:pt>
                <c:pt idx="11">
                  <c:v>5534</c:v>
                </c:pt>
              </c:numCache>
            </c:numRef>
          </c:val>
        </c:ser>
        <c:ser>
          <c:idx val="5"/>
          <c:order val="5"/>
          <c:tx>
            <c:strRef>
              <c:f>Graf.6!$A$53</c:f>
              <c:strCache>
                <c:ptCount val="1"/>
                <c:pt idx="0">
                  <c:v>2003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Graf.6!$B$47:$M$47</c:f>
              <c:strCache>
                <c:ptCount val="12"/>
                <c:pt idx="0">
                  <c:v>TAMMI</c:v>
                </c:pt>
                <c:pt idx="1">
                  <c:v>HELMI</c:v>
                </c:pt>
                <c:pt idx="2">
                  <c:v>MAALIS</c:v>
                </c:pt>
                <c:pt idx="3">
                  <c:v>HUHTI</c:v>
                </c:pt>
                <c:pt idx="4">
                  <c:v>TOUKO</c:v>
                </c:pt>
                <c:pt idx="5">
                  <c:v>KESÄ</c:v>
                </c:pt>
                <c:pt idx="6">
                  <c:v>HEINÄ</c:v>
                </c:pt>
                <c:pt idx="7">
                  <c:v>ELO</c:v>
                </c:pt>
                <c:pt idx="8">
                  <c:v>SYYS</c:v>
                </c:pt>
                <c:pt idx="9">
                  <c:v>LOKA</c:v>
                </c:pt>
                <c:pt idx="10">
                  <c:v>MARRAS</c:v>
                </c:pt>
                <c:pt idx="11">
                  <c:v>JOULU</c:v>
                </c:pt>
              </c:strCache>
            </c:strRef>
          </c:cat>
          <c:val>
            <c:numRef>
              <c:f>Graf.6!$B$53:$M$53</c:f>
              <c:numCache>
                <c:formatCode>0</c:formatCode>
                <c:ptCount val="12"/>
                <c:pt idx="0">
                  <c:v>6938</c:v>
                </c:pt>
                <c:pt idx="1">
                  <c:v>15538</c:v>
                </c:pt>
                <c:pt idx="2">
                  <c:v>15061</c:v>
                </c:pt>
                <c:pt idx="3">
                  <c:v>19435</c:v>
                </c:pt>
                <c:pt idx="4">
                  <c:v>59874</c:v>
                </c:pt>
                <c:pt idx="5">
                  <c:v>90873</c:v>
                </c:pt>
                <c:pt idx="6">
                  <c:v>136697</c:v>
                </c:pt>
                <c:pt idx="7">
                  <c:v>73619</c:v>
                </c:pt>
                <c:pt idx="8">
                  <c:v>32636</c:v>
                </c:pt>
                <c:pt idx="9">
                  <c:v>7887</c:v>
                </c:pt>
                <c:pt idx="10">
                  <c:v>4462</c:v>
                </c:pt>
                <c:pt idx="11">
                  <c:v>6039</c:v>
                </c:pt>
              </c:numCache>
            </c:numRef>
          </c:val>
        </c:ser>
        <c:ser>
          <c:idx val="6"/>
          <c:order val="6"/>
          <c:tx>
            <c:strRef>
              <c:f>Graf.6!$A$54</c:f>
              <c:strCache>
                <c:ptCount val="1"/>
                <c:pt idx="0">
                  <c:v>2004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Graf.6!$B$47:$M$47</c:f>
              <c:strCache>
                <c:ptCount val="12"/>
                <c:pt idx="0">
                  <c:v>TAMMI</c:v>
                </c:pt>
                <c:pt idx="1">
                  <c:v>HELMI</c:v>
                </c:pt>
                <c:pt idx="2">
                  <c:v>MAALIS</c:v>
                </c:pt>
                <c:pt idx="3">
                  <c:v>HUHTI</c:v>
                </c:pt>
                <c:pt idx="4">
                  <c:v>TOUKO</c:v>
                </c:pt>
                <c:pt idx="5">
                  <c:v>KESÄ</c:v>
                </c:pt>
                <c:pt idx="6">
                  <c:v>HEINÄ</c:v>
                </c:pt>
                <c:pt idx="7">
                  <c:v>ELO</c:v>
                </c:pt>
                <c:pt idx="8">
                  <c:v>SYYS</c:v>
                </c:pt>
                <c:pt idx="9">
                  <c:v>LOKA</c:v>
                </c:pt>
                <c:pt idx="10">
                  <c:v>MARRAS</c:v>
                </c:pt>
                <c:pt idx="11">
                  <c:v>JOULU</c:v>
                </c:pt>
              </c:strCache>
            </c:strRef>
          </c:cat>
          <c:val>
            <c:numRef>
              <c:f>Graf.6!$B$54:$M$54</c:f>
              <c:numCache>
                <c:formatCode>0</c:formatCode>
                <c:ptCount val="12"/>
                <c:pt idx="0">
                  <c:v>21941</c:v>
                </c:pt>
                <c:pt idx="1">
                  <c:v>12473</c:v>
                </c:pt>
                <c:pt idx="2">
                  <c:v>10599</c:v>
                </c:pt>
                <c:pt idx="3">
                  <c:v>28549</c:v>
                </c:pt>
                <c:pt idx="4">
                  <c:v>70105</c:v>
                </c:pt>
                <c:pt idx="5">
                  <c:v>94967</c:v>
                </c:pt>
                <c:pt idx="6">
                  <c:v>162767</c:v>
                </c:pt>
                <c:pt idx="7">
                  <c:v>90242</c:v>
                </c:pt>
                <c:pt idx="8">
                  <c:v>31149</c:v>
                </c:pt>
                <c:pt idx="9">
                  <c:v>14139</c:v>
                </c:pt>
                <c:pt idx="10">
                  <c:v>3621</c:v>
                </c:pt>
                <c:pt idx="11">
                  <c:v>6535</c:v>
                </c:pt>
              </c:numCache>
            </c:numRef>
          </c:val>
        </c:ser>
        <c:ser>
          <c:idx val="7"/>
          <c:order val="7"/>
          <c:tx>
            <c:strRef>
              <c:f>Graf.6!$A$55</c:f>
              <c:strCache>
                <c:ptCount val="1"/>
                <c:pt idx="0">
                  <c:v>2005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Graf.6!$B$47:$M$47</c:f>
              <c:strCache>
                <c:ptCount val="12"/>
                <c:pt idx="0">
                  <c:v>TAMMI</c:v>
                </c:pt>
                <c:pt idx="1">
                  <c:v>HELMI</c:v>
                </c:pt>
                <c:pt idx="2">
                  <c:v>MAALIS</c:v>
                </c:pt>
                <c:pt idx="3">
                  <c:v>HUHTI</c:v>
                </c:pt>
                <c:pt idx="4">
                  <c:v>TOUKO</c:v>
                </c:pt>
                <c:pt idx="5">
                  <c:v>KESÄ</c:v>
                </c:pt>
                <c:pt idx="6">
                  <c:v>HEINÄ</c:v>
                </c:pt>
                <c:pt idx="7">
                  <c:v>ELO</c:v>
                </c:pt>
                <c:pt idx="8">
                  <c:v>SYYS</c:v>
                </c:pt>
                <c:pt idx="9">
                  <c:v>LOKA</c:v>
                </c:pt>
                <c:pt idx="10">
                  <c:v>MARRAS</c:v>
                </c:pt>
                <c:pt idx="11">
                  <c:v>JOULU</c:v>
                </c:pt>
              </c:strCache>
            </c:strRef>
          </c:cat>
          <c:val>
            <c:numRef>
              <c:f>Graf.6!$B$55:$M$55</c:f>
              <c:numCache>
                <c:formatCode>0</c:formatCode>
                <c:ptCount val="12"/>
                <c:pt idx="0">
                  <c:v>12240</c:v>
                </c:pt>
                <c:pt idx="1">
                  <c:v>8806</c:v>
                </c:pt>
                <c:pt idx="2">
                  <c:v>16063</c:v>
                </c:pt>
                <c:pt idx="3">
                  <c:v>16469</c:v>
                </c:pt>
                <c:pt idx="4">
                  <c:v>63378</c:v>
                </c:pt>
                <c:pt idx="5">
                  <c:v>86333</c:v>
                </c:pt>
                <c:pt idx="6">
                  <c:v>146930</c:v>
                </c:pt>
                <c:pt idx="7">
                  <c:v>65538</c:v>
                </c:pt>
                <c:pt idx="8">
                  <c:v>43946</c:v>
                </c:pt>
                <c:pt idx="9">
                  <c:v>12949</c:v>
                </c:pt>
                <c:pt idx="10">
                  <c:v>4548</c:v>
                </c:pt>
                <c:pt idx="11">
                  <c:v>6002</c:v>
                </c:pt>
              </c:numCache>
            </c:numRef>
          </c:val>
        </c:ser>
        <c:ser>
          <c:idx val="8"/>
          <c:order val="8"/>
          <c:tx>
            <c:strRef>
              <c:f>Graf.6!$A$56</c:f>
              <c:strCache>
                <c:ptCount val="1"/>
                <c:pt idx="0">
                  <c:v>2006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Graf.6!$B$47:$M$47</c:f>
              <c:strCache>
                <c:ptCount val="12"/>
                <c:pt idx="0">
                  <c:v>TAMMI</c:v>
                </c:pt>
                <c:pt idx="1">
                  <c:v>HELMI</c:v>
                </c:pt>
                <c:pt idx="2">
                  <c:v>MAALIS</c:v>
                </c:pt>
                <c:pt idx="3">
                  <c:v>HUHTI</c:v>
                </c:pt>
                <c:pt idx="4">
                  <c:v>TOUKO</c:v>
                </c:pt>
                <c:pt idx="5">
                  <c:v>KESÄ</c:v>
                </c:pt>
                <c:pt idx="6">
                  <c:v>HEINÄ</c:v>
                </c:pt>
                <c:pt idx="7">
                  <c:v>ELO</c:v>
                </c:pt>
                <c:pt idx="8">
                  <c:v>SYYS</c:v>
                </c:pt>
                <c:pt idx="9">
                  <c:v>LOKA</c:v>
                </c:pt>
                <c:pt idx="10">
                  <c:v>MARRAS</c:v>
                </c:pt>
                <c:pt idx="11">
                  <c:v>JOULU</c:v>
                </c:pt>
              </c:strCache>
            </c:strRef>
          </c:cat>
          <c:val>
            <c:numRef>
              <c:f>Graf.6!$B$56:$M$56</c:f>
              <c:numCache>
                <c:formatCode>0</c:formatCode>
                <c:ptCount val="12"/>
                <c:pt idx="0">
                  <c:v>16829</c:v>
                </c:pt>
                <c:pt idx="1">
                  <c:v>8403</c:v>
                </c:pt>
                <c:pt idx="2">
                  <c:v>8894</c:v>
                </c:pt>
                <c:pt idx="3">
                  <c:v>24514</c:v>
                </c:pt>
                <c:pt idx="4">
                  <c:v>58885</c:v>
                </c:pt>
                <c:pt idx="5">
                  <c:v>95209</c:v>
                </c:pt>
                <c:pt idx="6">
                  <c:v>155408</c:v>
                </c:pt>
                <c:pt idx="7">
                  <c:v>92396</c:v>
                </c:pt>
                <c:pt idx="8">
                  <c:v>41081</c:v>
                </c:pt>
                <c:pt idx="9">
                  <c:v>7539</c:v>
                </c:pt>
                <c:pt idx="10">
                  <c:v>3007</c:v>
                </c:pt>
                <c:pt idx="11">
                  <c:v>9506</c:v>
                </c:pt>
              </c:numCache>
            </c:numRef>
          </c:val>
        </c:ser>
        <c:ser>
          <c:idx val="9"/>
          <c:order val="9"/>
          <c:tx>
            <c:strRef>
              <c:f>Graf.6!$A$57</c:f>
              <c:strCache>
                <c:ptCount val="1"/>
                <c:pt idx="0">
                  <c:v>2007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Graf.6!$B$47:$M$47</c:f>
              <c:strCache>
                <c:ptCount val="12"/>
                <c:pt idx="0">
                  <c:v>TAMMI</c:v>
                </c:pt>
                <c:pt idx="1">
                  <c:v>HELMI</c:v>
                </c:pt>
                <c:pt idx="2">
                  <c:v>MAALIS</c:v>
                </c:pt>
                <c:pt idx="3">
                  <c:v>HUHTI</c:v>
                </c:pt>
                <c:pt idx="4">
                  <c:v>TOUKO</c:v>
                </c:pt>
                <c:pt idx="5">
                  <c:v>KESÄ</c:v>
                </c:pt>
                <c:pt idx="6">
                  <c:v>HEINÄ</c:v>
                </c:pt>
                <c:pt idx="7">
                  <c:v>ELO</c:v>
                </c:pt>
                <c:pt idx="8">
                  <c:v>SYYS</c:v>
                </c:pt>
                <c:pt idx="9">
                  <c:v>LOKA</c:v>
                </c:pt>
                <c:pt idx="10">
                  <c:v>MARRAS</c:v>
                </c:pt>
                <c:pt idx="11">
                  <c:v>JOULU</c:v>
                </c:pt>
              </c:strCache>
            </c:strRef>
          </c:cat>
          <c:val>
            <c:numRef>
              <c:f>Graf.6!$B$57:$M$57</c:f>
              <c:numCache>
                <c:formatCode>General_)</c:formatCode>
                <c:ptCount val="12"/>
                <c:pt idx="0">
                  <c:v>10354</c:v>
                </c:pt>
                <c:pt idx="1">
                  <c:v>6124</c:v>
                </c:pt>
                <c:pt idx="2">
                  <c:v>12301</c:v>
                </c:pt>
                <c:pt idx="3">
                  <c:v>25732</c:v>
                </c:pt>
                <c:pt idx="4">
                  <c:v>64080</c:v>
                </c:pt>
                <c:pt idx="5">
                  <c:v>97709</c:v>
                </c:pt>
                <c:pt idx="6">
                  <c:v>153796</c:v>
                </c:pt>
                <c:pt idx="7">
                  <c:v>85757</c:v>
                </c:pt>
                <c:pt idx="8">
                  <c:v>33799</c:v>
                </c:pt>
                <c:pt idx="9" formatCode="0">
                  <c:v>10396</c:v>
                </c:pt>
                <c:pt idx="10" formatCode="0">
                  <c:v>3247</c:v>
                </c:pt>
                <c:pt idx="11" formatCode="0">
                  <c:v>7668</c:v>
                </c:pt>
              </c:numCache>
            </c:numRef>
          </c:val>
        </c:ser>
        <c:ser>
          <c:idx val="10"/>
          <c:order val="10"/>
          <c:tx>
            <c:strRef>
              <c:f>Graf.6!$A$58</c:f>
              <c:strCache>
                <c:ptCount val="1"/>
                <c:pt idx="0">
                  <c:v>2008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Graf.6!$B$47:$M$47</c:f>
              <c:strCache>
                <c:ptCount val="12"/>
                <c:pt idx="0">
                  <c:v>TAMMI</c:v>
                </c:pt>
                <c:pt idx="1">
                  <c:v>HELMI</c:v>
                </c:pt>
                <c:pt idx="2">
                  <c:v>MAALIS</c:v>
                </c:pt>
                <c:pt idx="3">
                  <c:v>HUHTI</c:v>
                </c:pt>
                <c:pt idx="4">
                  <c:v>TOUKO</c:v>
                </c:pt>
                <c:pt idx="5">
                  <c:v>KESÄ</c:v>
                </c:pt>
                <c:pt idx="6">
                  <c:v>HEINÄ</c:v>
                </c:pt>
                <c:pt idx="7">
                  <c:v>ELO</c:v>
                </c:pt>
                <c:pt idx="8">
                  <c:v>SYYS</c:v>
                </c:pt>
                <c:pt idx="9">
                  <c:v>LOKA</c:v>
                </c:pt>
                <c:pt idx="10">
                  <c:v>MARRAS</c:v>
                </c:pt>
                <c:pt idx="11">
                  <c:v>JOULU</c:v>
                </c:pt>
              </c:strCache>
            </c:strRef>
          </c:cat>
          <c:val>
            <c:numRef>
              <c:f>Graf.6!$B$58:$M$58</c:f>
              <c:numCache>
                <c:formatCode>0</c:formatCode>
                <c:ptCount val="12"/>
                <c:pt idx="0">
                  <c:v>6207</c:v>
                </c:pt>
                <c:pt idx="1">
                  <c:v>8913</c:v>
                </c:pt>
                <c:pt idx="2">
                  <c:v>14193</c:v>
                </c:pt>
                <c:pt idx="3">
                  <c:v>19422</c:v>
                </c:pt>
                <c:pt idx="4">
                  <c:v>76060</c:v>
                </c:pt>
                <c:pt idx="5">
                  <c:v>92546</c:v>
                </c:pt>
                <c:pt idx="6">
                  <c:v>162622</c:v>
                </c:pt>
                <c:pt idx="7">
                  <c:v>66395</c:v>
                </c:pt>
                <c:pt idx="8">
                  <c:v>28340</c:v>
                </c:pt>
                <c:pt idx="9">
                  <c:v>9481</c:v>
                </c:pt>
                <c:pt idx="10">
                  <c:v>4602</c:v>
                </c:pt>
                <c:pt idx="11">
                  <c:v>9250</c:v>
                </c:pt>
              </c:numCache>
            </c:numRef>
          </c:val>
        </c:ser>
        <c:ser>
          <c:idx val="11"/>
          <c:order val="11"/>
          <c:tx>
            <c:strRef>
              <c:f>Graf.6!$A$59</c:f>
              <c:strCache>
                <c:ptCount val="1"/>
                <c:pt idx="0">
                  <c:v>2009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Graf.6!$B$47:$M$47</c:f>
              <c:strCache>
                <c:ptCount val="12"/>
                <c:pt idx="0">
                  <c:v>TAMMI</c:v>
                </c:pt>
                <c:pt idx="1">
                  <c:v>HELMI</c:v>
                </c:pt>
                <c:pt idx="2">
                  <c:v>MAALIS</c:v>
                </c:pt>
                <c:pt idx="3">
                  <c:v>HUHTI</c:v>
                </c:pt>
                <c:pt idx="4">
                  <c:v>TOUKO</c:v>
                </c:pt>
                <c:pt idx="5">
                  <c:v>KESÄ</c:v>
                </c:pt>
                <c:pt idx="6">
                  <c:v>HEINÄ</c:v>
                </c:pt>
                <c:pt idx="7">
                  <c:v>ELO</c:v>
                </c:pt>
                <c:pt idx="8">
                  <c:v>SYYS</c:v>
                </c:pt>
                <c:pt idx="9">
                  <c:v>LOKA</c:v>
                </c:pt>
                <c:pt idx="10">
                  <c:v>MARRAS</c:v>
                </c:pt>
                <c:pt idx="11">
                  <c:v>JOULU</c:v>
                </c:pt>
              </c:strCache>
            </c:strRef>
          </c:cat>
          <c:val>
            <c:numRef>
              <c:f>Graf.6!$B$59:$M$59</c:f>
              <c:numCache>
                <c:formatCode>0</c:formatCode>
                <c:ptCount val="12"/>
                <c:pt idx="0">
                  <c:v>7204</c:v>
                </c:pt>
                <c:pt idx="1">
                  <c:v>15264</c:v>
                </c:pt>
                <c:pt idx="2">
                  <c:v>10485</c:v>
                </c:pt>
                <c:pt idx="3">
                  <c:v>22177</c:v>
                </c:pt>
                <c:pt idx="4">
                  <c:v>78270</c:v>
                </c:pt>
                <c:pt idx="5">
                  <c:v>102745</c:v>
                </c:pt>
                <c:pt idx="6">
                  <c:v>166623</c:v>
                </c:pt>
                <c:pt idx="7">
                  <c:v>88526</c:v>
                </c:pt>
                <c:pt idx="8">
                  <c:v>36910</c:v>
                </c:pt>
                <c:pt idx="9">
                  <c:v>10251</c:v>
                </c:pt>
                <c:pt idx="10">
                  <c:v>4067</c:v>
                </c:pt>
                <c:pt idx="11">
                  <c:v>3679</c:v>
                </c:pt>
              </c:numCache>
            </c:numRef>
          </c:val>
        </c:ser>
        <c:ser>
          <c:idx val="12"/>
          <c:order val="12"/>
          <c:tx>
            <c:strRef>
              <c:f>Graf.6!$A$60</c:f>
              <c:strCache>
                <c:ptCount val="1"/>
                <c:pt idx="0">
                  <c:v>2010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invertIfNegative val="0"/>
          <c:cat>
            <c:strRef>
              <c:f>Graf.6!$B$47:$M$47</c:f>
              <c:strCache>
                <c:ptCount val="12"/>
                <c:pt idx="0">
                  <c:v>TAMMI</c:v>
                </c:pt>
                <c:pt idx="1">
                  <c:v>HELMI</c:v>
                </c:pt>
                <c:pt idx="2">
                  <c:v>MAALIS</c:v>
                </c:pt>
                <c:pt idx="3">
                  <c:v>HUHTI</c:v>
                </c:pt>
                <c:pt idx="4">
                  <c:v>TOUKO</c:v>
                </c:pt>
                <c:pt idx="5">
                  <c:v>KESÄ</c:v>
                </c:pt>
                <c:pt idx="6">
                  <c:v>HEINÄ</c:v>
                </c:pt>
                <c:pt idx="7">
                  <c:v>ELO</c:v>
                </c:pt>
                <c:pt idx="8">
                  <c:v>SYYS</c:v>
                </c:pt>
                <c:pt idx="9">
                  <c:v>LOKA</c:v>
                </c:pt>
                <c:pt idx="10">
                  <c:v>MARRAS</c:v>
                </c:pt>
                <c:pt idx="11">
                  <c:v>JOULU</c:v>
                </c:pt>
              </c:strCache>
            </c:strRef>
          </c:cat>
          <c:val>
            <c:numRef>
              <c:f>Graf.6!$B$60:$M$60</c:f>
              <c:numCache>
                <c:formatCode>0</c:formatCode>
                <c:ptCount val="12"/>
                <c:pt idx="0">
                  <c:v>3344</c:v>
                </c:pt>
                <c:pt idx="1">
                  <c:v>3926</c:v>
                </c:pt>
                <c:pt idx="2">
                  <c:v>7285</c:v>
                </c:pt>
                <c:pt idx="3">
                  <c:v>15354</c:v>
                </c:pt>
                <c:pt idx="4">
                  <c:v>57940</c:v>
                </c:pt>
                <c:pt idx="5">
                  <c:v>96356</c:v>
                </c:pt>
                <c:pt idx="6">
                  <c:v>131430</c:v>
                </c:pt>
                <c:pt idx="7">
                  <c:v>73749</c:v>
                </c:pt>
                <c:pt idx="8">
                  <c:v>24154</c:v>
                </c:pt>
                <c:pt idx="9">
                  <c:v>14470</c:v>
                </c:pt>
                <c:pt idx="10">
                  <c:v>4767</c:v>
                </c:pt>
                <c:pt idx="11">
                  <c:v>3360</c:v>
                </c:pt>
              </c:numCache>
            </c:numRef>
          </c:val>
        </c:ser>
        <c:ser>
          <c:idx val="13"/>
          <c:order val="13"/>
          <c:tx>
            <c:strRef>
              <c:f>Graf.6!$A$61</c:f>
              <c:strCache>
                <c:ptCount val="1"/>
                <c:pt idx="0">
                  <c:v>2011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invertIfNegative val="0"/>
          <c:cat>
            <c:strRef>
              <c:f>Graf.6!$B$47:$M$47</c:f>
              <c:strCache>
                <c:ptCount val="12"/>
                <c:pt idx="0">
                  <c:v>TAMMI</c:v>
                </c:pt>
                <c:pt idx="1">
                  <c:v>HELMI</c:v>
                </c:pt>
                <c:pt idx="2">
                  <c:v>MAALIS</c:v>
                </c:pt>
                <c:pt idx="3">
                  <c:v>HUHTI</c:v>
                </c:pt>
                <c:pt idx="4">
                  <c:v>TOUKO</c:v>
                </c:pt>
                <c:pt idx="5">
                  <c:v>KESÄ</c:v>
                </c:pt>
                <c:pt idx="6">
                  <c:v>HEINÄ</c:v>
                </c:pt>
                <c:pt idx="7">
                  <c:v>ELO</c:v>
                </c:pt>
                <c:pt idx="8">
                  <c:v>SYYS</c:v>
                </c:pt>
                <c:pt idx="9">
                  <c:v>LOKA</c:v>
                </c:pt>
                <c:pt idx="10">
                  <c:v>MARRAS</c:v>
                </c:pt>
                <c:pt idx="11">
                  <c:v>JOULU</c:v>
                </c:pt>
              </c:strCache>
            </c:strRef>
          </c:cat>
          <c:val>
            <c:numRef>
              <c:f>Graf.6!$B$61:$M$61</c:f>
              <c:numCache>
                <c:formatCode>0</c:formatCode>
                <c:ptCount val="12"/>
                <c:pt idx="0">
                  <c:v>4556</c:v>
                </c:pt>
                <c:pt idx="1">
                  <c:v>12940</c:v>
                </c:pt>
                <c:pt idx="2">
                  <c:v>9159</c:v>
                </c:pt>
                <c:pt idx="3">
                  <c:v>26760</c:v>
                </c:pt>
                <c:pt idx="4">
                  <c:v>54150</c:v>
                </c:pt>
                <c:pt idx="5">
                  <c:v>93655</c:v>
                </c:pt>
                <c:pt idx="6">
                  <c:v>146090</c:v>
                </c:pt>
                <c:pt idx="7">
                  <c:v>80605</c:v>
                </c:pt>
                <c:pt idx="8">
                  <c:v>35137</c:v>
                </c:pt>
                <c:pt idx="9">
                  <c:v>15304</c:v>
                </c:pt>
                <c:pt idx="10">
                  <c:v>6776</c:v>
                </c:pt>
                <c:pt idx="11">
                  <c:v>4489</c:v>
                </c:pt>
              </c:numCache>
            </c:numRef>
          </c:val>
        </c:ser>
        <c:ser>
          <c:idx val="14"/>
          <c:order val="14"/>
          <c:tx>
            <c:strRef>
              <c:f>Graf.6!$A$62</c:f>
              <c:strCache>
                <c:ptCount val="1"/>
                <c:pt idx="0">
                  <c:v>2012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invertIfNegative val="0"/>
          <c:cat>
            <c:strRef>
              <c:f>Graf.6!$B$47:$M$47</c:f>
              <c:strCache>
                <c:ptCount val="12"/>
                <c:pt idx="0">
                  <c:v>TAMMI</c:v>
                </c:pt>
                <c:pt idx="1">
                  <c:v>HELMI</c:v>
                </c:pt>
                <c:pt idx="2">
                  <c:v>MAALIS</c:v>
                </c:pt>
                <c:pt idx="3">
                  <c:v>HUHTI</c:v>
                </c:pt>
                <c:pt idx="4">
                  <c:v>TOUKO</c:v>
                </c:pt>
                <c:pt idx="5">
                  <c:v>KESÄ</c:v>
                </c:pt>
                <c:pt idx="6">
                  <c:v>HEINÄ</c:v>
                </c:pt>
                <c:pt idx="7">
                  <c:v>ELO</c:v>
                </c:pt>
                <c:pt idx="8">
                  <c:v>SYYS</c:v>
                </c:pt>
                <c:pt idx="9">
                  <c:v>LOKA</c:v>
                </c:pt>
                <c:pt idx="10">
                  <c:v>MARRAS</c:v>
                </c:pt>
                <c:pt idx="11">
                  <c:v>JOULU</c:v>
                </c:pt>
              </c:strCache>
            </c:strRef>
          </c:cat>
          <c:val>
            <c:numRef>
              <c:f>Graf.6!$B$62:$M$62</c:f>
              <c:numCache>
                <c:formatCode>0</c:formatCode>
                <c:ptCount val="12"/>
                <c:pt idx="0">
                  <c:v>5742</c:v>
                </c:pt>
                <c:pt idx="1">
                  <c:v>9712</c:v>
                </c:pt>
                <c:pt idx="2">
                  <c:v>10876</c:v>
                </c:pt>
                <c:pt idx="3">
                  <c:v>24039</c:v>
                </c:pt>
                <c:pt idx="4">
                  <c:v>61128</c:v>
                </c:pt>
                <c:pt idx="5">
                  <c:v>85315</c:v>
                </c:pt>
                <c:pt idx="6">
                  <c:v>161200</c:v>
                </c:pt>
                <c:pt idx="7">
                  <c:v>80163</c:v>
                </c:pt>
                <c:pt idx="8">
                  <c:v>29849</c:v>
                </c:pt>
                <c:pt idx="9">
                  <c:v>11024</c:v>
                </c:pt>
                <c:pt idx="10">
                  <c:v>5566</c:v>
                </c:pt>
                <c:pt idx="11">
                  <c:v>4123</c:v>
                </c:pt>
              </c:numCache>
            </c:numRef>
          </c:val>
        </c:ser>
        <c:ser>
          <c:idx val="15"/>
          <c:order val="15"/>
          <c:tx>
            <c:strRef>
              <c:f>Graf.6!$A$63</c:f>
              <c:strCache>
                <c:ptCount val="1"/>
                <c:pt idx="0">
                  <c:v>2013</c:v>
                </c:pt>
              </c:strCache>
            </c:strRef>
          </c:tx>
          <c:invertIfNegative val="0"/>
          <c:cat>
            <c:strRef>
              <c:f>Graf.6!$B$47:$M$47</c:f>
              <c:strCache>
                <c:ptCount val="12"/>
                <c:pt idx="0">
                  <c:v>TAMMI</c:v>
                </c:pt>
                <c:pt idx="1">
                  <c:v>HELMI</c:v>
                </c:pt>
                <c:pt idx="2">
                  <c:v>MAALIS</c:v>
                </c:pt>
                <c:pt idx="3">
                  <c:v>HUHTI</c:v>
                </c:pt>
                <c:pt idx="4">
                  <c:v>TOUKO</c:v>
                </c:pt>
                <c:pt idx="5">
                  <c:v>KESÄ</c:v>
                </c:pt>
                <c:pt idx="6">
                  <c:v>HEINÄ</c:v>
                </c:pt>
                <c:pt idx="7">
                  <c:v>ELO</c:v>
                </c:pt>
                <c:pt idx="8">
                  <c:v>SYYS</c:v>
                </c:pt>
                <c:pt idx="9">
                  <c:v>LOKA</c:v>
                </c:pt>
                <c:pt idx="10">
                  <c:v>MARRAS</c:v>
                </c:pt>
                <c:pt idx="11">
                  <c:v>JOULU</c:v>
                </c:pt>
              </c:strCache>
            </c:strRef>
          </c:cat>
          <c:val>
            <c:numRef>
              <c:f>Graf.6!$B$63:$M$63</c:f>
              <c:numCache>
                <c:formatCode>0</c:formatCode>
                <c:ptCount val="12"/>
                <c:pt idx="0">
                  <c:v>6730</c:v>
                </c:pt>
                <c:pt idx="1">
                  <c:v>14162</c:v>
                </c:pt>
                <c:pt idx="2">
                  <c:v>14378</c:v>
                </c:pt>
                <c:pt idx="3">
                  <c:v>15113</c:v>
                </c:pt>
                <c:pt idx="4">
                  <c:v>59619</c:v>
                </c:pt>
                <c:pt idx="5">
                  <c:v>92408</c:v>
                </c:pt>
                <c:pt idx="6">
                  <c:v>153545</c:v>
                </c:pt>
                <c:pt idx="7">
                  <c:v>75614</c:v>
                </c:pt>
                <c:pt idx="8">
                  <c:v>37836</c:v>
                </c:pt>
                <c:pt idx="9">
                  <c:v>18035</c:v>
                </c:pt>
                <c:pt idx="10">
                  <c:v>6054</c:v>
                </c:pt>
                <c:pt idx="11">
                  <c:v>8668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1801088"/>
        <c:axId val="610170496"/>
      </c:barChart>
      <c:catAx>
        <c:axId val="611801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i-FI"/>
                  <a:t>Kuukausi</a:t>
                </a:r>
              </a:p>
            </c:rich>
          </c:tx>
          <c:layout>
            <c:manualLayout>
              <c:xMode val="edge"/>
              <c:yMode val="edge"/>
              <c:x val="0.45046260102559837"/>
              <c:y val="0.95389113824758442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i-FI"/>
          </a:p>
        </c:txPr>
        <c:crossAx val="6101704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101704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i-FI"/>
                  <a:t>Käyntimäärä</a:t>
                </a:r>
              </a:p>
            </c:rich>
          </c:tx>
          <c:layout>
            <c:manualLayout>
              <c:xMode val="edge"/>
              <c:yMode val="edge"/>
              <c:x val="3.9630139340189156E-3"/>
              <c:y val="0.36928806968543137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i-FI"/>
          </a:p>
        </c:txPr>
        <c:crossAx val="61180108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990799925074251"/>
          <c:y val="0.30753421187849905"/>
          <c:w val="3.9968295904887714E-2"/>
          <c:h val="0.4450226430629923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i-FI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i-FI"/>
    </a:p>
  </c:txPr>
  <c:printSettings>
    <c:headerFooter alignWithMargins="0"/>
    <c:pageMargins b="1" l="0.75000000000001465" r="0.75000000000001465" t="1" header="0.49212598450000788" footer="0.49212598450000788"/>
    <c:pageSetup paperSize="9" orientation="landscape"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r>
              <a:rPr lang="fi-FI"/>
              <a:t>KOKONAISKÄYNTIMÄÄRÄ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2000</c:v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'N4'!#REF!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'N4'!#REF!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v>1999</c:v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'N4'!#REF!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'N4'!#REF!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639745024"/>
        <c:axId val="529059776"/>
      </c:barChart>
      <c:catAx>
        <c:axId val="639745024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52905977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29059776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63974502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MS Sans Serif"/>
              <a:ea typeface="MS Sans Serif"/>
              <a:cs typeface="MS Sans Serif"/>
            </a:defRPr>
          </a:pPr>
          <a:endParaRPr lang="fi-FI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fi-FI"/>
    </a:p>
  </c:txPr>
  <c:printSettings>
    <c:headerFooter alignWithMargins="0">
      <c:oddHeader>&amp;N</c:oddHeader>
      <c:oddFooter>Sivu &amp;S</c:oddFooter>
    </c:headerFooter>
    <c:pageMargins b="1" l="0.75000000000001465" r="0.75000000000001465" t="1" header="0.49212598450000788" footer="0.49212598450000788"/>
    <c:pageSetup paperSize="9" orientation="portrait" horizontalDpi="-4" vertic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25"/>
      <c:hPercent val="500"/>
      <c:rotY val="3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'N5'!#REF!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'N5'!#REF!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'N5'!#REF!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'N5'!#REF!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'N5'!#REF!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'N5'!#REF!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'N5'!#REF!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'N5'!#REF!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'N5'!#REF!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3"/>
        <c:gapDepth val="0"/>
        <c:shape val="box"/>
        <c:axId val="640585728"/>
        <c:axId val="529062656"/>
        <c:axId val="0"/>
      </c:bar3DChart>
      <c:catAx>
        <c:axId val="640585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52906265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2906265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64058572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MS Sans Serif"/>
              <a:ea typeface="MS Sans Serif"/>
              <a:cs typeface="MS Sans Serif"/>
            </a:defRPr>
          </a:pPr>
          <a:endParaRPr lang="fi-FI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fi-FI"/>
    </a:p>
  </c:txPr>
  <c:printSettings>
    <c:headerFooter alignWithMargins="0"/>
    <c:pageMargins b="0.98425196850393659" l="0.78740157480314954" r="0.78740157480314954" t="0.98425196850393659" header="0.49212598450000788" footer="0.49212598450000788"/>
    <c:pageSetup paperSize="9" orientation="landscape" horizontalDpi="-4" verticalDpi="-4"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25"/>
      <c:hPercent val="500"/>
      <c:rotY val="3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'N5'!#REF!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'N5'!#REF!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'N5'!#REF!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'N5'!#REF!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'N5'!#REF!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'N5'!#REF!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'N5'!#REF!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'N5'!#REF!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'N5'!#REF!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3"/>
        <c:gapDepth val="0"/>
        <c:shape val="box"/>
        <c:axId val="640588288"/>
        <c:axId val="555148416"/>
        <c:axId val="0"/>
      </c:bar3DChart>
      <c:catAx>
        <c:axId val="640588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55514841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551484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64058828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MS Sans Serif"/>
              <a:ea typeface="MS Sans Serif"/>
              <a:cs typeface="MS Sans Serif"/>
            </a:defRPr>
          </a:pPr>
          <a:endParaRPr lang="fi-FI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fi-FI"/>
    </a:p>
  </c:txPr>
  <c:printSettings>
    <c:headerFooter alignWithMargins="0"/>
    <c:pageMargins b="0.98425196850393659" l="0.78740157480314954" r="0.78740157480314954" t="0.98425196850393659" header="0.49212598450000788" footer="0.49212598450000788"/>
    <c:pageSetup paperSize="9" orientation="landscape" horizontalDpi="-4" verticalDpi="-4"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r>
              <a:rPr lang="fi-FI"/>
              <a:t>KOKONAISKÄYNTIMÄÄRÄ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2000</c:v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'N5'!#REF!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'N5'!#REF!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v>1999</c:v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'N5'!#REF!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'N5'!#REF!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640652800"/>
        <c:axId val="555150720"/>
      </c:barChart>
      <c:catAx>
        <c:axId val="64065280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55515072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55150720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64065280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MS Sans Serif"/>
              <a:ea typeface="MS Sans Serif"/>
              <a:cs typeface="MS Sans Serif"/>
            </a:defRPr>
          </a:pPr>
          <a:endParaRPr lang="fi-FI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fi-FI"/>
    </a:p>
  </c:txPr>
  <c:printSettings>
    <c:headerFooter alignWithMargins="0">
      <c:oddHeader>&amp;N</c:oddHeader>
      <c:oddFooter>Sivu &amp;S</c:oddFooter>
    </c:headerFooter>
    <c:pageMargins b="1" l="0.75000000000001465" r="0.75000000000001465" t="1" header="0.49212598450000788" footer="0.49212598450000788"/>
    <c:pageSetup paperSize="9" orientation="portrait" horizontalDpi="-4" vertic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25"/>
      <c:hPercent val="500"/>
      <c:rotY val="3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'N6'!#REF!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'N6'!#REF!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'N6'!#REF!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'N6'!#REF!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'N6'!#REF!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'N6'!#REF!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'N6'!#REF!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'N6'!#REF!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'N6'!#REF!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3"/>
        <c:gapDepth val="0"/>
        <c:shape val="box"/>
        <c:axId val="641836544"/>
        <c:axId val="555153600"/>
        <c:axId val="0"/>
      </c:bar3DChart>
      <c:catAx>
        <c:axId val="641836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55515360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5515360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64183654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MS Sans Serif"/>
              <a:ea typeface="MS Sans Serif"/>
              <a:cs typeface="MS Sans Serif"/>
            </a:defRPr>
          </a:pPr>
          <a:endParaRPr lang="fi-FI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fi-FI"/>
    </a:p>
  </c:txPr>
  <c:printSettings>
    <c:headerFooter alignWithMargins="0"/>
    <c:pageMargins b="0.98425196850393659" l="0.78740157480314954" r="0.78740157480314954" t="0.98425196850393659" header="0.49212598450000788" footer="0.49212598450000788"/>
    <c:pageSetup paperSize="9" orientation="landscape" horizontalDpi="-4" verticalDpi="-4"/>
  </c:printSettings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25"/>
      <c:hPercent val="500"/>
      <c:rotY val="3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'N6'!#REF!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'N6'!#REF!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'N6'!#REF!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'N6'!#REF!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'N6'!#REF!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'N6'!#REF!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'N6'!#REF!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'N6'!#REF!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'N6'!#REF!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3"/>
        <c:gapDepth val="0"/>
        <c:shape val="box"/>
        <c:axId val="641837056"/>
        <c:axId val="550822464"/>
        <c:axId val="0"/>
      </c:bar3DChart>
      <c:catAx>
        <c:axId val="641837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55082246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508224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64183705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MS Sans Serif"/>
              <a:ea typeface="MS Sans Serif"/>
              <a:cs typeface="MS Sans Serif"/>
            </a:defRPr>
          </a:pPr>
          <a:endParaRPr lang="fi-FI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fi-FI"/>
    </a:p>
  </c:txPr>
  <c:printSettings>
    <c:headerFooter alignWithMargins="0"/>
    <c:pageMargins b="0.98425196850393659" l="0.78740157480314954" r="0.78740157480314954" t="0.98425196850393659" header="0.49212598450000788" footer="0.49212598450000788"/>
    <c:pageSetup paperSize="9" orientation="landscape" horizontalDpi="-4" verticalDpi="-4"/>
  </c:printSettings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r>
              <a:rPr lang="fi-FI"/>
              <a:t>KOKONAISKÄYNTIMÄÄRÄ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2000</c:v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'N6'!#REF!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'N6'!#REF!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v>1999</c:v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'N6'!#REF!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'N6'!#REF!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643182592"/>
        <c:axId val="550824768"/>
      </c:barChart>
      <c:catAx>
        <c:axId val="643182592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55082476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50824768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64318259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MS Sans Serif"/>
              <a:ea typeface="MS Sans Serif"/>
              <a:cs typeface="MS Sans Serif"/>
            </a:defRPr>
          </a:pPr>
          <a:endParaRPr lang="fi-FI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fi-FI"/>
    </a:p>
  </c:txPr>
  <c:printSettings>
    <c:headerFooter alignWithMargins="0">
      <c:oddHeader>&amp;N</c:oddHeader>
      <c:oddFooter>Sivu &amp;S</c:oddFooter>
    </c:headerFooter>
    <c:pageMargins b="1" l="0.75000000000001465" r="0.75000000000001465" t="1" header="0.49212598450000788" footer="0.49212598450000788"/>
    <c:pageSetup paperSize="9" orientation="portrait" horizontalDpi="-4" vertic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25"/>
      <c:hPercent val="500"/>
      <c:rotY val="3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'N7'!#REF!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'N7'!#REF!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'N7'!#REF!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'N7'!#REF!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'N7'!#REF!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'N7'!#REF!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'N7'!#REF!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'N7'!#REF!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'N7'!#REF!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3"/>
        <c:gapDepth val="0"/>
        <c:shape val="box"/>
        <c:axId val="643770368"/>
        <c:axId val="550828224"/>
        <c:axId val="0"/>
      </c:bar3DChart>
      <c:catAx>
        <c:axId val="643770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55082822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5082822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64377036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MS Sans Serif"/>
              <a:ea typeface="MS Sans Serif"/>
              <a:cs typeface="MS Sans Serif"/>
            </a:defRPr>
          </a:pPr>
          <a:endParaRPr lang="fi-FI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fi-FI"/>
    </a:p>
  </c:txPr>
  <c:printSettings>
    <c:headerFooter alignWithMargins="0"/>
    <c:pageMargins b="0.98425196850393659" l="0.78740157480314954" r="0.78740157480314954" t="0.98425196850393659" header="0.49212598450000788" footer="0.49212598450000788"/>
    <c:pageSetup paperSize="9" orientation="landscape" horizontalDpi="-4" verticalDpi="-4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25"/>
      <c:hPercent val="500"/>
      <c:rotY val="3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'N1'!#REF!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'N1'!#REF!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'N1'!#REF!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'N1'!#REF!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'N1'!#REF!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'N1'!#REF!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'N1'!#REF!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'N1'!#REF!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'N1'!#REF!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3"/>
        <c:gapDepth val="0"/>
        <c:shape val="box"/>
        <c:axId val="621654016"/>
        <c:axId val="550186368"/>
        <c:axId val="0"/>
      </c:bar3DChart>
      <c:catAx>
        <c:axId val="621654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55018636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501863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62165401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MS Sans Serif"/>
              <a:ea typeface="MS Sans Serif"/>
              <a:cs typeface="MS Sans Serif"/>
            </a:defRPr>
          </a:pPr>
          <a:endParaRPr lang="fi-FI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fi-FI"/>
    </a:p>
  </c:txPr>
  <c:printSettings>
    <c:headerFooter alignWithMargins="0"/>
    <c:pageMargins b="0.98425196850393659" l="0.78740157480314954" r="0.78740157480314954" t="0.98425196850393659" header="0.49212598450000788" footer="0.49212598450000788"/>
    <c:pageSetup paperSize="9" orientation="landscape" horizontalDpi="-4" verticalDpi="-4"/>
  </c:printSettings>
  <c:userShapes r:id="rId1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25"/>
      <c:hPercent val="500"/>
      <c:rotY val="3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'N7'!#REF!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'N7'!#REF!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'N7'!#REF!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'N7'!#REF!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'N7'!#REF!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'N7'!#REF!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'N7'!#REF!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'N7'!#REF!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'N7'!#REF!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3"/>
        <c:gapDepth val="0"/>
        <c:shape val="box"/>
        <c:axId val="643771392"/>
        <c:axId val="543096832"/>
        <c:axId val="0"/>
      </c:bar3DChart>
      <c:catAx>
        <c:axId val="643771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54309683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430968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64377139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MS Sans Serif"/>
              <a:ea typeface="MS Sans Serif"/>
              <a:cs typeface="MS Sans Serif"/>
            </a:defRPr>
          </a:pPr>
          <a:endParaRPr lang="fi-FI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fi-FI"/>
    </a:p>
  </c:txPr>
  <c:printSettings>
    <c:headerFooter alignWithMargins="0"/>
    <c:pageMargins b="0.98425196850393659" l="0.78740157480314954" r="0.78740157480314954" t="0.98425196850393659" header="0.49212598450000788" footer="0.49212598450000788"/>
    <c:pageSetup paperSize="9" orientation="landscape" horizontalDpi="-4" verticalDpi="-4"/>
  </c:printSettings>
  <c:userShapes r:id="rId1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r>
              <a:rPr lang="fi-FI"/>
              <a:t>KOKONAISKÄYNTIMÄÄRÄ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2000</c:v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'N7'!#REF!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'N7'!#REF!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v>1999</c:v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'N7'!#REF!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'N7'!#REF!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643810816"/>
        <c:axId val="543099136"/>
      </c:barChart>
      <c:catAx>
        <c:axId val="643810816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54309913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43099136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64381081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MS Sans Serif"/>
              <a:ea typeface="MS Sans Serif"/>
              <a:cs typeface="MS Sans Serif"/>
            </a:defRPr>
          </a:pPr>
          <a:endParaRPr lang="fi-FI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fi-FI"/>
    </a:p>
  </c:txPr>
  <c:printSettings>
    <c:headerFooter alignWithMargins="0">
      <c:oddHeader>&amp;N</c:oddHeader>
      <c:oddFooter>Sivu &amp;S</c:oddFooter>
    </c:headerFooter>
    <c:pageMargins b="1" l="0.75000000000001465" r="0.75000000000001465" t="1" header="0.49212598450000788" footer="0.49212598450000788"/>
    <c:pageSetup paperSize="9" orientation="portrait" horizontalDpi="-4" vertic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25"/>
      <c:hPercent val="500"/>
      <c:rotY val="3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'N8'!#REF!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'N8'!#REF!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'N8'!#REF!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'N8'!#REF!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'N8'!#REF!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'N8'!#REF!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'N8'!#REF!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'N8'!#REF!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'N8'!#REF!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3"/>
        <c:gapDepth val="0"/>
        <c:shape val="box"/>
        <c:axId val="645319680"/>
        <c:axId val="543102016"/>
        <c:axId val="0"/>
      </c:bar3DChart>
      <c:catAx>
        <c:axId val="645319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54310201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4310201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64531968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MS Sans Serif"/>
              <a:ea typeface="MS Sans Serif"/>
              <a:cs typeface="MS Sans Serif"/>
            </a:defRPr>
          </a:pPr>
          <a:endParaRPr lang="fi-FI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fi-FI"/>
    </a:p>
  </c:txPr>
  <c:printSettings>
    <c:headerFooter alignWithMargins="0"/>
    <c:pageMargins b="0.98425196850393659" l="0.78740157480314954" r="0.78740157480314954" t="0.98425196850393659" header="0.49212598450000788" footer="0.49212598450000788"/>
    <c:pageSetup paperSize="9" orientation="landscape" horizontalDpi="-4" verticalDpi="-4"/>
  </c:printSettings>
  <c:userShapes r:id="rId1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25"/>
      <c:hPercent val="500"/>
      <c:rotY val="3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'N8'!#REF!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'N8'!#REF!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'N8'!#REF!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'N8'!#REF!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'N8'!#REF!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'N8'!#REF!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'N8'!#REF!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'N8'!#REF!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'N8'!#REF!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3"/>
        <c:gapDepth val="0"/>
        <c:shape val="box"/>
        <c:axId val="645567488"/>
        <c:axId val="543104320"/>
        <c:axId val="0"/>
      </c:bar3DChart>
      <c:catAx>
        <c:axId val="645567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54310432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431043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64556748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MS Sans Serif"/>
              <a:ea typeface="MS Sans Serif"/>
              <a:cs typeface="MS Sans Serif"/>
            </a:defRPr>
          </a:pPr>
          <a:endParaRPr lang="fi-FI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fi-FI"/>
    </a:p>
  </c:txPr>
  <c:printSettings>
    <c:headerFooter alignWithMargins="0"/>
    <c:pageMargins b="0.98425196850393659" l="0.78740157480314954" r="0.78740157480314954" t="0.98425196850393659" header="0.49212598450000788" footer="0.49212598450000788"/>
    <c:pageSetup paperSize="9" orientation="landscape" horizontalDpi="-4" verticalDpi="-4"/>
  </c:printSettings>
  <c:userShapes r:id="rId1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r>
              <a:rPr lang="fi-FI"/>
              <a:t>KOKONAISKÄYNTIMÄÄRÄ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2000</c:v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'N8'!#REF!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'N8'!#REF!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v>1999</c:v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'N8'!#REF!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'N8'!#REF!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645582848"/>
        <c:axId val="543041216"/>
      </c:barChart>
      <c:catAx>
        <c:axId val="645582848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54304121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43041216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64558284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MS Sans Serif"/>
              <a:ea typeface="MS Sans Serif"/>
              <a:cs typeface="MS Sans Serif"/>
            </a:defRPr>
          </a:pPr>
          <a:endParaRPr lang="fi-FI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fi-FI"/>
    </a:p>
  </c:txPr>
  <c:printSettings>
    <c:headerFooter alignWithMargins="0">
      <c:oddHeader>&amp;N</c:oddHeader>
      <c:oddFooter>Sivu &amp;S</c:oddFooter>
    </c:headerFooter>
    <c:pageMargins b="1" l="0.75000000000001465" r="0.75000000000001465" t="1" header="0.49212598450000788" footer="0.49212598450000788"/>
    <c:pageSetup paperSize="9" orientation="portrait" horizontalDpi="-4" verticalDpi="-4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25"/>
      <c:hPercent val="500"/>
      <c:rotY val="3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'N9'!#REF!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'N9'!#REF!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'N9'!#REF!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'N9'!#REF!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'N9'!#REF!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'N9'!#REF!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'N9'!#REF!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'N9'!#REF!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'N9'!#REF!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3"/>
        <c:gapDepth val="0"/>
        <c:shape val="box"/>
        <c:axId val="646389760"/>
        <c:axId val="543044096"/>
        <c:axId val="0"/>
      </c:bar3DChart>
      <c:catAx>
        <c:axId val="646389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54304409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4304409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64638976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MS Sans Serif"/>
              <a:ea typeface="MS Sans Serif"/>
              <a:cs typeface="MS Sans Serif"/>
            </a:defRPr>
          </a:pPr>
          <a:endParaRPr lang="fi-FI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fi-FI"/>
    </a:p>
  </c:txPr>
  <c:printSettings>
    <c:headerFooter alignWithMargins="0"/>
    <c:pageMargins b="0.98425196850393659" l="0.78740157480314954" r="0.78740157480314954" t="0.98425196850393659" header="0.49212598450000788" footer="0.49212598450000788"/>
    <c:pageSetup paperSize="9" orientation="landscape" horizontalDpi="-4" verticalDpi="-4"/>
  </c:printSettings>
  <c:userShapes r:id="rId1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25"/>
      <c:hPercent val="500"/>
      <c:rotY val="3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'N9'!#REF!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'N9'!#REF!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'N9'!#REF!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'N9'!#REF!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'N9'!#REF!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'N9'!#REF!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'N9'!#REF!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'N9'!#REF!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'N9'!#REF!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3"/>
        <c:gapDepth val="0"/>
        <c:shape val="box"/>
        <c:axId val="646392320"/>
        <c:axId val="543046400"/>
        <c:axId val="0"/>
      </c:bar3DChart>
      <c:catAx>
        <c:axId val="646392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54304640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430464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64639232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MS Sans Serif"/>
              <a:ea typeface="MS Sans Serif"/>
              <a:cs typeface="MS Sans Serif"/>
            </a:defRPr>
          </a:pPr>
          <a:endParaRPr lang="fi-FI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fi-FI"/>
    </a:p>
  </c:txPr>
  <c:printSettings>
    <c:headerFooter alignWithMargins="0"/>
    <c:pageMargins b="0.98425196850393659" l="0.78740157480314954" r="0.78740157480314954" t="0.98425196850393659" header="0.49212598450000788" footer="0.49212598450000788"/>
    <c:pageSetup paperSize="9" orientation="landscape" horizontalDpi="-4" verticalDpi="-4"/>
  </c:printSettings>
  <c:userShapes r:id="rId1"/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r>
              <a:rPr lang="fi-FI"/>
              <a:t>KOKONAISKÄYNTIMÄÄRÄ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2000</c:v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'N9'!#REF!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'N9'!#REF!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v>1999</c:v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'N9'!#REF!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'N9'!#REF!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646415872"/>
        <c:axId val="555902080"/>
      </c:barChart>
      <c:catAx>
        <c:axId val="646415872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55590208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55902080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64641587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MS Sans Serif"/>
              <a:ea typeface="MS Sans Serif"/>
              <a:cs typeface="MS Sans Serif"/>
            </a:defRPr>
          </a:pPr>
          <a:endParaRPr lang="fi-FI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fi-FI"/>
    </a:p>
  </c:txPr>
  <c:printSettings>
    <c:headerFooter alignWithMargins="0">
      <c:oddHeader>&amp;N</c:oddHeader>
      <c:oddFooter>Sivu &amp;S</c:oddFooter>
    </c:headerFooter>
    <c:pageMargins b="1" l="0.75000000000001465" r="0.75000000000001465" t="1" header="0.49212598450000788" footer="0.49212598450000788"/>
    <c:pageSetup paperSize="9" orientation="portrait" horizontalDpi="-4" verticalDpi="-4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25"/>
      <c:hPercent val="500"/>
      <c:rotY val="3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'N10'!#REF!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'N10'!#REF!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'N10'!#REF!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'N10'!#REF!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'N10'!#REF!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'N10'!#REF!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'N10'!#REF!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'N10'!#REF!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'N10'!#REF!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3"/>
        <c:gapDepth val="0"/>
        <c:shape val="box"/>
        <c:axId val="648369664"/>
        <c:axId val="555904960"/>
        <c:axId val="0"/>
      </c:bar3DChart>
      <c:catAx>
        <c:axId val="648369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55590496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5590496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64836966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MS Sans Serif"/>
              <a:ea typeface="MS Sans Serif"/>
              <a:cs typeface="MS Sans Serif"/>
            </a:defRPr>
          </a:pPr>
          <a:endParaRPr lang="fi-FI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fi-FI"/>
    </a:p>
  </c:txPr>
  <c:printSettings>
    <c:headerFooter alignWithMargins="0"/>
    <c:pageMargins b="0.98425196850393659" l="0.78740157480314954" r="0.78740157480314954" t="0.98425196850393659" header="0.49212598450000788" footer="0.49212598450000788"/>
    <c:pageSetup paperSize="9" orientation="landscape" horizontalDpi="-4" verticalDpi="-4"/>
  </c:printSettings>
  <c:userShapes r:id="rId1"/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25"/>
      <c:hPercent val="500"/>
      <c:rotY val="3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'N10'!#REF!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'N10'!#REF!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'N10'!#REF!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'N10'!#REF!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'N10'!#REF!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'N10'!#REF!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'N10'!#REF!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'N10'!#REF!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'N10'!#REF!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3"/>
        <c:gapDepth val="0"/>
        <c:shape val="box"/>
        <c:axId val="649724416"/>
        <c:axId val="555907264"/>
        <c:axId val="0"/>
      </c:bar3DChart>
      <c:catAx>
        <c:axId val="649724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55590726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559072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64972441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MS Sans Serif"/>
              <a:ea typeface="MS Sans Serif"/>
              <a:cs typeface="MS Sans Serif"/>
            </a:defRPr>
          </a:pPr>
          <a:endParaRPr lang="fi-FI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fi-FI"/>
    </a:p>
  </c:txPr>
  <c:printSettings>
    <c:headerFooter alignWithMargins="0"/>
    <c:pageMargins b="0.98425196850393659" l="0.78740157480314954" r="0.78740157480314954" t="0.98425196850393659" header="0.49212598450000788" footer="0.49212598450000788"/>
    <c:pageSetup paperSize="9" orientation="landscape" horizontalDpi="-4" verticalDpi="-4"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r>
              <a:rPr lang="fi-FI"/>
              <a:t>KOKONAISKÄYNTIMÄÄRÄ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2000</c:v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'N1'!#REF!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'N1'!#REF!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v>1999</c:v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'N1'!#REF!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'N1'!#REF!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622137344"/>
        <c:axId val="550188672"/>
      </c:barChart>
      <c:catAx>
        <c:axId val="622137344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55018867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50188672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62213734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MS Sans Serif"/>
              <a:ea typeface="MS Sans Serif"/>
              <a:cs typeface="MS Sans Serif"/>
            </a:defRPr>
          </a:pPr>
          <a:endParaRPr lang="fi-FI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fi-FI"/>
    </a:p>
  </c:txPr>
  <c:printSettings>
    <c:headerFooter alignWithMargins="0">
      <c:oddHeader>&amp;N</c:oddHeader>
      <c:oddFooter>Sivu &amp;S</c:oddFooter>
    </c:headerFooter>
    <c:pageMargins b="1" l="0.75000000000001465" r="0.75000000000001465" t="1" header="0.49212598450000788" footer="0.49212598450000788"/>
    <c:pageSetup paperSize="9" orientation="portrait" horizontalDpi="-4" vertic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r>
              <a:rPr lang="fi-FI"/>
              <a:t>KOKONAISKÄYNTIMÄÄRÄ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2000</c:v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'N10'!#REF!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'N10'!#REF!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v>1999</c:v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'N10'!#REF!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'N10'!#REF!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649724928"/>
        <c:axId val="555975232"/>
      </c:barChart>
      <c:catAx>
        <c:axId val="649724928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55597523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55975232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64972492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MS Sans Serif"/>
              <a:ea typeface="MS Sans Serif"/>
              <a:cs typeface="MS Sans Serif"/>
            </a:defRPr>
          </a:pPr>
          <a:endParaRPr lang="fi-FI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fi-FI"/>
    </a:p>
  </c:txPr>
  <c:printSettings>
    <c:headerFooter alignWithMargins="0">
      <c:oddHeader>&amp;N</c:oddHeader>
      <c:oddFooter>Sivu &amp;S</c:oddFooter>
    </c:headerFooter>
    <c:pageMargins b="1" l="0.75000000000001465" r="0.75000000000001465" t="1" header="0.49212598450000788" footer="0.49212598450000788"/>
    <c:pageSetup paperSize="9" orientation="portrait" horizontalDpi="-4" vertic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25"/>
      <c:hPercent val="500"/>
      <c:rotY val="3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'N11'!#REF!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'N11'!#REF!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'N11'!#REF!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'N11'!#REF!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'N11'!#REF!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'N11'!#REF!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'N11'!#REF!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'N11'!#REF!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'N11'!#REF!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3"/>
        <c:gapDepth val="0"/>
        <c:shape val="box"/>
        <c:axId val="649977344"/>
        <c:axId val="555978688"/>
        <c:axId val="0"/>
      </c:bar3DChart>
      <c:catAx>
        <c:axId val="649977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55597868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5597868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64997734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MS Sans Serif"/>
              <a:ea typeface="MS Sans Serif"/>
              <a:cs typeface="MS Sans Serif"/>
            </a:defRPr>
          </a:pPr>
          <a:endParaRPr lang="fi-FI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fi-FI"/>
    </a:p>
  </c:txPr>
  <c:printSettings>
    <c:headerFooter alignWithMargins="0"/>
    <c:pageMargins b="0.98425196850393659" l="0.78740157480314954" r="0.78740157480314954" t="0.98425196850393659" header="0.49212598450000788" footer="0.49212598450000788"/>
    <c:pageSetup paperSize="9" orientation="landscape" horizontalDpi="-4" verticalDpi="-4"/>
  </c:printSettings>
  <c:userShapes r:id="rId1"/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25"/>
      <c:hPercent val="500"/>
      <c:rotY val="3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'N11'!#REF!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'N11'!#REF!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'N11'!#REF!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'N11'!#REF!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'N11'!#REF!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'N11'!#REF!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'N11'!#REF!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'N11'!#REF!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'N11'!#REF!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3"/>
        <c:gapDepth val="0"/>
        <c:shape val="box"/>
        <c:axId val="650223616"/>
        <c:axId val="555980416"/>
        <c:axId val="0"/>
      </c:bar3DChart>
      <c:catAx>
        <c:axId val="650223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55598041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559804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65022361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MS Sans Serif"/>
              <a:ea typeface="MS Sans Serif"/>
              <a:cs typeface="MS Sans Serif"/>
            </a:defRPr>
          </a:pPr>
          <a:endParaRPr lang="fi-FI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fi-FI"/>
    </a:p>
  </c:txPr>
  <c:printSettings>
    <c:headerFooter alignWithMargins="0"/>
    <c:pageMargins b="0.98425196850393659" l="0.78740157480314954" r="0.78740157480314954" t="0.98425196850393659" header="0.49212598450000788" footer="0.49212598450000788"/>
    <c:pageSetup paperSize="9" orientation="landscape" horizontalDpi="-4" verticalDpi="-4"/>
  </c:printSettings>
  <c:userShapes r:id="rId1"/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r>
              <a:rPr lang="fi-FI"/>
              <a:t>KOKONAISKÄYNTIMÄÄRÄ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2000</c:v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'N11'!#REF!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'N11'!#REF!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v>1999</c:v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'N11'!#REF!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'N11'!#REF!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650226688"/>
        <c:axId val="69550080"/>
      </c:barChart>
      <c:catAx>
        <c:axId val="650226688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6955008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69550080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65022668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MS Sans Serif"/>
              <a:ea typeface="MS Sans Serif"/>
              <a:cs typeface="MS Sans Serif"/>
            </a:defRPr>
          </a:pPr>
          <a:endParaRPr lang="fi-FI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fi-FI"/>
    </a:p>
  </c:txPr>
  <c:printSettings>
    <c:headerFooter alignWithMargins="0">
      <c:oddHeader>&amp;N</c:oddHeader>
      <c:oddFooter>Sivu &amp;S</c:oddFooter>
    </c:headerFooter>
    <c:pageMargins b="1" l="0.75000000000001465" r="0.75000000000001465" t="1" header="0.49212598450000788" footer="0.49212598450000788"/>
    <c:pageSetup paperSize="9" orientation="portrait" horizontalDpi="-4" verticalDpi="-4"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25"/>
      <c:hPercent val="500"/>
      <c:rotY val="3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'N12'!#REF!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'N12'!#REF!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'N12'!#REF!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'N12'!#REF!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'N12'!#REF!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'N12'!#REF!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'N12'!#REF!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'N12'!#REF!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'N12'!#REF!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3"/>
        <c:gapDepth val="0"/>
        <c:shape val="box"/>
        <c:axId val="651112448"/>
        <c:axId val="69552960"/>
        <c:axId val="0"/>
      </c:bar3DChart>
      <c:catAx>
        <c:axId val="651112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6955296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6955296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65111244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MS Sans Serif"/>
              <a:ea typeface="MS Sans Serif"/>
              <a:cs typeface="MS Sans Serif"/>
            </a:defRPr>
          </a:pPr>
          <a:endParaRPr lang="fi-FI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fi-FI"/>
    </a:p>
  </c:txPr>
  <c:printSettings>
    <c:headerFooter alignWithMargins="0"/>
    <c:pageMargins b="0.98425196850393659" l="0.78740157480314954" r="0.78740157480314954" t="0.98425196850393659" header="0.49212598450000788" footer="0.49212598450000788"/>
    <c:pageSetup paperSize="9" orientation="landscape" horizontalDpi="-4" verticalDpi="-4"/>
  </c:printSettings>
  <c:userShapes r:id="rId1"/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25"/>
      <c:hPercent val="500"/>
      <c:rotY val="3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'N12'!#REF!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'N12'!#REF!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'N12'!#REF!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'N12'!#REF!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'N12'!#REF!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'N12'!#REF!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'N12'!#REF!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'N12'!#REF!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'N12'!#REF!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3"/>
        <c:gapDepth val="0"/>
        <c:shape val="box"/>
        <c:axId val="651115008"/>
        <c:axId val="69555264"/>
        <c:axId val="0"/>
      </c:bar3DChart>
      <c:catAx>
        <c:axId val="651115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6955526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695552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65111500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MS Sans Serif"/>
              <a:ea typeface="MS Sans Serif"/>
              <a:cs typeface="MS Sans Serif"/>
            </a:defRPr>
          </a:pPr>
          <a:endParaRPr lang="fi-FI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fi-FI"/>
    </a:p>
  </c:txPr>
  <c:printSettings>
    <c:headerFooter alignWithMargins="0"/>
    <c:pageMargins b="0.98425196850393659" l="0.78740157480314954" r="0.78740157480314954" t="0.98425196850393659" header="0.49212598450000788" footer="0.49212598450000788"/>
    <c:pageSetup paperSize="9" orientation="landscape" horizontalDpi="-4" verticalDpi="-4"/>
  </c:printSettings>
  <c:userShapes r:id="rId1"/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r>
              <a:rPr lang="fi-FI"/>
              <a:t>KOKONAISKÄYNTIMÄÄRÄ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2000</c:v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'N12'!#REF!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'N12'!#REF!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v>1999</c:v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'N12'!#REF!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'N12'!#REF!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651433472"/>
        <c:axId val="69557568"/>
      </c:barChart>
      <c:catAx>
        <c:axId val="651433472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6955756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69557568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65143347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MS Sans Serif"/>
              <a:ea typeface="MS Sans Serif"/>
              <a:cs typeface="MS Sans Serif"/>
            </a:defRPr>
          </a:pPr>
          <a:endParaRPr lang="fi-FI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fi-FI"/>
    </a:p>
  </c:txPr>
  <c:printSettings>
    <c:headerFooter alignWithMargins="0">
      <c:oddHeader>&amp;N</c:oddHeader>
      <c:oddFooter>Sivu &amp;S</c:oddFooter>
    </c:headerFooter>
    <c:pageMargins b="1" l="0.75000000000001465" r="0.75000000000001465" t="1" header="0.49212598450000788" footer="0.49212598450000788"/>
    <c:pageSetup paperSize="9" orientation="portrait" horizontalDpi="-4" verticalDpi="-4"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25"/>
      <c:hPercent val="500"/>
      <c:rotY val="3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'K1'!#REF!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'K1'!#REF!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'K1'!#REF!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'K1'!#REF!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'K1'!#REF!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'K1'!#REF!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'K1'!#REF!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'K1'!#REF!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'K1'!#REF!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3"/>
        <c:gapDepth val="0"/>
        <c:shape val="box"/>
        <c:axId val="653334016"/>
        <c:axId val="561088768"/>
        <c:axId val="0"/>
      </c:bar3DChart>
      <c:catAx>
        <c:axId val="653334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56108876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6108876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65333401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MS Sans Serif"/>
              <a:ea typeface="MS Sans Serif"/>
              <a:cs typeface="MS Sans Serif"/>
            </a:defRPr>
          </a:pPr>
          <a:endParaRPr lang="fi-FI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fi-FI"/>
    </a:p>
  </c:txPr>
  <c:printSettings>
    <c:headerFooter alignWithMargins="0"/>
    <c:pageMargins b="0.98425196850393659" l="0.78740157480314954" r="0.78740157480314954" t="0.98425196850393659" header="0.49212598450000788" footer="0.49212598450000788"/>
    <c:pageSetup paperSize="9" orientation="landscape" horizontalDpi="-4" verticalDpi="-4"/>
  </c:printSettings>
  <c:userShapes r:id="rId1"/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25"/>
      <c:hPercent val="500"/>
      <c:rotY val="3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'K1'!#REF!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'K1'!#REF!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'K1'!#REF!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'K1'!#REF!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'K1'!#REF!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'K1'!#REF!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'K1'!#REF!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'K1'!#REF!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'K1'!#REF!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3"/>
        <c:gapDepth val="0"/>
        <c:shape val="box"/>
        <c:axId val="653334528"/>
        <c:axId val="561091072"/>
        <c:axId val="0"/>
      </c:bar3DChart>
      <c:catAx>
        <c:axId val="653334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56109107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610910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65333452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MS Sans Serif"/>
              <a:ea typeface="MS Sans Serif"/>
              <a:cs typeface="MS Sans Serif"/>
            </a:defRPr>
          </a:pPr>
          <a:endParaRPr lang="fi-FI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fi-FI"/>
    </a:p>
  </c:txPr>
  <c:printSettings>
    <c:headerFooter alignWithMargins="0"/>
    <c:pageMargins b="0.98425196850393659" l="0.78740157480314954" r="0.78740157480314954" t="0.98425196850393659" header="0.49212598450000788" footer="0.49212598450000788"/>
    <c:pageSetup paperSize="9" orientation="landscape" horizontalDpi="-4" verticalDpi="-4"/>
  </c:printSettings>
  <c:userShapes r:id="rId1"/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r>
              <a:rPr lang="fi-FI"/>
              <a:t>KOKONAISKÄYNTIMÄÄRÄ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2000</c:v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'K1'!#REF!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'K1'!#REF!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v>1999</c:v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'K1'!#REF!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'K1'!#REF!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653684736"/>
        <c:axId val="561093376"/>
      </c:barChart>
      <c:catAx>
        <c:axId val="653684736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56109337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61093376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65368473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MS Sans Serif"/>
              <a:ea typeface="MS Sans Serif"/>
              <a:cs typeface="MS Sans Serif"/>
            </a:defRPr>
          </a:pPr>
          <a:endParaRPr lang="fi-FI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fi-FI"/>
    </a:p>
  </c:txPr>
  <c:printSettings>
    <c:headerFooter alignWithMargins="0">
      <c:oddHeader>&amp;N</c:oddHeader>
      <c:oddFooter>Sivu &amp;S</c:oddFooter>
    </c:headerFooter>
    <c:pageMargins b="1" l="0.75000000000001465" r="0.75000000000001465" t="1" header="0.49212598450000788" footer="0.49212598450000788"/>
    <c:pageSetup paperSize="9" orientation="portrait" horizontalDpi="-4" vertic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25"/>
      <c:hPercent val="500"/>
      <c:rotY val="3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'N2'!#REF!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'N2'!#REF!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'N2'!#REF!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'N2'!#REF!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'N2'!#REF!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'N2'!#REF!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'N2'!#REF!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'N2'!#REF!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'N2'!#REF!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3"/>
        <c:gapDepth val="0"/>
        <c:shape val="box"/>
        <c:axId val="623096320"/>
        <c:axId val="550265408"/>
        <c:axId val="0"/>
      </c:bar3DChart>
      <c:catAx>
        <c:axId val="623096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55026540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5026540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62309632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MS Sans Serif"/>
              <a:ea typeface="MS Sans Serif"/>
              <a:cs typeface="MS Sans Serif"/>
            </a:defRPr>
          </a:pPr>
          <a:endParaRPr lang="fi-FI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fi-FI"/>
    </a:p>
  </c:txPr>
  <c:printSettings>
    <c:headerFooter alignWithMargins="0"/>
    <c:pageMargins b="0.98425196850393659" l="0.78740157480314954" r="0.78740157480314954" t="0.98425196850393659" header="0.49212598450000788" footer="0.49212598450000788"/>
    <c:pageSetup paperSize="9" orientation="landscape" horizontalDpi="-4" verticalDpi="-4"/>
  </c:printSettings>
  <c:userShapes r:id="rId1"/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25"/>
      <c:hPercent val="500"/>
      <c:rotY val="3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'K2'!#REF!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'K2'!#REF!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'K2'!#REF!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'K2'!#REF!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'K2'!#REF!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'K2'!#REF!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'K2'!#REF!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'K2'!#REF!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'K2'!#REF!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3"/>
        <c:gapDepth val="0"/>
        <c:shape val="box"/>
        <c:axId val="654372864"/>
        <c:axId val="561252032"/>
        <c:axId val="0"/>
      </c:bar3DChart>
      <c:catAx>
        <c:axId val="654372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56125203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6125203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65437286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MS Sans Serif"/>
              <a:ea typeface="MS Sans Serif"/>
              <a:cs typeface="MS Sans Serif"/>
            </a:defRPr>
          </a:pPr>
          <a:endParaRPr lang="fi-FI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fi-FI"/>
    </a:p>
  </c:txPr>
  <c:printSettings>
    <c:headerFooter alignWithMargins="0"/>
    <c:pageMargins b="0.98425196850393659" l="0.78740157480314954" r="0.78740157480314954" t="0.98425196850393659" header="0.49212598450000788" footer="0.49212598450000788"/>
    <c:pageSetup paperSize="9" orientation="landscape" horizontalDpi="-4" verticalDpi="-4"/>
  </c:printSettings>
  <c:userShapes r:id="rId1"/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25"/>
      <c:hPercent val="500"/>
      <c:rotY val="3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'K2'!#REF!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'K2'!#REF!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'K2'!#REF!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'K2'!#REF!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'K2'!#REF!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'K2'!#REF!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'K2'!#REF!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'K2'!#REF!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'K2'!#REF!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3"/>
        <c:gapDepth val="0"/>
        <c:shape val="box"/>
        <c:axId val="654375936"/>
        <c:axId val="561254336"/>
        <c:axId val="0"/>
      </c:bar3DChart>
      <c:catAx>
        <c:axId val="654375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56125433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612543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65437593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MS Sans Serif"/>
              <a:ea typeface="MS Sans Serif"/>
              <a:cs typeface="MS Sans Serif"/>
            </a:defRPr>
          </a:pPr>
          <a:endParaRPr lang="fi-FI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fi-FI"/>
    </a:p>
  </c:txPr>
  <c:printSettings>
    <c:headerFooter alignWithMargins="0"/>
    <c:pageMargins b="0.98425196850393659" l="0.78740157480314954" r="0.78740157480314954" t="0.98425196850393659" header="0.49212598450000788" footer="0.49212598450000788"/>
    <c:pageSetup paperSize="9" orientation="landscape" horizontalDpi="-4" verticalDpi="-4"/>
  </c:printSettings>
  <c:userShapes r:id="rId1"/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r>
              <a:rPr lang="fi-FI"/>
              <a:t>KOKONAISKÄYNTIMÄÄRÄ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2000</c:v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'K2'!#REF!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'K2'!#REF!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v>1999</c:v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'K2'!#REF!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'K2'!#REF!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654476800"/>
        <c:axId val="561256640"/>
      </c:barChart>
      <c:catAx>
        <c:axId val="65447680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56125664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61256640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65447680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MS Sans Serif"/>
              <a:ea typeface="MS Sans Serif"/>
              <a:cs typeface="MS Sans Serif"/>
            </a:defRPr>
          </a:pPr>
          <a:endParaRPr lang="fi-FI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fi-FI"/>
    </a:p>
  </c:txPr>
  <c:printSettings>
    <c:headerFooter alignWithMargins="0">
      <c:oddHeader>&amp;N</c:oddHeader>
      <c:oddFooter>Sivu &amp;S</c:oddFooter>
    </c:headerFooter>
    <c:pageMargins b="1" l="0.75000000000001465" r="0.75000000000001465" t="1" header="0.49212598450000788" footer="0.49212598450000788"/>
    <c:pageSetup paperSize="9" orientation="portrait" horizontalDpi="-4" verticalDpi="-4"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25"/>
      <c:hPercent val="500"/>
      <c:rotY val="3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'K3'!#REF!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'K3'!#REF!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'K3'!#REF!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'K3'!#REF!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'K3'!#REF!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'K3'!#REF!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'K3'!#REF!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'K3'!#REF!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'K3'!#REF!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3"/>
        <c:gapDepth val="0"/>
        <c:shape val="box"/>
        <c:axId val="656782848"/>
        <c:axId val="561309376"/>
        <c:axId val="0"/>
      </c:bar3DChart>
      <c:catAx>
        <c:axId val="656782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56130937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6130937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65678284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MS Sans Serif"/>
              <a:ea typeface="MS Sans Serif"/>
              <a:cs typeface="MS Sans Serif"/>
            </a:defRPr>
          </a:pPr>
          <a:endParaRPr lang="fi-FI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fi-FI"/>
    </a:p>
  </c:txPr>
  <c:printSettings>
    <c:headerFooter alignWithMargins="0"/>
    <c:pageMargins b="0.98425196850393659" l="0.78740157480314954" r="0.78740157480314954" t="0.98425196850393659" header="0.49212598450000788" footer="0.49212598450000788"/>
    <c:pageSetup paperSize="9" orientation="landscape" horizontalDpi="-4" verticalDpi="-4"/>
  </c:printSettings>
  <c:userShapes r:id="rId1"/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25"/>
      <c:hPercent val="500"/>
      <c:rotY val="3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'K3'!#REF!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'K3'!#REF!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'K3'!#REF!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'K3'!#REF!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'K3'!#REF!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'K3'!#REF!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'K3'!#REF!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'K3'!#REF!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'K3'!#REF!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3"/>
        <c:gapDepth val="0"/>
        <c:shape val="box"/>
        <c:axId val="656783360"/>
        <c:axId val="561311104"/>
        <c:axId val="0"/>
      </c:bar3DChart>
      <c:catAx>
        <c:axId val="656783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56131110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613111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65678336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MS Sans Serif"/>
              <a:ea typeface="MS Sans Serif"/>
              <a:cs typeface="MS Sans Serif"/>
            </a:defRPr>
          </a:pPr>
          <a:endParaRPr lang="fi-FI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fi-FI"/>
    </a:p>
  </c:txPr>
  <c:printSettings>
    <c:headerFooter alignWithMargins="0"/>
    <c:pageMargins b="0.98425196850393659" l="0.78740157480314954" r="0.78740157480314954" t="0.98425196850393659" header="0.49212598450000788" footer="0.49212598450000788"/>
    <c:pageSetup paperSize="9" orientation="landscape" horizontalDpi="-4" verticalDpi="-4"/>
  </c:printSettings>
  <c:userShapes r:id="rId1"/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r>
              <a:rPr lang="fi-FI"/>
              <a:t>KOKONAISKÄYNTIMÄÄRÄ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2000</c:v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'K3'!#REF!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'K3'!#REF!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v>1999</c:v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'K3'!#REF!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'K3'!#REF!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657240064"/>
        <c:axId val="561313408"/>
      </c:barChart>
      <c:catAx>
        <c:axId val="657240064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56131340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61313408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65724006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MS Sans Serif"/>
              <a:ea typeface="MS Sans Serif"/>
              <a:cs typeface="MS Sans Serif"/>
            </a:defRPr>
          </a:pPr>
          <a:endParaRPr lang="fi-FI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fi-FI"/>
    </a:p>
  </c:txPr>
  <c:printSettings>
    <c:headerFooter alignWithMargins="0">
      <c:oddHeader>&amp;N</c:oddHeader>
      <c:oddFooter>Sivu &amp;S</c:oddFooter>
    </c:headerFooter>
    <c:pageMargins b="1" l="0.75000000000001465" r="0.75000000000001465" t="1" header="0.49212598450000788" footer="0.49212598450000788"/>
    <c:pageSetup paperSize="9" orientation="portrait" horizontalDpi="-4" verticalDpi="-4"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25"/>
      <c:hPercent val="500"/>
      <c:rotY val="3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'K4'!#REF!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'K4'!#REF!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'K4'!#REF!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'K4'!#REF!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'K4'!#REF!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'K4'!#REF!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'K4'!#REF!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'K4'!#REF!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'K4'!#REF!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3"/>
        <c:gapDepth val="0"/>
        <c:shape val="box"/>
        <c:axId val="657626624"/>
        <c:axId val="561537600"/>
        <c:axId val="0"/>
      </c:bar3DChart>
      <c:catAx>
        <c:axId val="657626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56153760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6153760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65762662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MS Sans Serif"/>
              <a:ea typeface="MS Sans Serif"/>
              <a:cs typeface="MS Sans Serif"/>
            </a:defRPr>
          </a:pPr>
          <a:endParaRPr lang="fi-FI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fi-FI"/>
    </a:p>
  </c:txPr>
  <c:printSettings>
    <c:headerFooter alignWithMargins="0"/>
    <c:pageMargins b="0.98425196850393659" l="0.78740157480314954" r="0.78740157480314954" t="0.98425196850393659" header="0.49212598450000788" footer="0.49212598450000788"/>
    <c:pageSetup paperSize="9" orientation="landscape" horizontalDpi="-4" verticalDpi="-4"/>
  </c:printSettings>
  <c:userShapes r:id="rId1"/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25"/>
      <c:hPercent val="500"/>
      <c:rotY val="3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'K4'!#REF!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'K4'!#REF!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'K4'!#REF!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'K4'!#REF!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'K4'!#REF!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'K4'!#REF!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'K4'!#REF!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'K4'!#REF!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'K4'!#REF!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3"/>
        <c:gapDepth val="0"/>
        <c:shape val="box"/>
        <c:axId val="657860608"/>
        <c:axId val="561539904"/>
        <c:axId val="0"/>
      </c:bar3DChart>
      <c:catAx>
        <c:axId val="657860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56153990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615399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65786060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MS Sans Serif"/>
              <a:ea typeface="MS Sans Serif"/>
              <a:cs typeface="MS Sans Serif"/>
            </a:defRPr>
          </a:pPr>
          <a:endParaRPr lang="fi-FI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fi-FI"/>
    </a:p>
  </c:txPr>
  <c:printSettings>
    <c:headerFooter alignWithMargins="0"/>
    <c:pageMargins b="0.98425196850393659" l="0.78740157480314954" r="0.78740157480314954" t="0.98425196850393659" header="0.49212598450000788" footer="0.49212598450000788"/>
    <c:pageSetup paperSize="9" orientation="landscape" horizontalDpi="-4" verticalDpi="-4"/>
  </c:printSettings>
  <c:userShapes r:id="rId1"/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r>
              <a:rPr lang="fi-FI"/>
              <a:t>KOKONAISKÄYNTIMÄÄRÄ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2000</c:v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'K4'!#REF!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'K4'!#REF!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v>1999</c:v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'K4'!#REF!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'K4'!#REF!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657858560"/>
        <c:axId val="561542208"/>
      </c:barChart>
      <c:catAx>
        <c:axId val="65785856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56154220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61542208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65785856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MS Sans Serif"/>
              <a:ea typeface="MS Sans Serif"/>
              <a:cs typeface="MS Sans Serif"/>
            </a:defRPr>
          </a:pPr>
          <a:endParaRPr lang="fi-FI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fi-FI"/>
    </a:p>
  </c:txPr>
  <c:printSettings>
    <c:headerFooter alignWithMargins="0">
      <c:oddHeader>&amp;N</c:oddHeader>
      <c:oddFooter>Sivu &amp;S</c:oddFooter>
    </c:headerFooter>
    <c:pageMargins b="1" l="0.75000000000001465" r="0.75000000000001465" t="1" header="0.49212598450000788" footer="0.49212598450000788"/>
    <c:pageSetup paperSize="9" orientation="portrait" horizontalDpi="-4" verticalDpi="-4"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25"/>
      <c:hPercent val="500"/>
      <c:rotY val="3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'K5'!#REF!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'K5'!#REF!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'K5'!#REF!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'K5'!#REF!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'K5'!#REF!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'K5'!#REF!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'K5'!#REF!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'K5'!#REF!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'K5'!#REF!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3"/>
        <c:gapDepth val="0"/>
        <c:shape val="box"/>
        <c:axId val="656252416"/>
        <c:axId val="561600704"/>
        <c:axId val="0"/>
      </c:bar3DChart>
      <c:catAx>
        <c:axId val="656252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56160070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6160070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65625241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MS Sans Serif"/>
              <a:ea typeface="MS Sans Serif"/>
              <a:cs typeface="MS Sans Serif"/>
            </a:defRPr>
          </a:pPr>
          <a:endParaRPr lang="fi-FI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fi-FI"/>
    </a:p>
  </c:txPr>
  <c:printSettings>
    <c:headerFooter alignWithMargins="0"/>
    <c:pageMargins b="0.98425196850393659" l="0.78740157480314954" r="0.78740157480314954" t="0.98425196850393659" header="0.49212598450000788" footer="0.49212598450000788"/>
    <c:pageSetup paperSize="9" orientation="landscape" horizontalDpi="-4" verticalDpi="-4"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25"/>
      <c:hPercent val="500"/>
      <c:rotY val="3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'N2'!#REF!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'N2'!#REF!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'N2'!#REF!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'N2'!#REF!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'N2'!#REF!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'N2'!#REF!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'N2'!#REF!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'N2'!#REF!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'N2'!#REF!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3"/>
        <c:gapDepth val="0"/>
        <c:shape val="box"/>
        <c:axId val="623059968"/>
        <c:axId val="550267712"/>
        <c:axId val="0"/>
      </c:bar3DChart>
      <c:catAx>
        <c:axId val="623059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55026771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502677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62305996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MS Sans Serif"/>
              <a:ea typeface="MS Sans Serif"/>
              <a:cs typeface="MS Sans Serif"/>
            </a:defRPr>
          </a:pPr>
          <a:endParaRPr lang="fi-FI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fi-FI"/>
    </a:p>
  </c:txPr>
  <c:printSettings>
    <c:headerFooter alignWithMargins="0"/>
    <c:pageMargins b="0.98425196850393659" l="0.78740157480314954" r="0.78740157480314954" t="0.98425196850393659" header="0.49212598450000788" footer="0.49212598450000788"/>
    <c:pageSetup paperSize="9" orientation="landscape" horizontalDpi="-4" verticalDpi="-4"/>
  </c:printSettings>
  <c:userShapes r:id="rId1"/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25"/>
      <c:hPercent val="500"/>
      <c:rotY val="3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'K5'!#REF!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'K5'!#REF!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'K5'!#REF!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'K5'!#REF!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'K5'!#REF!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'K5'!#REF!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'K5'!#REF!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'K5'!#REF!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'K5'!#REF!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3"/>
        <c:gapDepth val="0"/>
        <c:shape val="box"/>
        <c:axId val="656752640"/>
        <c:axId val="561619520"/>
        <c:axId val="0"/>
      </c:bar3DChart>
      <c:catAx>
        <c:axId val="656752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56161952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616195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65675264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MS Sans Serif"/>
              <a:ea typeface="MS Sans Serif"/>
              <a:cs typeface="MS Sans Serif"/>
            </a:defRPr>
          </a:pPr>
          <a:endParaRPr lang="fi-FI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fi-FI"/>
    </a:p>
  </c:txPr>
  <c:printSettings>
    <c:headerFooter alignWithMargins="0"/>
    <c:pageMargins b="0.98425196850393659" l="0.78740157480314954" r="0.78740157480314954" t="0.98425196850393659" header="0.49212598450000788" footer="0.49212598450000788"/>
    <c:pageSetup paperSize="9" orientation="landscape" horizontalDpi="-4" verticalDpi="-4"/>
  </c:printSettings>
  <c:userShapes r:id="rId1"/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r>
              <a:rPr lang="fi-FI"/>
              <a:t>KOKONAISKÄYNTIMÄÄRÄ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2000</c:v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'K5'!#REF!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'K5'!#REF!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v>1999</c:v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'K5'!#REF!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'K5'!#REF!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658566656"/>
        <c:axId val="561621824"/>
      </c:barChart>
      <c:catAx>
        <c:axId val="658566656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56162182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61621824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65856665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MS Sans Serif"/>
              <a:ea typeface="MS Sans Serif"/>
              <a:cs typeface="MS Sans Serif"/>
            </a:defRPr>
          </a:pPr>
          <a:endParaRPr lang="fi-FI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fi-FI"/>
    </a:p>
  </c:txPr>
  <c:printSettings>
    <c:headerFooter alignWithMargins="0">
      <c:oddHeader>&amp;N</c:oddHeader>
      <c:oddFooter>Sivu &amp;S</c:oddFooter>
    </c:headerFooter>
    <c:pageMargins b="1" l="0.75000000000001465" r="0.75000000000001465" t="1" header="0.49212598450000788" footer="0.49212598450000788"/>
    <c:pageSetup paperSize="9" orientation="portrait" horizontalDpi="-4" verticalDpi="-4"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25"/>
      <c:hPercent val="500"/>
      <c:rotY val="3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'K6'!#REF!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'K6'!#REF!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'K6'!#REF!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'K6'!#REF!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'K6'!#REF!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'K6'!#REF!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'K6'!#REF!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'K6'!#REF!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'K6'!#REF!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3"/>
        <c:gapDepth val="0"/>
        <c:shape val="box"/>
        <c:axId val="659560448"/>
        <c:axId val="561596096"/>
        <c:axId val="0"/>
      </c:bar3DChart>
      <c:catAx>
        <c:axId val="659560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56159609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6159609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65956044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MS Sans Serif"/>
              <a:ea typeface="MS Sans Serif"/>
              <a:cs typeface="MS Sans Serif"/>
            </a:defRPr>
          </a:pPr>
          <a:endParaRPr lang="fi-FI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fi-FI"/>
    </a:p>
  </c:txPr>
  <c:printSettings>
    <c:headerFooter alignWithMargins="0"/>
    <c:pageMargins b="0.98425196850393659" l="0.78740157480314954" r="0.78740157480314954" t="0.98425196850393659" header="0.49212598450000788" footer="0.49212598450000788"/>
    <c:pageSetup paperSize="9" orientation="landscape" horizontalDpi="-4" verticalDpi="-4"/>
  </c:printSettings>
  <c:userShapes r:id="rId1"/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25"/>
      <c:hPercent val="500"/>
      <c:rotY val="3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'K6'!#REF!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'K6'!#REF!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'K6'!#REF!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'K6'!#REF!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'K6'!#REF!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'K6'!#REF!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'K6'!#REF!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'K6'!#REF!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'K6'!#REF!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3"/>
        <c:gapDepth val="0"/>
        <c:shape val="box"/>
        <c:axId val="659561472"/>
        <c:axId val="560511744"/>
        <c:axId val="0"/>
      </c:bar3DChart>
      <c:catAx>
        <c:axId val="659561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56051174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605117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65956147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MS Sans Serif"/>
              <a:ea typeface="MS Sans Serif"/>
              <a:cs typeface="MS Sans Serif"/>
            </a:defRPr>
          </a:pPr>
          <a:endParaRPr lang="fi-FI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fi-FI"/>
    </a:p>
  </c:txPr>
  <c:printSettings>
    <c:headerFooter alignWithMargins="0"/>
    <c:pageMargins b="0.98425196850393659" l="0.78740157480314954" r="0.78740157480314954" t="0.98425196850393659" header="0.49212598450000788" footer="0.49212598450000788"/>
    <c:pageSetup paperSize="9" orientation="landscape" horizontalDpi="-4" verticalDpi="-4"/>
  </c:printSettings>
  <c:userShapes r:id="rId1"/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r>
              <a:rPr lang="fi-FI"/>
              <a:t>KOKONAISKÄYNTIMÄÄRÄ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2000</c:v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'K6'!#REF!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'K6'!#REF!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v>1999</c:v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'K6'!#REF!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'K6'!#REF!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661094400"/>
        <c:axId val="561594368"/>
      </c:barChart>
      <c:catAx>
        <c:axId val="66109440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56159436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61594368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66109440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MS Sans Serif"/>
              <a:ea typeface="MS Sans Serif"/>
              <a:cs typeface="MS Sans Serif"/>
            </a:defRPr>
          </a:pPr>
          <a:endParaRPr lang="fi-FI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fi-FI"/>
    </a:p>
  </c:txPr>
  <c:printSettings>
    <c:headerFooter alignWithMargins="0">
      <c:oddHeader>&amp;N</c:oddHeader>
      <c:oddFooter>Sivu &amp;S</c:oddFooter>
    </c:headerFooter>
    <c:pageMargins b="1" l="0.75000000000001465" r="0.75000000000001465" t="1" header="0.49212598450000788" footer="0.49212598450000788"/>
    <c:pageSetup paperSize="9" orientation="portrait" horizontalDpi="-4" verticalDpi="-4"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25"/>
      <c:hPercent val="500"/>
      <c:rotY val="3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'K7'!#REF!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'K7'!#REF!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'K7'!#REF!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'K7'!#REF!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'K7'!#REF!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'K7'!#REF!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'K7'!#REF!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'K7'!#REF!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'K7'!#REF!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3"/>
        <c:gapDepth val="0"/>
        <c:shape val="box"/>
        <c:axId val="667440128"/>
        <c:axId val="561594944"/>
        <c:axId val="0"/>
      </c:bar3DChart>
      <c:catAx>
        <c:axId val="667440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56159494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615949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66744012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MS Sans Serif"/>
              <a:ea typeface="MS Sans Serif"/>
              <a:cs typeface="MS Sans Serif"/>
            </a:defRPr>
          </a:pPr>
          <a:endParaRPr lang="fi-FI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fi-FI"/>
    </a:p>
  </c:txPr>
  <c:printSettings>
    <c:headerFooter alignWithMargins="0"/>
    <c:pageMargins b="0.98425196850393659" l="0.78740157480314954" r="0.78740157480314954" t="0.98425196850393659" header="0.49212598450000788" footer="0.49212598450000788"/>
    <c:pageSetup paperSize="9" orientation="landscape" horizontalDpi="-4" verticalDpi="-4"/>
  </c:printSettings>
  <c:userShapes r:id="rId1"/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25"/>
      <c:hPercent val="500"/>
      <c:rotY val="3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'K7'!#REF!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'K7'!#REF!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'K7'!#REF!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'K7'!#REF!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'K7'!#REF!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'K7'!#REF!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'K7'!#REF!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'K7'!#REF!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'K7'!#REF!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3"/>
        <c:gapDepth val="0"/>
        <c:shape val="box"/>
        <c:axId val="667441152"/>
        <c:axId val="560506560"/>
        <c:axId val="0"/>
      </c:bar3DChart>
      <c:catAx>
        <c:axId val="667441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56050656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605065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66744115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MS Sans Serif"/>
              <a:ea typeface="MS Sans Serif"/>
              <a:cs typeface="MS Sans Serif"/>
            </a:defRPr>
          </a:pPr>
          <a:endParaRPr lang="fi-FI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fi-FI"/>
    </a:p>
  </c:txPr>
  <c:printSettings>
    <c:headerFooter alignWithMargins="0"/>
    <c:pageMargins b="0.98425196850393659" l="0.78740157480314954" r="0.78740157480314954" t="0.98425196850393659" header="0.49212598450000788" footer="0.49212598450000788"/>
    <c:pageSetup paperSize="9" orientation="landscape" horizontalDpi="-4" verticalDpi="-4"/>
  </c:printSettings>
  <c:userShapes r:id="rId1"/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r>
              <a:rPr lang="fi-FI"/>
              <a:t>KOKONAISKÄYNTIMÄÄRÄ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2000</c:v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'K7'!#REF!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'K7'!#REF!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v>1999</c:v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'K7'!#REF!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'K7'!#REF!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667442688"/>
        <c:axId val="561598400"/>
      </c:barChart>
      <c:catAx>
        <c:axId val="667442688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56159840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61598400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66744268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MS Sans Serif"/>
              <a:ea typeface="MS Sans Serif"/>
              <a:cs typeface="MS Sans Serif"/>
            </a:defRPr>
          </a:pPr>
          <a:endParaRPr lang="fi-FI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fi-FI"/>
    </a:p>
  </c:txPr>
  <c:printSettings>
    <c:headerFooter alignWithMargins="0">
      <c:oddHeader>&amp;N</c:oddHeader>
      <c:oddFooter>Sivu &amp;S</c:oddFooter>
    </c:headerFooter>
    <c:pageMargins b="1" l="0.75000000000001465" r="0.75000000000001465" t="1" header="0.49212598450000788" footer="0.49212598450000788"/>
    <c:pageSetup paperSize="9" orientation="portrait" horizontalDpi="-4" verticalDpi="-4"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25"/>
      <c:hPercent val="500"/>
      <c:rotY val="3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'K8'!#REF!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'K8'!#REF!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'K8'!#REF!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'K8'!#REF!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'K8'!#REF!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'K8'!#REF!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'K8'!#REF!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'K8'!#REF!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'K8'!#REF!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3"/>
        <c:gapDepth val="0"/>
        <c:shape val="box"/>
        <c:axId val="670213120"/>
        <c:axId val="561775168"/>
        <c:axId val="0"/>
      </c:bar3DChart>
      <c:catAx>
        <c:axId val="670213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56177516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6177516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67021312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MS Sans Serif"/>
              <a:ea typeface="MS Sans Serif"/>
              <a:cs typeface="MS Sans Serif"/>
            </a:defRPr>
          </a:pPr>
          <a:endParaRPr lang="fi-FI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fi-FI"/>
    </a:p>
  </c:txPr>
  <c:printSettings>
    <c:headerFooter alignWithMargins="0"/>
    <c:pageMargins b="0.98425196850393659" l="0.78740157480314954" r="0.78740157480314954" t="0.98425196850393659" header="0.49212598450000788" footer="0.49212598450000788"/>
    <c:pageSetup paperSize="9" orientation="landscape" horizontalDpi="-4" verticalDpi="-4"/>
  </c:printSettings>
  <c:userShapes r:id="rId1"/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25"/>
      <c:hPercent val="500"/>
      <c:rotY val="3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'K8'!#REF!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'K8'!#REF!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'K8'!#REF!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'K8'!#REF!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'K8'!#REF!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'K8'!#REF!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'K8'!#REF!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'K8'!#REF!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'K8'!#REF!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3"/>
        <c:gapDepth val="0"/>
        <c:shape val="box"/>
        <c:axId val="670215168"/>
        <c:axId val="561776896"/>
        <c:axId val="0"/>
      </c:bar3DChart>
      <c:catAx>
        <c:axId val="670215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56177689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617768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67021516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MS Sans Serif"/>
              <a:ea typeface="MS Sans Serif"/>
              <a:cs typeface="MS Sans Serif"/>
            </a:defRPr>
          </a:pPr>
          <a:endParaRPr lang="fi-FI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fi-FI"/>
    </a:p>
  </c:txPr>
  <c:printSettings>
    <c:headerFooter alignWithMargins="0"/>
    <c:pageMargins b="0.98425196850393659" l="0.78740157480314954" r="0.78740157480314954" t="0.98425196850393659" header="0.49212598450000788" footer="0.49212598450000788"/>
    <c:pageSetup paperSize="9" orientation="landscape" horizontalDpi="-4" verticalDpi="-4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r>
              <a:rPr lang="fi-FI"/>
              <a:t>KOKONAISKÄYNTIMÄÄRÄ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2000</c:v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'N2'!#REF!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'N2'!#REF!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v>1999</c:v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'N2'!#REF!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'N2'!#REF!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623148544"/>
        <c:axId val="550270016"/>
      </c:barChart>
      <c:catAx>
        <c:axId val="623148544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55027001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50270016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62314854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MS Sans Serif"/>
              <a:ea typeface="MS Sans Serif"/>
              <a:cs typeface="MS Sans Serif"/>
            </a:defRPr>
          </a:pPr>
          <a:endParaRPr lang="fi-FI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fi-FI"/>
    </a:p>
  </c:txPr>
  <c:printSettings>
    <c:headerFooter alignWithMargins="0">
      <c:oddHeader>&amp;N</c:oddHeader>
      <c:oddFooter>Sivu &amp;S</c:oddFooter>
    </c:headerFooter>
    <c:pageMargins b="1" l="0.75000000000001465" r="0.75000000000001465" t="1" header="0.49212598450000788" footer="0.49212598450000788"/>
    <c:pageSetup paperSize="9" orientation="portrait" horizontalDpi="-4" verticalDpi="-4"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r>
              <a:rPr lang="fi-FI"/>
              <a:t>KOKONAISKÄYNTIMÄÄRÄ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2000</c:v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'K8'!#REF!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'K8'!#REF!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v>1999</c:v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'K8'!#REF!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'K8'!#REF!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670373888"/>
        <c:axId val="561779200"/>
      </c:barChart>
      <c:catAx>
        <c:axId val="670373888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56177920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61779200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67037388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MS Sans Serif"/>
              <a:ea typeface="MS Sans Serif"/>
              <a:cs typeface="MS Sans Serif"/>
            </a:defRPr>
          </a:pPr>
          <a:endParaRPr lang="fi-FI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fi-FI"/>
    </a:p>
  </c:txPr>
  <c:printSettings>
    <c:headerFooter alignWithMargins="0">
      <c:oddHeader>&amp;N</c:oddHeader>
      <c:oddFooter>Sivu &amp;S</c:oddFooter>
    </c:headerFooter>
    <c:pageMargins b="1" l="0.75000000000001465" r="0.75000000000001465" t="1" header="0.49212598450000788" footer="0.49212598450000788"/>
    <c:pageSetup paperSize="9" orientation="portrait" horizontalDpi="-4" verticalDpi="-4"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25"/>
      <c:hPercent val="500"/>
      <c:rotY val="3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'K9'!#REF!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'K9'!#REF!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'K9'!#REF!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'K9'!#REF!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'K9'!#REF!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'K9'!#REF!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'K9'!#REF!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'K9'!#REF!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'K9'!#REF!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3"/>
        <c:gapDepth val="0"/>
        <c:shape val="box"/>
        <c:axId val="680843264"/>
        <c:axId val="561782080"/>
        <c:axId val="0"/>
      </c:bar3DChart>
      <c:catAx>
        <c:axId val="680843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56178208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6178208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68084326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MS Sans Serif"/>
              <a:ea typeface="MS Sans Serif"/>
              <a:cs typeface="MS Sans Serif"/>
            </a:defRPr>
          </a:pPr>
          <a:endParaRPr lang="fi-FI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fi-FI"/>
    </a:p>
  </c:txPr>
  <c:printSettings>
    <c:headerFooter alignWithMargins="0"/>
    <c:pageMargins b="0.98425196850393659" l="0.78740157480314954" r="0.78740157480314954" t="0.98425196850393659" header="0.49212598450000788" footer="0.49212598450000788"/>
    <c:pageSetup paperSize="9" orientation="landscape" horizontalDpi="-4" verticalDpi="-4"/>
  </c:printSettings>
  <c:userShapes r:id="rId1"/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25"/>
      <c:hPercent val="500"/>
      <c:rotY val="3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'K9'!#REF!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'K9'!#REF!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'K9'!#REF!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'K9'!#REF!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'K9'!#REF!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'K9'!#REF!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'K9'!#REF!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'K9'!#REF!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'K9'!#REF!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3"/>
        <c:gapDepth val="0"/>
        <c:shape val="box"/>
        <c:axId val="680875520"/>
        <c:axId val="561825472"/>
        <c:axId val="0"/>
      </c:bar3DChart>
      <c:catAx>
        <c:axId val="680875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56182547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618254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68087552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MS Sans Serif"/>
              <a:ea typeface="MS Sans Serif"/>
              <a:cs typeface="MS Sans Serif"/>
            </a:defRPr>
          </a:pPr>
          <a:endParaRPr lang="fi-FI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fi-FI"/>
    </a:p>
  </c:txPr>
  <c:printSettings>
    <c:headerFooter alignWithMargins="0"/>
    <c:pageMargins b="0.98425196850393659" l="0.78740157480314954" r="0.78740157480314954" t="0.98425196850393659" header="0.49212598450000788" footer="0.49212598450000788"/>
    <c:pageSetup paperSize="9" orientation="landscape" horizontalDpi="-4" verticalDpi="-4"/>
  </c:printSettings>
  <c:userShapes r:id="rId1"/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r>
              <a:rPr lang="fi-FI"/>
              <a:t>KOKONAISKÄYNTIMÄÄRÄ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2000</c:v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'K9'!#REF!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'K9'!#REF!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v>1999</c:v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'K9'!#REF!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'K9'!#REF!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680896000"/>
        <c:axId val="561827776"/>
      </c:barChart>
      <c:catAx>
        <c:axId val="68089600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56182777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61827776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68089600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MS Sans Serif"/>
              <a:ea typeface="MS Sans Serif"/>
              <a:cs typeface="MS Sans Serif"/>
            </a:defRPr>
          </a:pPr>
          <a:endParaRPr lang="fi-FI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fi-FI"/>
    </a:p>
  </c:txPr>
  <c:printSettings>
    <c:headerFooter alignWithMargins="0">
      <c:oddHeader>&amp;N</c:oddHeader>
      <c:oddFooter>Sivu &amp;S</c:oddFooter>
    </c:headerFooter>
    <c:pageMargins b="1" l="0.75000000000001465" r="0.75000000000001465" t="1" header="0.49212598450000788" footer="0.49212598450000788"/>
    <c:pageSetup paperSize="9" orientation="portrait" horizontalDpi="-4" verticalDpi="-4"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25"/>
      <c:hPercent val="500"/>
      <c:rotY val="3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'K10'!#REF!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'K10'!#REF!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'K10'!#REF!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'K10'!#REF!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'K10'!#REF!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'K10'!#REF!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'K10'!#REF!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'K10'!#REF!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'K10'!#REF!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3"/>
        <c:gapDepth val="0"/>
        <c:shape val="box"/>
        <c:axId val="687322624"/>
        <c:axId val="561830656"/>
        <c:axId val="0"/>
      </c:bar3DChart>
      <c:catAx>
        <c:axId val="687322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56183065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6183065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68732262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MS Sans Serif"/>
              <a:ea typeface="MS Sans Serif"/>
              <a:cs typeface="MS Sans Serif"/>
            </a:defRPr>
          </a:pPr>
          <a:endParaRPr lang="fi-FI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fi-FI"/>
    </a:p>
  </c:txPr>
  <c:printSettings>
    <c:headerFooter alignWithMargins="0"/>
    <c:pageMargins b="0.98425196850393659" l="0.78740157480314954" r="0.78740157480314954" t="0.98425196850393659" header="0.49212598450000788" footer="0.49212598450000788"/>
    <c:pageSetup paperSize="9" orientation="landscape" horizontalDpi="-4" verticalDpi="-4"/>
  </c:printSettings>
  <c:userShapes r:id="rId1"/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25"/>
      <c:hPercent val="500"/>
      <c:rotY val="3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'K10'!#REF!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'K10'!#REF!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'K10'!#REF!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'K10'!#REF!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'K10'!#REF!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'K10'!#REF!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'K10'!#REF!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'K10'!#REF!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'K10'!#REF!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3"/>
        <c:gapDepth val="0"/>
        <c:shape val="box"/>
        <c:axId val="562446336"/>
        <c:axId val="561915008"/>
        <c:axId val="0"/>
      </c:bar3DChart>
      <c:catAx>
        <c:axId val="562446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56191500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619150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56244633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MS Sans Serif"/>
              <a:ea typeface="MS Sans Serif"/>
              <a:cs typeface="MS Sans Serif"/>
            </a:defRPr>
          </a:pPr>
          <a:endParaRPr lang="fi-FI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fi-FI"/>
    </a:p>
  </c:txPr>
  <c:printSettings>
    <c:headerFooter alignWithMargins="0"/>
    <c:pageMargins b="0.98425196850393659" l="0.78740157480314954" r="0.78740157480314954" t="0.98425196850393659" header="0.49212598450000788" footer="0.49212598450000788"/>
    <c:pageSetup paperSize="9" orientation="landscape" horizontalDpi="-4" verticalDpi="-4"/>
  </c:printSettings>
  <c:userShapes r:id="rId1"/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r>
              <a:rPr lang="fi-FI"/>
              <a:t>KOKONAISKÄYNTIMÄÄRÄ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2000</c:v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'K10'!#REF!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'K10'!#REF!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v>1999</c:v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'K10'!#REF!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'K10'!#REF!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562446848"/>
        <c:axId val="561917312"/>
      </c:barChart>
      <c:catAx>
        <c:axId val="562446848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56191731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61917312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56244684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MS Sans Serif"/>
              <a:ea typeface="MS Sans Serif"/>
              <a:cs typeface="MS Sans Serif"/>
            </a:defRPr>
          </a:pPr>
          <a:endParaRPr lang="fi-FI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fi-FI"/>
    </a:p>
  </c:txPr>
  <c:printSettings>
    <c:headerFooter alignWithMargins="0">
      <c:oddHeader>&amp;N</c:oddHeader>
      <c:oddFooter>Sivu &amp;S</c:oddFooter>
    </c:headerFooter>
    <c:pageMargins b="1" l="0.75000000000001465" r="0.75000000000001465" t="1" header="0.49212598450000788" footer="0.49212598450000788"/>
    <c:pageSetup paperSize="9" orientation="portrait" horizontalDpi="-4" verticalDpi="-4"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25"/>
      <c:hPercent val="500"/>
      <c:rotY val="3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'K11'!#REF!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'K11'!#REF!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'K11'!#REF!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'K11'!#REF!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'K11'!#REF!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'K11'!#REF!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'K11'!#REF!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'K11'!#REF!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'K11'!#REF!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3"/>
        <c:gapDepth val="0"/>
        <c:shape val="box"/>
        <c:axId val="562611200"/>
        <c:axId val="561920192"/>
        <c:axId val="0"/>
      </c:bar3DChart>
      <c:catAx>
        <c:axId val="562611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56192019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6192019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56261120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MS Sans Serif"/>
              <a:ea typeface="MS Sans Serif"/>
              <a:cs typeface="MS Sans Serif"/>
            </a:defRPr>
          </a:pPr>
          <a:endParaRPr lang="fi-FI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fi-FI"/>
    </a:p>
  </c:txPr>
  <c:printSettings>
    <c:headerFooter alignWithMargins="0"/>
    <c:pageMargins b="0.98425196850393659" l="0.78740157480314954" r="0.78740157480314954" t="0.98425196850393659" header="0.49212598450000788" footer="0.49212598450000788"/>
    <c:pageSetup paperSize="9" orientation="landscape" horizontalDpi="-4" verticalDpi="-4"/>
  </c:printSettings>
  <c:userShapes r:id="rId1"/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25"/>
      <c:hPercent val="500"/>
      <c:rotY val="3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'K11'!#REF!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'K11'!#REF!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'K11'!#REF!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'K11'!#REF!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'K11'!#REF!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'K11'!#REF!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'K11'!#REF!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'K11'!#REF!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'K11'!#REF!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3"/>
        <c:gapDepth val="0"/>
        <c:shape val="box"/>
        <c:axId val="562612224"/>
        <c:axId val="563741248"/>
        <c:axId val="0"/>
      </c:bar3DChart>
      <c:catAx>
        <c:axId val="562612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56374124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637412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56261222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MS Sans Serif"/>
              <a:ea typeface="MS Sans Serif"/>
              <a:cs typeface="MS Sans Serif"/>
            </a:defRPr>
          </a:pPr>
          <a:endParaRPr lang="fi-FI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fi-FI"/>
    </a:p>
  </c:txPr>
  <c:printSettings>
    <c:headerFooter alignWithMargins="0"/>
    <c:pageMargins b="0.98425196850393659" l="0.78740157480314954" r="0.78740157480314954" t="0.98425196850393659" header="0.49212598450000788" footer="0.49212598450000788"/>
    <c:pageSetup paperSize="9" orientation="landscape" horizontalDpi="-4" verticalDpi="-4"/>
  </c:printSettings>
  <c:userShapes r:id="rId1"/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r>
              <a:rPr lang="fi-FI"/>
              <a:t>KOKONAISKÄYNTIMÄÄRÄ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2000</c:v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'K11'!#REF!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'K11'!#REF!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v>1999</c:v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'K11'!#REF!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'K11'!#REF!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562613760"/>
        <c:axId val="563743552"/>
      </c:barChart>
      <c:catAx>
        <c:axId val="56261376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56374355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63743552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56261376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MS Sans Serif"/>
              <a:ea typeface="MS Sans Serif"/>
              <a:cs typeface="MS Sans Serif"/>
            </a:defRPr>
          </a:pPr>
          <a:endParaRPr lang="fi-FI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fi-FI"/>
    </a:p>
  </c:txPr>
  <c:printSettings>
    <c:headerFooter alignWithMargins="0">
      <c:oddHeader>&amp;N</c:oddHeader>
      <c:oddFooter>Sivu &amp;S</c:oddFooter>
    </c:headerFooter>
    <c:pageMargins b="1" l="0.75000000000001465" r="0.75000000000001465" t="1" header="0.49212598450000788" footer="0.49212598450000788"/>
    <c:pageSetup paperSize="9" orientation="portrait" horizontalDpi="-4" vertic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25"/>
      <c:hPercent val="500"/>
      <c:rotY val="3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'N3'!#REF!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'N3'!#REF!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'N3'!#REF!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'N3'!#REF!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'N3'!#REF!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'N3'!#REF!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'N3'!#REF!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'N3'!#REF!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'N3'!#REF!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3"/>
        <c:gapDepth val="0"/>
        <c:shape val="box"/>
        <c:axId val="638203904"/>
        <c:axId val="550732352"/>
        <c:axId val="0"/>
      </c:bar3DChart>
      <c:catAx>
        <c:axId val="638203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55073235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507323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63820390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MS Sans Serif"/>
              <a:ea typeface="MS Sans Serif"/>
              <a:cs typeface="MS Sans Serif"/>
            </a:defRPr>
          </a:pPr>
          <a:endParaRPr lang="fi-FI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fi-FI"/>
    </a:p>
  </c:txPr>
  <c:printSettings>
    <c:headerFooter alignWithMargins="0"/>
    <c:pageMargins b="0.98425196850393659" l="0.78740157480314954" r="0.78740157480314954" t="0.98425196850393659" header="0.49212598450000788" footer="0.49212598450000788"/>
    <c:pageSetup paperSize="9" orientation="landscape" horizontalDpi="-4" verticalDpi="-4"/>
  </c:printSettings>
  <c:userShapes r:id="rId1"/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25"/>
      <c:hPercent val="500"/>
      <c:rotY val="3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'K12'!#REF!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'K12'!#REF!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'K12'!#REF!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'K12'!#REF!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'K12'!#REF!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'K12'!#REF!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'K12'!#REF!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'K12'!#REF!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'K12'!#REF!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3"/>
        <c:gapDepth val="0"/>
        <c:shape val="box"/>
        <c:axId val="564773888"/>
        <c:axId val="563747008"/>
        <c:axId val="0"/>
      </c:bar3DChart>
      <c:catAx>
        <c:axId val="564773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56374700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6374700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56477388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MS Sans Serif"/>
              <a:ea typeface="MS Sans Serif"/>
              <a:cs typeface="MS Sans Serif"/>
            </a:defRPr>
          </a:pPr>
          <a:endParaRPr lang="fi-FI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fi-FI"/>
    </a:p>
  </c:txPr>
  <c:printSettings>
    <c:headerFooter alignWithMargins="0"/>
    <c:pageMargins b="0.98425196850393659" l="0.78740157480314954" r="0.78740157480314954" t="0.98425196850393659" header="0.49212598450000788" footer="0.49212598450000788"/>
    <c:pageSetup paperSize="9" orientation="landscape" horizontalDpi="-4" verticalDpi="-4"/>
  </c:printSettings>
  <c:userShapes r:id="rId1"/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25"/>
      <c:hPercent val="500"/>
      <c:rotY val="3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'K12'!#REF!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'K12'!#REF!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'K12'!#REF!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'K12'!#REF!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'K12'!#REF!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'K12'!#REF!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'K12'!#REF!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'K12'!#REF!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'K12'!#REF!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3"/>
        <c:gapDepth val="0"/>
        <c:shape val="box"/>
        <c:axId val="564810240"/>
        <c:axId val="564535296"/>
        <c:axId val="0"/>
      </c:bar3DChart>
      <c:catAx>
        <c:axId val="564810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56453529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645352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56481024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MS Sans Serif"/>
              <a:ea typeface="MS Sans Serif"/>
              <a:cs typeface="MS Sans Serif"/>
            </a:defRPr>
          </a:pPr>
          <a:endParaRPr lang="fi-FI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fi-FI"/>
    </a:p>
  </c:txPr>
  <c:printSettings>
    <c:headerFooter alignWithMargins="0"/>
    <c:pageMargins b="0.98425196850393659" l="0.78740157480314954" r="0.78740157480314954" t="0.98425196850393659" header="0.49212598450000788" footer="0.49212598450000788"/>
    <c:pageSetup paperSize="9" orientation="landscape" horizontalDpi="-4" verticalDpi="-4"/>
  </c:printSettings>
  <c:userShapes r:id="rId1"/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r>
              <a:rPr lang="fi-FI"/>
              <a:t>KOKONAISKÄYNTIMÄÄRÄ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2000</c:v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'K12'!#REF!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'K12'!#REF!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v>1999</c:v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'K12'!#REF!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'K12'!#REF!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564810752"/>
        <c:axId val="564537600"/>
      </c:barChart>
      <c:catAx>
        <c:axId val="564810752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56453760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64537600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56481075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MS Sans Serif"/>
              <a:ea typeface="MS Sans Serif"/>
              <a:cs typeface="MS Sans Serif"/>
            </a:defRPr>
          </a:pPr>
          <a:endParaRPr lang="fi-FI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fi-FI"/>
    </a:p>
  </c:txPr>
  <c:printSettings>
    <c:headerFooter alignWithMargins="0">
      <c:oddHeader>&amp;N</c:oddHeader>
      <c:oddFooter>Sivu &amp;S</c:oddFooter>
    </c:headerFooter>
    <c:pageMargins b="1" l="0.75000000000001465" r="0.75000000000001465" t="1" header="0.49212598450000788" footer="0.49212598450000788"/>
    <c:pageSetup paperSize="9" orientation="portrait" horizontalDpi="-4" verticalDpi="-4"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25"/>
      <c:hPercent val="500"/>
      <c:rotY val="3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Yht1!#REF!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Yht1!#REF!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Yht1!#REF!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Yht1!#REF!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Yht1!#REF!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Yht1!#REF!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Yht1!#REF!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Yht1!#REF!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Yht1!#REF!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3"/>
        <c:gapDepth val="0"/>
        <c:shape val="box"/>
        <c:axId val="592527360"/>
        <c:axId val="564540480"/>
        <c:axId val="0"/>
      </c:bar3DChart>
      <c:catAx>
        <c:axId val="592527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56454048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6454048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59252736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MS Sans Serif"/>
              <a:ea typeface="MS Sans Serif"/>
              <a:cs typeface="MS Sans Serif"/>
            </a:defRPr>
          </a:pPr>
          <a:endParaRPr lang="fi-FI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fi-FI"/>
    </a:p>
  </c:txPr>
  <c:printSettings>
    <c:headerFooter alignWithMargins="0"/>
    <c:pageMargins b="0.98425196850393659" l="0.78740157480314954" r="0.78740157480314954" t="0.98425196850393659" header="0.49212598450000788" footer="0.49212598450000788"/>
    <c:pageSetup paperSize="9" orientation="landscape" horizontalDpi="-4" verticalDpi="-4"/>
  </c:printSettings>
  <c:userShapes r:id="rId1"/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25"/>
      <c:hPercent val="500"/>
      <c:rotY val="3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Yht1!#REF!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Yht1!#REF!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Yht1!#REF!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Yht1!#REF!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Yht1!#REF!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Yht1!#REF!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Yht1!#REF!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Yht1!#REF!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Yht1!#REF!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3"/>
        <c:gapDepth val="0"/>
        <c:shape val="box"/>
        <c:axId val="592529920"/>
        <c:axId val="564542784"/>
        <c:axId val="0"/>
      </c:bar3DChart>
      <c:catAx>
        <c:axId val="592529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56454278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645427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59252992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MS Sans Serif"/>
              <a:ea typeface="MS Sans Serif"/>
              <a:cs typeface="MS Sans Serif"/>
            </a:defRPr>
          </a:pPr>
          <a:endParaRPr lang="fi-FI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fi-FI"/>
    </a:p>
  </c:txPr>
  <c:printSettings>
    <c:headerFooter alignWithMargins="0"/>
    <c:pageMargins b="0.98425196850393659" l="0.78740157480314954" r="0.78740157480314954" t="0.98425196850393659" header="0.49212598450000788" footer="0.49212598450000788"/>
    <c:pageSetup paperSize="9" orientation="landscape" horizontalDpi="-4" verticalDpi="-4"/>
  </c:printSettings>
  <c:userShapes r:id="rId1"/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r>
              <a:rPr lang="fi-FI"/>
              <a:t>KOKONAISKÄYNTIMÄÄRÄ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2000</c:v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Yht1!#REF!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Yht1!#REF!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v>1999</c:v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Yht1!#REF!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Yht1!#REF!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592569856"/>
        <c:axId val="592348864"/>
      </c:barChart>
      <c:catAx>
        <c:axId val="592569856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59234886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92348864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59256985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MS Sans Serif"/>
              <a:ea typeface="MS Sans Serif"/>
              <a:cs typeface="MS Sans Serif"/>
            </a:defRPr>
          </a:pPr>
          <a:endParaRPr lang="fi-FI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fi-FI"/>
    </a:p>
  </c:txPr>
  <c:printSettings>
    <c:headerFooter alignWithMargins="0">
      <c:oddHeader>&amp;N</c:oddHeader>
      <c:oddFooter>Sivu &amp;S</c:oddFooter>
    </c:headerFooter>
    <c:pageMargins b="1" l="0.75000000000001465" r="0.75000000000001465" t="1" header="0.49212598450000788" footer="0.49212598450000788"/>
    <c:pageSetup paperSize="9" orientation="portrait" horizontalDpi="-4" verticalDpi="-4"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25"/>
      <c:hPercent val="500"/>
      <c:rotY val="3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Yht2!#REF!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Yht2!#REF!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Yht2!#REF!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Yht2!#REF!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Yht2!#REF!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Yht2!#REF!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Yht2!#REF!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Yht2!#REF!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Yht2!#REF!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3"/>
        <c:gapDepth val="0"/>
        <c:shape val="box"/>
        <c:axId val="591885824"/>
        <c:axId val="592351744"/>
        <c:axId val="0"/>
      </c:bar3DChart>
      <c:catAx>
        <c:axId val="591885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59235174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923517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59188582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MS Sans Serif"/>
              <a:ea typeface="MS Sans Serif"/>
              <a:cs typeface="MS Sans Serif"/>
            </a:defRPr>
          </a:pPr>
          <a:endParaRPr lang="fi-FI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fi-FI"/>
    </a:p>
  </c:txPr>
  <c:printSettings>
    <c:headerFooter alignWithMargins="0"/>
    <c:pageMargins b="0.98425196850393659" l="0.78740157480314954" r="0.78740157480314954" t="0.98425196850393659" header="0.49212598450000788" footer="0.49212598450000788"/>
    <c:pageSetup paperSize="9" orientation="landscape" horizontalDpi="-4" verticalDpi="-4"/>
  </c:printSettings>
  <c:userShapes r:id="rId1"/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25"/>
      <c:hPercent val="500"/>
      <c:rotY val="3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Yht2!#REF!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Yht2!#REF!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Yht2!#REF!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Yht2!#REF!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Yht2!#REF!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Yht2!#REF!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Yht2!#REF!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Yht2!#REF!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Yht2!#REF!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3"/>
        <c:gapDepth val="0"/>
        <c:shape val="box"/>
        <c:axId val="591886336"/>
        <c:axId val="592354048"/>
        <c:axId val="0"/>
      </c:bar3DChart>
      <c:catAx>
        <c:axId val="591886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59235404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923540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59188633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MS Sans Serif"/>
              <a:ea typeface="MS Sans Serif"/>
              <a:cs typeface="MS Sans Serif"/>
            </a:defRPr>
          </a:pPr>
          <a:endParaRPr lang="fi-FI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fi-FI"/>
    </a:p>
  </c:txPr>
  <c:printSettings>
    <c:headerFooter alignWithMargins="0"/>
    <c:pageMargins b="0.98425196850393659" l="0.78740157480314954" r="0.78740157480314954" t="0.98425196850393659" header="0.49212598450000788" footer="0.49212598450000788"/>
    <c:pageSetup paperSize="9" orientation="landscape" horizontalDpi="-4" verticalDpi="-4"/>
  </c:printSettings>
  <c:userShapes r:id="rId1"/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r>
              <a:rPr lang="fi-FI"/>
              <a:t>KOKONAISKÄYNTIMÄÄRÄ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2000</c:v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Yht2!#REF!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Yht2!#REF!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v>1999</c:v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Yht2!#REF!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Yht2!#REF!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596746240"/>
        <c:axId val="562365568"/>
      </c:barChart>
      <c:catAx>
        <c:axId val="59674624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56236556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62365568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59674624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MS Sans Serif"/>
              <a:ea typeface="MS Sans Serif"/>
              <a:cs typeface="MS Sans Serif"/>
            </a:defRPr>
          </a:pPr>
          <a:endParaRPr lang="fi-FI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fi-FI"/>
    </a:p>
  </c:txPr>
  <c:printSettings>
    <c:headerFooter alignWithMargins="0">
      <c:oddHeader>&amp;N</c:oddHeader>
      <c:oddFooter>Sivu &amp;S</c:oddFooter>
    </c:headerFooter>
    <c:pageMargins b="1" l="0.75000000000001465" r="0.75000000000001465" t="1" header="0.49212598450000788" footer="0.49212598450000788"/>
    <c:pageSetup paperSize="9" orientation="portrait" horizontalDpi="-4" verticalDpi="-4"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25"/>
      <c:hPercent val="500"/>
      <c:rotY val="3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Yht3!#REF!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Yht3!#REF!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Yht3!#REF!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Yht3!#REF!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Yht3!#REF!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Yht3!#REF!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Yht3!#REF!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Yht3!#REF!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Yht3!#REF!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3"/>
        <c:gapDepth val="0"/>
        <c:shape val="box"/>
        <c:axId val="601232384"/>
        <c:axId val="562368448"/>
        <c:axId val="0"/>
      </c:bar3DChart>
      <c:catAx>
        <c:axId val="601232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56236844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6236844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60123238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MS Sans Serif"/>
              <a:ea typeface="MS Sans Serif"/>
              <a:cs typeface="MS Sans Serif"/>
            </a:defRPr>
          </a:pPr>
          <a:endParaRPr lang="fi-FI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fi-FI"/>
    </a:p>
  </c:txPr>
  <c:printSettings>
    <c:headerFooter alignWithMargins="0"/>
    <c:pageMargins b="0.98425196850393659" l="0.78740157480314954" r="0.78740157480314954" t="0.98425196850393659" header="0.49212598450000788" footer="0.49212598450000788"/>
    <c:pageSetup paperSize="9" orientation="landscape" horizontalDpi="-4" verticalDpi="-4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25"/>
      <c:hPercent val="500"/>
      <c:rotY val="3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'N3'!#REF!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'N3'!#REF!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'N3'!#REF!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'N3'!#REF!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'N3'!#REF!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'N3'!#REF!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'N3'!#REF!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'N3'!#REF!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'N3'!#REF!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3"/>
        <c:gapDepth val="0"/>
        <c:shape val="box"/>
        <c:axId val="638234112"/>
        <c:axId val="550734080"/>
        <c:axId val="0"/>
      </c:bar3DChart>
      <c:catAx>
        <c:axId val="638234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55073408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507340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63823411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MS Sans Serif"/>
              <a:ea typeface="MS Sans Serif"/>
              <a:cs typeface="MS Sans Serif"/>
            </a:defRPr>
          </a:pPr>
          <a:endParaRPr lang="fi-FI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fi-FI"/>
    </a:p>
  </c:txPr>
  <c:printSettings>
    <c:headerFooter alignWithMargins="0"/>
    <c:pageMargins b="0.98425196850393659" l="0.78740157480314954" r="0.78740157480314954" t="0.98425196850393659" header="0.49212598450000788" footer="0.49212598450000788"/>
    <c:pageSetup paperSize="9" orientation="landscape" horizontalDpi="-4" verticalDpi="-4"/>
  </c:printSettings>
  <c:userShapes r:id="rId1"/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25"/>
      <c:hPercent val="500"/>
      <c:rotY val="3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Yht3!#REF!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Yht3!#REF!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Yht3!#REF!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Yht3!#REF!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Yht3!#REF!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Yht3!#REF!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Yht3!#REF!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Yht3!#REF!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Yht3!#REF!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3"/>
        <c:gapDepth val="0"/>
        <c:shape val="box"/>
        <c:axId val="601233408"/>
        <c:axId val="562370752"/>
        <c:axId val="0"/>
      </c:bar3DChart>
      <c:catAx>
        <c:axId val="601233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56237075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623707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60123340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MS Sans Serif"/>
              <a:ea typeface="MS Sans Serif"/>
              <a:cs typeface="MS Sans Serif"/>
            </a:defRPr>
          </a:pPr>
          <a:endParaRPr lang="fi-FI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fi-FI"/>
    </a:p>
  </c:txPr>
  <c:printSettings>
    <c:headerFooter alignWithMargins="0"/>
    <c:pageMargins b="0.98425196850393659" l="0.78740157480314954" r="0.78740157480314954" t="0.98425196850393659" header="0.49212598450000788" footer="0.49212598450000788"/>
    <c:pageSetup paperSize="9" orientation="landscape" horizontalDpi="-4" verticalDpi="-4"/>
  </c:printSettings>
  <c:userShapes r:id="rId1"/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r>
              <a:rPr lang="fi-FI"/>
              <a:t>KOKONAISKÄYNTIMÄÄRÄ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2000</c:v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Yht3!#REF!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Yht3!#REF!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v>1999</c:v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Yht3!#REF!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Yht3!#REF!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601234944"/>
        <c:axId val="601555520"/>
      </c:barChart>
      <c:catAx>
        <c:axId val="601234944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60155552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601555520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60123494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MS Sans Serif"/>
              <a:ea typeface="MS Sans Serif"/>
              <a:cs typeface="MS Sans Serif"/>
            </a:defRPr>
          </a:pPr>
          <a:endParaRPr lang="fi-FI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fi-FI"/>
    </a:p>
  </c:txPr>
  <c:printSettings>
    <c:headerFooter alignWithMargins="0">
      <c:oddHeader>&amp;N</c:oddHeader>
      <c:oddFooter>Sivu &amp;S</c:oddFooter>
    </c:headerFooter>
    <c:pageMargins b="1" l="0.75000000000001465" r="0.75000000000001465" t="1" header="0.49212598450000788" footer="0.49212598450000788"/>
    <c:pageSetup paperSize="9" orientation="portrait" horizontalDpi="-4" verticalDpi="-4"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25"/>
      <c:hPercent val="500"/>
      <c:rotY val="3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Yht4!#REF!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Yht4!#REF!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Yht4!#REF!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Yht4!#REF!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Yht4!#REF!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Yht4!#REF!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Yht4!#REF!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Yht4!#REF!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Yht4!#REF!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3"/>
        <c:gapDepth val="0"/>
        <c:shape val="box"/>
        <c:axId val="601765376"/>
        <c:axId val="601558976"/>
        <c:axId val="0"/>
      </c:bar3DChart>
      <c:catAx>
        <c:axId val="601765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60155897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60155897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60176537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MS Sans Serif"/>
              <a:ea typeface="MS Sans Serif"/>
              <a:cs typeface="MS Sans Serif"/>
            </a:defRPr>
          </a:pPr>
          <a:endParaRPr lang="fi-FI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fi-FI"/>
    </a:p>
  </c:txPr>
  <c:printSettings>
    <c:headerFooter alignWithMargins="0"/>
    <c:pageMargins b="0.98425196850393659" l="0.78740157480314954" r="0.78740157480314954" t="0.98425196850393659" header="0.49212598450000788" footer="0.49212598450000788"/>
    <c:pageSetup paperSize="9" orientation="landscape" horizontalDpi="-4" verticalDpi="-4"/>
  </c:printSettings>
  <c:userShapes r:id="rId1"/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25"/>
      <c:hPercent val="500"/>
      <c:rotY val="3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Yht4!#REF!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Yht4!#REF!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Yht4!#REF!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Yht4!#REF!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Yht4!#REF!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Yht4!#REF!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Yht4!#REF!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Yht4!#REF!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Yht4!#REF!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3"/>
        <c:gapDepth val="0"/>
        <c:shape val="box"/>
        <c:axId val="601766400"/>
        <c:axId val="601560704"/>
        <c:axId val="0"/>
      </c:bar3DChart>
      <c:catAx>
        <c:axId val="601766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60156070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6015607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60176640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MS Sans Serif"/>
              <a:ea typeface="MS Sans Serif"/>
              <a:cs typeface="MS Sans Serif"/>
            </a:defRPr>
          </a:pPr>
          <a:endParaRPr lang="fi-FI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fi-FI"/>
    </a:p>
  </c:txPr>
  <c:printSettings>
    <c:headerFooter alignWithMargins="0"/>
    <c:pageMargins b="0.98425196850393659" l="0.78740157480314954" r="0.78740157480314954" t="0.98425196850393659" header="0.49212598450000788" footer="0.49212598450000788"/>
    <c:pageSetup paperSize="9" orientation="landscape" horizontalDpi="-4" verticalDpi="-4"/>
  </c:printSettings>
  <c:userShapes r:id="rId1"/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r>
              <a:rPr lang="fi-FI"/>
              <a:t>KOKONAISKÄYNTIMÄÄRÄ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2000</c:v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Yht4!#REF!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Yht4!#REF!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v>1999</c:v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Yht4!#REF!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Yht4!#REF!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601814016"/>
        <c:axId val="603922432"/>
      </c:barChart>
      <c:catAx>
        <c:axId val="601814016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60392243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603922432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60181401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MS Sans Serif"/>
              <a:ea typeface="MS Sans Serif"/>
              <a:cs typeface="MS Sans Serif"/>
            </a:defRPr>
          </a:pPr>
          <a:endParaRPr lang="fi-FI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fi-FI"/>
    </a:p>
  </c:txPr>
  <c:printSettings>
    <c:headerFooter alignWithMargins="0">
      <c:oddHeader>&amp;N</c:oddHeader>
      <c:oddFooter>Sivu &amp;S</c:oddFooter>
    </c:headerFooter>
    <c:pageMargins b="1" l="0.75000000000001465" r="0.75000000000001465" t="1" header="0.49212598450000788" footer="0.49212598450000788"/>
    <c:pageSetup paperSize="9" orientation="portrait" horizontalDpi="-4" verticalDpi="-4"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25"/>
      <c:hPercent val="500"/>
      <c:rotY val="3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Yht5!#REF!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Yht5!#REF!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Yht5!#REF!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Yht5!#REF!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Yht5!#REF!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Yht5!#REF!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Yht5!#REF!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Yht5!#REF!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Yht5!#REF!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3"/>
        <c:gapDepth val="0"/>
        <c:shape val="box"/>
        <c:axId val="604127232"/>
        <c:axId val="603925312"/>
        <c:axId val="0"/>
      </c:bar3DChart>
      <c:catAx>
        <c:axId val="604127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60392531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60392531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60412723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MS Sans Serif"/>
              <a:ea typeface="MS Sans Serif"/>
              <a:cs typeface="MS Sans Serif"/>
            </a:defRPr>
          </a:pPr>
          <a:endParaRPr lang="fi-FI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fi-FI"/>
    </a:p>
  </c:txPr>
  <c:printSettings>
    <c:headerFooter alignWithMargins="0"/>
    <c:pageMargins b="0.98425196850393659" l="0.78740157480314954" r="0.78740157480314954" t="0.98425196850393659" header="0.49212598450000788" footer="0.49212598450000788"/>
    <c:pageSetup paperSize="9" orientation="landscape" horizontalDpi="-4" verticalDpi="-4"/>
  </c:printSettings>
  <c:userShapes r:id="rId1"/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25"/>
      <c:hPercent val="500"/>
      <c:rotY val="3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Yht5!#REF!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Yht5!#REF!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Yht5!#REF!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Yht5!#REF!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Yht5!#REF!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Yht5!#REF!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Yht5!#REF!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Yht5!#REF!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Yht5!#REF!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3"/>
        <c:gapDepth val="0"/>
        <c:shape val="box"/>
        <c:axId val="604129792"/>
        <c:axId val="603927616"/>
        <c:axId val="0"/>
      </c:bar3DChart>
      <c:catAx>
        <c:axId val="604129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60392761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6039276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60412979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MS Sans Serif"/>
              <a:ea typeface="MS Sans Serif"/>
              <a:cs typeface="MS Sans Serif"/>
            </a:defRPr>
          </a:pPr>
          <a:endParaRPr lang="fi-FI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fi-FI"/>
    </a:p>
  </c:txPr>
  <c:printSettings>
    <c:headerFooter alignWithMargins="0"/>
    <c:pageMargins b="0.98425196850393659" l="0.78740157480314954" r="0.78740157480314954" t="0.98425196850393659" header="0.49212598450000788" footer="0.49212598450000788"/>
    <c:pageSetup paperSize="9" orientation="landscape" horizontalDpi="-4" verticalDpi="-4"/>
  </c:printSettings>
  <c:userShapes r:id="rId1"/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r>
              <a:rPr lang="fi-FI"/>
              <a:t>KOKONAISKÄYNTIMÄÄRÄ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2000</c:v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Yht5!#REF!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Yht5!#REF!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v>1999</c:v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Yht5!#REF!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Yht5!#REF!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604173824"/>
        <c:axId val="603929920"/>
      </c:barChart>
      <c:catAx>
        <c:axId val="604173824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60392992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603929920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60417382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MS Sans Serif"/>
              <a:ea typeface="MS Sans Serif"/>
              <a:cs typeface="MS Sans Serif"/>
            </a:defRPr>
          </a:pPr>
          <a:endParaRPr lang="fi-FI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fi-FI"/>
    </a:p>
  </c:txPr>
  <c:printSettings>
    <c:headerFooter alignWithMargins="0">
      <c:oddHeader>&amp;N</c:oddHeader>
      <c:oddFooter>Sivu &amp;S</c:oddFooter>
    </c:headerFooter>
    <c:pageMargins b="1" l="0.75000000000001465" r="0.75000000000001465" t="1" header="0.49212598450000788" footer="0.49212598450000788"/>
    <c:pageSetup paperSize="9" orientation="portrait" horizontalDpi="-4" verticalDpi="-4"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25"/>
      <c:hPercent val="500"/>
      <c:rotY val="3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Yht6!#REF!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Yht6!#REF!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Yht6!#REF!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Yht6!#REF!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Yht6!#REF!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Yht6!#REF!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Yht6!#REF!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Yht6!#REF!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Yht6!#REF!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3"/>
        <c:gapDepth val="0"/>
        <c:shape val="box"/>
        <c:axId val="604874240"/>
        <c:axId val="603867392"/>
        <c:axId val="0"/>
      </c:bar3DChart>
      <c:catAx>
        <c:axId val="604874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60386739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60386739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60487424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MS Sans Serif"/>
              <a:ea typeface="MS Sans Serif"/>
              <a:cs typeface="MS Sans Serif"/>
            </a:defRPr>
          </a:pPr>
          <a:endParaRPr lang="fi-FI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fi-FI"/>
    </a:p>
  </c:txPr>
  <c:printSettings>
    <c:headerFooter alignWithMargins="0"/>
    <c:pageMargins b="0.98425196850393659" l="0.78740157480314954" r="0.78740157480314954" t="0.98425196850393659" header="0.49212598450000788" footer="0.49212598450000788"/>
    <c:pageSetup paperSize="9" orientation="landscape" horizontalDpi="-4" verticalDpi="-4"/>
  </c:printSettings>
  <c:userShapes r:id="rId1"/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25"/>
      <c:hPercent val="500"/>
      <c:rotY val="3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Yht6!#REF!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Yht6!#REF!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Yht6!#REF!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Yht6!#REF!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Yht6!#REF!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Yht6!#REF!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Yht6!#REF!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Yht6!#REF!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Yht6!#REF!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3"/>
        <c:gapDepth val="0"/>
        <c:shape val="box"/>
        <c:axId val="604874752"/>
        <c:axId val="603869696"/>
        <c:axId val="0"/>
      </c:bar3DChart>
      <c:catAx>
        <c:axId val="604874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60386969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6038696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60487475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MS Sans Serif"/>
              <a:ea typeface="MS Sans Serif"/>
              <a:cs typeface="MS Sans Serif"/>
            </a:defRPr>
          </a:pPr>
          <a:endParaRPr lang="fi-FI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fi-FI"/>
    </a:p>
  </c:txPr>
  <c:printSettings>
    <c:headerFooter alignWithMargins="0"/>
    <c:pageMargins b="0.98425196850393659" l="0.78740157480314954" r="0.78740157480314954" t="0.98425196850393659" header="0.49212598450000788" footer="0.49212598450000788"/>
    <c:pageSetup paperSize="9" orientation="landscape" horizontalDpi="-4" verticalDpi="-4"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r>
              <a:rPr lang="fi-FI"/>
              <a:t>KOKONAISKÄYNTIMÄÄRÄ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2000</c:v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'N3'!#REF!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'N3'!#REF!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v>1999</c:v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'N3'!#REF!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'N3'!#REF!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639018496"/>
        <c:axId val="550736384"/>
      </c:barChart>
      <c:catAx>
        <c:axId val="639018496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55073638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50736384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63901849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MS Sans Serif"/>
              <a:ea typeface="MS Sans Serif"/>
              <a:cs typeface="MS Sans Serif"/>
            </a:defRPr>
          </a:pPr>
          <a:endParaRPr lang="fi-FI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fi-FI"/>
    </a:p>
  </c:txPr>
  <c:printSettings>
    <c:headerFooter alignWithMargins="0">
      <c:oddHeader>&amp;N</c:oddHeader>
      <c:oddFooter>Sivu &amp;S</c:oddFooter>
    </c:headerFooter>
    <c:pageMargins b="1" l="0.75000000000001465" r="0.75000000000001465" t="1" header="0.49212598450000788" footer="0.49212598450000788"/>
    <c:pageSetup paperSize="9" orientation="portrait" horizontalDpi="-4" verticalDpi="-4"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r>
              <a:rPr lang="fi-FI"/>
              <a:t>KOKONAISKÄYNTIMÄÄRÄ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2000</c:v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Yht6!#REF!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Yht6!#REF!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v>1999</c:v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Yht6!#REF!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Yht6!#REF!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605151232"/>
        <c:axId val="603872000"/>
      </c:barChart>
      <c:catAx>
        <c:axId val="605151232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60387200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603872000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60515123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MS Sans Serif"/>
              <a:ea typeface="MS Sans Serif"/>
              <a:cs typeface="MS Sans Serif"/>
            </a:defRPr>
          </a:pPr>
          <a:endParaRPr lang="fi-FI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fi-FI"/>
    </a:p>
  </c:txPr>
  <c:printSettings>
    <c:headerFooter alignWithMargins="0">
      <c:oddHeader>&amp;N</c:oddHeader>
      <c:oddFooter>Sivu &amp;S</c:oddFooter>
    </c:headerFooter>
    <c:pageMargins b="1" l="0.75000000000001465" r="0.75000000000001465" t="1" header="0.49212598450000788" footer="0.49212598450000788"/>
    <c:pageSetup paperSize="9" orientation="portrait" horizontalDpi="-4" verticalDpi="-4"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25"/>
      <c:hPercent val="500"/>
      <c:rotY val="3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Yht7!#REF!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Yht7!#REF!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Yht7!#REF!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Yht7!#REF!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Yht7!#REF!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Yht7!#REF!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Yht7!#REF!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Yht7!#REF!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Yht7!#REF!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3"/>
        <c:gapDepth val="0"/>
        <c:shape val="box"/>
        <c:axId val="601461760"/>
        <c:axId val="564422336"/>
        <c:axId val="0"/>
      </c:bar3DChart>
      <c:catAx>
        <c:axId val="601461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56442233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6442233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60146176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MS Sans Serif"/>
              <a:ea typeface="MS Sans Serif"/>
              <a:cs typeface="MS Sans Serif"/>
            </a:defRPr>
          </a:pPr>
          <a:endParaRPr lang="fi-FI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fi-FI"/>
    </a:p>
  </c:txPr>
  <c:printSettings>
    <c:headerFooter alignWithMargins="0"/>
    <c:pageMargins b="0.98425196850393659" l="0.78740157480314954" r="0.78740157480314954" t="0.98425196850393659" header="0.49212598450000788" footer="0.49212598450000788"/>
    <c:pageSetup paperSize="9" orientation="landscape" horizontalDpi="-4" verticalDpi="-4"/>
  </c:printSettings>
  <c:userShapes r:id="rId1"/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25"/>
      <c:hPercent val="500"/>
      <c:rotY val="3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Yht7!#REF!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Yht7!#REF!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Yht7!#REF!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Yht7!#REF!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Yht7!#REF!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Yht7!#REF!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Yht7!#REF!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Yht7!#REF!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Yht7!#REF!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3"/>
        <c:gapDepth val="0"/>
        <c:shape val="box"/>
        <c:axId val="605569536"/>
        <c:axId val="564424640"/>
        <c:axId val="0"/>
      </c:bar3DChart>
      <c:catAx>
        <c:axId val="605569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56442464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644246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60556953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MS Sans Serif"/>
              <a:ea typeface="MS Sans Serif"/>
              <a:cs typeface="MS Sans Serif"/>
            </a:defRPr>
          </a:pPr>
          <a:endParaRPr lang="fi-FI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fi-FI"/>
    </a:p>
  </c:txPr>
  <c:printSettings>
    <c:headerFooter alignWithMargins="0"/>
    <c:pageMargins b="0.98425196850393659" l="0.78740157480314954" r="0.78740157480314954" t="0.98425196850393659" header="0.49212598450000788" footer="0.49212598450000788"/>
    <c:pageSetup paperSize="9" orientation="landscape" horizontalDpi="-4" verticalDpi="-4"/>
  </c:printSettings>
  <c:userShapes r:id="rId1"/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r>
              <a:rPr lang="fi-FI"/>
              <a:t>KOKONAISKÄYNTIMÄÄRÄ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2000</c:v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Yht7!#REF!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Yht7!#REF!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v>1999</c:v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Yht7!#REF!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Yht7!#REF!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605570048"/>
        <c:axId val="564426944"/>
      </c:barChart>
      <c:catAx>
        <c:axId val="605570048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56442694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64426944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60557004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MS Sans Serif"/>
              <a:ea typeface="MS Sans Serif"/>
              <a:cs typeface="MS Sans Serif"/>
            </a:defRPr>
          </a:pPr>
          <a:endParaRPr lang="fi-FI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fi-FI"/>
    </a:p>
  </c:txPr>
  <c:printSettings>
    <c:headerFooter alignWithMargins="0">
      <c:oddHeader>&amp;N</c:oddHeader>
      <c:oddFooter>Sivu &amp;S</c:oddFooter>
    </c:headerFooter>
    <c:pageMargins b="1" l="0.75000000000001465" r="0.75000000000001465" t="1" header="0.49212598450000788" footer="0.49212598450000788"/>
    <c:pageSetup paperSize="9" orientation="portrait" horizontalDpi="-4" verticalDpi="-4"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25"/>
      <c:hPercent val="500"/>
      <c:rotY val="3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Yht8!#REF!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Yht8!#REF!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Yht8!#REF!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Yht8!#REF!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Yht8!#REF!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Yht8!#REF!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Yht8!#REF!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Yht8!#REF!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Yht8!#REF!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3"/>
        <c:gapDepth val="0"/>
        <c:shape val="box"/>
        <c:axId val="604933120"/>
        <c:axId val="606045888"/>
        <c:axId val="0"/>
      </c:bar3DChart>
      <c:catAx>
        <c:axId val="604933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60604588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60604588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60493312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MS Sans Serif"/>
              <a:ea typeface="MS Sans Serif"/>
              <a:cs typeface="MS Sans Serif"/>
            </a:defRPr>
          </a:pPr>
          <a:endParaRPr lang="fi-FI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fi-FI"/>
    </a:p>
  </c:txPr>
  <c:printSettings>
    <c:headerFooter alignWithMargins="0"/>
    <c:pageMargins b="0.98425196850393659" l="0.78740157480314954" r="0.78740157480314954" t="0.98425196850393659" header="0.49212598450000788" footer="0.49212598450000788"/>
    <c:pageSetup paperSize="9" orientation="landscape" horizontalDpi="-4" verticalDpi="-4"/>
  </c:printSettings>
  <c:userShapes r:id="rId1"/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25"/>
      <c:hPercent val="500"/>
      <c:rotY val="3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Yht8!#REF!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Yht8!#REF!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Yht8!#REF!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Yht8!#REF!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Yht8!#REF!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Yht8!#REF!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Yht8!#REF!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Yht8!#REF!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Yht8!#REF!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3"/>
        <c:gapDepth val="0"/>
        <c:shape val="box"/>
        <c:axId val="606143488"/>
        <c:axId val="606047616"/>
        <c:axId val="0"/>
      </c:bar3DChart>
      <c:catAx>
        <c:axId val="606143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60604761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6060476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60614348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MS Sans Serif"/>
              <a:ea typeface="MS Sans Serif"/>
              <a:cs typeface="MS Sans Serif"/>
            </a:defRPr>
          </a:pPr>
          <a:endParaRPr lang="fi-FI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fi-FI"/>
    </a:p>
  </c:txPr>
  <c:printSettings>
    <c:headerFooter alignWithMargins="0"/>
    <c:pageMargins b="0.98425196850393659" l="0.78740157480314954" r="0.78740157480314954" t="0.98425196850393659" header="0.49212598450000788" footer="0.49212598450000788"/>
    <c:pageSetup paperSize="9" orientation="landscape" horizontalDpi="-4" verticalDpi="-4"/>
  </c:printSettings>
  <c:userShapes r:id="rId1"/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r>
              <a:rPr lang="fi-FI"/>
              <a:t>KOKONAISKÄYNTIMÄÄRÄ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2000</c:v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Yht8!#REF!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Yht8!#REF!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v>1999</c:v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Yht8!#REF!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Yht8!#REF!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606179328"/>
        <c:axId val="606049920"/>
      </c:barChart>
      <c:catAx>
        <c:axId val="606179328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60604992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606049920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60617932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MS Sans Serif"/>
              <a:ea typeface="MS Sans Serif"/>
              <a:cs typeface="MS Sans Serif"/>
            </a:defRPr>
          </a:pPr>
          <a:endParaRPr lang="fi-FI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fi-FI"/>
    </a:p>
  </c:txPr>
  <c:printSettings>
    <c:headerFooter alignWithMargins="0">
      <c:oddHeader>&amp;N</c:oddHeader>
      <c:oddFooter>Sivu &amp;S</c:oddFooter>
    </c:headerFooter>
    <c:pageMargins b="1" l="0.75000000000001465" r="0.75000000000001465" t="1" header="0.49212598450000788" footer="0.49212598450000788"/>
    <c:pageSetup paperSize="9" orientation="portrait" horizontalDpi="-4" verticalDpi="-4"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25"/>
      <c:hPercent val="500"/>
      <c:rotY val="3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Yht9!#REF!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Yht9!#REF!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Yht9!#REF!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Yht9!#REF!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Yht9!#REF!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Yht9!#REF!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Yht9!#REF!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Yht9!#REF!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Yht9!#REF!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3"/>
        <c:gapDepth val="0"/>
        <c:shape val="box"/>
        <c:axId val="606733312"/>
        <c:axId val="608043584"/>
        <c:axId val="0"/>
      </c:bar3DChart>
      <c:catAx>
        <c:axId val="606733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60804358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6080435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60673331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MS Sans Serif"/>
              <a:ea typeface="MS Sans Serif"/>
              <a:cs typeface="MS Sans Serif"/>
            </a:defRPr>
          </a:pPr>
          <a:endParaRPr lang="fi-FI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fi-FI"/>
    </a:p>
  </c:txPr>
  <c:printSettings>
    <c:headerFooter alignWithMargins="0"/>
    <c:pageMargins b="0.98425196850393659" l="0.78740157480314954" r="0.78740157480314954" t="0.98425196850393659" header="0.49212598450000788" footer="0.49212598450000788"/>
    <c:pageSetup paperSize="9" orientation="landscape" horizontalDpi="-4" verticalDpi="-4"/>
  </c:printSettings>
  <c:userShapes r:id="rId1"/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25"/>
      <c:hPercent val="500"/>
      <c:rotY val="3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Yht9!#REF!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Yht9!#REF!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Yht9!#REF!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Yht9!#REF!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Yht9!#REF!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Yht9!#REF!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Yht9!#REF!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Yht9!#REF!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Yht9!#REF!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3"/>
        <c:gapDepth val="0"/>
        <c:shape val="box"/>
        <c:axId val="606735872"/>
        <c:axId val="608045888"/>
        <c:axId val="0"/>
      </c:bar3DChart>
      <c:catAx>
        <c:axId val="606735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60804588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6080458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60673587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MS Sans Serif"/>
              <a:ea typeface="MS Sans Serif"/>
              <a:cs typeface="MS Sans Serif"/>
            </a:defRPr>
          </a:pPr>
          <a:endParaRPr lang="fi-FI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fi-FI"/>
    </a:p>
  </c:txPr>
  <c:printSettings>
    <c:headerFooter alignWithMargins="0"/>
    <c:pageMargins b="0.98425196850393659" l="0.78740157480314954" r="0.78740157480314954" t="0.98425196850393659" header="0.49212598450000788" footer="0.49212598450000788"/>
    <c:pageSetup paperSize="9" orientation="landscape" horizontalDpi="-4" verticalDpi="-4"/>
  </c:printSettings>
  <c:userShapes r:id="rId1"/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r>
              <a:rPr lang="fi-FI"/>
              <a:t>KOKONAISKÄYNTIMÄÄRÄ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2000</c:v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Yht9!#REF!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Yht9!#REF!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v>1999</c:v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Yht9!#REF!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Yht9!#REF!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606771712"/>
        <c:axId val="608048192"/>
      </c:barChart>
      <c:catAx>
        <c:axId val="606771712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60804819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608048192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60677171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MS Sans Serif"/>
              <a:ea typeface="MS Sans Serif"/>
              <a:cs typeface="MS Sans Serif"/>
            </a:defRPr>
          </a:pPr>
          <a:endParaRPr lang="fi-FI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fi-FI"/>
    </a:p>
  </c:txPr>
  <c:printSettings>
    <c:headerFooter alignWithMargins="0">
      <c:oddHeader>&amp;N</c:oddHeader>
      <c:oddFooter>Sivu &amp;S</c:oddFooter>
    </c:headerFooter>
    <c:pageMargins b="1" l="0.75000000000001465" r="0.75000000000001465" t="1" header="0.49212598450000788" footer="0.49212598450000788"/>
    <c:pageSetup paperSize="9" orientation="portrait" horizontalDpi="-4" verticalDpi="-4"/>
  </c:printSettings>
</c:chartSpace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100.xml><?xml version="1.0" encoding="utf-8"?>
<formControlPr xmlns="http://schemas.microsoft.com/office/spreadsheetml/2009/9/main" objectType="Button" lockText="1"/>
</file>

<file path=xl/ctrlProps/ctrlProp101.xml><?xml version="1.0" encoding="utf-8"?>
<formControlPr xmlns="http://schemas.microsoft.com/office/spreadsheetml/2009/9/main" objectType="Button" lockText="1"/>
</file>

<file path=xl/ctrlProps/ctrlProp102.xml><?xml version="1.0" encoding="utf-8"?>
<formControlPr xmlns="http://schemas.microsoft.com/office/spreadsheetml/2009/9/main" objectType="Button" lockText="1"/>
</file>

<file path=xl/ctrlProps/ctrlProp103.xml><?xml version="1.0" encoding="utf-8"?>
<formControlPr xmlns="http://schemas.microsoft.com/office/spreadsheetml/2009/9/main" objectType="Button" lockText="1"/>
</file>

<file path=xl/ctrlProps/ctrlProp104.xml><?xml version="1.0" encoding="utf-8"?>
<formControlPr xmlns="http://schemas.microsoft.com/office/spreadsheetml/2009/9/main" objectType="Button" lockText="1"/>
</file>

<file path=xl/ctrlProps/ctrlProp105.xml><?xml version="1.0" encoding="utf-8"?>
<formControlPr xmlns="http://schemas.microsoft.com/office/spreadsheetml/2009/9/main" objectType="Button" lockText="1"/>
</file>

<file path=xl/ctrlProps/ctrlProp106.xml><?xml version="1.0" encoding="utf-8"?>
<formControlPr xmlns="http://schemas.microsoft.com/office/spreadsheetml/2009/9/main" objectType="Button" lockText="1"/>
</file>

<file path=xl/ctrlProps/ctrlProp107.xml><?xml version="1.0" encoding="utf-8"?>
<formControlPr xmlns="http://schemas.microsoft.com/office/spreadsheetml/2009/9/main" objectType="Button" lockText="1"/>
</file>

<file path=xl/ctrlProps/ctrlProp108.xml><?xml version="1.0" encoding="utf-8"?>
<formControlPr xmlns="http://schemas.microsoft.com/office/spreadsheetml/2009/9/main" objectType="Button" lockText="1"/>
</file>

<file path=xl/ctrlProps/ctrlProp109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110.xml><?xml version="1.0" encoding="utf-8"?>
<formControlPr xmlns="http://schemas.microsoft.com/office/spreadsheetml/2009/9/main" objectType="Button" lockText="1"/>
</file>

<file path=xl/ctrlProps/ctrlProp111.xml><?xml version="1.0" encoding="utf-8"?>
<formControlPr xmlns="http://schemas.microsoft.com/office/spreadsheetml/2009/9/main" objectType="Button" lockText="1"/>
</file>

<file path=xl/ctrlProps/ctrlProp112.xml><?xml version="1.0" encoding="utf-8"?>
<formControlPr xmlns="http://schemas.microsoft.com/office/spreadsheetml/2009/9/main" objectType="Button" lockText="1"/>
</file>

<file path=xl/ctrlProps/ctrlProp113.xml><?xml version="1.0" encoding="utf-8"?>
<formControlPr xmlns="http://schemas.microsoft.com/office/spreadsheetml/2009/9/main" objectType="Button" lockText="1"/>
</file>

<file path=xl/ctrlProps/ctrlProp114.xml><?xml version="1.0" encoding="utf-8"?>
<formControlPr xmlns="http://schemas.microsoft.com/office/spreadsheetml/2009/9/main" objectType="Button" lockText="1"/>
</file>

<file path=xl/ctrlProps/ctrlProp115.xml><?xml version="1.0" encoding="utf-8"?>
<formControlPr xmlns="http://schemas.microsoft.com/office/spreadsheetml/2009/9/main" objectType="Button" lockText="1"/>
</file>

<file path=xl/ctrlProps/ctrlProp116.xml><?xml version="1.0" encoding="utf-8"?>
<formControlPr xmlns="http://schemas.microsoft.com/office/spreadsheetml/2009/9/main" objectType="Button" lockText="1"/>
</file>

<file path=xl/ctrlProps/ctrlProp117.xml><?xml version="1.0" encoding="utf-8"?>
<formControlPr xmlns="http://schemas.microsoft.com/office/spreadsheetml/2009/9/main" objectType="Button" lockText="1"/>
</file>

<file path=xl/ctrlProps/ctrlProp118.xml><?xml version="1.0" encoding="utf-8"?>
<formControlPr xmlns="http://schemas.microsoft.com/office/spreadsheetml/2009/9/main" objectType="Button" lockText="1"/>
</file>

<file path=xl/ctrlProps/ctrlProp119.xml><?xml version="1.0" encoding="utf-8"?>
<formControlPr xmlns="http://schemas.microsoft.com/office/spreadsheetml/2009/9/main" objectType="Button" lockText="1"/>
</file>

<file path=xl/ctrlProps/ctrlProp12.xml><?xml version="1.0" encoding="utf-8"?>
<formControlPr xmlns="http://schemas.microsoft.com/office/spreadsheetml/2009/9/main" objectType="Button" lockText="1"/>
</file>

<file path=xl/ctrlProps/ctrlProp120.xml><?xml version="1.0" encoding="utf-8"?>
<formControlPr xmlns="http://schemas.microsoft.com/office/spreadsheetml/2009/9/main" objectType="Button" lockText="1"/>
</file>

<file path=xl/ctrlProps/ctrlProp121.xml><?xml version="1.0" encoding="utf-8"?>
<formControlPr xmlns="http://schemas.microsoft.com/office/spreadsheetml/2009/9/main" objectType="Button" lockText="1"/>
</file>

<file path=xl/ctrlProps/ctrlProp122.xml><?xml version="1.0" encoding="utf-8"?>
<formControlPr xmlns="http://schemas.microsoft.com/office/spreadsheetml/2009/9/main" objectType="Button" lockText="1"/>
</file>

<file path=xl/ctrlProps/ctrlProp123.xml><?xml version="1.0" encoding="utf-8"?>
<formControlPr xmlns="http://schemas.microsoft.com/office/spreadsheetml/2009/9/main" objectType="Button" lockText="1"/>
</file>

<file path=xl/ctrlProps/ctrlProp124.xml><?xml version="1.0" encoding="utf-8"?>
<formControlPr xmlns="http://schemas.microsoft.com/office/spreadsheetml/2009/9/main" objectType="Button" lockText="1"/>
</file>

<file path=xl/ctrlProps/ctrlProp125.xml><?xml version="1.0" encoding="utf-8"?>
<formControlPr xmlns="http://schemas.microsoft.com/office/spreadsheetml/2009/9/main" objectType="Button" lockText="1"/>
</file>

<file path=xl/ctrlProps/ctrlProp126.xml><?xml version="1.0" encoding="utf-8"?>
<formControlPr xmlns="http://schemas.microsoft.com/office/spreadsheetml/2009/9/main" objectType="Button" lockText="1"/>
</file>

<file path=xl/ctrlProps/ctrlProp127.xml><?xml version="1.0" encoding="utf-8"?>
<formControlPr xmlns="http://schemas.microsoft.com/office/spreadsheetml/2009/9/main" objectType="Button" lockText="1"/>
</file>

<file path=xl/ctrlProps/ctrlProp128.xml><?xml version="1.0" encoding="utf-8"?>
<formControlPr xmlns="http://schemas.microsoft.com/office/spreadsheetml/2009/9/main" objectType="Button" lockText="1"/>
</file>

<file path=xl/ctrlProps/ctrlProp129.xml><?xml version="1.0" encoding="utf-8"?>
<formControlPr xmlns="http://schemas.microsoft.com/office/spreadsheetml/2009/9/main" objectType="Button" lockText="1"/>
</file>

<file path=xl/ctrlProps/ctrlProp13.xml><?xml version="1.0" encoding="utf-8"?>
<formControlPr xmlns="http://schemas.microsoft.com/office/spreadsheetml/2009/9/main" objectType="Button" lockText="1"/>
</file>

<file path=xl/ctrlProps/ctrlProp130.xml><?xml version="1.0" encoding="utf-8"?>
<formControlPr xmlns="http://schemas.microsoft.com/office/spreadsheetml/2009/9/main" objectType="Button" lockText="1"/>
</file>

<file path=xl/ctrlProps/ctrlProp131.xml><?xml version="1.0" encoding="utf-8"?>
<formControlPr xmlns="http://schemas.microsoft.com/office/spreadsheetml/2009/9/main" objectType="Button" lockText="1"/>
</file>

<file path=xl/ctrlProps/ctrlProp132.xml><?xml version="1.0" encoding="utf-8"?>
<formControlPr xmlns="http://schemas.microsoft.com/office/spreadsheetml/2009/9/main" objectType="Button" lockText="1"/>
</file>

<file path=xl/ctrlProps/ctrlProp133.xml><?xml version="1.0" encoding="utf-8"?>
<formControlPr xmlns="http://schemas.microsoft.com/office/spreadsheetml/2009/9/main" objectType="Button" lockText="1"/>
</file>

<file path=xl/ctrlProps/ctrlProp134.xml><?xml version="1.0" encoding="utf-8"?>
<formControlPr xmlns="http://schemas.microsoft.com/office/spreadsheetml/2009/9/main" objectType="Button" lockText="1"/>
</file>

<file path=xl/ctrlProps/ctrlProp135.xml><?xml version="1.0" encoding="utf-8"?>
<formControlPr xmlns="http://schemas.microsoft.com/office/spreadsheetml/2009/9/main" objectType="Button" lockText="1"/>
</file>

<file path=xl/ctrlProps/ctrlProp136.xml><?xml version="1.0" encoding="utf-8"?>
<formControlPr xmlns="http://schemas.microsoft.com/office/spreadsheetml/2009/9/main" objectType="Button" lockText="1"/>
</file>

<file path=xl/ctrlProps/ctrlProp137.xml><?xml version="1.0" encoding="utf-8"?>
<formControlPr xmlns="http://schemas.microsoft.com/office/spreadsheetml/2009/9/main" objectType="Button" lockText="1"/>
</file>

<file path=xl/ctrlProps/ctrlProp138.xml><?xml version="1.0" encoding="utf-8"?>
<formControlPr xmlns="http://schemas.microsoft.com/office/spreadsheetml/2009/9/main" objectType="Button" lockText="1"/>
</file>

<file path=xl/ctrlProps/ctrlProp139.xml><?xml version="1.0" encoding="utf-8"?>
<formControlPr xmlns="http://schemas.microsoft.com/office/spreadsheetml/2009/9/main" objectType="Button" lockText="1"/>
</file>

<file path=xl/ctrlProps/ctrlProp14.xml><?xml version="1.0" encoding="utf-8"?>
<formControlPr xmlns="http://schemas.microsoft.com/office/spreadsheetml/2009/9/main" objectType="Button" lockText="1"/>
</file>

<file path=xl/ctrlProps/ctrlProp140.xml><?xml version="1.0" encoding="utf-8"?>
<formControlPr xmlns="http://schemas.microsoft.com/office/spreadsheetml/2009/9/main" objectType="Button" lockText="1"/>
</file>

<file path=xl/ctrlProps/ctrlProp141.xml><?xml version="1.0" encoding="utf-8"?>
<formControlPr xmlns="http://schemas.microsoft.com/office/spreadsheetml/2009/9/main" objectType="Button" lockText="1"/>
</file>

<file path=xl/ctrlProps/ctrlProp142.xml><?xml version="1.0" encoding="utf-8"?>
<formControlPr xmlns="http://schemas.microsoft.com/office/spreadsheetml/2009/9/main" objectType="Button" lockText="1"/>
</file>

<file path=xl/ctrlProps/ctrlProp143.xml><?xml version="1.0" encoding="utf-8"?>
<formControlPr xmlns="http://schemas.microsoft.com/office/spreadsheetml/2009/9/main" objectType="Button" lockText="1"/>
</file>

<file path=xl/ctrlProps/ctrlProp144.xml><?xml version="1.0" encoding="utf-8"?>
<formControlPr xmlns="http://schemas.microsoft.com/office/spreadsheetml/2009/9/main" objectType="Button" lockText="1"/>
</file>

<file path=xl/ctrlProps/ctrlProp145.xml><?xml version="1.0" encoding="utf-8"?>
<formControlPr xmlns="http://schemas.microsoft.com/office/spreadsheetml/2009/9/main" objectType="Button" lockText="1"/>
</file>

<file path=xl/ctrlProps/ctrlProp146.xml><?xml version="1.0" encoding="utf-8"?>
<formControlPr xmlns="http://schemas.microsoft.com/office/spreadsheetml/2009/9/main" objectType="Button" lockText="1"/>
</file>

<file path=xl/ctrlProps/ctrlProp147.xml><?xml version="1.0" encoding="utf-8"?>
<formControlPr xmlns="http://schemas.microsoft.com/office/spreadsheetml/2009/9/main" objectType="Button" lockText="1"/>
</file>

<file path=xl/ctrlProps/ctrlProp148.xml><?xml version="1.0" encoding="utf-8"?>
<formControlPr xmlns="http://schemas.microsoft.com/office/spreadsheetml/2009/9/main" objectType="Button" lockText="1"/>
</file>

<file path=xl/ctrlProps/ctrlProp149.xml><?xml version="1.0" encoding="utf-8"?>
<formControlPr xmlns="http://schemas.microsoft.com/office/spreadsheetml/2009/9/main" objectType="Button" lockText="1"/>
</file>

<file path=xl/ctrlProps/ctrlProp15.xml><?xml version="1.0" encoding="utf-8"?>
<formControlPr xmlns="http://schemas.microsoft.com/office/spreadsheetml/2009/9/main" objectType="Button" lockText="1"/>
</file>

<file path=xl/ctrlProps/ctrlProp150.xml><?xml version="1.0" encoding="utf-8"?>
<formControlPr xmlns="http://schemas.microsoft.com/office/spreadsheetml/2009/9/main" objectType="Button" lockText="1"/>
</file>

<file path=xl/ctrlProps/ctrlProp151.xml><?xml version="1.0" encoding="utf-8"?>
<formControlPr xmlns="http://schemas.microsoft.com/office/spreadsheetml/2009/9/main" objectType="Button" lockText="1"/>
</file>

<file path=xl/ctrlProps/ctrlProp152.xml><?xml version="1.0" encoding="utf-8"?>
<formControlPr xmlns="http://schemas.microsoft.com/office/spreadsheetml/2009/9/main" objectType="Button" lockText="1"/>
</file>

<file path=xl/ctrlProps/ctrlProp153.xml><?xml version="1.0" encoding="utf-8"?>
<formControlPr xmlns="http://schemas.microsoft.com/office/spreadsheetml/2009/9/main" objectType="Button" lockText="1"/>
</file>

<file path=xl/ctrlProps/ctrlProp154.xml><?xml version="1.0" encoding="utf-8"?>
<formControlPr xmlns="http://schemas.microsoft.com/office/spreadsheetml/2009/9/main" objectType="Button" lockText="1"/>
</file>

<file path=xl/ctrlProps/ctrlProp155.xml><?xml version="1.0" encoding="utf-8"?>
<formControlPr xmlns="http://schemas.microsoft.com/office/spreadsheetml/2009/9/main" objectType="Button" lockText="1"/>
</file>

<file path=xl/ctrlProps/ctrlProp156.xml><?xml version="1.0" encoding="utf-8"?>
<formControlPr xmlns="http://schemas.microsoft.com/office/spreadsheetml/2009/9/main" objectType="Button" lockText="1"/>
</file>

<file path=xl/ctrlProps/ctrlProp157.xml><?xml version="1.0" encoding="utf-8"?>
<formControlPr xmlns="http://schemas.microsoft.com/office/spreadsheetml/2009/9/main" objectType="Button" lockText="1"/>
</file>

<file path=xl/ctrlProps/ctrlProp158.xml><?xml version="1.0" encoding="utf-8"?>
<formControlPr xmlns="http://schemas.microsoft.com/office/spreadsheetml/2009/9/main" objectType="Button" lockText="1"/>
</file>

<file path=xl/ctrlProps/ctrlProp159.xml><?xml version="1.0" encoding="utf-8"?>
<formControlPr xmlns="http://schemas.microsoft.com/office/spreadsheetml/2009/9/main" objectType="Button" lockText="1"/>
</file>

<file path=xl/ctrlProps/ctrlProp16.xml><?xml version="1.0" encoding="utf-8"?>
<formControlPr xmlns="http://schemas.microsoft.com/office/spreadsheetml/2009/9/main" objectType="Button" lockText="1"/>
</file>

<file path=xl/ctrlProps/ctrlProp160.xml><?xml version="1.0" encoding="utf-8"?>
<formControlPr xmlns="http://schemas.microsoft.com/office/spreadsheetml/2009/9/main" objectType="Button" lockText="1"/>
</file>

<file path=xl/ctrlProps/ctrlProp161.xml><?xml version="1.0" encoding="utf-8"?>
<formControlPr xmlns="http://schemas.microsoft.com/office/spreadsheetml/2009/9/main" objectType="Button" lockText="1"/>
</file>

<file path=xl/ctrlProps/ctrlProp162.xml><?xml version="1.0" encoding="utf-8"?>
<formControlPr xmlns="http://schemas.microsoft.com/office/spreadsheetml/2009/9/main" objectType="Button" lockText="1"/>
</file>

<file path=xl/ctrlProps/ctrlProp163.xml><?xml version="1.0" encoding="utf-8"?>
<formControlPr xmlns="http://schemas.microsoft.com/office/spreadsheetml/2009/9/main" objectType="Button" lockText="1"/>
</file>

<file path=xl/ctrlProps/ctrlProp164.xml><?xml version="1.0" encoding="utf-8"?>
<formControlPr xmlns="http://schemas.microsoft.com/office/spreadsheetml/2009/9/main" objectType="Button" lockText="1"/>
</file>

<file path=xl/ctrlProps/ctrlProp165.xml><?xml version="1.0" encoding="utf-8"?>
<formControlPr xmlns="http://schemas.microsoft.com/office/spreadsheetml/2009/9/main" objectType="Button" lockText="1"/>
</file>

<file path=xl/ctrlProps/ctrlProp166.xml><?xml version="1.0" encoding="utf-8"?>
<formControlPr xmlns="http://schemas.microsoft.com/office/spreadsheetml/2009/9/main" objectType="Button" lockText="1"/>
</file>

<file path=xl/ctrlProps/ctrlProp167.xml><?xml version="1.0" encoding="utf-8"?>
<formControlPr xmlns="http://schemas.microsoft.com/office/spreadsheetml/2009/9/main" objectType="Button" lockText="1"/>
</file>

<file path=xl/ctrlProps/ctrlProp168.xml><?xml version="1.0" encoding="utf-8"?>
<formControlPr xmlns="http://schemas.microsoft.com/office/spreadsheetml/2009/9/main" objectType="Button" lockText="1"/>
</file>

<file path=xl/ctrlProps/ctrlProp169.xml><?xml version="1.0" encoding="utf-8"?>
<formControlPr xmlns="http://schemas.microsoft.com/office/spreadsheetml/2009/9/main" objectType="Button" lockText="1"/>
</file>

<file path=xl/ctrlProps/ctrlProp17.xml><?xml version="1.0" encoding="utf-8"?>
<formControlPr xmlns="http://schemas.microsoft.com/office/spreadsheetml/2009/9/main" objectType="Button" lockText="1"/>
</file>

<file path=xl/ctrlProps/ctrlProp170.xml><?xml version="1.0" encoding="utf-8"?>
<formControlPr xmlns="http://schemas.microsoft.com/office/spreadsheetml/2009/9/main" objectType="Button" lockText="1"/>
</file>

<file path=xl/ctrlProps/ctrlProp171.xml><?xml version="1.0" encoding="utf-8"?>
<formControlPr xmlns="http://schemas.microsoft.com/office/spreadsheetml/2009/9/main" objectType="Button" lockText="1"/>
</file>

<file path=xl/ctrlProps/ctrlProp172.xml><?xml version="1.0" encoding="utf-8"?>
<formControlPr xmlns="http://schemas.microsoft.com/office/spreadsheetml/2009/9/main" objectType="Button" lockText="1"/>
</file>

<file path=xl/ctrlProps/ctrlProp173.xml><?xml version="1.0" encoding="utf-8"?>
<formControlPr xmlns="http://schemas.microsoft.com/office/spreadsheetml/2009/9/main" objectType="Button" lockText="1"/>
</file>

<file path=xl/ctrlProps/ctrlProp174.xml><?xml version="1.0" encoding="utf-8"?>
<formControlPr xmlns="http://schemas.microsoft.com/office/spreadsheetml/2009/9/main" objectType="Button" lockText="1"/>
</file>

<file path=xl/ctrlProps/ctrlProp175.xml><?xml version="1.0" encoding="utf-8"?>
<formControlPr xmlns="http://schemas.microsoft.com/office/spreadsheetml/2009/9/main" objectType="Button" lockText="1"/>
</file>

<file path=xl/ctrlProps/ctrlProp176.xml><?xml version="1.0" encoding="utf-8"?>
<formControlPr xmlns="http://schemas.microsoft.com/office/spreadsheetml/2009/9/main" objectType="Button" lockText="1"/>
</file>

<file path=xl/ctrlProps/ctrlProp177.xml><?xml version="1.0" encoding="utf-8"?>
<formControlPr xmlns="http://schemas.microsoft.com/office/spreadsheetml/2009/9/main" objectType="Button" lockText="1"/>
</file>

<file path=xl/ctrlProps/ctrlProp178.xml><?xml version="1.0" encoding="utf-8"?>
<formControlPr xmlns="http://schemas.microsoft.com/office/spreadsheetml/2009/9/main" objectType="Button" lockText="1"/>
</file>

<file path=xl/ctrlProps/ctrlProp179.xml><?xml version="1.0" encoding="utf-8"?>
<formControlPr xmlns="http://schemas.microsoft.com/office/spreadsheetml/2009/9/main" objectType="Button" lockText="1"/>
</file>

<file path=xl/ctrlProps/ctrlProp18.xml><?xml version="1.0" encoding="utf-8"?>
<formControlPr xmlns="http://schemas.microsoft.com/office/spreadsheetml/2009/9/main" objectType="Button" lockText="1"/>
</file>

<file path=xl/ctrlProps/ctrlProp180.xml><?xml version="1.0" encoding="utf-8"?>
<formControlPr xmlns="http://schemas.microsoft.com/office/spreadsheetml/2009/9/main" objectType="Button" lockText="1"/>
</file>

<file path=xl/ctrlProps/ctrlProp181.xml><?xml version="1.0" encoding="utf-8"?>
<formControlPr xmlns="http://schemas.microsoft.com/office/spreadsheetml/2009/9/main" objectType="Button" lockText="1"/>
</file>

<file path=xl/ctrlProps/ctrlProp182.xml><?xml version="1.0" encoding="utf-8"?>
<formControlPr xmlns="http://schemas.microsoft.com/office/spreadsheetml/2009/9/main" objectType="Button" lockText="1"/>
</file>

<file path=xl/ctrlProps/ctrlProp183.xml><?xml version="1.0" encoding="utf-8"?>
<formControlPr xmlns="http://schemas.microsoft.com/office/spreadsheetml/2009/9/main" objectType="Button" lockText="1"/>
</file>

<file path=xl/ctrlProps/ctrlProp184.xml><?xml version="1.0" encoding="utf-8"?>
<formControlPr xmlns="http://schemas.microsoft.com/office/spreadsheetml/2009/9/main" objectType="Button" lockText="1"/>
</file>

<file path=xl/ctrlProps/ctrlProp185.xml><?xml version="1.0" encoding="utf-8"?>
<formControlPr xmlns="http://schemas.microsoft.com/office/spreadsheetml/2009/9/main" objectType="Button" lockText="1"/>
</file>

<file path=xl/ctrlProps/ctrlProp186.xml><?xml version="1.0" encoding="utf-8"?>
<formControlPr xmlns="http://schemas.microsoft.com/office/spreadsheetml/2009/9/main" objectType="Button" lockText="1"/>
</file>

<file path=xl/ctrlProps/ctrlProp187.xml><?xml version="1.0" encoding="utf-8"?>
<formControlPr xmlns="http://schemas.microsoft.com/office/spreadsheetml/2009/9/main" objectType="Button" lockText="1"/>
</file>

<file path=xl/ctrlProps/ctrlProp188.xml><?xml version="1.0" encoding="utf-8"?>
<formControlPr xmlns="http://schemas.microsoft.com/office/spreadsheetml/2009/9/main" objectType="Button" lockText="1"/>
</file>

<file path=xl/ctrlProps/ctrlProp189.xml><?xml version="1.0" encoding="utf-8"?>
<formControlPr xmlns="http://schemas.microsoft.com/office/spreadsheetml/2009/9/main" objectType="Button" lockText="1"/>
</file>

<file path=xl/ctrlProps/ctrlProp19.xml><?xml version="1.0" encoding="utf-8"?>
<formControlPr xmlns="http://schemas.microsoft.com/office/spreadsheetml/2009/9/main" objectType="Button" lockText="1"/>
</file>

<file path=xl/ctrlProps/ctrlProp190.xml><?xml version="1.0" encoding="utf-8"?>
<formControlPr xmlns="http://schemas.microsoft.com/office/spreadsheetml/2009/9/main" objectType="Button" lockText="1"/>
</file>

<file path=xl/ctrlProps/ctrlProp191.xml><?xml version="1.0" encoding="utf-8"?>
<formControlPr xmlns="http://schemas.microsoft.com/office/spreadsheetml/2009/9/main" objectType="Button" lockText="1"/>
</file>

<file path=xl/ctrlProps/ctrlProp192.xml><?xml version="1.0" encoding="utf-8"?>
<formControlPr xmlns="http://schemas.microsoft.com/office/spreadsheetml/2009/9/main" objectType="Button" lockText="1"/>
</file>

<file path=xl/ctrlProps/ctrlProp193.xml><?xml version="1.0" encoding="utf-8"?>
<formControlPr xmlns="http://schemas.microsoft.com/office/spreadsheetml/2009/9/main" objectType="Button" lockText="1"/>
</file>

<file path=xl/ctrlProps/ctrlProp194.xml><?xml version="1.0" encoding="utf-8"?>
<formControlPr xmlns="http://schemas.microsoft.com/office/spreadsheetml/2009/9/main" objectType="Button" lockText="1"/>
</file>

<file path=xl/ctrlProps/ctrlProp195.xml><?xml version="1.0" encoding="utf-8"?>
<formControlPr xmlns="http://schemas.microsoft.com/office/spreadsheetml/2009/9/main" objectType="Button" lockText="1"/>
</file>

<file path=xl/ctrlProps/ctrlProp196.xml><?xml version="1.0" encoding="utf-8"?>
<formControlPr xmlns="http://schemas.microsoft.com/office/spreadsheetml/2009/9/main" objectType="Button" lockText="1"/>
</file>

<file path=xl/ctrlProps/ctrlProp197.xml><?xml version="1.0" encoding="utf-8"?>
<formControlPr xmlns="http://schemas.microsoft.com/office/spreadsheetml/2009/9/main" objectType="Button" lockText="1"/>
</file>

<file path=xl/ctrlProps/ctrlProp198.xml><?xml version="1.0" encoding="utf-8"?>
<formControlPr xmlns="http://schemas.microsoft.com/office/spreadsheetml/2009/9/main" objectType="Button" lockText="1"/>
</file>

<file path=xl/ctrlProps/ctrlProp199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20.xml><?xml version="1.0" encoding="utf-8"?>
<formControlPr xmlns="http://schemas.microsoft.com/office/spreadsheetml/2009/9/main" objectType="Button" lockText="1"/>
</file>

<file path=xl/ctrlProps/ctrlProp200.xml><?xml version="1.0" encoding="utf-8"?>
<formControlPr xmlns="http://schemas.microsoft.com/office/spreadsheetml/2009/9/main" objectType="Button" lockText="1"/>
</file>

<file path=xl/ctrlProps/ctrlProp201.xml><?xml version="1.0" encoding="utf-8"?>
<formControlPr xmlns="http://schemas.microsoft.com/office/spreadsheetml/2009/9/main" objectType="Button" lockText="1"/>
</file>

<file path=xl/ctrlProps/ctrlProp202.xml><?xml version="1.0" encoding="utf-8"?>
<formControlPr xmlns="http://schemas.microsoft.com/office/spreadsheetml/2009/9/main" objectType="Button" lockText="1"/>
</file>

<file path=xl/ctrlProps/ctrlProp203.xml><?xml version="1.0" encoding="utf-8"?>
<formControlPr xmlns="http://schemas.microsoft.com/office/spreadsheetml/2009/9/main" objectType="Button" lockText="1"/>
</file>

<file path=xl/ctrlProps/ctrlProp204.xml><?xml version="1.0" encoding="utf-8"?>
<formControlPr xmlns="http://schemas.microsoft.com/office/spreadsheetml/2009/9/main" objectType="Button" lockText="1"/>
</file>

<file path=xl/ctrlProps/ctrlProp205.xml><?xml version="1.0" encoding="utf-8"?>
<formControlPr xmlns="http://schemas.microsoft.com/office/spreadsheetml/2009/9/main" objectType="Button" lockText="1"/>
</file>

<file path=xl/ctrlProps/ctrlProp206.xml><?xml version="1.0" encoding="utf-8"?>
<formControlPr xmlns="http://schemas.microsoft.com/office/spreadsheetml/2009/9/main" objectType="Button" lockText="1"/>
</file>

<file path=xl/ctrlProps/ctrlProp207.xml><?xml version="1.0" encoding="utf-8"?>
<formControlPr xmlns="http://schemas.microsoft.com/office/spreadsheetml/2009/9/main" objectType="Button" lockText="1"/>
</file>

<file path=xl/ctrlProps/ctrlProp208.xml><?xml version="1.0" encoding="utf-8"?>
<formControlPr xmlns="http://schemas.microsoft.com/office/spreadsheetml/2009/9/main" objectType="Button" lockText="1"/>
</file>

<file path=xl/ctrlProps/ctrlProp209.xml><?xml version="1.0" encoding="utf-8"?>
<formControlPr xmlns="http://schemas.microsoft.com/office/spreadsheetml/2009/9/main" objectType="Button" lockText="1"/>
</file>

<file path=xl/ctrlProps/ctrlProp21.xml><?xml version="1.0" encoding="utf-8"?>
<formControlPr xmlns="http://schemas.microsoft.com/office/spreadsheetml/2009/9/main" objectType="Button" lockText="1"/>
</file>

<file path=xl/ctrlProps/ctrlProp210.xml><?xml version="1.0" encoding="utf-8"?>
<formControlPr xmlns="http://schemas.microsoft.com/office/spreadsheetml/2009/9/main" objectType="Button" lockText="1"/>
</file>

<file path=xl/ctrlProps/ctrlProp211.xml><?xml version="1.0" encoding="utf-8"?>
<formControlPr xmlns="http://schemas.microsoft.com/office/spreadsheetml/2009/9/main" objectType="Button" lockText="1"/>
</file>

<file path=xl/ctrlProps/ctrlProp212.xml><?xml version="1.0" encoding="utf-8"?>
<formControlPr xmlns="http://schemas.microsoft.com/office/spreadsheetml/2009/9/main" objectType="Button" lockText="1"/>
</file>

<file path=xl/ctrlProps/ctrlProp213.xml><?xml version="1.0" encoding="utf-8"?>
<formControlPr xmlns="http://schemas.microsoft.com/office/spreadsheetml/2009/9/main" objectType="Button" lockText="1"/>
</file>

<file path=xl/ctrlProps/ctrlProp214.xml><?xml version="1.0" encoding="utf-8"?>
<formControlPr xmlns="http://schemas.microsoft.com/office/spreadsheetml/2009/9/main" objectType="Button" lockText="1"/>
</file>

<file path=xl/ctrlProps/ctrlProp215.xml><?xml version="1.0" encoding="utf-8"?>
<formControlPr xmlns="http://schemas.microsoft.com/office/spreadsheetml/2009/9/main" objectType="Button" lockText="1"/>
</file>

<file path=xl/ctrlProps/ctrlProp216.xml><?xml version="1.0" encoding="utf-8"?>
<formControlPr xmlns="http://schemas.microsoft.com/office/spreadsheetml/2009/9/main" objectType="Button" lockText="1"/>
</file>

<file path=xl/ctrlProps/ctrlProp217.xml><?xml version="1.0" encoding="utf-8"?>
<formControlPr xmlns="http://schemas.microsoft.com/office/spreadsheetml/2009/9/main" objectType="Button" lockText="1"/>
</file>

<file path=xl/ctrlProps/ctrlProp218.xml><?xml version="1.0" encoding="utf-8"?>
<formControlPr xmlns="http://schemas.microsoft.com/office/spreadsheetml/2009/9/main" objectType="Button" lockText="1"/>
</file>

<file path=xl/ctrlProps/ctrlProp219.xml><?xml version="1.0" encoding="utf-8"?>
<formControlPr xmlns="http://schemas.microsoft.com/office/spreadsheetml/2009/9/main" objectType="Button" lockText="1"/>
</file>

<file path=xl/ctrlProps/ctrlProp22.xml><?xml version="1.0" encoding="utf-8"?>
<formControlPr xmlns="http://schemas.microsoft.com/office/spreadsheetml/2009/9/main" objectType="Button" lockText="1"/>
</file>

<file path=xl/ctrlProps/ctrlProp220.xml><?xml version="1.0" encoding="utf-8"?>
<formControlPr xmlns="http://schemas.microsoft.com/office/spreadsheetml/2009/9/main" objectType="Button" lockText="1"/>
</file>

<file path=xl/ctrlProps/ctrlProp221.xml><?xml version="1.0" encoding="utf-8"?>
<formControlPr xmlns="http://schemas.microsoft.com/office/spreadsheetml/2009/9/main" objectType="Button" lockText="1"/>
</file>

<file path=xl/ctrlProps/ctrlProp222.xml><?xml version="1.0" encoding="utf-8"?>
<formControlPr xmlns="http://schemas.microsoft.com/office/spreadsheetml/2009/9/main" objectType="Button" lockText="1"/>
</file>

<file path=xl/ctrlProps/ctrlProp223.xml><?xml version="1.0" encoding="utf-8"?>
<formControlPr xmlns="http://schemas.microsoft.com/office/spreadsheetml/2009/9/main" objectType="Button" lockText="1"/>
</file>

<file path=xl/ctrlProps/ctrlProp224.xml><?xml version="1.0" encoding="utf-8"?>
<formControlPr xmlns="http://schemas.microsoft.com/office/spreadsheetml/2009/9/main" objectType="Button" lockText="1"/>
</file>

<file path=xl/ctrlProps/ctrlProp225.xml><?xml version="1.0" encoding="utf-8"?>
<formControlPr xmlns="http://schemas.microsoft.com/office/spreadsheetml/2009/9/main" objectType="Button" lockText="1"/>
</file>

<file path=xl/ctrlProps/ctrlProp226.xml><?xml version="1.0" encoding="utf-8"?>
<formControlPr xmlns="http://schemas.microsoft.com/office/spreadsheetml/2009/9/main" objectType="Button" lockText="1"/>
</file>

<file path=xl/ctrlProps/ctrlProp227.xml><?xml version="1.0" encoding="utf-8"?>
<formControlPr xmlns="http://schemas.microsoft.com/office/spreadsheetml/2009/9/main" objectType="Button" lockText="1"/>
</file>

<file path=xl/ctrlProps/ctrlProp228.xml><?xml version="1.0" encoding="utf-8"?>
<formControlPr xmlns="http://schemas.microsoft.com/office/spreadsheetml/2009/9/main" objectType="Button" lockText="1"/>
</file>

<file path=xl/ctrlProps/ctrlProp229.xml><?xml version="1.0" encoding="utf-8"?>
<formControlPr xmlns="http://schemas.microsoft.com/office/spreadsheetml/2009/9/main" objectType="Button" lockText="1"/>
</file>

<file path=xl/ctrlProps/ctrlProp23.xml><?xml version="1.0" encoding="utf-8"?>
<formControlPr xmlns="http://schemas.microsoft.com/office/spreadsheetml/2009/9/main" objectType="Button" lockText="1"/>
</file>

<file path=xl/ctrlProps/ctrlProp230.xml><?xml version="1.0" encoding="utf-8"?>
<formControlPr xmlns="http://schemas.microsoft.com/office/spreadsheetml/2009/9/main" objectType="Button" lockText="1"/>
</file>

<file path=xl/ctrlProps/ctrlProp231.xml><?xml version="1.0" encoding="utf-8"?>
<formControlPr xmlns="http://schemas.microsoft.com/office/spreadsheetml/2009/9/main" objectType="Button" lockText="1"/>
</file>

<file path=xl/ctrlProps/ctrlProp232.xml><?xml version="1.0" encoding="utf-8"?>
<formControlPr xmlns="http://schemas.microsoft.com/office/spreadsheetml/2009/9/main" objectType="Button" lockText="1"/>
</file>

<file path=xl/ctrlProps/ctrlProp233.xml><?xml version="1.0" encoding="utf-8"?>
<formControlPr xmlns="http://schemas.microsoft.com/office/spreadsheetml/2009/9/main" objectType="Button" lockText="1"/>
</file>

<file path=xl/ctrlProps/ctrlProp234.xml><?xml version="1.0" encoding="utf-8"?>
<formControlPr xmlns="http://schemas.microsoft.com/office/spreadsheetml/2009/9/main" objectType="Button" lockText="1"/>
</file>

<file path=xl/ctrlProps/ctrlProp235.xml><?xml version="1.0" encoding="utf-8"?>
<formControlPr xmlns="http://schemas.microsoft.com/office/spreadsheetml/2009/9/main" objectType="Button" lockText="1"/>
</file>

<file path=xl/ctrlProps/ctrlProp236.xml><?xml version="1.0" encoding="utf-8"?>
<formControlPr xmlns="http://schemas.microsoft.com/office/spreadsheetml/2009/9/main" objectType="Button" lockText="1"/>
</file>

<file path=xl/ctrlProps/ctrlProp237.xml><?xml version="1.0" encoding="utf-8"?>
<formControlPr xmlns="http://schemas.microsoft.com/office/spreadsheetml/2009/9/main" objectType="Button" lockText="1"/>
</file>

<file path=xl/ctrlProps/ctrlProp238.xml><?xml version="1.0" encoding="utf-8"?>
<formControlPr xmlns="http://schemas.microsoft.com/office/spreadsheetml/2009/9/main" objectType="Button" lockText="1"/>
</file>

<file path=xl/ctrlProps/ctrlProp239.xml><?xml version="1.0" encoding="utf-8"?>
<formControlPr xmlns="http://schemas.microsoft.com/office/spreadsheetml/2009/9/main" objectType="Button" lockText="1"/>
</file>

<file path=xl/ctrlProps/ctrlProp24.xml><?xml version="1.0" encoding="utf-8"?>
<formControlPr xmlns="http://schemas.microsoft.com/office/spreadsheetml/2009/9/main" objectType="Button" lockText="1"/>
</file>

<file path=xl/ctrlProps/ctrlProp240.xml><?xml version="1.0" encoding="utf-8"?>
<formControlPr xmlns="http://schemas.microsoft.com/office/spreadsheetml/2009/9/main" objectType="Button" lockText="1"/>
</file>

<file path=xl/ctrlProps/ctrlProp241.xml><?xml version="1.0" encoding="utf-8"?>
<formControlPr xmlns="http://schemas.microsoft.com/office/spreadsheetml/2009/9/main" objectType="Button" lockText="1"/>
</file>

<file path=xl/ctrlProps/ctrlProp242.xml><?xml version="1.0" encoding="utf-8"?>
<formControlPr xmlns="http://schemas.microsoft.com/office/spreadsheetml/2009/9/main" objectType="Button" lockText="1"/>
</file>

<file path=xl/ctrlProps/ctrlProp243.xml><?xml version="1.0" encoding="utf-8"?>
<formControlPr xmlns="http://schemas.microsoft.com/office/spreadsheetml/2009/9/main" objectType="Button" lockText="1"/>
</file>

<file path=xl/ctrlProps/ctrlProp244.xml><?xml version="1.0" encoding="utf-8"?>
<formControlPr xmlns="http://schemas.microsoft.com/office/spreadsheetml/2009/9/main" objectType="Button" lockText="1"/>
</file>

<file path=xl/ctrlProps/ctrlProp245.xml><?xml version="1.0" encoding="utf-8"?>
<formControlPr xmlns="http://schemas.microsoft.com/office/spreadsheetml/2009/9/main" objectType="Button" lockText="1"/>
</file>

<file path=xl/ctrlProps/ctrlProp246.xml><?xml version="1.0" encoding="utf-8"?>
<formControlPr xmlns="http://schemas.microsoft.com/office/spreadsheetml/2009/9/main" objectType="Button" lockText="1"/>
</file>

<file path=xl/ctrlProps/ctrlProp247.xml><?xml version="1.0" encoding="utf-8"?>
<formControlPr xmlns="http://schemas.microsoft.com/office/spreadsheetml/2009/9/main" objectType="Button" lockText="1"/>
</file>

<file path=xl/ctrlProps/ctrlProp248.xml><?xml version="1.0" encoding="utf-8"?>
<formControlPr xmlns="http://schemas.microsoft.com/office/spreadsheetml/2009/9/main" objectType="Button" lockText="1"/>
</file>

<file path=xl/ctrlProps/ctrlProp249.xml><?xml version="1.0" encoding="utf-8"?>
<formControlPr xmlns="http://schemas.microsoft.com/office/spreadsheetml/2009/9/main" objectType="Button" lockText="1"/>
</file>

<file path=xl/ctrlProps/ctrlProp25.xml><?xml version="1.0" encoding="utf-8"?>
<formControlPr xmlns="http://schemas.microsoft.com/office/spreadsheetml/2009/9/main" objectType="Button" lockText="1"/>
</file>

<file path=xl/ctrlProps/ctrlProp250.xml><?xml version="1.0" encoding="utf-8"?>
<formControlPr xmlns="http://schemas.microsoft.com/office/spreadsheetml/2009/9/main" objectType="Button" lockText="1"/>
</file>

<file path=xl/ctrlProps/ctrlProp251.xml><?xml version="1.0" encoding="utf-8"?>
<formControlPr xmlns="http://schemas.microsoft.com/office/spreadsheetml/2009/9/main" objectType="Button" lockText="1"/>
</file>

<file path=xl/ctrlProps/ctrlProp252.xml><?xml version="1.0" encoding="utf-8"?>
<formControlPr xmlns="http://schemas.microsoft.com/office/spreadsheetml/2009/9/main" objectType="Button" lockText="1"/>
</file>

<file path=xl/ctrlProps/ctrlProp253.xml><?xml version="1.0" encoding="utf-8"?>
<formControlPr xmlns="http://schemas.microsoft.com/office/spreadsheetml/2009/9/main" objectType="Button" lockText="1"/>
</file>

<file path=xl/ctrlProps/ctrlProp254.xml><?xml version="1.0" encoding="utf-8"?>
<formControlPr xmlns="http://schemas.microsoft.com/office/spreadsheetml/2009/9/main" objectType="Button" lockText="1"/>
</file>

<file path=xl/ctrlProps/ctrlProp255.xml><?xml version="1.0" encoding="utf-8"?>
<formControlPr xmlns="http://schemas.microsoft.com/office/spreadsheetml/2009/9/main" objectType="Button" lockText="1"/>
</file>

<file path=xl/ctrlProps/ctrlProp256.xml><?xml version="1.0" encoding="utf-8"?>
<formControlPr xmlns="http://schemas.microsoft.com/office/spreadsheetml/2009/9/main" objectType="Button" lockText="1"/>
</file>

<file path=xl/ctrlProps/ctrlProp257.xml><?xml version="1.0" encoding="utf-8"?>
<formControlPr xmlns="http://schemas.microsoft.com/office/spreadsheetml/2009/9/main" objectType="Button" lockText="1"/>
</file>

<file path=xl/ctrlProps/ctrlProp258.xml><?xml version="1.0" encoding="utf-8"?>
<formControlPr xmlns="http://schemas.microsoft.com/office/spreadsheetml/2009/9/main" objectType="Button" lockText="1"/>
</file>

<file path=xl/ctrlProps/ctrlProp259.xml><?xml version="1.0" encoding="utf-8"?>
<formControlPr xmlns="http://schemas.microsoft.com/office/spreadsheetml/2009/9/main" objectType="Button" lockText="1"/>
</file>

<file path=xl/ctrlProps/ctrlProp26.xml><?xml version="1.0" encoding="utf-8"?>
<formControlPr xmlns="http://schemas.microsoft.com/office/spreadsheetml/2009/9/main" objectType="Button" lockText="1"/>
</file>

<file path=xl/ctrlProps/ctrlProp260.xml><?xml version="1.0" encoding="utf-8"?>
<formControlPr xmlns="http://schemas.microsoft.com/office/spreadsheetml/2009/9/main" objectType="Button" lockText="1"/>
</file>

<file path=xl/ctrlProps/ctrlProp261.xml><?xml version="1.0" encoding="utf-8"?>
<formControlPr xmlns="http://schemas.microsoft.com/office/spreadsheetml/2009/9/main" objectType="Button" lockText="1"/>
</file>

<file path=xl/ctrlProps/ctrlProp262.xml><?xml version="1.0" encoding="utf-8"?>
<formControlPr xmlns="http://schemas.microsoft.com/office/spreadsheetml/2009/9/main" objectType="Button" lockText="1"/>
</file>

<file path=xl/ctrlProps/ctrlProp263.xml><?xml version="1.0" encoding="utf-8"?>
<formControlPr xmlns="http://schemas.microsoft.com/office/spreadsheetml/2009/9/main" objectType="Button" lockText="1"/>
</file>

<file path=xl/ctrlProps/ctrlProp264.xml><?xml version="1.0" encoding="utf-8"?>
<formControlPr xmlns="http://schemas.microsoft.com/office/spreadsheetml/2009/9/main" objectType="Button" lockText="1"/>
</file>

<file path=xl/ctrlProps/ctrlProp265.xml><?xml version="1.0" encoding="utf-8"?>
<formControlPr xmlns="http://schemas.microsoft.com/office/spreadsheetml/2009/9/main" objectType="Button" lockText="1"/>
</file>

<file path=xl/ctrlProps/ctrlProp266.xml><?xml version="1.0" encoding="utf-8"?>
<formControlPr xmlns="http://schemas.microsoft.com/office/spreadsheetml/2009/9/main" objectType="Button" lockText="1"/>
</file>

<file path=xl/ctrlProps/ctrlProp267.xml><?xml version="1.0" encoding="utf-8"?>
<formControlPr xmlns="http://schemas.microsoft.com/office/spreadsheetml/2009/9/main" objectType="Button" lockText="1"/>
</file>

<file path=xl/ctrlProps/ctrlProp268.xml><?xml version="1.0" encoding="utf-8"?>
<formControlPr xmlns="http://schemas.microsoft.com/office/spreadsheetml/2009/9/main" objectType="Button" lockText="1"/>
</file>

<file path=xl/ctrlProps/ctrlProp269.xml><?xml version="1.0" encoding="utf-8"?>
<formControlPr xmlns="http://schemas.microsoft.com/office/spreadsheetml/2009/9/main" objectType="Button" lockText="1"/>
</file>

<file path=xl/ctrlProps/ctrlProp27.xml><?xml version="1.0" encoding="utf-8"?>
<formControlPr xmlns="http://schemas.microsoft.com/office/spreadsheetml/2009/9/main" objectType="Button" lockText="1"/>
</file>

<file path=xl/ctrlProps/ctrlProp270.xml><?xml version="1.0" encoding="utf-8"?>
<formControlPr xmlns="http://schemas.microsoft.com/office/spreadsheetml/2009/9/main" objectType="Button" lockText="1"/>
</file>

<file path=xl/ctrlProps/ctrlProp271.xml><?xml version="1.0" encoding="utf-8"?>
<formControlPr xmlns="http://schemas.microsoft.com/office/spreadsheetml/2009/9/main" objectType="Button" lockText="1"/>
</file>

<file path=xl/ctrlProps/ctrlProp272.xml><?xml version="1.0" encoding="utf-8"?>
<formControlPr xmlns="http://schemas.microsoft.com/office/spreadsheetml/2009/9/main" objectType="Button" lockText="1"/>
</file>

<file path=xl/ctrlProps/ctrlProp273.xml><?xml version="1.0" encoding="utf-8"?>
<formControlPr xmlns="http://schemas.microsoft.com/office/spreadsheetml/2009/9/main" objectType="Button" lockText="1"/>
</file>

<file path=xl/ctrlProps/ctrlProp274.xml><?xml version="1.0" encoding="utf-8"?>
<formControlPr xmlns="http://schemas.microsoft.com/office/spreadsheetml/2009/9/main" objectType="Button" lockText="1"/>
</file>

<file path=xl/ctrlProps/ctrlProp275.xml><?xml version="1.0" encoding="utf-8"?>
<formControlPr xmlns="http://schemas.microsoft.com/office/spreadsheetml/2009/9/main" objectType="Button" lockText="1"/>
</file>

<file path=xl/ctrlProps/ctrlProp276.xml><?xml version="1.0" encoding="utf-8"?>
<formControlPr xmlns="http://schemas.microsoft.com/office/spreadsheetml/2009/9/main" objectType="Button" lockText="1"/>
</file>

<file path=xl/ctrlProps/ctrlProp277.xml><?xml version="1.0" encoding="utf-8"?>
<formControlPr xmlns="http://schemas.microsoft.com/office/spreadsheetml/2009/9/main" objectType="Button" lockText="1"/>
</file>

<file path=xl/ctrlProps/ctrlProp278.xml><?xml version="1.0" encoding="utf-8"?>
<formControlPr xmlns="http://schemas.microsoft.com/office/spreadsheetml/2009/9/main" objectType="Button" lockText="1"/>
</file>

<file path=xl/ctrlProps/ctrlProp279.xml><?xml version="1.0" encoding="utf-8"?>
<formControlPr xmlns="http://schemas.microsoft.com/office/spreadsheetml/2009/9/main" objectType="Button" lockText="1"/>
</file>

<file path=xl/ctrlProps/ctrlProp28.xml><?xml version="1.0" encoding="utf-8"?>
<formControlPr xmlns="http://schemas.microsoft.com/office/spreadsheetml/2009/9/main" objectType="Button" lockText="1"/>
</file>

<file path=xl/ctrlProps/ctrlProp280.xml><?xml version="1.0" encoding="utf-8"?>
<formControlPr xmlns="http://schemas.microsoft.com/office/spreadsheetml/2009/9/main" objectType="Button" lockText="1"/>
</file>

<file path=xl/ctrlProps/ctrlProp281.xml><?xml version="1.0" encoding="utf-8"?>
<formControlPr xmlns="http://schemas.microsoft.com/office/spreadsheetml/2009/9/main" objectType="Button" lockText="1"/>
</file>

<file path=xl/ctrlProps/ctrlProp282.xml><?xml version="1.0" encoding="utf-8"?>
<formControlPr xmlns="http://schemas.microsoft.com/office/spreadsheetml/2009/9/main" objectType="Button" lockText="1"/>
</file>

<file path=xl/ctrlProps/ctrlProp283.xml><?xml version="1.0" encoding="utf-8"?>
<formControlPr xmlns="http://schemas.microsoft.com/office/spreadsheetml/2009/9/main" objectType="Button" lockText="1"/>
</file>

<file path=xl/ctrlProps/ctrlProp284.xml><?xml version="1.0" encoding="utf-8"?>
<formControlPr xmlns="http://schemas.microsoft.com/office/spreadsheetml/2009/9/main" objectType="Button" lockText="1"/>
</file>

<file path=xl/ctrlProps/ctrlProp285.xml><?xml version="1.0" encoding="utf-8"?>
<formControlPr xmlns="http://schemas.microsoft.com/office/spreadsheetml/2009/9/main" objectType="Button" lockText="1"/>
</file>

<file path=xl/ctrlProps/ctrlProp286.xml><?xml version="1.0" encoding="utf-8"?>
<formControlPr xmlns="http://schemas.microsoft.com/office/spreadsheetml/2009/9/main" objectType="Button" lockText="1"/>
</file>

<file path=xl/ctrlProps/ctrlProp287.xml><?xml version="1.0" encoding="utf-8"?>
<formControlPr xmlns="http://schemas.microsoft.com/office/spreadsheetml/2009/9/main" objectType="Button" lockText="1"/>
</file>

<file path=xl/ctrlProps/ctrlProp288.xml><?xml version="1.0" encoding="utf-8"?>
<formControlPr xmlns="http://schemas.microsoft.com/office/spreadsheetml/2009/9/main" objectType="Button" lockText="1"/>
</file>

<file path=xl/ctrlProps/ctrlProp289.xml><?xml version="1.0" encoding="utf-8"?>
<formControlPr xmlns="http://schemas.microsoft.com/office/spreadsheetml/2009/9/main" objectType="Button" lockText="1"/>
</file>

<file path=xl/ctrlProps/ctrlProp29.xml><?xml version="1.0" encoding="utf-8"?>
<formControlPr xmlns="http://schemas.microsoft.com/office/spreadsheetml/2009/9/main" objectType="Button" lockText="1"/>
</file>

<file path=xl/ctrlProps/ctrlProp290.xml><?xml version="1.0" encoding="utf-8"?>
<formControlPr xmlns="http://schemas.microsoft.com/office/spreadsheetml/2009/9/main" objectType="Button" lockText="1"/>
</file>

<file path=xl/ctrlProps/ctrlProp291.xml><?xml version="1.0" encoding="utf-8"?>
<formControlPr xmlns="http://schemas.microsoft.com/office/spreadsheetml/2009/9/main" objectType="Button" lockText="1"/>
</file>

<file path=xl/ctrlProps/ctrlProp292.xml><?xml version="1.0" encoding="utf-8"?>
<formControlPr xmlns="http://schemas.microsoft.com/office/spreadsheetml/2009/9/main" objectType="Button" lockText="1"/>
</file>

<file path=xl/ctrlProps/ctrlProp293.xml><?xml version="1.0" encoding="utf-8"?>
<formControlPr xmlns="http://schemas.microsoft.com/office/spreadsheetml/2009/9/main" objectType="Button" lockText="1"/>
</file>

<file path=xl/ctrlProps/ctrlProp294.xml><?xml version="1.0" encoding="utf-8"?>
<formControlPr xmlns="http://schemas.microsoft.com/office/spreadsheetml/2009/9/main" objectType="Button" lockText="1"/>
</file>

<file path=xl/ctrlProps/ctrlProp295.xml><?xml version="1.0" encoding="utf-8"?>
<formControlPr xmlns="http://schemas.microsoft.com/office/spreadsheetml/2009/9/main" objectType="Button" lockText="1"/>
</file>

<file path=xl/ctrlProps/ctrlProp296.xml><?xml version="1.0" encoding="utf-8"?>
<formControlPr xmlns="http://schemas.microsoft.com/office/spreadsheetml/2009/9/main" objectType="Button" lockText="1"/>
</file>

<file path=xl/ctrlProps/ctrlProp297.xml><?xml version="1.0" encoding="utf-8"?>
<formControlPr xmlns="http://schemas.microsoft.com/office/spreadsheetml/2009/9/main" objectType="Button" lockText="1"/>
</file>

<file path=xl/ctrlProps/ctrlProp298.xml><?xml version="1.0" encoding="utf-8"?>
<formControlPr xmlns="http://schemas.microsoft.com/office/spreadsheetml/2009/9/main" objectType="Button" lockText="1"/>
</file>

<file path=xl/ctrlProps/ctrlProp299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30.xml><?xml version="1.0" encoding="utf-8"?>
<formControlPr xmlns="http://schemas.microsoft.com/office/spreadsheetml/2009/9/main" objectType="Button" lockText="1"/>
</file>

<file path=xl/ctrlProps/ctrlProp300.xml><?xml version="1.0" encoding="utf-8"?>
<formControlPr xmlns="http://schemas.microsoft.com/office/spreadsheetml/2009/9/main" objectType="Button" lockText="1"/>
</file>

<file path=xl/ctrlProps/ctrlProp301.xml><?xml version="1.0" encoding="utf-8"?>
<formControlPr xmlns="http://schemas.microsoft.com/office/spreadsheetml/2009/9/main" objectType="Button" lockText="1"/>
</file>

<file path=xl/ctrlProps/ctrlProp302.xml><?xml version="1.0" encoding="utf-8"?>
<formControlPr xmlns="http://schemas.microsoft.com/office/spreadsheetml/2009/9/main" objectType="Button" lockText="1"/>
</file>

<file path=xl/ctrlProps/ctrlProp303.xml><?xml version="1.0" encoding="utf-8"?>
<formControlPr xmlns="http://schemas.microsoft.com/office/spreadsheetml/2009/9/main" objectType="Button" lockText="1"/>
</file>

<file path=xl/ctrlProps/ctrlProp304.xml><?xml version="1.0" encoding="utf-8"?>
<formControlPr xmlns="http://schemas.microsoft.com/office/spreadsheetml/2009/9/main" objectType="Button" lockText="1"/>
</file>

<file path=xl/ctrlProps/ctrlProp305.xml><?xml version="1.0" encoding="utf-8"?>
<formControlPr xmlns="http://schemas.microsoft.com/office/spreadsheetml/2009/9/main" objectType="Button" lockText="1"/>
</file>

<file path=xl/ctrlProps/ctrlProp306.xml><?xml version="1.0" encoding="utf-8"?>
<formControlPr xmlns="http://schemas.microsoft.com/office/spreadsheetml/2009/9/main" objectType="Button" lockText="1"/>
</file>

<file path=xl/ctrlProps/ctrlProp307.xml><?xml version="1.0" encoding="utf-8"?>
<formControlPr xmlns="http://schemas.microsoft.com/office/spreadsheetml/2009/9/main" objectType="Button" lockText="1"/>
</file>

<file path=xl/ctrlProps/ctrlProp308.xml><?xml version="1.0" encoding="utf-8"?>
<formControlPr xmlns="http://schemas.microsoft.com/office/spreadsheetml/2009/9/main" objectType="Button" lockText="1"/>
</file>

<file path=xl/ctrlProps/ctrlProp309.xml><?xml version="1.0" encoding="utf-8"?>
<formControlPr xmlns="http://schemas.microsoft.com/office/spreadsheetml/2009/9/main" objectType="Button" lockText="1"/>
</file>

<file path=xl/ctrlProps/ctrlProp31.xml><?xml version="1.0" encoding="utf-8"?>
<formControlPr xmlns="http://schemas.microsoft.com/office/spreadsheetml/2009/9/main" objectType="Button" lockText="1"/>
</file>

<file path=xl/ctrlProps/ctrlProp310.xml><?xml version="1.0" encoding="utf-8"?>
<formControlPr xmlns="http://schemas.microsoft.com/office/spreadsheetml/2009/9/main" objectType="Button" lockText="1"/>
</file>

<file path=xl/ctrlProps/ctrlProp311.xml><?xml version="1.0" encoding="utf-8"?>
<formControlPr xmlns="http://schemas.microsoft.com/office/spreadsheetml/2009/9/main" objectType="Button" lockText="1"/>
</file>

<file path=xl/ctrlProps/ctrlProp312.xml><?xml version="1.0" encoding="utf-8"?>
<formControlPr xmlns="http://schemas.microsoft.com/office/spreadsheetml/2009/9/main" objectType="Button" lockText="1"/>
</file>

<file path=xl/ctrlProps/ctrlProp313.xml><?xml version="1.0" encoding="utf-8"?>
<formControlPr xmlns="http://schemas.microsoft.com/office/spreadsheetml/2009/9/main" objectType="Button" lockText="1"/>
</file>

<file path=xl/ctrlProps/ctrlProp314.xml><?xml version="1.0" encoding="utf-8"?>
<formControlPr xmlns="http://schemas.microsoft.com/office/spreadsheetml/2009/9/main" objectType="Button" lockText="1"/>
</file>

<file path=xl/ctrlProps/ctrlProp315.xml><?xml version="1.0" encoding="utf-8"?>
<formControlPr xmlns="http://schemas.microsoft.com/office/spreadsheetml/2009/9/main" objectType="Button" lockText="1"/>
</file>

<file path=xl/ctrlProps/ctrlProp316.xml><?xml version="1.0" encoding="utf-8"?>
<formControlPr xmlns="http://schemas.microsoft.com/office/spreadsheetml/2009/9/main" objectType="Button" lockText="1"/>
</file>

<file path=xl/ctrlProps/ctrlProp317.xml><?xml version="1.0" encoding="utf-8"?>
<formControlPr xmlns="http://schemas.microsoft.com/office/spreadsheetml/2009/9/main" objectType="Button" lockText="1"/>
</file>

<file path=xl/ctrlProps/ctrlProp318.xml><?xml version="1.0" encoding="utf-8"?>
<formControlPr xmlns="http://schemas.microsoft.com/office/spreadsheetml/2009/9/main" objectType="Button" lockText="1"/>
</file>

<file path=xl/ctrlProps/ctrlProp319.xml><?xml version="1.0" encoding="utf-8"?>
<formControlPr xmlns="http://schemas.microsoft.com/office/spreadsheetml/2009/9/main" objectType="Button" lockText="1"/>
</file>

<file path=xl/ctrlProps/ctrlProp32.xml><?xml version="1.0" encoding="utf-8"?>
<formControlPr xmlns="http://schemas.microsoft.com/office/spreadsheetml/2009/9/main" objectType="Button" lockText="1"/>
</file>

<file path=xl/ctrlProps/ctrlProp320.xml><?xml version="1.0" encoding="utf-8"?>
<formControlPr xmlns="http://schemas.microsoft.com/office/spreadsheetml/2009/9/main" objectType="Button" lockText="1"/>
</file>

<file path=xl/ctrlProps/ctrlProp321.xml><?xml version="1.0" encoding="utf-8"?>
<formControlPr xmlns="http://schemas.microsoft.com/office/spreadsheetml/2009/9/main" objectType="Button" lockText="1"/>
</file>

<file path=xl/ctrlProps/ctrlProp322.xml><?xml version="1.0" encoding="utf-8"?>
<formControlPr xmlns="http://schemas.microsoft.com/office/spreadsheetml/2009/9/main" objectType="Button" lockText="1"/>
</file>

<file path=xl/ctrlProps/ctrlProp323.xml><?xml version="1.0" encoding="utf-8"?>
<formControlPr xmlns="http://schemas.microsoft.com/office/spreadsheetml/2009/9/main" objectType="Button" lockText="1"/>
</file>

<file path=xl/ctrlProps/ctrlProp324.xml><?xml version="1.0" encoding="utf-8"?>
<formControlPr xmlns="http://schemas.microsoft.com/office/spreadsheetml/2009/9/main" objectType="Button" lockText="1"/>
</file>

<file path=xl/ctrlProps/ctrlProp325.xml><?xml version="1.0" encoding="utf-8"?>
<formControlPr xmlns="http://schemas.microsoft.com/office/spreadsheetml/2009/9/main" objectType="Button" lockText="1"/>
</file>

<file path=xl/ctrlProps/ctrlProp326.xml><?xml version="1.0" encoding="utf-8"?>
<formControlPr xmlns="http://schemas.microsoft.com/office/spreadsheetml/2009/9/main" objectType="Button" lockText="1"/>
</file>

<file path=xl/ctrlProps/ctrlProp327.xml><?xml version="1.0" encoding="utf-8"?>
<formControlPr xmlns="http://schemas.microsoft.com/office/spreadsheetml/2009/9/main" objectType="Button" lockText="1"/>
</file>

<file path=xl/ctrlProps/ctrlProp328.xml><?xml version="1.0" encoding="utf-8"?>
<formControlPr xmlns="http://schemas.microsoft.com/office/spreadsheetml/2009/9/main" objectType="Button" lockText="1"/>
</file>

<file path=xl/ctrlProps/ctrlProp329.xml><?xml version="1.0" encoding="utf-8"?>
<formControlPr xmlns="http://schemas.microsoft.com/office/spreadsheetml/2009/9/main" objectType="Button" lockText="1"/>
</file>

<file path=xl/ctrlProps/ctrlProp33.xml><?xml version="1.0" encoding="utf-8"?>
<formControlPr xmlns="http://schemas.microsoft.com/office/spreadsheetml/2009/9/main" objectType="Button" lockText="1"/>
</file>

<file path=xl/ctrlProps/ctrlProp330.xml><?xml version="1.0" encoding="utf-8"?>
<formControlPr xmlns="http://schemas.microsoft.com/office/spreadsheetml/2009/9/main" objectType="Button" lockText="1"/>
</file>

<file path=xl/ctrlProps/ctrlProp331.xml><?xml version="1.0" encoding="utf-8"?>
<formControlPr xmlns="http://schemas.microsoft.com/office/spreadsheetml/2009/9/main" objectType="Button" lockText="1"/>
</file>

<file path=xl/ctrlProps/ctrlProp332.xml><?xml version="1.0" encoding="utf-8"?>
<formControlPr xmlns="http://schemas.microsoft.com/office/spreadsheetml/2009/9/main" objectType="Button" lockText="1"/>
</file>

<file path=xl/ctrlProps/ctrlProp333.xml><?xml version="1.0" encoding="utf-8"?>
<formControlPr xmlns="http://schemas.microsoft.com/office/spreadsheetml/2009/9/main" objectType="Button" lockText="1"/>
</file>

<file path=xl/ctrlProps/ctrlProp334.xml><?xml version="1.0" encoding="utf-8"?>
<formControlPr xmlns="http://schemas.microsoft.com/office/spreadsheetml/2009/9/main" objectType="Button" lockText="1"/>
</file>

<file path=xl/ctrlProps/ctrlProp335.xml><?xml version="1.0" encoding="utf-8"?>
<formControlPr xmlns="http://schemas.microsoft.com/office/spreadsheetml/2009/9/main" objectType="Button" lockText="1"/>
</file>

<file path=xl/ctrlProps/ctrlProp336.xml><?xml version="1.0" encoding="utf-8"?>
<formControlPr xmlns="http://schemas.microsoft.com/office/spreadsheetml/2009/9/main" objectType="Button" lockText="1"/>
</file>

<file path=xl/ctrlProps/ctrlProp337.xml><?xml version="1.0" encoding="utf-8"?>
<formControlPr xmlns="http://schemas.microsoft.com/office/spreadsheetml/2009/9/main" objectType="Button" lockText="1"/>
</file>

<file path=xl/ctrlProps/ctrlProp338.xml><?xml version="1.0" encoding="utf-8"?>
<formControlPr xmlns="http://schemas.microsoft.com/office/spreadsheetml/2009/9/main" objectType="Button" lockText="1"/>
</file>

<file path=xl/ctrlProps/ctrlProp339.xml><?xml version="1.0" encoding="utf-8"?>
<formControlPr xmlns="http://schemas.microsoft.com/office/spreadsheetml/2009/9/main" objectType="Button" lockText="1"/>
</file>

<file path=xl/ctrlProps/ctrlProp34.xml><?xml version="1.0" encoding="utf-8"?>
<formControlPr xmlns="http://schemas.microsoft.com/office/spreadsheetml/2009/9/main" objectType="Button" lockText="1"/>
</file>

<file path=xl/ctrlProps/ctrlProp340.xml><?xml version="1.0" encoding="utf-8"?>
<formControlPr xmlns="http://schemas.microsoft.com/office/spreadsheetml/2009/9/main" objectType="Button" lockText="1"/>
</file>

<file path=xl/ctrlProps/ctrlProp341.xml><?xml version="1.0" encoding="utf-8"?>
<formControlPr xmlns="http://schemas.microsoft.com/office/spreadsheetml/2009/9/main" objectType="Button" lockText="1"/>
</file>

<file path=xl/ctrlProps/ctrlProp342.xml><?xml version="1.0" encoding="utf-8"?>
<formControlPr xmlns="http://schemas.microsoft.com/office/spreadsheetml/2009/9/main" objectType="Button" lockText="1"/>
</file>

<file path=xl/ctrlProps/ctrlProp343.xml><?xml version="1.0" encoding="utf-8"?>
<formControlPr xmlns="http://schemas.microsoft.com/office/spreadsheetml/2009/9/main" objectType="Button" lockText="1"/>
</file>

<file path=xl/ctrlProps/ctrlProp344.xml><?xml version="1.0" encoding="utf-8"?>
<formControlPr xmlns="http://schemas.microsoft.com/office/spreadsheetml/2009/9/main" objectType="Button" lockText="1"/>
</file>

<file path=xl/ctrlProps/ctrlProp345.xml><?xml version="1.0" encoding="utf-8"?>
<formControlPr xmlns="http://schemas.microsoft.com/office/spreadsheetml/2009/9/main" objectType="Button" lockText="1"/>
</file>

<file path=xl/ctrlProps/ctrlProp346.xml><?xml version="1.0" encoding="utf-8"?>
<formControlPr xmlns="http://schemas.microsoft.com/office/spreadsheetml/2009/9/main" objectType="Button" lockText="1"/>
</file>

<file path=xl/ctrlProps/ctrlProp347.xml><?xml version="1.0" encoding="utf-8"?>
<formControlPr xmlns="http://schemas.microsoft.com/office/spreadsheetml/2009/9/main" objectType="Button" lockText="1"/>
</file>

<file path=xl/ctrlProps/ctrlProp348.xml><?xml version="1.0" encoding="utf-8"?>
<formControlPr xmlns="http://schemas.microsoft.com/office/spreadsheetml/2009/9/main" objectType="Button" lockText="1"/>
</file>

<file path=xl/ctrlProps/ctrlProp349.xml><?xml version="1.0" encoding="utf-8"?>
<formControlPr xmlns="http://schemas.microsoft.com/office/spreadsheetml/2009/9/main" objectType="Button" lockText="1"/>
</file>

<file path=xl/ctrlProps/ctrlProp35.xml><?xml version="1.0" encoding="utf-8"?>
<formControlPr xmlns="http://schemas.microsoft.com/office/spreadsheetml/2009/9/main" objectType="Button" lockText="1"/>
</file>

<file path=xl/ctrlProps/ctrlProp350.xml><?xml version="1.0" encoding="utf-8"?>
<formControlPr xmlns="http://schemas.microsoft.com/office/spreadsheetml/2009/9/main" objectType="Button" lockText="1"/>
</file>

<file path=xl/ctrlProps/ctrlProp351.xml><?xml version="1.0" encoding="utf-8"?>
<formControlPr xmlns="http://schemas.microsoft.com/office/spreadsheetml/2009/9/main" objectType="Button" lockText="1"/>
</file>

<file path=xl/ctrlProps/ctrlProp352.xml><?xml version="1.0" encoding="utf-8"?>
<formControlPr xmlns="http://schemas.microsoft.com/office/spreadsheetml/2009/9/main" objectType="Button" lockText="1"/>
</file>

<file path=xl/ctrlProps/ctrlProp353.xml><?xml version="1.0" encoding="utf-8"?>
<formControlPr xmlns="http://schemas.microsoft.com/office/spreadsheetml/2009/9/main" objectType="Button" lockText="1"/>
</file>

<file path=xl/ctrlProps/ctrlProp354.xml><?xml version="1.0" encoding="utf-8"?>
<formControlPr xmlns="http://schemas.microsoft.com/office/spreadsheetml/2009/9/main" objectType="Button" lockText="1"/>
</file>

<file path=xl/ctrlProps/ctrlProp355.xml><?xml version="1.0" encoding="utf-8"?>
<formControlPr xmlns="http://schemas.microsoft.com/office/spreadsheetml/2009/9/main" objectType="Button" lockText="1"/>
</file>

<file path=xl/ctrlProps/ctrlProp356.xml><?xml version="1.0" encoding="utf-8"?>
<formControlPr xmlns="http://schemas.microsoft.com/office/spreadsheetml/2009/9/main" objectType="Button" lockText="1"/>
</file>

<file path=xl/ctrlProps/ctrlProp357.xml><?xml version="1.0" encoding="utf-8"?>
<formControlPr xmlns="http://schemas.microsoft.com/office/spreadsheetml/2009/9/main" objectType="Button" lockText="1"/>
</file>

<file path=xl/ctrlProps/ctrlProp358.xml><?xml version="1.0" encoding="utf-8"?>
<formControlPr xmlns="http://schemas.microsoft.com/office/spreadsheetml/2009/9/main" objectType="Button" lockText="1"/>
</file>

<file path=xl/ctrlProps/ctrlProp359.xml><?xml version="1.0" encoding="utf-8"?>
<formControlPr xmlns="http://schemas.microsoft.com/office/spreadsheetml/2009/9/main" objectType="Button" lockText="1"/>
</file>

<file path=xl/ctrlProps/ctrlProp36.xml><?xml version="1.0" encoding="utf-8"?>
<formControlPr xmlns="http://schemas.microsoft.com/office/spreadsheetml/2009/9/main" objectType="Button" lockText="1"/>
</file>

<file path=xl/ctrlProps/ctrlProp360.xml><?xml version="1.0" encoding="utf-8"?>
<formControlPr xmlns="http://schemas.microsoft.com/office/spreadsheetml/2009/9/main" objectType="Button" lockText="1"/>
</file>

<file path=xl/ctrlProps/ctrlProp361.xml><?xml version="1.0" encoding="utf-8"?>
<formControlPr xmlns="http://schemas.microsoft.com/office/spreadsheetml/2009/9/main" objectType="Button" lockText="1"/>
</file>

<file path=xl/ctrlProps/ctrlProp362.xml><?xml version="1.0" encoding="utf-8"?>
<formControlPr xmlns="http://schemas.microsoft.com/office/spreadsheetml/2009/9/main" objectType="Button" lockText="1"/>
</file>

<file path=xl/ctrlProps/ctrlProp363.xml><?xml version="1.0" encoding="utf-8"?>
<formControlPr xmlns="http://schemas.microsoft.com/office/spreadsheetml/2009/9/main" objectType="Button" lockText="1"/>
</file>

<file path=xl/ctrlProps/ctrlProp364.xml><?xml version="1.0" encoding="utf-8"?>
<formControlPr xmlns="http://schemas.microsoft.com/office/spreadsheetml/2009/9/main" objectType="Button" lockText="1"/>
</file>

<file path=xl/ctrlProps/ctrlProp365.xml><?xml version="1.0" encoding="utf-8"?>
<formControlPr xmlns="http://schemas.microsoft.com/office/spreadsheetml/2009/9/main" objectType="Button" lockText="1"/>
</file>

<file path=xl/ctrlProps/ctrlProp366.xml><?xml version="1.0" encoding="utf-8"?>
<formControlPr xmlns="http://schemas.microsoft.com/office/spreadsheetml/2009/9/main" objectType="Button" lockText="1"/>
</file>

<file path=xl/ctrlProps/ctrlProp367.xml><?xml version="1.0" encoding="utf-8"?>
<formControlPr xmlns="http://schemas.microsoft.com/office/spreadsheetml/2009/9/main" objectType="Button" lockText="1"/>
</file>

<file path=xl/ctrlProps/ctrlProp368.xml><?xml version="1.0" encoding="utf-8"?>
<formControlPr xmlns="http://schemas.microsoft.com/office/spreadsheetml/2009/9/main" objectType="Button" lockText="1"/>
</file>

<file path=xl/ctrlProps/ctrlProp369.xml><?xml version="1.0" encoding="utf-8"?>
<formControlPr xmlns="http://schemas.microsoft.com/office/spreadsheetml/2009/9/main" objectType="Button" lockText="1"/>
</file>

<file path=xl/ctrlProps/ctrlProp37.xml><?xml version="1.0" encoding="utf-8"?>
<formControlPr xmlns="http://schemas.microsoft.com/office/spreadsheetml/2009/9/main" objectType="Button" lockText="1"/>
</file>

<file path=xl/ctrlProps/ctrlProp370.xml><?xml version="1.0" encoding="utf-8"?>
<formControlPr xmlns="http://schemas.microsoft.com/office/spreadsheetml/2009/9/main" objectType="Button" lockText="1"/>
</file>

<file path=xl/ctrlProps/ctrlProp371.xml><?xml version="1.0" encoding="utf-8"?>
<formControlPr xmlns="http://schemas.microsoft.com/office/spreadsheetml/2009/9/main" objectType="Button" lockText="1"/>
</file>

<file path=xl/ctrlProps/ctrlProp372.xml><?xml version="1.0" encoding="utf-8"?>
<formControlPr xmlns="http://schemas.microsoft.com/office/spreadsheetml/2009/9/main" objectType="Button" lockText="1"/>
</file>

<file path=xl/ctrlProps/ctrlProp373.xml><?xml version="1.0" encoding="utf-8"?>
<formControlPr xmlns="http://schemas.microsoft.com/office/spreadsheetml/2009/9/main" objectType="Button" lockText="1"/>
</file>

<file path=xl/ctrlProps/ctrlProp374.xml><?xml version="1.0" encoding="utf-8"?>
<formControlPr xmlns="http://schemas.microsoft.com/office/spreadsheetml/2009/9/main" objectType="Button" lockText="1"/>
</file>

<file path=xl/ctrlProps/ctrlProp375.xml><?xml version="1.0" encoding="utf-8"?>
<formControlPr xmlns="http://schemas.microsoft.com/office/spreadsheetml/2009/9/main" objectType="Button" lockText="1"/>
</file>

<file path=xl/ctrlProps/ctrlProp376.xml><?xml version="1.0" encoding="utf-8"?>
<formControlPr xmlns="http://schemas.microsoft.com/office/spreadsheetml/2009/9/main" objectType="Button" lockText="1"/>
</file>

<file path=xl/ctrlProps/ctrlProp377.xml><?xml version="1.0" encoding="utf-8"?>
<formControlPr xmlns="http://schemas.microsoft.com/office/spreadsheetml/2009/9/main" objectType="Button" lockText="1"/>
</file>

<file path=xl/ctrlProps/ctrlProp378.xml><?xml version="1.0" encoding="utf-8"?>
<formControlPr xmlns="http://schemas.microsoft.com/office/spreadsheetml/2009/9/main" objectType="Button" lockText="1"/>
</file>

<file path=xl/ctrlProps/ctrlProp379.xml><?xml version="1.0" encoding="utf-8"?>
<formControlPr xmlns="http://schemas.microsoft.com/office/spreadsheetml/2009/9/main" objectType="Button" lockText="1"/>
</file>

<file path=xl/ctrlProps/ctrlProp38.xml><?xml version="1.0" encoding="utf-8"?>
<formControlPr xmlns="http://schemas.microsoft.com/office/spreadsheetml/2009/9/main" objectType="Button" lockText="1"/>
</file>

<file path=xl/ctrlProps/ctrlProp380.xml><?xml version="1.0" encoding="utf-8"?>
<formControlPr xmlns="http://schemas.microsoft.com/office/spreadsheetml/2009/9/main" objectType="Button" lockText="1"/>
</file>

<file path=xl/ctrlProps/ctrlProp381.xml><?xml version="1.0" encoding="utf-8"?>
<formControlPr xmlns="http://schemas.microsoft.com/office/spreadsheetml/2009/9/main" objectType="Button" lockText="1"/>
</file>

<file path=xl/ctrlProps/ctrlProp382.xml><?xml version="1.0" encoding="utf-8"?>
<formControlPr xmlns="http://schemas.microsoft.com/office/spreadsheetml/2009/9/main" objectType="Button" lockText="1"/>
</file>

<file path=xl/ctrlProps/ctrlProp383.xml><?xml version="1.0" encoding="utf-8"?>
<formControlPr xmlns="http://schemas.microsoft.com/office/spreadsheetml/2009/9/main" objectType="Button" lockText="1"/>
</file>

<file path=xl/ctrlProps/ctrlProp384.xml><?xml version="1.0" encoding="utf-8"?>
<formControlPr xmlns="http://schemas.microsoft.com/office/spreadsheetml/2009/9/main" objectType="Button" lockText="1"/>
</file>

<file path=xl/ctrlProps/ctrlProp385.xml><?xml version="1.0" encoding="utf-8"?>
<formControlPr xmlns="http://schemas.microsoft.com/office/spreadsheetml/2009/9/main" objectType="Button" lockText="1"/>
</file>

<file path=xl/ctrlProps/ctrlProp386.xml><?xml version="1.0" encoding="utf-8"?>
<formControlPr xmlns="http://schemas.microsoft.com/office/spreadsheetml/2009/9/main" objectType="Button" lockText="1"/>
</file>

<file path=xl/ctrlProps/ctrlProp387.xml><?xml version="1.0" encoding="utf-8"?>
<formControlPr xmlns="http://schemas.microsoft.com/office/spreadsheetml/2009/9/main" objectType="Button" lockText="1"/>
</file>

<file path=xl/ctrlProps/ctrlProp388.xml><?xml version="1.0" encoding="utf-8"?>
<formControlPr xmlns="http://schemas.microsoft.com/office/spreadsheetml/2009/9/main" objectType="Button" lockText="1"/>
</file>

<file path=xl/ctrlProps/ctrlProp389.xml><?xml version="1.0" encoding="utf-8"?>
<formControlPr xmlns="http://schemas.microsoft.com/office/spreadsheetml/2009/9/main" objectType="Button" lockText="1"/>
</file>

<file path=xl/ctrlProps/ctrlProp39.xml><?xml version="1.0" encoding="utf-8"?>
<formControlPr xmlns="http://schemas.microsoft.com/office/spreadsheetml/2009/9/main" objectType="Button" lockText="1"/>
</file>

<file path=xl/ctrlProps/ctrlProp390.xml><?xml version="1.0" encoding="utf-8"?>
<formControlPr xmlns="http://schemas.microsoft.com/office/spreadsheetml/2009/9/main" objectType="Button" lockText="1"/>
</file>

<file path=xl/ctrlProps/ctrlProp391.xml><?xml version="1.0" encoding="utf-8"?>
<formControlPr xmlns="http://schemas.microsoft.com/office/spreadsheetml/2009/9/main" objectType="Button" lockText="1"/>
</file>

<file path=xl/ctrlProps/ctrlProp392.xml><?xml version="1.0" encoding="utf-8"?>
<formControlPr xmlns="http://schemas.microsoft.com/office/spreadsheetml/2009/9/main" objectType="Button" lockText="1"/>
</file>

<file path=xl/ctrlProps/ctrlProp393.xml><?xml version="1.0" encoding="utf-8"?>
<formControlPr xmlns="http://schemas.microsoft.com/office/spreadsheetml/2009/9/main" objectType="Button" lockText="1"/>
</file>

<file path=xl/ctrlProps/ctrlProp394.xml><?xml version="1.0" encoding="utf-8"?>
<formControlPr xmlns="http://schemas.microsoft.com/office/spreadsheetml/2009/9/main" objectType="Button" lockText="1"/>
</file>

<file path=xl/ctrlProps/ctrlProp395.xml><?xml version="1.0" encoding="utf-8"?>
<formControlPr xmlns="http://schemas.microsoft.com/office/spreadsheetml/2009/9/main" objectType="Button" lockText="1"/>
</file>

<file path=xl/ctrlProps/ctrlProp396.xml><?xml version="1.0" encoding="utf-8"?>
<formControlPr xmlns="http://schemas.microsoft.com/office/spreadsheetml/2009/9/main" objectType="Button" lockText="1"/>
</file>

<file path=xl/ctrlProps/ctrlProp397.xml><?xml version="1.0" encoding="utf-8"?>
<formControlPr xmlns="http://schemas.microsoft.com/office/spreadsheetml/2009/9/main" objectType="Button" lockText="1"/>
</file>

<file path=xl/ctrlProps/ctrlProp398.xml><?xml version="1.0" encoding="utf-8"?>
<formControlPr xmlns="http://schemas.microsoft.com/office/spreadsheetml/2009/9/main" objectType="Button" lockText="1"/>
</file>

<file path=xl/ctrlProps/ctrlProp399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40.xml><?xml version="1.0" encoding="utf-8"?>
<formControlPr xmlns="http://schemas.microsoft.com/office/spreadsheetml/2009/9/main" objectType="Button" lockText="1"/>
</file>

<file path=xl/ctrlProps/ctrlProp400.xml><?xml version="1.0" encoding="utf-8"?>
<formControlPr xmlns="http://schemas.microsoft.com/office/spreadsheetml/2009/9/main" objectType="Button" lockText="1"/>
</file>

<file path=xl/ctrlProps/ctrlProp401.xml><?xml version="1.0" encoding="utf-8"?>
<formControlPr xmlns="http://schemas.microsoft.com/office/spreadsheetml/2009/9/main" objectType="Button" lockText="1"/>
</file>

<file path=xl/ctrlProps/ctrlProp402.xml><?xml version="1.0" encoding="utf-8"?>
<formControlPr xmlns="http://schemas.microsoft.com/office/spreadsheetml/2009/9/main" objectType="Button" lockText="1"/>
</file>

<file path=xl/ctrlProps/ctrlProp403.xml><?xml version="1.0" encoding="utf-8"?>
<formControlPr xmlns="http://schemas.microsoft.com/office/spreadsheetml/2009/9/main" objectType="Button" lockText="1"/>
</file>

<file path=xl/ctrlProps/ctrlProp404.xml><?xml version="1.0" encoding="utf-8"?>
<formControlPr xmlns="http://schemas.microsoft.com/office/spreadsheetml/2009/9/main" objectType="Button" lockText="1"/>
</file>

<file path=xl/ctrlProps/ctrlProp405.xml><?xml version="1.0" encoding="utf-8"?>
<formControlPr xmlns="http://schemas.microsoft.com/office/spreadsheetml/2009/9/main" objectType="Button" lockText="1"/>
</file>

<file path=xl/ctrlProps/ctrlProp406.xml><?xml version="1.0" encoding="utf-8"?>
<formControlPr xmlns="http://schemas.microsoft.com/office/spreadsheetml/2009/9/main" objectType="Button" lockText="1"/>
</file>

<file path=xl/ctrlProps/ctrlProp407.xml><?xml version="1.0" encoding="utf-8"?>
<formControlPr xmlns="http://schemas.microsoft.com/office/spreadsheetml/2009/9/main" objectType="Button" lockText="1"/>
</file>

<file path=xl/ctrlProps/ctrlProp408.xml><?xml version="1.0" encoding="utf-8"?>
<formControlPr xmlns="http://schemas.microsoft.com/office/spreadsheetml/2009/9/main" objectType="Button" lockText="1"/>
</file>

<file path=xl/ctrlProps/ctrlProp409.xml><?xml version="1.0" encoding="utf-8"?>
<formControlPr xmlns="http://schemas.microsoft.com/office/spreadsheetml/2009/9/main" objectType="Button" lockText="1"/>
</file>

<file path=xl/ctrlProps/ctrlProp41.xml><?xml version="1.0" encoding="utf-8"?>
<formControlPr xmlns="http://schemas.microsoft.com/office/spreadsheetml/2009/9/main" objectType="Button" lockText="1"/>
</file>

<file path=xl/ctrlProps/ctrlProp410.xml><?xml version="1.0" encoding="utf-8"?>
<formControlPr xmlns="http://schemas.microsoft.com/office/spreadsheetml/2009/9/main" objectType="Button" lockText="1"/>
</file>

<file path=xl/ctrlProps/ctrlProp411.xml><?xml version="1.0" encoding="utf-8"?>
<formControlPr xmlns="http://schemas.microsoft.com/office/spreadsheetml/2009/9/main" objectType="Button" lockText="1"/>
</file>

<file path=xl/ctrlProps/ctrlProp412.xml><?xml version="1.0" encoding="utf-8"?>
<formControlPr xmlns="http://schemas.microsoft.com/office/spreadsheetml/2009/9/main" objectType="Button" lockText="1"/>
</file>

<file path=xl/ctrlProps/ctrlProp413.xml><?xml version="1.0" encoding="utf-8"?>
<formControlPr xmlns="http://schemas.microsoft.com/office/spreadsheetml/2009/9/main" objectType="Button" lockText="1"/>
</file>

<file path=xl/ctrlProps/ctrlProp414.xml><?xml version="1.0" encoding="utf-8"?>
<formControlPr xmlns="http://schemas.microsoft.com/office/spreadsheetml/2009/9/main" objectType="Button" lockText="1"/>
</file>

<file path=xl/ctrlProps/ctrlProp415.xml><?xml version="1.0" encoding="utf-8"?>
<formControlPr xmlns="http://schemas.microsoft.com/office/spreadsheetml/2009/9/main" objectType="Button" lockText="1"/>
</file>

<file path=xl/ctrlProps/ctrlProp416.xml><?xml version="1.0" encoding="utf-8"?>
<formControlPr xmlns="http://schemas.microsoft.com/office/spreadsheetml/2009/9/main" objectType="Button" lockText="1"/>
</file>

<file path=xl/ctrlProps/ctrlProp417.xml><?xml version="1.0" encoding="utf-8"?>
<formControlPr xmlns="http://schemas.microsoft.com/office/spreadsheetml/2009/9/main" objectType="Button" lockText="1"/>
</file>

<file path=xl/ctrlProps/ctrlProp418.xml><?xml version="1.0" encoding="utf-8"?>
<formControlPr xmlns="http://schemas.microsoft.com/office/spreadsheetml/2009/9/main" objectType="Button" lockText="1"/>
</file>

<file path=xl/ctrlProps/ctrlProp419.xml><?xml version="1.0" encoding="utf-8"?>
<formControlPr xmlns="http://schemas.microsoft.com/office/spreadsheetml/2009/9/main" objectType="Button" lockText="1"/>
</file>

<file path=xl/ctrlProps/ctrlProp42.xml><?xml version="1.0" encoding="utf-8"?>
<formControlPr xmlns="http://schemas.microsoft.com/office/spreadsheetml/2009/9/main" objectType="Button" lockText="1"/>
</file>

<file path=xl/ctrlProps/ctrlProp420.xml><?xml version="1.0" encoding="utf-8"?>
<formControlPr xmlns="http://schemas.microsoft.com/office/spreadsheetml/2009/9/main" objectType="Button" lockText="1"/>
</file>

<file path=xl/ctrlProps/ctrlProp421.xml><?xml version="1.0" encoding="utf-8"?>
<formControlPr xmlns="http://schemas.microsoft.com/office/spreadsheetml/2009/9/main" objectType="Button" lockText="1"/>
</file>

<file path=xl/ctrlProps/ctrlProp422.xml><?xml version="1.0" encoding="utf-8"?>
<formControlPr xmlns="http://schemas.microsoft.com/office/spreadsheetml/2009/9/main" objectType="Button" lockText="1"/>
</file>

<file path=xl/ctrlProps/ctrlProp423.xml><?xml version="1.0" encoding="utf-8"?>
<formControlPr xmlns="http://schemas.microsoft.com/office/spreadsheetml/2009/9/main" objectType="Button" lockText="1"/>
</file>

<file path=xl/ctrlProps/ctrlProp424.xml><?xml version="1.0" encoding="utf-8"?>
<formControlPr xmlns="http://schemas.microsoft.com/office/spreadsheetml/2009/9/main" objectType="Button" lockText="1"/>
</file>

<file path=xl/ctrlProps/ctrlProp425.xml><?xml version="1.0" encoding="utf-8"?>
<formControlPr xmlns="http://schemas.microsoft.com/office/spreadsheetml/2009/9/main" objectType="Button" lockText="1"/>
</file>

<file path=xl/ctrlProps/ctrlProp426.xml><?xml version="1.0" encoding="utf-8"?>
<formControlPr xmlns="http://schemas.microsoft.com/office/spreadsheetml/2009/9/main" objectType="Button" lockText="1"/>
</file>

<file path=xl/ctrlProps/ctrlProp427.xml><?xml version="1.0" encoding="utf-8"?>
<formControlPr xmlns="http://schemas.microsoft.com/office/spreadsheetml/2009/9/main" objectType="Button" lockText="1"/>
</file>

<file path=xl/ctrlProps/ctrlProp428.xml><?xml version="1.0" encoding="utf-8"?>
<formControlPr xmlns="http://schemas.microsoft.com/office/spreadsheetml/2009/9/main" objectType="Button" lockText="1"/>
</file>

<file path=xl/ctrlProps/ctrlProp429.xml><?xml version="1.0" encoding="utf-8"?>
<formControlPr xmlns="http://schemas.microsoft.com/office/spreadsheetml/2009/9/main" objectType="Button" lockText="1"/>
</file>

<file path=xl/ctrlProps/ctrlProp43.xml><?xml version="1.0" encoding="utf-8"?>
<formControlPr xmlns="http://schemas.microsoft.com/office/spreadsheetml/2009/9/main" objectType="Button" lockText="1"/>
</file>

<file path=xl/ctrlProps/ctrlProp430.xml><?xml version="1.0" encoding="utf-8"?>
<formControlPr xmlns="http://schemas.microsoft.com/office/spreadsheetml/2009/9/main" objectType="Button" lockText="1"/>
</file>

<file path=xl/ctrlProps/ctrlProp431.xml><?xml version="1.0" encoding="utf-8"?>
<formControlPr xmlns="http://schemas.microsoft.com/office/spreadsheetml/2009/9/main" objectType="Button" lockText="1"/>
</file>

<file path=xl/ctrlProps/ctrlProp432.xml><?xml version="1.0" encoding="utf-8"?>
<formControlPr xmlns="http://schemas.microsoft.com/office/spreadsheetml/2009/9/main" objectType="Button" lockText="1"/>
</file>

<file path=xl/ctrlProps/ctrlProp433.xml><?xml version="1.0" encoding="utf-8"?>
<formControlPr xmlns="http://schemas.microsoft.com/office/spreadsheetml/2009/9/main" objectType="Button" lockText="1"/>
</file>

<file path=xl/ctrlProps/ctrlProp434.xml><?xml version="1.0" encoding="utf-8"?>
<formControlPr xmlns="http://schemas.microsoft.com/office/spreadsheetml/2009/9/main" objectType="Button" lockText="1"/>
</file>

<file path=xl/ctrlProps/ctrlProp435.xml><?xml version="1.0" encoding="utf-8"?>
<formControlPr xmlns="http://schemas.microsoft.com/office/spreadsheetml/2009/9/main" objectType="Button" lockText="1"/>
</file>

<file path=xl/ctrlProps/ctrlProp436.xml><?xml version="1.0" encoding="utf-8"?>
<formControlPr xmlns="http://schemas.microsoft.com/office/spreadsheetml/2009/9/main" objectType="Button" lockText="1"/>
</file>

<file path=xl/ctrlProps/ctrlProp437.xml><?xml version="1.0" encoding="utf-8"?>
<formControlPr xmlns="http://schemas.microsoft.com/office/spreadsheetml/2009/9/main" objectType="Button" lockText="1"/>
</file>

<file path=xl/ctrlProps/ctrlProp438.xml><?xml version="1.0" encoding="utf-8"?>
<formControlPr xmlns="http://schemas.microsoft.com/office/spreadsheetml/2009/9/main" objectType="Button" lockText="1"/>
</file>

<file path=xl/ctrlProps/ctrlProp439.xml><?xml version="1.0" encoding="utf-8"?>
<formControlPr xmlns="http://schemas.microsoft.com/office/spreadsheetml/2009/9/main" objectType="Button" lockText="1"/>
</file>

<file path=xl/ctrlProps/ctrlProp44.xml><?xml version="1.0" encoding="utf-8"?>
<formControlPr xmlns="http://schemas.microsoft.com/office/spreadsheetml/2009/9/main" objectType="Button" lockText="1"/>
</file>

<file path=xl/ctrlProps/ctrlProp440.xml><?xml version="1.0" encoding="utf-8"?>
<formControlPr xmlns="http://schemas.microsoft.com/office/spreadsheetml/2009/9/main" objectType="Button" lockText="1"/>
</file>

<file path=xl/ctrlProps/ctrlProp441.xml><?xml version="1.0" encoding="utf-8"?>
<formControlPr xmlns="http://schemas.microsoft.com/office/spreadsheetml/2009/9/main" objectType="Button" lockText="1"/>
</file>

<file path=xl/ctrlProps/ctrlProp442.xml><?xml version="1.0" encoding="utf-8"?>
<formControlPr xmlns="http://schemas.microsoft.com/office/spreadsheetml/2009/9/main" objectType="Button" lockText="1"/>
</file>

<file path=xl/ctrlProps/ctrlProp443.xml><?xml version="1.0" encoding="utf-8"?>
<formControlPr xmlns="http://schemas.microsoft.com/office/spreadsheetml/2009/9/main" objectType="Button" lockText="1"/>
</file>

<file path=xl/ctrlProps/ctrlProp444.xml><?xml version="1.0" encoding="utf-8"?>
<formControlPr xmlns="http://schemas.microsoft.com/office/spreadsheetml/2009/9/main" objectType="Button" lockText="1"/>
</file>

<file path=xl/ctrlProps/ctrlProp445.xml><?xml version="1.0" encoding="utf-8"?>
<formControlPr xmlns="http://schemas.microsoft.com/office/spreadsheetml/2009/9/main" objectType="Button" lockText="1"/>
</file>

<file path=xl/ctrlProps/ctrlProp446.xml><?xml version="1.0" encoding="utf-8"?>
<formControlPr xmlns="http://schemas.microsoft.com/office/spreadsheetml/2009/9/main" objectType="Button" lockText="1"/>
</file>

<file path=xl/ctrlProps/ctrlProp447.xml><?xml version="1.0" encoding="utf-8"?>
<formControlPr xmlns="http://schemas.microsoft.com/office/spreadsheetml/2009/9/main" objectType="Button" lockText="1"/>
</file>

<file path=xl/ctrlProps/ctrlProp448.xml><?xml version="1.0" encoding="utf-8"?>
<formControlPr xmlns="http://schemas.microsoft.com/office/spreadsheetml/2009/9/main" objectType="Button" lockText="1"/>
</file>

<file path=xl/ctrlProps/ctrlProp449.xml><?xml version="1.0" encoding="utf-8"?>
<formControlPr xmlns="http://schemas.microsoft.com/office/spreadsheetml/2009/9/main" objectType="Button" lockText="1"/>
</file>

<file path=xl/ctrlProps/ctrlProp45.xml><?xml version="1.0" encoding="utf-8"?>
<formControlPr xmlns="http://schemas.microsoft.com/office/spreadsheetml/2009/9/main" objectType="Button" lockText="1"/>
</file>

<file path=xl/ctrlProps/ctrlProp450.xml><?xml version="1.0" encoding="utf-8"?>
<formControlPr xmlns="http://schemas.microsoft.com/office/spreadsheetml/2009/9/main" objectType="Button" lockText="1"/>
</file>

<file path=xl/ctrlProps/ctrlProp451.xml><?xml version="1.0" encoding="utf-8"?>
<formControlPr xmlns="http://schemas.microsoft.com/office/spreadsheetml/2009/9/main" objectType="Button" lockText="1"/>
</file>

<file path=xl/ctrlProps/ctrlProp452.xml><?xml version="1.0" encoding="utf-8"?>
<formControlPr xmlns="http://schemas.microsoft.com/office/spreadsheetml/2009/9/main" objectType="Button" lockText="1"/>
</file>

<file path=xl/ctrlProps/ctrlProp453.xml><?xml version="1.0" encoding="utf-8"?>
<formControlPr xmlns="http://schemas.microsoft.com/office/spreadsheetml/2009/9/main" objectType="Button" lockText="1"/>
</file>

<file path=xl/ctrlProps/ctrlProp454.xml><?xml version="1.0" encoding="utf-8"?>
<formControlPr xmlns="http://schemas.microsoft.com/office/spreadsheetml/2009/9/main" objectType="Button" lockText="1"/>
</file>

<file path=xl/ctrlProps/ctrlProp455.xml><?xml version="1.0" encoding="utf-8"?>
<formControlPr xmlns="http://schemas.microsoft.com/office/spreadsheetml/2009/9/main" objectType="Button" lockText="1"/>
</file>

<file path=xl/ctrlProps/ctrlProp456.xml><?xml version="1.0" encoding="utf-8"?>
<formControlPr xmlns="http://schemas.microsoft.com/office/spreadsheetml/2009/9/main" objectType="Button" lockText="1"/>
</file>

<file path=xl/ctrlProps/ctrlProp457.xml><?xml version="1.0" encoding="utf-8"?>
<formControlPr xmlns="http://schemas.microsoft.com/office/spreadsheetml/2009/9/main" objectType="Button" lockText="1"/>
</file>

<file path=xl/ctrlProps/ctrlProp458.xml><?xml version="1.0" encoding="utf-8"?>
<formControlPr xmlns="http://schemas.microsoft.com/office/spreadsheetml/2009/9/main" objectType="Button" lockText="1"/>
</file>

<file path=xl/ctrlProps/ctrlProp459.xml><?xml version="1.0" encoding="utf-8"?>
<formControlPr xmlns="http://schemas.microsoft.com/office/spreadsheetml/2009/9/main" objectType="Button" lockText="1"/>
</file>

<file path=xl/ctrlProps/ctrlProp46.xml><?xml version="1.0" encoding="utf-8"?>
<formControlPr xmlns="http://schemas.microsoft.com/office/spreadsheetml/2009/9/main" objectType="Button" lockText="1"/>
</file>

<file path=xl/ctrlProps/ctrlProp460.xml><?xml version="1.0" encoding="utf-8"?>
<formControlPr xmlns="http://schemas.microsoft.com/office/spreadsheetml/2009/9/main" objectType="Button" lockText="1"/>
</file>

<file path=xl/ctrlProps/ctrlProp461.xml><?xml version="1.0" encoding="utf-8"?>
<formControlPr xmlns="http://schemas.microsoft.com/office/spreadsheetml/2009/9/main" objectType="Button" lockText="1"/>
</file>

<file path=xl/ctrlProps/ctrlProp462.xml><?xml version="1.0" encoding="utf-8"?>
<formControlPr xmlns="http://schemas.microsoft.com/office/spreadsheetml/2009/9/main" objectType="Button" lockText="1"/>
</file>

<file path=xl/ctrlProps/ctrlProp463.xml><?xml version="1.0" encoding="utf-8"?>
<formControlPr xmlns="http://schemas.microsoft.com/office/spreadsheetml/2009/9/main" objectType="Button" lockText="1"/>
</file>

<file path=xl/ctrlProps/ctrlProp464.xml><?xml version="1.0" encoding="utf-8"?>
<formControlPr xmlns="http://schemas.microsoft.com/office/spreadsheetml/2009/9/main" objectType="Button" lockText="1"/>
</file>

<file path=xl/ctrlProps/ctrlProp465.xml><?xml version="1.0" encoding="utf-8"?>
<formControlPr xmlns="http://schemas.microsoft.com/office/spreadsheetml/2009/9/main" objectType="Button" lockText="1"/>
</file>

<file path=xl/ctrlProps/ctrlProp466.xml><?xml version="1.0" encoding="utf-8"?>
<formControlPr xmlns="http://schemas.microsoft.com/office/spreadsheetml/2009/9/main" objectType="Button" lockText="1"/>
</file>

<file path=xl/ctrlProps/ctrlProp467.xml><?xml version="1.0" encoding="utf-8"?>
<formControlPr xmlns="http://schemas.microsoft.com/office/spreadsheetml/2009/9/main" objectType="Button" lockText="1"/>
</file>

<file path=xl/ctrlProps/ctrlProp468.xml><?xml version="1.0" encoding="utf-8"?>
<formControlPr xmlns="http://schemas.microsoft.com/office/spreadsheetml/2009/9/main" objectType="Button" lockText="1"/>
</file>

<file path=xl/ctrlProps/ctrlProp469.xml><?xml version="1.0" encoding="utf-8"?>
<formControlPr xmlns="http://schemas.microsoft.com/office/spreadsheetml/2009/9/main" objectType="Button" lockText="1"/>
</file>

<file path=xl/ctrlProps/ctrlProp47.xml><?xml version="1.0" encoding="utf-8"?>
<formControlPr xmlns="http://schemas.microsoft.com/office/spreadsheetml/2009/9/main" objectType="Button" lockText="1"/>
</file>

<file path=xl/ctrlProps/ctrlProp470.xml><?xml version="1.0" encoding="utf-8"?>
<formControlPr xmlns="http://schemas.microsoft.com/office/spreadsheetml/2009/9/main" objectType="Button" lockText="1"/>
</file>

<file path=xl/ctrlProps/ctrlProp471.xml><?xml version="1.0" encoding="utf-8"?>
<formControlPr xmlns="http://schemas.microsoft.com/office/spreadsheetml/2009/9/main" objectType="Button" lockText="1"/>
</file>

<file path=xl/ctrlProps/ctrlProp472.xml><?xml version="1.0" encoding="utf-8"?>
<formControlPr xmlns="http://schemas.microsoft.com/office/spreadsheetml/2009/9/main" objectType="Button" lockText="1"/>
</file>

<file path=xl/ctrlProps/ctrlProp473.xml><?xml version="1.0" encoding="utf-8"?>
<formControlPr xmlns="http://schemas.microsoft.com/office/spreadsheetml/2009/9/main" objectType="Button" lockText="1"/>
</file>

<file path=xl/ctrlProps/ctrlProp474.xml><?xml version="1.0" encoding="utf-8"?>
<formControlPr xmlns="http://schemas.microsoft.com/office/spreadsheetml/2009/9/main" objectType="Button" lockText="1"/>
</file>

<file path=xl/ctrlProps/ctrlProp475.xml><?xml version="1.0" encoding="utf-8"?>
<formControlPr xmlns="http://schemas.microsoft.com/office/spreadsheetml/2009/9/main" objectType="Button" lockText="1"/>
</file>

<file path=xl/ctrlProps/ctrlProp476.xml><?xml version="1.0" encoding="utf-8"?>
<formControlPr xmlns="http://schemas.microsoft.com/office/spreadsheetml/2009/9/main" objectType="Button" lockText="1"/>
</file>

<file path=xl/ctrlProps/ctrlProp477.xml><?xml version="1.0" encoding="utf-8"?>
<formControlPr xmlns="http://schemas.microsoft.com/office/spreadsheetml/2009/9/main" objectType="Button" lockText="1"/>
</file>

<file path=xl/ctrlProps/ctrlProp478.xml><?xml version="1.0" encoding="utf-8"?>
<formControlPr xmlns="http://schemas.microsoft.com/office/spreadsheetml/2009/9/main" objectType="Button" lockText="1"/>
</file>

<file path=xl/ctrlProps/ctrlProp479.xml><?xml version="1.0" encoding="utf-8"?>
<formControlPr xmlns="http://schemas.microsoft.com/office/spreadsheetml/2009/9/main" objectType="Button" lockText="1"/>
</file>

<file path=xl/ctrlProps/ctrlProp48.xml><?xml version="1.0" encoding="utf-8"?>
<formControlPr xmlns="http://schemas.microsoft.com/office/spreadsheetml/2009/9/main" objectType="Button" lockText="1"/>
</file>

<file path=xl/ctrlProps/ctrlProp480.xml><?xml version="1.0" encoding="utf-8"?>
<formControlPr xmlns="http://schemas.microsoft.com/office/spreadsheetml/2009/9/main" objectType="Button" lockText="1"/>
</file>

<file path=xl/ctrlProps/ctrlProp481.xml><?xml version="1.0" encoding="utf-8"?>
<formControlPr xmlns="http://schemas.microsoft.com/office/spreadsheetml/2009/9/main" objectType="Button" lockText="1"/>
</file>

<file path=xl/ctrlProps/ctrlProp482.xml><?xml version="1.0" encoding="utf-8"?>
<formControlPr xmlns="http://schemas.microsoft.com/office/spreadsheetml/2009/9/main" objectType="Button" lockText="1"/>
</file>

<file path=xl/ctrlProps/ctrlProp483.xml><?xml version="1.0" encoding="utf-8"?>
<formControlPr xmlns="http://schemas.microsoft.com/office/spreadsheetml/2009/9/main" objectType="Button" lockText="1"/>
</file>

<file path=xl/ctrlProps/ctrlProp484.xml><?xml version="1.0" encoding="utf-8"?>
<formControlPr xmlns="http://schemas.microsoft.com/office/spreadsheetml/2009/9/main" objectType="Button" lockText="1"/>
</file>

<file path=xl/ctrlProps/ctrlProp485.xml><?xml version="1.0" encoding="utf-8"?>
<formControlPr xmlns="http://schemas.microsoft.com/office/spreadsheetml/2009/9/main" objectType="Button" lockText="1"/>
</file>

<file path=xl/ctrlProps/ctrlProp486.xml><?xml version="1.0" encoding="utf-8"?>
<formControlPr xmlns="http://schemas.microsoft.com/office/spreadsheetml/2009/9/main" objectType="Button" lockText="1"/>
</file>

<file path=xl/ctrlProps/ctrlProp487.xml><?xml version="1.0" encoding="utf-8"?>
<formControlPr xmlns="http://schemas.microsoft.com/office/spreadsheetml/2009/9/main" objectType="Button" lockText="1"/>
</file>

<file path=xl/ctrlProps/ctrlProp488.xml><?xml version="1.0" encoding="utf-8"?>
<formControlPr xmlns="http://schemas.microsoft.com/office/spreadsheetml/2009/9/main" objectType="Button" lockText="1"/>
</file>

<file path=xl/ctrlProps/ctrlProp489.xml><?xml version="1.0" encoding="utf-8"?>
<formControlPr xmlns="http://schemas.microsoft.com/office/spreadsheetml/2009/9/main" objectType="Button" lockText="1"/>
</file>

<file path=xl/ctrlProps/ctrlProp49.xml><?xml version="1.0" encoding="utf-8"?>
<formControlPr xmlns="http://schemas.microsoft.com/office/spreadsheetml/2009/9/main" objectType="Button" lockText="1"/>
</file>

<file path=xl/ctrlProps/ctrlProp490.xml><?xml version="1.0" encoding="utf-8"?>
<formControlPr xmlns="http://schemas.microsoft.com/office/spreadsheetml/2009/9/main" objectType="Button" lockText="1"/>
</file>

<file path=xl/ctrlProps/ctrlProp491.xml><?xml version="1.0" encoding="utf-8"?>
<formControlPr xmlns="http://schemas.microsoft.com/office/spreadsheetml/2009/9/main" objectType="Button" lockText="1"/>
</file>

<file path=xl/ctrlProps/ctrlProp492.xml><?xml version="1.0" encoding="utf-8"?>
<formControlPr xmlns="http://schemas.microsoft.com/office/spreadsheetml/2009/9/main" objectType="Button" lockText="1"/>
</file>

<file path=xl/ctrlProps/ctrlProp493.xml><?xml version="1.0" encoding="utf-8"?>
<formControlPr xmlns="http://schemas.microsoft.com/office/spreadsheetml/2009/9/main" objectType="Button" lockText="1"/>
</file>

<file path=xl/ctrlProps/ctrlProp494.xml><?xml version="1.0" encoding="utf-8"?>
<formControlPr xmlns="http://schemas.microsoft.com/office/spreadsheetml/2009/9/main" objectType="Button" lockText="1"/>
</file>

<file path=xl/ctrlProps/ctrlProp495.xml><?xml version="1.0" encoding="utf-8"?>
<formControlPr xmlns="http://schemas.microsoft.com/office/spreadsheetml/2009/9/main" objectType="Button" lockText="1"/>
</file>

<file path=xl/ctrlProps/ctrlProp496.xml><?xml version="1.0" encoding="utf-8"?>
<formControlPr xmlns="http://schemas.microsoft.com/office/spreadsheetml/2009/9/main" objectType="Button" lockText="1"/>
</file>

<file path=xl/ctrlProps/ctrlProp497.xml><?xml version="1.0" encoding="utf-8"?>
<formControlPr xmlns="http://schemas.microsoft.com/office/spreadsheetml/2009/9/main" objectType="Button" lockText="1"/>
</file>

<file path=xl/ctrlProps/ctrlProp498.xml><?xml version="1.0" encoding="utf-8"?>
<formControlPr xmlns="http://schemas.microsoft.com/office/spreadsheetml/2009/9/main" objectType="Button" lockText="1"/>
</file>

<file path=xl/ctrlProps/ctrlProp499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50.xml><?xml version="1.0" encoding="utf-8"?>
<formControlPr xmlns="http://schemas.microsoft.com/office/spreadsheetml/2009/9/main" objectType="Button" lockText="1"/>
</file>

<file path=xl/ctrlProps/ctrlProp500.xml><?xml version="1.0" encoding="utf-8"?>
<formControlPr xmlns="http://schemas.microsoft.com/office/spreadsheetml/2009/9/main" objectType="Button" lockText="1"/>
</file>

<file path=xl/ctrlProps/ctrlProp501.xml><?xml version="1.0" encoding="utf-8"?>
<formControlPr xmlns="http://schemas.microsoft.com/office/spreadsheetml/2009/9/main" objectType="Button" lockText="1"/>
</file>

<file path=xl/ctrlProps/ctrlProp502.xml><?xml version="1.0" encoding="utf-8"?>
<formControlPr xmlns="http://schemas.microsoft.com/office/spreadsheetml/2009/9/main" objectType="Button" lockText="1"/>
</file>

<file path=xl/ctrlProps/ctrlProp503.xml><?xml version="1.0" encoding="utf-8"?>
<formControlPr xmlns="http://schemas.microsoft.com/office/spreadsheetml/2009/9/main" objectType="Button" lockText="1"/>
</file>

<file path=xl/ctrlProps/ctrlProp504.xml><?xml version="1.0" encoding="utf-8"?>
<formControlPr xmlns="http://schemas.microsoft.com/office/spreadsheetml/2009/9/main" objectType="Button" lockText="1"/>
</file>

<file path=xl/ctrlProps/ctrlProp505.xml><?xml version="1.0" encoding="utf-8"?>
<formControlPr xmlns="http://schemas.microsoft.com/office/spreadsheetml/2009/9/main" objectType="Button" lockText="1"/>
</file>

<file path=xl/ctrlProps/ctrlProp506.xml><?xml version="1.0" encoding="utf-8"?>
<formControlPr xmlns="http://schemas.microsoft.com/office/spreadsheetml/2009/9/main" objectType="Button" lockText="1"/>
</file>

<file path=xl/ctrlProps/ctrlProp507.xml><?xml version="1.0" encoding="utf-8"?>
<formControlPr xmlns="http://schemas.microsoft.com/office/spreadsheetml/2009/9/main" objectType="Button" lockText="1"/>
</file>

<file path=xl/ctrlProps/ctrlProp508.xml><?xml version="1.0" encoding="utf-8"?>
<formControlPr xmlns="http://schemas.microsoft.com/office/spreadsheetml/2009/9/main" objectType="Button" lockText="1"/>
</file>

<file path=xl/ctrlProps/ctrlProp509.xml><?xml version="1.0" encoding="utf-8"?>
<formControlPr xmlns="http://schemas.microsoft.com/office/spreadsheetml/2009/9/main" objectType="Button" lockText="1"/>
</file>

<file path=xl/ctrlProps/ctrlProp51.xml><?xml version="1.0" encoding="utf-8"?>
<formControlPr xmlns="http://schemas.microsoft.com/office/spreadsheetml/2009/9/main" objectType="Button" lockText="1"/>
</file>

<file path=xl/ctrlProps/ctrlProp510.xml><?xml version="1.0" encoding="utf-8"?>
<formControlPr xmlns="http://schemas.microsoft.com/office/spreadsheetml/2009/9/main" objectType="Button" lockText="1"/>
</file>

<file path=xl/ctrlProps/ctrlProp511.xml><?xml version="1.0" encoding="utf-8"?>
<formControlPr xmlns="http://schemas.microsoft.com/office/spreadsheetml/2009/9/main" objectType="Button" lockText="1"/>
</file>

<file path=xl/ctrlProps/ctrlProp512.xml><?xml version="1.0" encoding="utf-8"?>
<formControlPr xmlns="http://schemas.microsoft.com/office/spreadsheetml/2009/9/main" objectType="Button" lockText="1"/>
</file>

<file path=xl/ctrlProps/ctrlProp513.xml><?xml version="1.0" encoding="utf-8"?>
<formControlPr xmlns="http://schemas.microsoft.com/office/spreadsheetml/2009/9/main" objectType="Button" lockText="1"/>
</file>

<file path=xl/ctrlProps/ctrlProp514.xml><?xml version="1.0" encoding="utf-8"?>
<formControlPr xmlns="http://schemas.microsoft.com/office/spreadsheetml/2009/9/main" objectType="Button" lockText="1"/>
</file>

<file path=xl/ctrlProps/ctrlProp515.xml><?xml version="1.0" encoding="utf-8"?>
<formControlPr xmlns="http://schemas.microsoft.com/office/spreadsheetml/2009/9/main" objectType="Button" lockText="1"/>
</file>

<file path=xl/ctrlProps/ctrlProp516.xml><?xml version="1.0" encoding="utf-8"?>
<formControlPr xmlns="http://schemas.microsoft.com/office/spreadsheetml/2009/9/main" objectType="Button" lockText="1"/>
</file>

<file path=xl/ctrlProps/ctrlProp517.xml><?xml version="1.0" encoding="utf-8"?>
<formControlPr xmlns="http://schemas.microsoft.com/office/spreadsheetml/2009/9/main" objectType="Button" lockText="1"/>
</file>

<file path=xl/ctrlProps/ctrlProp518.xml><?xml version="1.0" encoding="utf-8"?>
<formControlPr xmlns="http://schemas.microsoft.com/office/spreadsheetml/2009/9/main" objectType="Button" lockText="1"/>
</file>

<file path=xl/ctrlProps/ctrlProp519.xml><?xml version="1.0" encoding="utf-8"?>
<formControlPr xmlns="http://schemas.microsoft.com/office/spreadsheetml/2009/9/main" objectType="Button" lockText="1"/>
</file>

<file path=xl/ctrlProps/ctrlProp52.xml><?xml version="1.0" encoding="utf-8"?>
<formControlPr xmlns="http://schemas.microsoft.com/office/spreadsheetml/2009/9/main" objectType="Button" lockText="1"/>
</file>

<file path=xl/ctrlProps/ctrlProp520.xml><?xml version="1.0" encoding="utf-8"?>
<formControlPr xmlns="http://schemas.microsoft.com/office/spreadsheetml/2009/9/main" objectType="Button" lockText="1"/>
</file>

<file path=xl/ctrlProps/ctrlProp521.xml><?xml version="1.0" encoding="utf-8"?>
<formControlPr xmlns="http://schemas.microsoft.com/office/spreadsheetml/2009/9/main" objectType="Button" lockText="1"/>
</file>

<file path=xl/ctrlProps/ctrlProp522.xml><?xml version="1.0" encoding="utf-8"?>
<formControlPr xmlns="http://schemas.microsoft.com/office/spreadsheetml/2009/9/main" objectType="Button" lockText="1"/>
</file>

<file path=xl/ctrlProps/ctrlProp523.xml><?xml version="1.0" encoding="utf-8"?>
<formControlPr xmlns="http://schemas.microsoft.com/office/spreadsheetml/2009/9/main" objectType="Button" lockText="1"/>
</file>

<file path=xl/ctrlProps/ctrlProp524.xml><?xml version="1.0" encoding="utf-8"?>
<formControlPr xmlns="http://schemas.microsoft.com/office/spreadsheetml/2009/9/main" objectType="Button" lockText="1"/>
</file>

<file path=xl/ctrlProps/ctrlProp525.xml><?xml version="1.0" encoding="utf-8"?>
<formControlPr xmlns="http://schemas.microsoft.com/office/spreadsheetml/2009/9/main" objectType="Button" lockText="1"/>
</file>

<file path=xl/ctrlProps/ctrlProp526.xml><?xml version="1.0" encoding="utf-8"?>
<formControlPr xmlns="http://schemas.microsoft.com/office/spreadsheetml/2009/9/main" objectType="Button" lockText="1"/>
</file>

<file path=xl/ctrlProps/ctrlProp527.xml><?xml version="1.0" encoding="utf-8"?>
<formControlPr xmlns="http://schemas.microsoft.com/office/spreadsheetml/2009/9/main" objectType="Button" lockText="1"/>
</file>

<file path=xl/ctrlProps/ctrlProp528.xml><?xml version="1.0" encoding="utf-8"?>
<formControlPr xmlns="http://schemas.microsoft.com/office/spreadsheetml/2009/9/main" objectType="Button" lockText="1"/>
</file>

<file path=xl/ctrlProps/ctrlProp529.xml><?xml version="1.0" encoding="utf-8"?>
<formControlPr xmlns="http://schemas.microsoft.com/office/spreadsheetml/2009/9/main" objectType="Button" lockText="1"/>
</file>

<file path=xl/ctrlProps/ctrlProp53.xml><?xml version="1.0" encoding="utf-8"?>
<formControlPr xmlns="http://schemas.microsoft.com/office/spreadsheetml/2009/9/main" objectType="Button" lockText="1"/>
</file>

<file path=xl/ctrlProps/ctrlProp530.xml><?xml version="1.0" encoding="utf-8"?>
<formControlPr xmlns="http://schemas.microsoft.com/office/spreadsheetml/2009/9/main" objectType="Button" lockText="1"/>
</file>

<file path=xl/ctrlProps/ctrlProp531.xml><?xml version="1.0" encoding="utf-8"?>
<formControlPr xmlns="http://schemas.microsoft.com/office/spreadsheetml/2009/9/main" objectType="Button" lockText="1"/>
</file>

<file path=xl/ctrlProps/ctrlProp532.xml><?xml version="1.0" encoding="utf-8"?>
<formControlPr xmlns="http://schemas.microsoft.com/office/spreadsheetml/2009/9/main" objectType="Button" lockText="1"/>
</file>

<file path=xl/ctrlProps/ctrlProp533.xml><?xml version="1.0" encoding="utf-8"?>
<formControlPr xmlns="http://schemas.microsoft.com/office/spreadsheetml/2009/9/main" objectType="Button" lockText="1"/>
</file>

<file path=xl/ctrlProps/ctrlProp534.xml><?xml version="1.0" encoding="utf-8"?>
<formControlPr xmlns="http://schemas.microsoft.com/office/spreadsheetml/2009/9/main" objectType="Button" lockText="1"/>
</file>

<file path=xl/ctrlProps/ctrlProp535.xml><?xml version="1.0" encoding="utf-8"?>
<formControlPr xmlns="http://schemas.microsoft.com/office/spreadsheetml/2009/9/main" objectType="Button" lockText="1"/>
</file>

<file path=xl/ctrlProps/ctrlProp536.xml><?xml version="1.0" encoding="utf-8"?>
<formControlPr xmlns="http://schemas.microsoft.com/office/spreadsheetml/2009/9/main" objectType="Button" lockText="1"/>
</file>

<file path=xl/ctrlProps/ctrlProp537.xml><?xml version="1.0" encoding="utf-8"?>
<formControlPr xmlns="http://schemas.microsoft.com/office/spreadsheetml/2009/9/main" objectType="Button" lockText="1"/>
</file>

<file path=xl/ctrlProps/ctrlProp538.xml><?xml version="1.0" encoding="utf-8"?>
<formControlPr xmlns="http://schemas.microsoft.com/office/spreadsheetml/2009/9/main" objectType="Button" lockText="1"/>
</file>

<file path=xl/ctrlProps/ctrlProp539.xml><?xml version="1.0" encoding="utf-8"?>
<formControlPr xmlns="http://schemas.microsoft.com/office/spreadsheetml/2009/9/main" objectType="Button" lockText="1"/>
</file>

<file path=xl/ctrlProps/ctrlProp54.xml><?xml version="1.0" encoding="utf-8"?>
<formControlPr xmlns="http://schemas.microsoft.com/office/spreadsheetml/2009/9/main" objectType="Button" lockText="1"/>
</file>

<file path=xl/ctrlProps/ctrlProp540.xml><?xml version="1.0" encoding="utf-8"?>
<formControlPr xmlns="http://schemas.microsoft.com/office/spreadsheetml/2009/9/main" objectType="Button" lockText="1"/>
</file>

<file path=xl/ctrlProps/ctrlProp541.xml><?xml version="1.0" encoding="utf-8"?>
<formControlPr xmlns="http://schemas.microsoft.com/office/spreadsheetml/2009/9/main" objectType="Button" lockText="1"/>
</file>

<file path=xl/ctrlProps/ctrlProp542.xml><?xml version="1.0" encoding="utf-8"?>
<formControlPr xmlns="http://schemas.microsoft.com/office/spreadsheetml/2009/9/main" objectType="Button" lockText="1"/>
</file>

<file path=xl/ctrlProps/ctrlProp543.xml><?xml version="1.0" encoding="utf-8"?>
<formControlPr xmlns="http://schemas.microsoft.com/office/spreadsheetml/2009/9/main" objectType="Button" lockText="1"/>
</file>

<file path=xl/ctrlProps/ctrlProp544.xml><?xml version="1.0" encoding="utf-8"?>
<formControlPr xmlns="http://schemas.microsoft.com/office/spreadsheetml/2009/9/main" objectType="Button" lockText="1"/>
</file>

<file path=xl/ctrlProps/ctrlProp545.xml><?xml version="1.0" encoding="utf-8"?>
<formControlPr xmlns="http://schemas.microsoft.com/office/spreadsheetml/2009/9/main" objectType="Button" lockText="1"/>
</file>

<file path=xl/ctrlProps/ctrlProp546.xml><?xml version="1.0" encoding="utf-8"?>
<formControlPr xmlns="http://schemas.microsoft.com/office/spreadsheetml/2009/9/main" objectType="Button" lockText="1"/>
</file>

<file path=xl/ctrlProps/ctrlProp547.xml><?xml version="1.0" encoding="utf-8"?>
<formControlPr xmlns="http://schemas.microsoft.com/office/spreadsheetml/2009/9/main" objectType="Button" lockText="1"/>
</file>

<file path=xl/ctrlProps/ctrlProp548.xml><?xml version="1.0" encoding="utf-8"?>
<formControlPr xmlns="http://schemas.microsoft.com/office/spreadsheetml/2009/9/main" objectType="Button" lockText="1"/>
</file>

<file path=xl/ctrlProps/ctrlProp549.xml><?xml version="1.0" encoding="utf-8"?>
<formControlPr xmlns="http://schemas.microsoft.com/office/spreadsheetml/2009/9/main" objectType="Button" lockText="1"/>
</file>

<file path=xl/ctrlProps/ctrlProp55.xml><?xml version="1.0" encoding="utf-8"?>
<formControlPr xmlns="http://schemas.microsoft.com/office/spreadsheetml/2009/9/main" objectType="Button" lockText="1"/>
</file>

<file path=xl/ctrlProps/ctrlProp550.xml><?xml version="1.0" encoding="utf-8"?>
<formControlPr xmlns="http://schemas.microsoft.com/office/spreadsheetml/2009/9/main" objectType="Button" lockText="1"/>
</file>

<file path=xl/ctrlProps/ctrlProp551.xml><?xml version="1.0" encoding="utf-8"?>
<formControlPr xmlns="http://schemas.microsoft.com/office/spreadsheetml/2009/9/main" objectType="Button" lockText="1"/>
</file>

<file path=xl/ctrlProps/ctrlProp552.xml><?xml version="1.0" encoding="utf-8"?>
<formControlPr xmlns="http://schemas.microsoft.com/office/spreadsheetml/2009/9/main" objectType="Button" lockText="1"/>
</file>

<file path=xl/ctrlProps/ctrlProp553.xml><?xml version="1.0" encoding="utf-8"?>
<formControlPr xmlns="http://schemas.microsoft.com/office/spreadsheetml/2009/9/main" objectType="Button" lockText="1"/>
</file>

<file path=xl/ctrlProps/ctrlProp554.xml><?xml version="1.0" encoding="utf-8"?>
<formControlPr xmlns="http://schemas.microsoft.com/office/spreadsheetml/2009/9/main" objectType="Button" lockText="1"/>
</file>

<file path=xl/ctrlProps/ctrlProp555.xml><?xml version="1.0" encoding="utf-8"?>
<formControlPr xmlns="http://schemas.microsoft.com/office/spreadsheetml/2009/9/main" objectType="Button" lockText="1"/>
</file>

<file path=xl/ctrlProps/ctrlProp556.xml><?xml version="1.0" encoding="utf-8"?>
<formControlPr xmlns="http://schemas.microsoft.com/office/spreadsheetml/2009/9/main" objectType="Button" lockText="1"/>
</file>

<file path=xl/ctrlProps/ctrlProp557.xml><?xml version="1.0" encoding="utf-8"?>
<formControlPr xmlns="http://schemas.microsoft.com/office/spreadsheetml/2009/9/main" objectType="Button" lockText="1"/>
</file>

<file path=xl/ctrlProps/ctrlProp558.xml><?xml version="1.0" encoding="utf-8"?>
<formControlPr xmlns="http://schemas.microsoft.com/office/spreadsheetml/2009/9/main" objectType="Button" lockText="1"/>
</file>

<file path=xl/ctrlProps/ctrlProp559.xml><?xml version="1.0" encoding="utf-8"?>
<formControlPr xmlns="http://schemas.microsoft.com/office/spreadsheetml/2009/9/main" objectType="Button" lockText="1"/>
</file>

<file path=xl/ctrlProps/ctrlProp56.xml><?xml version="1.0" encoding="utf-8"?>
<formControlPr xmlns="http://schemas.microsoft.com/office/spreadsheetml/2009/9/main" objectType="Button" lockText="1"/>
</file>

<file path=xl/ctrlProps/ctrlProp560.xml><?xml version="1.0" encoding="utf-8"?>
<formControlPr xmlns="http://schemas.microsoft.com/office/spreadsheetml/2009/9/main" objectType="Button" lockText="1"/>
</file>

<file path=xl/ctrlProps/ctrlProp561.xml><?xml version="1.0" encoding="utf-8"?>
<formControlPr xmlns="http://schemas.microsoft.com/office/spreadsheetml/2009/9/main" objectType="Button" lockText="1"/>
</file>

<file path=xl/ctrlProps/ctrlProp562.xml><?xml version="1.0" encoding="utf-8"?>
<formControlPr xmlns="http://schemas.microsoft.com/office/spreadsheetml/2009/9/main" objectType="Button" lockText="1"/>
</file>

<file path=xl/ctrlProps/ctrlProp563.xml><?xml version="1.0" encoding="utf-8"?>
<formControlPr xmlns="http://schemas.microsoft.com/office/spreadsheetml/2009/9/main" objectType="Button" lockText="1"/>
</file>

<file path=xl/ctrlProps/ctrlProp564.xml><?xml version="1.0" encoding="utf-8"?>
<formControlPr xmlns="http://schemas.microsoft.com/office/spreadsheetml/2009/9/main" objectType="Button" lockText="1"/>
</file>

<file path=xl/ctrlProps/ctrlProp565.xml><?xml version="1.0" encoding="utf-8"?>
<formControlPr xmlns="http://schemas.microsoft.com/office/spreadsheetml/2009/9/main" objectType="Button" lockText="1"/>
</file>

<file path=xl/ctrlProps/ctrlProp566.xml><?xml version="1.0" encoding="utf-8"?>
<formControlPr xmlns="http://schemas.microsoft.com/office/spreadsheetml/2009/9/main" objectType="Button" lockText="1"/>
</file>

<file path=xl/ctrlProps/ctrlProp567.xml><?xml version="1.0" encoding="utf-8"?>
<formControlPr xmlns="http://schemas.microsoft.com/office/spreadsheetml/2009/9/main" objectType="Button" lockText="1"/>
</file>

<file path=xl/ctrlProps/ctrlProp568.xml><?xml version="1.0" encoding="utf-8"?>
<formControlPr xmlns="http://schemas.microsoft.com/office/spreadsheetml/2009/9/main" objectType="Button" lockText="1"/>
</file>

<file path=xl/ctrlProps/ctrlProp569.xml><?xml version="1.0" encoding="utf-8"?>
<formControlPr xmlns="http://schemas.microsoft.com/office/spreadsheetml/2009/9/main" objectType="Button" lockText="1"/>
</file>

<file path=xl/ctrlProps/ctrlProp57.xml><?xml version="1.0" encoding="utf-8"?>
<formControlPr xmlns="http://schemas.microsoft.com/office/spreadsheetml/2009/9/main" objectType="Button" lockText="1"/>
</file>

<file path=xl/ctrlProps/ctrlProp570.xml><?xml version="1.0" encoding="utf-8"?>
<formControlPr xmlns="http://schemas.microsoft.com/office/spreadsheetml/2009/9/main" objectType="Button" lockText="1"/>
</file>

<file path=xl/ctrlProps/ctrlProp571.xml><?xml version="1.0" encoding="utf-8"?>
<formControlPr xmlns="http://schemas.microsoft.com/office/spreadsheetml/2009/9/main" objectType="Button" lockText="1"/>
</file>

<file path=xl/ctrlProps/ctrlProp572.xml><?xml version="1.0" encoding="utf-8"?>
<formControlPr xmlns="http://schemas.microsoft.com/office/spreadsheetml/2009/9/main" objectType="Button" lockText="1"/>
</file>

<file path=xl/ctrlProps/ctrlProp573.xml><?xml version="1.0" encoding="utf-8"?>
<formControlPr xmlns="http://schemas.microsoft.com/office/spreadsheetml/2009/9/main" objectType="Button" lockText="1"/>
</file>

<file path=xl/ctrlProps/ctrlProp574.xml><?xml version="1.0" encoding="utf-8"?>
<formControlPr xmlns="http://schemas.microsoft.com/office/spreadsheetml/2009/9/main" objectType="Button" lockText="1"/>
</file>

<file path=xl/ctrlProps/ctrlProp575.xml><?xml version="1.0" encoding="utf-8"?>
<formControlPr xmlns="http://schemas.microsoft.com/office/spreadsheetml/2009/9/main" objectType="Button" lockText="1"/>
</file>

<file path=xl/ctrlProps/ctrlProp576.xml><?xml version="1.0" encoding="utf-8"?>
<formControlPr xmlns="http://schemas.microsoft.com/office/spreadsheetml/2009/9/main" objectType="Button" lockText="1"/>
</file>

<file path=xl/ctrlProps/ctrlProp577.xml><?xml version="1.0" encoding="utf-8"?>
<formControlPr xmlns="http://schemas.microsoft.com/office/spreadsheetml/2009/9/main" objectType="Button" lockText="1"/>
</file>

<file path=xl/ctrlProps/ctrlProp578.xml><?xml version="1.0" encoding="utf-8"?>
<formControlPr xmlns="http://schemas.microsoft.com/office/spreadsheetml/2009/9/main" objectType="Button" lockText="1"/>
</file>

<file path=xl/ctrlProps/ctrlProp579.xml><?xml version="1.0" encoding="utf-8"?>
<formControlPr xmlns="http://schemas.microsoft.com/office/spreadsheetml/2009/9/main" objectType="Button" lockText="1"/>
</file>

<file path=xl/ctrlProps/ctrlProp58.xml><?xml version="1.0" encoding="utf-8"?>
<formControlPr xmlns="http://schemas.microsoft.com/office/spreadsheetml/2009/9/main" objectType="Button" lockText="1"/>
</file>

<file path=xl/ctrlProps/ctrlProp580.xml><?xml version="1.0" encoding="utf-8"?>
<formControlPr xmlns="http://schemas.microsoft.com/office/spreadsheetml/2009/9/main" objectType="Button" lockText="1"/>
</file>

<file path=xl/ctrlProps/ctrlProp581.xml><?xml version="1.0" encoding="utf-8"?>
<formControlPr xmlns="http://schemas.microsoft.com/office/spreadsheetml/2009/9/main" objectType="Button" lockText="1"/>
</file>

<file path=xl/ctrlProps/ctrlProp582.xml><?xml version="1.0" encoding="utf-8"?>
<formControlPr xmlns="http://schemas.microsoft.com/office/spreadsheetml/2009/9/main" objectType="Button" lockText="1"/>
</file>

<file path=xl/ctrlProps/ctrlProp583.xml><?xml version="1.0" encoding="utf-8"?>
<formControlPr xmlns="http://schemas.microsoft.com/office/spreadsheetml/2009/9/main" objectType="Button" lockText="1"/>
</file>

<file path=xl/ctrlProps/ctrlProp584.xml><?xml version="1.0" encoding="utf-8"?>
<formControlPr xmlns="http://schemas.microsoft.com/office/spreadsheetml/2009/9/main" objectType="Button" lockText="1"/>
</file>

<file path=xl/ctrlProps/ctrlProp585.xml><?xml version="1.0" encoding="utf-8"?>
<formControlPr xmlns="http://schemas.microsoft.com/office/spreadsheetml/2009/9/main" objectType="Button" lockText="1"/>
</file>

<file path=xl/ctrlProps/ctrlProp586.xml><?xml version="1.0" encoding="utf-8"?>
<formControlPr xmlns="http://schemas.microsoft.com/office/spreadsheetml/2009/9/main" objectType="Button" lockText="1"/>
</file>

<file path=xl/ctrlProps/ctrlProp587.xml><?xml version="1.0" encoding="utf-8"?>
<formControlPr xmlns="http://schemas.microsoft.com/office/spreadsheetml/2009/9/main" objectType="Button" lockText="1"/>
</file>

<file path=xl/ctrlProps/ctrlProp588.xml><?xml version="1.0" encoding="utf-8"?>
<formControlPr xmlns="http://schemas.microsoft.com/office/spreadsheetml/2009/9/main" objectType="Button" lockText="1"/>
</file>

<file path=xl/ctrlProps/ctrlProp589.xml><?xml version="1.0" encoding="utf-8"?>
<formControlPr xmlns="http://schemas.microsoft.com/office/spreadsheetml/2009/9/main" objectType="Button" lockText="1"/>
</file>

<file path=xl/ctrlProps/ctrlProp59.xml><?xml version="1.0" encoding="utf-8"?>
<formControlPr xmlns="http://schemas.microsoft.com/office/spreadsheetml/2009/9/main" objectType="Button" lockText="1"/>
</file>

<file path=xl/ctrlProps/ctrlProp590.xml><?xml version="1.0" encoding="utf-8"?>
<formControlPr xmlns="http://schemas.microsoft.com/office/spreadsheetml/2009/9/main" objectType="Button" lockText="1"/>
</file>

<file path=xl/ctrlProps/ctrlProp591.xml><?xml version="1.0" encoding="utf-8"?>
<formControlPr xmlns="http://schemas.microsoft.com/office/spreadsheetml/2009/9/main" objectType="Button" lockText="1"/>
</file>

<file path=xl/ctrlProps/ctrlProp592.xml><?xml version="1.0" encoding="utf-8"?>
<formControlPr xmlns="http://schemas.microsoft.com/office/spreadsheetml/2009/9/main" objectType="Button" lockText="1"/>
</file>

<file path=xl/ctrlProps/ctrlProp593.xml><?xml version="1.0" encoding="utf-8"?>
<formControlPr xmlns="http://schemas.microsoft.com/office/spreadsheetml/2009/9/main" objectType="Button" lockText="1"/>
</file>

<file path=xl/ctrlProps/ctrlProp594.xml><?xml version="1.0" encoding="utf-8"?>
<formControlPr xmlns="http://schemas.microsoft.com/office/spreadsheetml/2009/9/main" objectType="Button" lockText="1"/>
</file>

<file path=xl/ctrlProps/ctrlProp595.xml><?xml version="1.0" encoding="utf-8"?>
<formControlPr xmlns="http://schemas.microsoft.com/office/spreadsheetml/2009/9/main" objectType="Button" lockText="1"/>
</file>

<file path=xl/ctrlProps/ctrlProp596.xml><?xml version="1.0" encoding="utf-8"?>
<formControlPr xmlns="http://schemas.microsoft.com/office/spreadsheetml/2009/9/main" objectType="Button" lockText="1"/>
</file>

<file path=xl/ctrlProps/ctrlProp597.xml><?xml version="1.0" encoding="utf-8"?>
<formControlPr xmlns="http://schemas.microsoft.com/office/spreadsheetml/2009/9/main" objectType="Button" lockText="1"/>
</file>

<file path=xl/ctrlProps/ctrlProp598.xml><?xml version="1.0" encoding="utf-8"?>
<formControlPr xmlns="http://schemas.microsoft.com/office/spreadsheetml/2009/9/main" objectType="Button" lockText="1"/>
</file>

<file path=xl/ctrlProps/ctrlProp599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60.xml><?xml version="1.0" encoding="utf-8"?>
<formControlPr xmlns="http://schemas.microsoft.com/office/spreadsheetml/2009/9/main" objectType="Button" lockText="1"/>
</file>

<file path=xl/ctrlProps/ctrlProp600.xml><?xml version="1.0" encoding="utf-8"?>
<formControlPr xmlns="http://schemas.microsoft.com/office/spreadsheetml/2009/9/main" objectType="Button" lockText="1"/>
</file>

<file path=xl/ctrlProps/ctrlProp601.xml><?xml version="1.0" encoding="utf-8"?>
<formControlPr xmlns="http://schemas.microsoft.com/office/spreadsheetml/2009/9/main" objectType="Button" lockText="1"/>
</file>

<file path=xl/ctrlProps/ctrlProp602.xml><?xml version="1.0" encoding="utf-8"?>
<formControlPr xmlns="http://schemas.microsoft.com/office/spreadsheetml/2009/9/main" objectType="Button" lockText="1"/>
</file>

<file path=xl/ctrlProps/ctrlProp603.xml><?xml version="1.0" encoding="utf-8"?>
<formControlPr xmlns="http://schemas.microsoft.com/office/spreadsheetml/2009/9/main" objectType="Button" lockText="1"/>
</file>

<file path=xl/ctrlProps/ctrlProp604.xml><?xml version="1.0" encoding="utf-8"?>
<formControlPr xmlns="http://schemas.microsoft.com/office/spreadsheetml/2009/9/main" objectType="Button" lockText="1"/>
</file>

<file path=xl/ctrlProps/ctrlProp605.xml><?xml version="1.0" encoding="utf-8"?>
<formControlPr xmlns="http://schemas.microsoft.com/office/spreadsheetml/2009/9/main" objectType="Button" lockText="1"/>
</file>

<file path=xl/ctrlProps/ctrlProp606.xml><?xml version="1.0" encoding="utf-8"?>
<formControlPr xmlns="http://schemas.microsoft.com/office/spreadsheetml/2009/9/main" objectType="Button" lockText="1"/>
</file>

<file path=xl/ctrlProps/ctrlProp607.xml><?xml version="1.0" encoding="utf-8"?>
<formControlPr xmlns="http://schemas.microsoft.com/office/spreadsheetml/2009/9/main" objectType="Button" lockText="1"/>
</file>

<file path=xl/ctrlProps/ctrlProp608.xml><?xml version="1.0" encoding="utf-8"?>
<formControlPr xmlns="http://schemas.microsoft.com/office/spreadsheetml/2009/9/main" objectType="Button" lockText="1"/>
</file>

<file path=xl/ctrlProps/ctrlProp609.xml><?xml version="1.0" encoding="utf-8"?>
<formControlPr xmlns="http://schemas.microsoft.com/office/spreadsheetml/2009/9/main" objectType="Button" lockText="1"/>
</file>

<file path=xl/ctrlProps/ctrlProp61.xml><?xml version="1.0" encoding="utf-8"?>
<formControlPr xmlns="http://schemas.microsoft.com/office/spreadsheetml/2009/9/main" objectType="Button" lockText="1"/>
</file>

<file path=xl/ctrlProps/ctrlProp610.xml><?xml version="1.0" encoding="utf-8"?>
<formControlPr xmlns="http://schemas.microsoft.com/office/spreadsheetml/2009/9/main" objectType="Button" lockText="1"/>
</file>

<file path=xl/ctrlProps/ctrlProp611.xml><?xml version="1.0" encoding="utf-8"?>
<formControlPr xmlns="http://schemas.microsoft.com/office/spreadsheetml/2009/9/main" objectType="Button" lockText="1"/>
</file>

<file path=xl/ctrlProps/ctrlProp612.xml><?xml version="1.0" encoding="utf-8"?>
<formControlPr xmlns="http://schemas.microsoft.com/office/spreadsheetml/2009/9/main" objectType="Button" lockText="1"/>
</file>

<file path=xl/ctrlProps/ctrlProp613.xml><?xml version="1.0" encoding="utf-8"?>
<formControlPr xmlns="http://schemas.microsoft.com/office/spreadsheetml/2009/9/main" objectType="Button" lockText="1"/>
</file>

<file path=xl/ctrlProps/ctrlProp614.xml><?xml version="1.0" encoding="utf-8"?>
<formControlPr xmlns="http://schemas.microsoft.com/office/spreadsheetml/2009/9/main" objectType="Button" lockText="1"/>
</file>

<file path=xl/ctrlProps/ctrlProp615.xml><?xml version="1.0" encoding="utf-8"?>
<formControlPr xmlns="http://schemas.microsoft.com/office/spreadsheetml/2009/9/main" objectType="Button" lockText="1"/>
</file>

<file path=xl/ctrlProps/ctrlProp616.xml><?xml version="1.0" encoding="utf-8"?>
<formControlPr xmlns="http://schemas.microsoft.com/office/spreadsheetml/2009/9/main" objectType="Button" lockText="1"/>
</file>

<file path=xl/ctrlProps/ctrlProp617.xml><?xml version="1.0" encoding="utf-8"?>
<formControlPr xmlns="http://schemas.microsoft.com/office/spreadsheetml/2009/9/main" objectType="Button" lockText="1"/>
</file>

<file path=xl/ctrlProps/ctrlProp618.xml><?xml version="1.0" encoding="utf-8"?>
<formControlPr xmlns="http://schemas.microsoft.com/office/spreadsheetml/2009/9/main" objectType="Button" lockText="1"/>
</file>

<file path=xl/ctrlProps/ctrlProp619.xml><?xml version="1.0" encoding="utf-8"?>
<formControlPr xmlns="http://schemas.microsoft.com/office/spreadsheetml/2009/9/main" objectType="Button" lockText="1"/>
</file>

<file path=xl/ctrlProps/ctrlProp62.xml><?xml version="1.0" encoding="utf-8"?>
<formControlPr xmlns="http://schemas.microsoft.com/office/spreadsheetml/2009/9/main" objectType="Button" lockText="1"/>
</file>

<file path=xl/ctrlProps/ctrlProp620.xml><?xml version="1.0" encoding="utf-8"?>
<formControlPr xmlns="http://schemas.microsoft.com/office/spreadsheetml/2009/9/main" objectType="Button" lockText="1"/>
</file>

<file path=xl/ctrlProps/ctrlProp621.xml><?xml version="1.0" encoding="utf-8"?>
<formControlPr xmlns="http://schemas.microsoft.com/office/spreadsheetml/2009/9/main" objectType="Button" lockText="1"/>
</file>

<file path=xl/ctrlProps/ctrlProp622.xml><?xml version="1.0" encoding="utf-8"?>
<formControlPr xmlns="http://schemas.microsoft.com/office/spreadsheetml/2009/9/main" objectType="Button" lockText="1"/>
</file>

<file path=xl/ctrlProps/ctrlProp623.xml><?xml version="1.0" encoding="utf-8"?>
<formControlPr xmlns="http://schemas.microsoft.com/office/spreadsheetml/2009/9/main" objectType="Button" lockText="1"/>
</file>

<file path=xl/ctrlProps/ctrlProp624.xml><?xml version="1.0" encoding="utf-8"?>
<formControlPr xmlns="http://schemas.microsoft.com/office/spreadsheetml/2009/9/main" objectType="Button" lockText="1"/>
</file>

<file path=xl/ctrlProps/ctrlProp625.xml><?xml version="1.0" encoding="utf-8"?>
<formControlPr xmlns="http://schemas.microsoft.com/office/spreadsheetml/2009/9/main" objectType="Button" lockText="1"/>
</file>

<file path=xl/ctrlProps/ctrlProp626.xml><?xml version="1.0" encoding="utf-8"?>
<formControlPr xmlns="http://schemas.microsoft.com/office/spreadsheetml/2009/9/main" objectType="Button" lockText="1"/>
</file>

<file path=xl/ctrlProps/ctrlProp627.xml><?xml version="1.0" encoding="utf-8"?>
<formControlPr xmlns="http://schemas.microsoft.com/office/spreadsheetml/2009/9/main" objectType="Button" lockText="1"/>
</file>

<file path=xl/ctrlProps/ctrlProp628.xml><?xml version="1.0" encoding="utf-8"?>
<formControlPr xmlns="http://schemas.microsoft.com/office/spreadsheetml/2009/9/main" objectType="Button" lockText="1"/>
</file>

<file path=xl/ctrlProps/ctrlProp629.xml><?xml version="1.0" encoding="utf-8"?>
<formControlPr xmlns="http://schemas.microsoft.com/office/spreadsheetml/2009/9/main" objectType="Button" lockText="1"/>
</file>

<file path=xl/ctrlProps/ctrlProp63.xml><?xml version="1.0" encoding="utf-8"?>
<formControlPr xmlns="http://schemas.microsoft.com/office/spreadsheetml/2009/9/main" objectType="Button" lockText="1"/>
</file>

<file path=xl/ctrlProps/ctrlProp630.xml><?xml version="1.0" encoding="utf-8"?>
<formControlPr xmlns="http://schemas.microsoft.com/office/spreadsheetml/2009/9/main" objectType="Button" lockText="1"/>
</file>

<file path=xl/ctrlProps/ctrlProp631.xml><?xml version="1.0" encoding="utf-8"?>
<formControlPr xmlns="http://schemas.microsoft.com/office/spreadsheetml/2009/9/main" objectType="Button" lockText="1"/>
</file>

<file path=xl/ctrlProps/ctrlProp632.xml><?xml version="1.0" encoding="utf-8"?>
<formControlPr xmlns="http://schemas.microsoft.com/office/spreadsheetml/2009/9/main" objectType="Button" lockText="1"/>
</file>

<file path=xl/ctrlProps/ctrlProp633.xml><?xml version="1.0" encoding="utf-8"?>
<formControlPr xmlns="http://schemas.microsoft.com/office/spreadsheetml/2009/9/main" objectType="Button" lockText="1"/>
</file>

<file path=xl/ctrlProps/ctrlProp634.xml><?xml version="1.0" encoding="utf-8"?>
<formControlPr xmlns="http://schemas.microsoft.com/office/spreadsheetml/2009/9/main" objectType="Button" lockText="1"/>
</file>

<file path=xl/ctrlProps/ctrlProp635.xml><?xml version="1.0" encoding="utf-8"?>
<formControlPr xmlns="http://schemas.microsoft.com/office/spreadsheetml/2009/9/main" objectType="Button" lockText="1"/>
</file>

<file path=xl/ctrlProps/ctrlProp636.xml><?xml version="1.0" encoding="utf-8"?>
<formControlPr xmlns="http://schemas.microsoft.com/office/spreadsheetml/2009/9/main" objectType="Button" lockText="1"/>
</file>

<file path=xl/ctrlProps/ctrlProp637.xml><?xml version="1.0" encoding="utf-8"?>
<formControlPr xmlns="http://schemas.microsoft.com/office/spreadsheetml/2009/9/main" objectType="Button" lockText="1"/>
</file>

<file path=xl/ctrlProps/ctrlProp638.xml><?xml version="1.0" encoding="utf-8"?>
<formControlPr xmlns="http://schemas.microsoft.com/office/spreadsheetml/2009/9/main" objectType="Button" lockText="1"/>
</file>

<file path=xl/ctrlProps/ctrlProp639.xml><?xml version="1.0" encoding="utf-8"?>
<formControlPr xmlns="http://schemas.microsoft.com/office/spreadsheetml/2009/9/main" objectType="Button" lockText="1"/>
</file>

<file path=xl/ctrlProps/ctrlProp64.xml><?xml version="1.0" encoding="utf-8"?>
<formControlPr xmlns="http://schemas.microsoft.com/office/spreadsheetml/2009/9/main" objectType="Button" lockText="1"/>
</file>

<file path=xl/ctrlProps/ctrlProp640.xml><?xml version="1.0" encoding="utf-8"?>
<formControlPr xmlns="http://schemas.microsoft.com/office/spreadsheetml/2009/9/main" objectType="Button" lockText="1"/>
</file>

<file path=xl/ctrlProps/ctrlProp641.xml><?xml version="1.0" encoding="utf-8"?>
<formControlPr xmlns="http://schemas.microsoft.com/office/spreadsheetml/2009/9/main" objectType="Button" lockText="1"/>
</file>

<file path=xl/ctrlProps/ctrlProp642.xml><?xml version="1.0" encoding="utf-8"?>
<formControlPr xmlns="http://schemas.microsoft.com/office/spreadsheetml/2009/9/main" objectType="Button" lockText="1"/>
</file>

<file path=xl/ctrlProps/ctrlProp643.xml><?xml version="1.0" encoding="utf-8"?>
<formControlPr xmlns="http://schemas.microsoft.com/office/spreadsheetml/2009/9/main" objectType="Button" lockText="1"/>
</file>

<file path=xl/ctrlProps/ctrlProp644.xml><?xml version="1.0" encoding="utf-8"?>
<formControlPr xmlns="http://schemas.microsoft.com/office/spreadsheetml/2009/9/main" objectType="Button" lockText="1"/>
</file>

<file path=xl/ctrlProps/ctrlProp645.xml><?xml version="1.0" encoding="utf-8"?>
<formControlPr xmlns="http://schemas.microsoft.com/office/spreadsheetml/2009/9/main" objectType="Button" lockText="1"/>
</file>

<file path=xl/ctrlProps/ctrlProp646.xml><?xml version="1.0" encoding="utf-8"?>
<formControlPr xmlns="http://schemas.microsoft.com/office/spreadsheetml/2009/9/main" objectType="Button" lockText="1"/>
</file>

<file path=xl/ctrlProps/ctrlProp647.xml><?xml version="1.0" encoding="utf-8"?>
<formControlPr xmlns="http://schemas.microsoft.com/office/spreadsheetml/2009/9/main" objectType="Button" lockText="1"/>
</file>

<file path=xl/ctrlProps/ctrlProp648.xml><?xml version="1.0" encoding="utf-8"?>
<formControlPr xmlns="http://schemas.microsoft.com/office/spreadsheetml/2009/9/main" objectType="Button" lockText="1"/>
</file>

<file path=xl/ctrlProps/ctrlProp649.xml><?xml version="1.0" encoding="utf-8"?>
<formControlPr xmlns="http://schemas.microsoft.com/office/spreadsheetml/2009/9/main" objectType="Button" lockText="1"/>
</file>

<file path=xl/ctrlProps/ctrlProp65.xml><?xml version="1.0" encoding="utf-8"?>
<formControlPr xmlns="http://schemas.microsoft.com/office/spreadsheetml/2009/9/main" objectType="Button" lockText="1"/>
</file>

<file path=xl/ctrlProps/ctrlProp650.xml><?xml version="1.0" encoding="utf-8"?>
<formControlPr xmlns="http://schemas.microsoft.com/office/spreadsheetml/2009/9/main" objectType="Button" lockText="1"/>
</file>

<file path=xl/ctrlProps/ctrlProp651.xml><?xml version="1.0" encoding="utf-8"?>
<formControlPr xmlns="http://schemas.microsoft.com/office/spreadsheetml/2009/9/main" objectType="Button" lockText="1"/>
</file>

<file path=xl/ctrlProps/ctrlProp652.xml><?xml version="1.0" encoding="utf-8"?>
<formControlPr xmlns="http://schemas.microsoft.com/office/spreadsheetml/2009/9/main" objectType="Button" lockText="1"/>
</file>

<file path=xl/ctrlProps/ctrlProp653.xml><?xml version="1.0" encoding="utf-8"?>
<formControlPr xmlns="http://schemas.microsoft.com/office/spreadsheetml/2009/9/main" objectType="Button" lockText="1"/>
</file>

<file path=xl/ctrlProps/ctrlProp654.xml><?xml version="1.0" encoding="utf-8"?>
<formControlPr xmlns="http://schemas.microsoft.com/office/spreadsheetml/2009/9/main" objectType="Button" lockText="1"/>
</file>

<file path=xl/ctrlProps/ctrlProp655.xml><?xml version="1.0" encoding="utf-8"?>
<formControlPr xmlns="http://schemas.microsoft.com/office/spreadsheetml/2009/9/main" objectType="Button" lockText="1"/>
</file>

<file path=xl/ctrlProps/ctrlProp656.xml><?xml version="1.0" encoding="utf-8"?>
<formControlPr xmlns="http://schemas.microsoft.com/office/spreadsheetml/2009/9/main" objectType="Button" lockText="1"/>
</file>

<file path=xl/ctrlProps/ctrlProp657.xml><?xml version="1.0" encoding="utf-8"?>
<formControlPr xmlns="http://schemas.microsoft.com/office/spreadsheetml/2009/9/main" objectType="Button" lockText="1"/>
</file>

<file path=xl/ctrlProps/ctrlProp658.xml><?xml version="1.0" encoding="utf-8"?>
<formControlPr xmlns="http://schemas.microsoft.com/office/spreadsheetml/2009/9/main" objectType="Button" lockText="1"/>
</file>

<file path=xl/ctrlProps/ctrlProp659.xml><?xml version="1.0" encoding="utf-8"?>
<formControlPr xmlns="http://schemas.microsoft.com/office/spreadsheetml/2009/9/main" objectType="Button" lockText="1"/>
</file>

<file path=xl/ctrlProps/ctrlProp66.xml><?xml version="1.0" encoding="utf-8"?>
<formControlPr xmlns="http://schemas.microsoft.com/office/spreadsheetml/2009/9/main" objectType="Button" lockText="1"/>
</file>

<file path=xl/ctrlProps/ctrlProp660.xml><?xml version="1.0" encoding="utf-8"?>
<formControlPr xmlns="http://schemas.microsoft.com/office/spreadsheetml/2009/9/main" objectType="Button" lockText="1"/>
</file>

<file path=xl/ctrlProps/ctrlProp661.xml><?xml version="1.0" encoding="utf-8"?>
<formControlPr xmlns="http://schemas.microsoft.com/office/spreadsheetml/2009/9/main" objectType="Button" lockText="1"/>
</file>

<file path=xl/ctrlProps/ctrlProp662.xml><?xml version="1.0" encoding="utf-8"?>
<formControlPr xmlns="http://schemas.microsoft.com/office/spreadsheetml/2009/9/main" objectType="Button" lockText="1"/>
</file>

<file path=xl/ctrlProps/ctrlProp663.xml><?xml version="1.0" encoding="utf-8"?>
<formControlPr xmlns="http://schemas.microsoft.com/office/spreadsheetml/2009/9/main" objectType="Button" lockText="1"/>
</file>

<file path=xl/ctrlProps/ctrlProp664.xml><?xml version="1.0" encoding="utf-8"?>
<formControlPr xmlns="http://schemas.microsoft.com/office/spreadsheetml/2009/9/main" objectType="Button" lockText="1"/>
</file>

<file path=xl/ctrlProps/ctrlProp665.xml><?xml version="1.0" encoding="utf-8"?>
<formControlPr xmlns="http://schemas.microsoft.com/office/spreadsheetml/2009/9/main" objectType="Button" lockText="1"/>
</file>

<file path=xl/ctrlProps/ctrlProp666.xml><?xml version="1.0" encoding="utf-8"?>
<formControlPr xmlns="http://schemas.microsoft.com/office/spreadsheetml/2009/9/main" objectType="Button" lockText="1"/>
</file>

<file path=xl/ctrlProps/ctrlProp667.xml><?xml version="1.0" encoding="utf-8"?>
<formControlPr xmlns="http://schemas.microsoft.com/office/spreadsheetml/2009/9/main" objectType="Button" lockText="1"/>
</file>

<file path=xl/ctrlProps/ctrlProp668.xml><?xml version="1.0" encoding="utf-8"?>
<formControlPr xmlns="http://schemas.microsoft.com/office/spreadsheetml/2009/9/main" objectType="Button" lockText="1"/>
</file>

<file path=xl/ctrlProps/ctrlProp669.xml><?xml version="1.0" encoding="utf-8"?>
<formControlPr xmlns="http://schemas.microsoft.com/office/spreadsheetml/2009/9/main" objectType="Button" lockText="1"/>
</file>

<file path=xl/ctrlProps/ctrlProp67.xml><?xml version="1.0" encoding="utf-8"?>
<formControlPr xmlns="http://schemas.microsoft.com/office/spreadsheetml/2009/9/main" objectType="Button" lockText="1"/>
</file>

<file path=xl/ctrlProps/ctrlProp670.xml><?xml version="1.0" encoding="utf-8"?>
<formControlPr xmlns="http://schemas.microsoft.com/office/spreadsheetml/2009/9/main" objectType="Button" lockText="1"/>
</file>

<file path=xl/ctrlProps/ctrlProp671.xml><?xml version="1.0" encoding="utf-8"?>
<formControlPr xmlns="http://schemas.microsoft.com/office/spreadsheetml/2009/9/main" objectType="Button" lockText="1"/>
</file>

<file path=xl/ctrlProps/ctrlProp672.xml><?xml version="1.0" encoding="utf-8"?>
<formControlPr xmlns="http://schemas.microsoft.com/office/spreadsheetml/2009/9/main" objectType="Button" lockText="1"/>
</file>

<file path=xl/ctrlProps/ctrlProp673.xml><?xml version="1.0" encoding="utf-8"?>
<formControlPr xmlns="http://schemas.microsoft.com/office/spreadsheetml/2009/9/main" objectType="Button" lockText="1"/>
</file>

<file path=xl/ctrlProps/ctrlProp674.xml><?xml version="1.0" encoding="utf-8"?>
<formControlPr xmlns="http://schemas.microsoft.com/office/spreadsheetml/2009/9/main" objectType="Button" lockText="1"/>
</file>

<file path=xl/ctrlProps/ctrlProp675.xml><?xml version="1.0" encoding="utf-8"?>
<formControlPr xmlns="http://schemas.microsoft.com/office/spreadsheetml/2009/9/main" objectType="Button" lockText="1"/>
</file>

<file path=xl/ctrlProps/ctrlProp676.xml><?xml version="1.0" encoding="utf-8"?>
<formControlPr xmlns="http://schemas.microsoft.com/office/spreadsheetml/2009/9/main" objectType="Button" lockText="1"/>
</file>

<file path=xl/ctrlProps/ctrlProp677.xml><?xml version="1.0" encoding="utf-8"?>
<formControlPr xmlns="http://schemas.microsoft.com/office/spreadsheetml/2009/9/main" objectType="Button" lockText="1"/>
</file>

<file path=xl/ctrlProps/ctrlProp678.xml><?xml version="1.0" encoding="utf-8"?>
<formControlPr xmlns="http://schemas.microsoft.com/office/spreadsheetml/2009/9/main" objectType="Button" lockText="1"/>
</file>

<file path=xl/ctrlProps/ctrlProp679.xml><?xml version="1.0" encoding="utf-8"?>
<formControlPr xmlns="http://schemas.microsoft.com/office/spreadsheetml/2009/9/main" objectType="Button" lockText="1"/>
</file>

<file path=xl/ctrlProps/ctrlProp68.xml><?xml version="1.0" encoding="utf-8"?>
<formControlPr xmlns="http://schemas.microsoft.com/office/spreadsheetml/2009/9/main" objectType="Button" lockText="1"/>
</file>

<file path=xl/ctrlProps/ctrlProp680.xml><?xml version="1.0" encoding="utf-8"?>
<formControlPr xmlns="http://schemas.microsoft.com/office/spreadsheetml/2009/9/main" objectType="Button" lockText="1"/>
</file>

<file path=xl/ctrlProps/ctrlProp681.xml><?xml version="1.0" encoding="utf-8"?>
<formControlPr xmlns="http://schemas.microsoft.com/office/spreadsheetml/2009/9/main" objectType="Button" lockText="1"/>
</file>

<file path=xl/ctrlProps/ctrlProp682.xml><?xml version="1.0" encoding="utf-8"?>
<formControlPr xmlns="http://schemas.microsoft.com/office/spreadsheetml/2009/9/main" objectType="Button" lockText="1"/>
</file>

<file path=xl/ctrlProps/ctrlProp683.xml><?xml version="1.0" encoding="utf-8"?>
<formControlPr xmlns="http://schemas.microsoft.com/office/spreadsheetml/2009/9/main" objectType="Button" lockText="1"/>
</file>

<file path=xl/ctrlProps/ctrlProp684.xml><?xml version="1.0" encoding="utf-8"?>
<formControlPr xmlns="http://schemas.microsoft.com/office/spreadsheetml/2009/9/main" objectType="Button" lockText="1"/>
</file>

<file path=xl/ctrlProps/ctrlProp685.xml><?xml version="1.0" encoding="utf-8"?>
<formControlPr xmlns="http://schemas.microsoft.com/office/spreadsheetml/2009/9/main" objectType="Button" lockText="1"/>
</file>

<file path=xl/ctrlProps/ctrlProp686.xml><?xml version="1.0" encoding="utf-8"?>
<formControlPr xmlns="http://schemas.microsoft.com/office/spreadsheetml/2009/9/main" objectType="Button" lockText="1"/>
</file>

<file path=xl/ctrlProps/ctrlProp687.xml><?xml version="1.0" encoding="utf-8"?>
<formControlPr xmlns="http://schemas.microsoft.com/office/spreadsheetml/2009/9/main" objectType="Button" lockText="1"/>
</file>

<file path=xl/ctrlProps/ctrlProp688.xml><?xml version="1.0" encoding="utf-8"?>
<formControlPr xmlns="http://schemas.microsoft.com/office/spreadsheetml/2009/9/main" objectType="Button" lockText="1"/>
</file>

<file path=xl/ctrlProps/ctrlProp69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70.xml><?xml version="1.0" encoding="utf-8"?>
<formControlPr xmlns="http://schemas.microsoft.com/office/spreadsheetml/2009/9/main" objectType="Button" lockText="1"/>
</file>

<file path=xl/ctrlProps/ctrlProp71.xml><?xml version="1.0" encoding="utf-8"?>
<formControlPr xmlns="http://schemas.microsoft.com/office/spreadsheetml/2009/9/main" objectType="Button" lockText="1"/>
</file>

<file path=xl/ctrlProps/ctrlProp72.xml><?xml version="1.0" encoding="utf-8"?>
<formControlPr xmlns="http://schemas.microsoft.com/office/spreadsheetml/2009/9/main" objectType="Button" lockText="1"/>
</file>

<file path=xl/ctrlProps/ctrlProp73.xml><?xml version="1.0" encoding="utf-8"?>
<formControlPr xmlns="http://schemas.microsoft.com/office/spreadsheetml/2009/9/main" objectType="Button" lockText="1"/>
</file>

<file path=xl/ctrlProps/ctrlProp74.xml><?xml version="1.0" encoding="utf-8"?>
<formControlPr xmlns="http://schemas.microsoft.com/office/spreadsheetml/2009/9/main" objectType="Button" lockText="1"/>
</file>

<file path=xl/ctrlProps/ctrlProp75.xml><?xml version="1.0" encoding="utf-8"?>
<formControlPr xmlns="http://schemas.microsoft.com/office/spreadsheetml/2009/9/main" objectType="Button" lockText="1"/>
</file>

<file path=xl/ctrlProps/ctrlProp76.xml><?xml version="1.0" encoding="utf-8"?>
<formControlPr xmlns="http://schemas.microsoft.com/office/spreadsheetml/2009/9/main" objectType="Button" lockText="1"/>
</file>

<file path=xl/ctrlProps/ctrlProp77.xml><?xml version="1.0" encoding="utf-8"?>
<formControlPr xmlns="http://schemas.microsoft.com/office/spreadsheetml/2009/9/main" objectType="Button" lockText="1"/>
</file>

<file path=xl/ctrlProps/ctrlProp78.xml><?xml version="1.0" encoding="utf-8"?>
<formControlPr xmlns="http://schemas.microsoft.com/office/spreadsheetml/2009/9/main" objectType="Button" lockText="1"/>
</file>

<file path=xl/ctrlProps/ctrlProp79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80.xml><?xml version="1.0" encoding="utf-8"?>
<formControlPr xmlns="http://schemas.microsoft.com/office/spreadsheetml/2009/9/main" objectType="Button" lockText="1"/>
</file>

<file path=xl/ctrlProps/ctrlProp81.xml><?xml version="1.0" encoding="utf-8"?>
<formControlPr xmlns="http://schemas.microsoft.com/office/spreadsheetml/2009/9/main" objectType="Button" lockText="1"/>
</file>

<file path=xl/ctrlProps/ctrlProp82.xml><?xml version="1.0" encoding="utf-8"?>
<formControlPr xmlns="http://schemas.microsoft.com/office/spreadsheetml/2009/9/main" objectType="Button" lockText="1"/>
</file>

<file path=xl/ctrlProps/ctrlProp83.xml><?xml version="1.0" encoding="utf-8"?>
<formControlPr xmlns="http://schemas.microsoft.com/office/spreadsheetml/2009/9/main" objectType="Button" lockText="1"/>
</file>

<file path=xl/ctrlProps/ctrlProp84.xml><?xml version="1.0" encoding="utf-8"?>
<formControlPr xmlns="http://schemas.microsoft.com/office/spreadsheetml/2009/9/main" objectType="Button" lockText="1"/>
</file>

<file path=xl/ctrlProps/ctrlProp85.xml><?xml version="1.0" encoding="utf-8"?>
<formControlPr xmlns="http://schemas.microsoft.com/office/spreadsheetml/2009/9/main" objectType="Button" lockText="1"/>
</file>

<file path=xl/ctrlProps/ctrlProp86.xml><?xml version="1.0" encoding="utf-8"?>
<formControlPr xmlns="http://schemas.microsoft.com/office/spreadsheetml/2009/9/main" objectType="Button" lockText="1"/>
</file>

<file path=xl/ctrlProps/ctrlProp87.xml><?xml version="1.0" encoding="utf-8"?>
<formControlPr xmlns="http://schemas.microsoft.com/office/spreadsheetml/2009/9/main" objectType="Button" lockText="1"/>
</file>

<file path=xl/ctrlProps/ctrlProp88.xml><?xml version="1.0" encoding="utf-8"?>
<formControlPr xmlns="http://schemas.microsoft.com/office/spreadsheetml/2009/9/main" objectType="Button" lockText="1"/>
</file>

<file path=xl/ctrlProps/ctrlProp89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ctrlProps/ctrlProp90.xml><?xml version="1.0" encoding="utf-8"?>
<formControlPr xmlns="http://schemas.microsoft.com/office/spreadsheetml/2009/9/main" objectType="Button" lockText="1"/>
</file>

<file path=xl/ctrlProps/ctrlProp91.xml><?xml version="1.0" encoding="utf-8"?>
<formControlPr xmlns="http://schemas.microsoft.com/office/spreadsheetml/2009/9/main" objectType="Button" lockText="1"/>
</file>

<file path=xl/ctrlProps/ctrlProp92.xml><?xml version="1.0" encoding="utf-8"?>
<formControlPr xmlns="http://schemas.microsoft.com/office/spreadsheetml/2009/9/main" objectType="Button" lockText="1"/>
</file>

<file path=xl/ctrlProps/ctrlProp93.xml><?xml version="1.0" encoding="utf-8"?>
<formControlPr xmlns="http://schemas.microsoft.com/office/spreadsheetml/2009/9/main" objectType="Button" lockText="1"/>
</file>

<file path=xl/ctrlProps/ctrlProp94.xml><?xml version="1.0" encoding="utf-8"?>
<formControlPr xmlns="http://schemas.microsoft.com/office/spreadsheetml/2009/9/main" objectType="Button" lockText="1"/>
</file>

<file path=xl/ctrlProps/ctrlProp95.xml><?xml version="1.0" encoding="utf-8"?>
<formControlPr xmlns="http://schemas.microsoft.com/office/spreadsheetml/2009/9/main" objectType="Button" lockText="1"/>
</file>

<file path=xl/ctrlProps/ctrlProp96.xml><?xml version="1.0" encoding="utf-8"?>
<formControlPr xmlns="http://schemas.microsoft.com/office/spreadsheetml/2009/9/main" objectType="Button" lockText="1"/>
</file>

<file path=xl/ctrlProps/ctrlProp97.xml><?xml version="1.0" encoding="utf-8"?>
<formControlPr xmlns="http://schemas.microsoft.com/office/spreadsheetml/2009/9/main" objectType="Button" lockText="1"/>
</file>

<file path=xl/ctrlProps/ctrlProp98.xml><?xml version="1.0" encoding="utf-8"?>
<formControlPr xmlns="http://schemas.microsoft.com/office/spreadsheetml/2009/9/main" objectType="Button" lockText="1"/>
</file>

<file path=xl/ctrlProps/ctrlProp99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10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2.xml"/><Relationship Id="rId2" Type="http://schemas.openxmlformats.org/officeDocument/2006/relationships/chart" Target="../charts/chart101.xml"/><Relationship Id="rId1" Type="http://schemas.openxmlformats.org/officeDocument/2006/relationships/chart" Target="../charts/chart100.xml"/></Relationships>
</file>

<file path=xl/drawings/_rels/drawing10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5.xml"/><Relationship Id="rId2" Type="http://schemas.openxmlformats.org/officeDocument/2006/relationships/chart" Target="../charts/chart104.xml"/><Relationship Id="rId1" Type="http://schemas.openxmlformats.org/officeDocument/2006/relationships/chart" Target="../charts/chart103.xml"/></Relationships>
</file>

<file path=xl/drawings/_rels/drawing10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8.xml"/><Relationship Id="rId2" Type="http://schemas.openxmlformats.org/officeDocument/2006/relationships/chart" Target="../charts/chart107.xml"/><Relationship Id="rId1" Type="http://schemas.openxmlformats.org/officeDocument/2006/relationships/chart" Target="../charts/chart106.xml"/></Relationships>
</file>

<file path=xl/drawings/_rels/drawing10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9.xml"/></Relationships>
</file>

<file path=xl/drawings/_rels/drawing1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0.xml"/></Relationships>
</file>

<file path=xl/drawings/_rels/drawing1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1.xml"/></Relationships>
</file>

<file path=xl/drawings/_rels/drawing1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2.xml"/></Relationships>
</file>

<file path=xl/drawings/_rels/drawing1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3.xml"/></Relationships>
</file>

<file path=xl/drawings/_rels/drawing1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4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2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2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2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3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3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6.xml"/><Relationship Id="rId2" Type="http://schemas.openxmlformats.org/officeDocument/2006/relationships/chart" Target="../charts/chart35.xml"/><Relationship Id="rId1" Type="http://schemas.openxmlformats.org/officeDocument/2006/relationships/chart" Target="../charts/chart34.xml"/></Relationships>
</file>

<file path=xl/drawings/_rels/drawing3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2.xml"/><Relationship Id="rId2" Type="http://schemas.openxmlformats.org/officeDocument/2006/relationships/chart" Target="../charts/chart41.xml"/><Relationship Id="rId1" Type="http://schemas.openxmlformats.org/officeDocument/2006/relationships/chart" Target="../charts/chart40.xml"/></Relationships>
</file>

<file path=xl/drawings/_rels/drawing4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5.xml"/><Relationship Id="rId2" Type="http://schemas.openxmlformats.org/officeDocument/2006/relationships/chart" Target="../charts/chart44.xml"/><Relationship Id="rId1" Type="http://schemas.openxmlformats.org/officeDocument/2006/relationships/chart" Target="../charts/chart43.xml"/></Relationships>
</file>

<file path=xl/drawings/_rels/drawing4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8.xml"/><Relationship Id="rId2" Type="http://schemas.openxmlformats.org/officeDocument/2006/relationships/chart" Target="../charts/chart47.xml"/><Relationship Id="rId1" Type="http://schemas.openxmlformats.org/officeDocument/2006/relationships/chart" Target="../charts/chart46.xml"/></Relationships>
</file>

<file path=xl/drawings/_rels/drawing4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1.xml"/><Relationship Id="rId2" Type="http://schemas.openxmlformats.org/officeDocument/2006/relationships/chart" Target="../charts/chart50.xml"/><Relationship Id="rId1" Type="http://schemas.openxmlformats.org/officeDocument/2006/relationships/chart" Target="../charts/chart49.xml"/></Relationships>
</file>

<file path=xl/drawings/_rels/drawing5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4.xml"/><Relationship Id="rId2" Type="http://schemas.openxmlformats.org/officeDocument/2006/relationships/chart" Target="../charts/chart53.xml"/><Relationship Id="rId1" Type="http://schemas.openxmlformats.org/officeDocument/2006/relationships/chart" Target="../charts/chart52.xml"/></Relationships>
</file>

<file path=xl/drawings/_rels/drawing5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7.xml"/><Relationship Id="rId2" Type="http://schemas.openxmlformats.org/officeDocument/2006/relationships/chart" Target="../charts/chart56.xml"/><Relationship Id="rId1" Type="http://schemas.openxmlformats.org/officeDocument/2006/relationships/chart" Target="../charts/chart55.xml"/></Relationships>
</file>

<file path=xl/drawings/_rels/drawing5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0.xml"/><Relationship Id="rId2" Type="http://schemas.openxmlformats.org/officeDocument/2006/relationships/chart" Target="../charts/chart59.xml"/><Relationship Id="rId1" Type="http://schemas.openxmlformats.org/officeDocument/2006/relationships/chart" Target="../charts/chart58.xml"/></Relationships>
</file>

<file path=xl/drawings/_rels/drawing6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3.xml"/><Relationship Id="rId2" Type="http://schemas.openxmlformats.org/officeDocument/2006/relationships/chart" Target="../charts/chart62.xml"/><Relationship Id="rId1" Type="http://schemas.openxmlformats.org/officeDocument/2006/relationships/chart" Target="../charts/chart61.xml"/></Relationships>
</file>

<file path=xl/drawings/_rels/drawing6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6.xml"/><Relationship Id="rId2" Type="http://schemas.openxmlformats.org/officeDocument/2006/relationships/chart" Target="../charts/chart65.xml"/><Relationship Id="rId1" Type="http://schemas.openxmlformats.org/officeDocument/2006/relationships/chart" Target="../charts/chart64.xml"/></Relationships>
</file>

<file path=xl/drawings/_rels/drawing6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9.xml"/><Relationship Id="rId2" Type="http://schemas.openxmlformats.org/officeDocument/2006/relationships/chart" Target="../charts/chart68.xml"/><Relationship Id="rId1" Type="http://schemas.openxmlformats.org/officeDocument/2006/relationships/chart" Target="../charts/chart67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7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2.xml"/><Relationship Id="rId2" Type="http://schemas.openxmlformats.org/officeDocument/2006/relationships/chart" Target="../charts/chart71.xml"/><Relationship Id="rId1" Type="http://schemas.openxmlformats.org/officeDocument/2006/relationships/chart" Target="../charts/chart70.xml"/></Relationships>
</file>

<file path=xl/drawings/_rels/drawing7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5.xml"/><Relationship Id="rId2" Type="http://schemas.openxmlformats.org/officeDocument/2006/relationships/chart" Target="../charts/chart74.xml"/><Relationship Id="rId1" Type="http://schemas.openxmlformats.org/officeDocument/2006/relationships/chart" Target="../charts/chart73.xml"/></Relationships>
</file>

<file path=xl/drawings/_rels/drawing7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8.xml"/><Relationship Id="rId2" Type="http://schemas.openxmlformats.org/officeDocument/2006/relationships/chart" Target="../charts/chart77.xml"/><Relationship Id="rId1" Type="http://schemas.openxmlformats.org/officeDocument/2006/relationships/chart" Target="../charts/chart76.xml"/></Relationships>
</file>

<file path=xl/drawings/_rels/drawing7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1.xml"/><Relationship Id="rId2" Type="http://schemas.openxmlformats.org/officeDocument/2006/relationships/chart" Target="../charts/chart80.xml"/><Relationship Id="rId1" Type="http://schemas.openxmlformats.org/officeDocument/2006/relationships/chart" Target="../charts/chart79.xml"/></Relationships>
</file>

<file path=xl/drawings/_rels/drawing8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4.xml"/><Relationship Id="rId2" Type="http://schemas.openxmlformats.org/officeDocument/2006/relationships/chart" Target="../charts/chart83.xml"/><Relationship Id="rId1" Type="http://schemas.openxmlformats.org/officeDocument/2006/relationships/chart" Target="../charts/chart82.xml"/></Relationships>
</file>

<file path=xl/drawings/_rels/drawing8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7.xml"/><Relationship Id="rId2" Type="http://schemas.openxmlformats.org/officeDocument/2006/relationships/chart" Target="../charts/chart86.xml"/><Relationship Id="rId1" Type="http://schemas.openxmlformats.org/officeDocument/2006/relationships/chart" Target="../charts/chart85.xml"/></Relationships>
</file>

<file path=xl/drawings/_rels/drawing8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0.xml"/><Relationship Id="rId2" Type="http://schemas.openxmlformats.org/officeDocument/2006/relationships/chart" Target="../charts/chart89.xml"/><Relationship Id="rId1" Type="http://schemas.openxmlformats.org/officeDocument/2006/relationships/chart" Target="../charts/chart88.xml"/></Relationships>
</file>

<file path=xl/drawings/_rels/drawing9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3.xml"/><Relationship Id="rId2" Type="http://schemas.openxmlformats.org/officeDocument/2006/relationships/chart" Target="../charts/chart92.xml"/><Relationship Id="rId1" Type="http://schemas.openxmlformats.org/officeDocument/2006/relationships/chart" Target="../charts/chart91.xml"/></Relationships>
</file>

<file path=xl/drawings/_rels/drawing9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6.xml"/><Relationship Id="rId2" Type="http://schemas.openxmlformats.org/officeDocument/2006/relationships/chart" Target="../charts/chart95.xml"/><Relationship Id="rId1" Type="http://schemas.openxmlformats.org/officeDocument/2006/relationships/chart" Target="../charts/chart94.xml"/></Relationships>
</file>

<file path=xl/drawings/_rels/drawing9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9.xml"/><Relationship Id="rId2" Type="http://schemas.openxmlformats.org/officeDocument/2006/relationships/chart" Target="../charts/chart98.xml"/><Relationship Id="rId1" Type="http://schemas.openxmlformats.org/officeDocument/2006/relationships/chart" Target="../charts/chart9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0</xdr:colOff>
      <xdr:row>11</xdr:row>
      <xdr:rowOff>19050</xdr:rowOff>
    </xdr:from>
    <xdr:to>
      <xdr:col>36</xdr:col>
      <xdr:colOff>0</xdr:colOff>
      <xdr:row>35</xdr:row>
      <xdr:rowOff>0</xdr:rowOff>
    </xdr:to>
    <xdr:graphicFrame macro="">
      <xdr:nvGraphicFramePr>
        <xdr:cNvPr id="1075" name="Chart 5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36</xdr:col>
      <xdr:colOff>0</xdr:colOff>
      <xdr:row>27</xdr:row>
      <xdr:rowOff>66675</xdr:rowOff>
    </xdr:from>
    <xdr:to>
      <xdr:col>36</xdr:col>
      <xdr:colOff>0</xdr:colOff>
      <xdr:row>40</xdr:row>
      <xdr:rowOff>57150</xdr:rowOff>
    </xdr:to>
    <xdr:graphicFrame macro="">
      <xdr:nvGraphicFramePr>
        <xdr:cNvPr id="1077" name="Chart 5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  <xdr:twoCellAnchor>
    <xdr:from>
      <xdr:col>36</xdr:col>
      <xdr:colOff>0</xdr:colOff>
      <xdr:row>41</xdr:row>
      <xdr:rowOff>0</xdr:rowOff>
    </xdr:from>
    <xdr:to>
      <xdr:col>36</xdr:col>
      <xdr:colOff>0</xdr:colOff>
      <xdr:row>46</xdr:row>
      <xdr:rowOff>142875</xdr:rowOff>
    </xdr:to>
    <xdr:graphicFrame macro="">
      <xdr:nvGraphicFramePr>
        <xdr:cNvPr id="1081" name="Chart 5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0</xdr:colOff>
      <xdr:row>11</xdr:row>
      <xdr:rowOff>19050</xdr:rowOff>
    </xdr:from>
    <xdr:to>
      <xdr:col>36</xdr:col>
      <xdr:colOff>0</xdr:colOff>
      <xdr:row>35</xdr:row>
      <xdr:rowOff>0</xdr:rowOff>
    </xdr:to>
    <xdr:graphicFrame macro="">
      <xdr:nvGraphicFramePr>
        <xdr:cNvPr id="37909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36</xdr:col>
      <xdr:colOff>0</xdr:colOff>
      <xdr:row>27</xdr:row>
      <xdr:rowOff>66675</xdr:rowOff>
    </xdr:from>
    <xdr:to>
      <xdr:col>36</xdr:col>
      <xdr:colOff>0</xdr:colOff>
      <xdr:row>40</xdr:row>
      <xdr:rowOff>57150</xdr:rowOff>
    </xdr:to>
    <xdr:graphicFrame macro="">
      <xdr:nvGraphicFramePr>
        <xdr:cNvPr id="37910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  <xdr:twoCellAnchor>
    <xdr:from>
      <xdr:col>36</xdr:col>
      <xdr:colOff>0</xdr:colOff>
      <xdr:row>41</xdr:row>
      <xdr:rowOff>0</xdr:rowOff>
    </xdr:from>
    <xdr:to>
      <xdr:col>36</xdr:col>
      <xdr:colOff>0</xdr:colOff>
      <xdr:row>46</xdr:row>
      <xdr:rowOff>142875</xdr:rowOff>
    </xdr:to>
    <xdr:graphicFrame macro="">
      <xdr:nvGraphicFramePr>
        <xdr:cNvPr id="37911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9525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37889" name="Button 1" hidden="1">
              <a:extLst>
                <a:ext uri="{63B3BB69-23CF-44E3-9099-C40C66FF867C}">
                  <a14:compatExt spid="_x0000_s378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Tammi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37890" name="Button 2" hidden="1">
              <a:extLst>
                <a:ext uri="{63B3BB69-23CF-44E3-9099-C40C66FF867C}">
                  <a14:compatExt spid="_x0000_s378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Tammi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37891" name="Button 3" hidden="1">
              <a:extLst>
                <a:ext uri="{63B3BB69-23CF-44E3-9099-C40C66FF867C}">
                  <a14:compatExt spid="_x0000_s378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Maalis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37892" name="Button 4" hidden="1">
              <a:extLst>
                <a:ext uri="{63B3BB69-23CF-44E3-9099-C40C66FF867C}">
                  <a14:compatExt spid="_x0000_s378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Huhti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37893" name="Button 5" hidden="1">
              <a:extLst>
                <a:ext uri="{63B3BB69-23CF-44E3-9099-C40C66FF867C}">
                  <a14:compatExt spid="_x0000_s378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Touko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37894" name="Button 6" hidden="1">
              <a:extLst>
                <a:ext uri="{63B3BB69-23CF-44E3-9099-C40C66FF867C}">
                  <a14:compatExt spid="_x0000_s378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Kesä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9525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37895" name="Button 7" hidden="1">
              <a:extLst>
                <a:ext uri="{63B3BB69-23CF-44E3-9099-C40C66FF867C}">
                  <a14:compatExt spid="_x0000_s378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Helmi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37896" name="Button 8" hidden="1">
              <a:extLst>
                <a:ext uri="{63B3BB69-23CF-44E3-9099-C40C66FF867C}">
                  <a14:compatExt spid="_x0000_s378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Heinä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37897" name="Button 9" hidden="1">
              <a:extLst>
                <a:ext uri="{63B3BB69-23CF-44E3-9099-C40C66FF867C}">
                  <a14:compatExt spid="_x0000_s378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Syys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37898" name="Button 10" hidden="1">
              <a:extLst>
                <a:ext uri="{63B3BB69-23CF-44E3-9099-C40C66FF867C}">
                  <a14:compatExt spid="_x0000_s378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Loka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37899" name="Button 11" hidden="1">
              <a:extLst>
                <a:ext uri="{63B3BB69-23CF-44E3-9099-C40C66FF867C}">
                  <a14:compatExt spid="_x0000_s378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Marras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37900" name="Button 12" hidden="1">
              <a:extLst>
                <a:ext uri="{63B3BB69-23CF-44E3-9099-C40C66FF867C}">
                  <a14:compatExt spid="_x0000_s379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Joulu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0</xdr:rowOff>
        </xdr:from>
        <xdr:to>
          <xdr:col>35</xdr:col>
          <xdr:colOff>0</xdr:colOff>
          <xdr:row>6</xdr:row>
          <xdr:rowOff>0</xdr:rowOff>
        </xdr:to>
        <xdr:sp macro="" textlink="">
          <xdr:nvSpPr>
            <xdr:cNvPr id="37901" name="Button 13" hidden="1">
              <a:extLst>
                <a:ext uri="{63B3BB69-23CF-44E3-9099-C40C66FF867C}">
                  <a14:compatExt spid="_x0000_s379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Elo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5</xdr:row>
          <xdr:rowOff>123825</xdr:rowOff>
        </xdr:to>
        <xdr:sp macro="" textlink="">
          <xdr:nvSpPr>
            <xdr:cNvPr id="37902" name="Button 14" hidden="1">
              <a:extLst>
                <a:ext uri="{63B3BB69-23CF-44E3-9099-C40C66FF867C}">
                  <a14:compatExt spid="_x0000_s379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Taulukko-yhteenveto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142875</xdr:rowOff>
        </xdr:from>
        <xdr:to>
          <xdr:col>35</xdr:col>
          <xdr:colOff>0</xdr:colOff>
          <xdr:row>12</xdr:row>
          <xdr:rowOff>19050</xdr:rowOff>
        </xdr:to>
        <xdr:sp macro="" textlink="">
          <xdr:nvSpPr>
            <xdr:cNvPr id="37903" name="Button 15" hidden="1">
              <a:extLst>
                <a:ext uri="{63B3BB69-23CF-44E3-9099-C40C66FF867C}">
                  <a14:compatExt spid="_x0000_s379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Yhteen-sä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152400</xdr:rowOff>
        </xdr:from>
        <xdr:to>
          <xdr:col>35</xdr:col>
          <xdr:colOff>0</xdr:colOff>
          <xdr:row>12</xdr:row>
          <xdr:rowOff>0</xdr:rowOff>
        </xdr:to>
        <xdr:sp macro="" textlink="">
          <xdr:nvSpPr>
            <xdr:cNvPr id="37904" name="Button 16" hidden="1">
              <a:extLst>
                <a:ext uri="{63B3BB69-23CF-44E3-9099-C40C66FF867C}">
                  <a14:compatExt spid="_x0000_s379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Vertailu edellis-vuoteen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142875</xdr:rowOff>
        </xdr:from>
        <xdr:to>
          <xdr:col>35</xdr:col>
          <xdr:colOff>0</xdr:colOff>
          <xdr:row>12</xdr:row>
          <xdr:rowOff>0</xdr:rowOff>
        </xdr:to>
        <xdr:sp macro="" textlink="">
          <xdr:nvSpPr>
            <xdr:cNvPr id="37905" name="Button 17" hidden="1">
              <a:extLst>
                <a:ext uri="{63B3BB69-23CF-44E3-9099-C40C66FF867C}">
                  <a14:compatExt spid="_x0000_s379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Käynnit tulosuun-nittain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152400</xdr:rowOff>
        </xdr:from>
        <xdr:to>
          <xdr:col>35</xdr:col>
          <xdr:colOff>0</xdr:colOff>
          <xdr:row>12</xdr:row>
          <xdr:rowOff>19050</xdr:rowOff>
        </xdr:to>
        <xdr:sp macro="" textlink="">
          <xdr:nvSpPr>
            <xdr:cNvPr id="37906" name="Button 18" hidden="1">
              <a:extLst>
                <a:ext uri="{63B3BB69-23CF-44E3-9099-C40C66FF867C}">
                  <a14:compatExt spid="_x0000_s379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Aikuiset lapset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152400</xdr:rowOff>
        </xdr:from>
        <xdr:to>
          <xdr:col>35</xdr:col>
          <xdr:colOff>0</xdr:colOff>
          <xdr:row>12</xdr:row>
          <xdr:rowOff>28575</xdr:rowOff>
        </xdr:to>
        <xdr:sp macro="" textlink="">
          <xdr:nvSpPr>
            <xdr:cNvPr id="37907" name="Button 19" hidden="1">
              <a:extLst>
                <a:ext uri="{63B3BB69-23CF-44E3-9099-C40C66FF867C}">
                  <a14:compatExt spid="_x0000_s379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Maksimi  minimi keskim.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12</xdr:row>
          <xdr:rowOff>19050</xdr:rowOff>
        </xdr:to>
        <xdr:sp macro="" textlink="">
          <xdr:nvSpPr>
            <xdr:cNvPr id="37908" name="Button 20" hidden="1">
              <a:extLst>
                <a:ext uri="{63B3BB69-23CF-44E3-9099-C40C66FF867C}">
                  <a14:compatExt spid="_x0000_s379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PALUU PÄÄ-   IKKUNAAN</a:t>
              </a:r>
            </a:p>
          </xdr:txBody>
        </xdr:sp>
        <xdr:clientData fPrintsWithSheet="0"/>
      </xdr:twoCellAnchor>
    </mc:Choice>
    <mc:Fallback/>
  </mc:AlternateContent>
</xdr:wsDr>
</file>

<file path=xl/drawings/drawing100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0</xdr:colOff>
      <xdr:row>11</xdr:row>
      <xdr:rowOff>19050</xdr:rowOff>
    </xdr:from>
    <xdr:to>
      <xdr:col>36</xdr:col>
      <xdr:colOff>0</xdr:colOff>
      <xdr:row>35</xdr:row>
      <xdr:rowOff>0</xdr:rowOff>
    </xdr:to>
    <xdr:graphicFrame macro="">
      <xdr:nvGraphicFramePr>
        <xdr:cNvPr id="117781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36</xdr:col>
      <xdr:colOff>0</xdr:colOff>
      <xdr:row>27</xdr:row>
      <xdr:rowOff>66675</xdr:rowOff>
    </xdr:from>
    <xdr:to>
      <xdr:col>36</xdr:col>
      <xdr:colOff>0</xdr:colOff>
      <xdr:row>40</xdr:row>
      <xdr:rowOff>57150</xdr:rowOff>
    </xdr:to>
    <xdr:graphicFrame macro="">
      <xdr:nvGraphicFramePr>
        <xdr:cNvPr id="117782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  <xdr:twoCellAnchor>
    <xdr:from>
      <xdr:col>36</xdr:col>
      <xdr:colOff>0</xdr:colOff>
      <xdr:row>41</xdr:row>
      <xdr:rowOff>0</xdr:rowOff>
    </xdr:from>
    <xdr:to>
      <xdr:col>36</xdr:col>
      <xdr:colOff>0</xdr:colOff>
      <xdr:row>46</xdr:row>
      <xdr:rowOff>142875</xdr:rowOff>
    </xdr:to>
    <xdr:graphicFrame macro="">
      <xdr:nvGraphicFramePr>
        <xdr:cNvPr id="117783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9525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117761" name="Button 1" hidden="1">
              <a:extLst>
                <a:ext uri="{63B3BB69-23CF-44E3-9099-C40C66FF867C}">
                  <a14:compatExt spid="_x0000_s1177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Tammi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117762" name="Button 2" hidden="1">
              <a:extLst>
                <a:ext uri="{63B3BB69-23CF-44E3-9099-C40C66FF867C}">
                  <a14:compatExt spid="_x0000_s1177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Tammi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117763" name="Button 3" hidden="1">
              <a:extLst>
                <a:ext uri="{63B3BB69-23CF-44E3-9099-C40C66FF867C}">
                  <a14:compatExt spid="_x0000_s1177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Maalis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117764" name="Button 4" hidden="1">
              <a:extLst>
                <a:ext uri="{63B3BB69-23CF-44E3-9099-C40C66FF867C}">
                  <a14:compatExt spid="_x0000_s1177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Huhti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117765" name="Button 5" hidden="1">
              <a:extLst>
                <a:ext uri="{63B3BB69-23CF-44E3-9099-C40C66FF867C}">
                  <a14:compatExt spid="_x0000_s1177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Touko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117766" name="Button 6" hidden="1">
              <a:extLst>
                <a:ext uri="{63B3BB69-23CF-44E3-9099-C40C66FF867C}">
                  <a14:compatExt spid="_x0000_s1177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Kesä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9525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117767" name="Button 7" hidden="1">
              <a:extLst>
                <a:ext uri="{63B3BB69-23CF-44E3-9099-C40C66FF867C}">
                  <a14:compatExt spid="_x0000_s1177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Helmi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117768" name="Button 8" hidden="1">
              <a:extLst>
                <a:ext uri="{63B3BB69-23CF-44E3-9099-C40C66FF867C}">
                  <a14:compatExt spid="_x0000_s1177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Heinä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117769" name="Button 9" hidden="1">
              <a:extLst>
                <a:ext uri="{63B3BB69-23CF-44E3-9099-C40C66FF867C}">
                  <a14:compatExt spid="_x0000_s1177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Syys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117770" name="Button 10" hidden="1">
              <a:extLst>
                <a:ext uri="{63B3BB69-23CF-44E3-9099-C40C66FF867C}">
                  <a14:compatExt spid="_x0000_s1177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Loka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117771" name="Button 11" hidden="1">
              <a:extLst>
                <a:ext uri="{63B3BB69-23CF-44E3-9099-C40C66FF867C}">
                  <a14:compatExt spid="_x0000_s1177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Marras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117772" name="Button 12" hidden="1">
              <a:extLst>
                <a:ext uri="{63B3BB69-23CF-44E3-9099-C40C66FF867C}">
                  <a14:compatExt spid="_x0000_s1177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Joulu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0</xdr:rowOff>
        </xdr:from>
        <xdr:to>
          <xdr:col>35</xdr:col>
          <xdr:colOff>0</xdr:colOff>
          <xdr:row>6</xdr:row>
          <xdr:rowOff>0</xdr:rowOff>
        </xdr:to>
        <xdr:sp macro="" textlink="">
          <xdr:nvSpPr>
            <xdr:cNvPr id="117773" name="Button 13" hidden="1">
              <a:extLst>
                <a:ext uri="{63B3BB69-23CF-44E3-9099-C40C66FF867C}">
                  <a14:compatExt spid="_x0000_s1177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Elo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5</xdr:row>
          <xdr:rowOff>123825</xdr:rowOff>
        </xdr:to>
        <xdr:sp macro="" textlink="">
          <xdr:nvSpPr>
            <xdr:cNvPr id="117774" name="Button 14" hidden="1">
              <a:extLst>
                <a:ext uri="{63B3BB69-23CF-44E3-9099-C40C66FF867C}">
                  <a14:compatExt spid="_x0000_s1177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Taulukko-yhteenveto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142875</xdr:rowOff>
        </xdr:from>
        <xdr:to>
          <xdr:col>35</xdr:col>
          <xdr:colOff>0</xdr:colOff>
          <xdr:row>12</xdr:row>
          <xdr:rowOff>19050</xdr:rowOff>
        </xdr:to>
        <xdr:sp macro="" textlink="">
          <xdr:nvSpPr>
            <xdr:cNvPr id="117775" name="Button 15" hidden="1">
              <a:extLst>
                <a:ext uri="{63B3BB69-23CF-44E3-9099-C40C66FF867C}">
                  <a14:compatExt spid="_x0000_s1177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Yhteen-sä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152400</xdr:rowOff>
        </xdr:from>
        <xdr:to>
          <xdr:col>35</xdr:col>
          <xdr:colOff>0</xdr:colOff>
          <xdr:row>12</xdr:row>
          <xdr:rowOff>0</xdr:rowOff>
        </xdr:to>
        <xdr:sp macro="" textlink="">
          <xdr:nvSpPr>
            <xdr:cNvPr id="117776" name="Button 16" hidden="1">
              <a:extLst>
                <a:ext uri="{63B3BB69-23CF-44E3-9099-C40C66FF867C}">
                  <a14:compatExt spid="_x0000_s1177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Vertailu edellis-vuoteen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142875</xdr:rowOff>
        </xdr:from>
        <xdr:to>
          <xdr:col>35</xdr:col>
          <xdr:colOff>0</xdr:colOff>
          <xdr:row>12</xdr:row>
          <xdr:rowOff>0</xdr:rowOff>
        </xdr:to>
        <xdr:sp macro="" textlink="">
          <xdr:nvSpPr>
            <xdr:cNvPr id="117777" name="Button 17" hidden="1">
              <a:extLst>
                <a:ext uri="{63B3BB69-23CF-44E3-9099-C40C66FF867C}">
                  <a14:compatExt spid="_x0000_s1177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Käynnit tulosuun-nittain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152400</xdr:rowOff>
        </xdr:from>
        <xdr:to>
          <xdr:col>35</xdr:col>
          <xdr:colOff>0</xdr:colOff>
          <xdr:row>12</xdr:row>
          <xdr:rowOff>19050</xdr:rowOff>
        </xdr:to>
        <xdr:sp macro="" textlink="">
          <xdr:nvSpPr>
            <xdr:cNvPr id="117778" name="Button 18" hidden="1">
              <a:extLst>
                <a:ext uri="{63B3BB69-23CF-44E3-9099-C40C66FF867C}">
                  <a14:compatExt spid="_x0000_s1177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Aikuiset lapset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152400</xdr:rowOff>
        </xdr:from>
        <xdr:to>
          <xdr:col>35</xdr:col>
          <xdr:colOff>0</xdr:colOff>
          <xdr:row>12</xdr:row>
          <xdr:rowOff>28575</xdr:rowOff>
        </xdr:to>
        <xdr:sp macro="" textlink="">
          <xdr:nvSpPr>
            <xdr:cNvPr id="117779" name="Button 19" hidden="1">
              <a:extLst>
                <a:ext uri="{63B3BB69-23CF-44E3-9099-C40C66FF867C}">
                  <a14:compatExt spid="_x0000_s1177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Maksimi  minimi keskim.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12</xdr:row>
          <xdr:rowOff>19050</xdr:rowOff>
        </xdr:to>
        <xdr:sp macro="" textlink="">
          <xdr:nvSpPr>
            <xdr:cNvPr id="117780" name="Button 20" hidden="1">
              <a:extLst>
                <a:ext uri="{63B3BB69-23CF-44E3-9099-C40C66FF867C}">
                  <a14:compatExt spid="_x0000_s1177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PALUU PÄÄ-   IKKUNAAN</a:t>
              </a:r>
            </a:p>
          </xdr:txBody>
        </xdr:sp>
        <xdr:clientData fPrintsWithSheet="0"/>
      </xdr:twoCellAnchor>
    </mc:Choice>
    <mc:Fallback/>
  </mc:AlternateContent>
</xdr:wsDr>
</file>

<file path=xl/drawings/drawing101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0.04831</cdr:y>
    </cdr:to>
    <cdr:sp macro="" textlink="">
      <cdr:nvSpPr>
        <cdr:cNvPr id="118785" name="Teksti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91837" y="-34068"/>
          <a:ext cx="1666913" cy="19095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27432" bIns="18288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800" b="0" i="0" u="none" strike="noStrike" baseline="0">
              <a:solidFill>
                <a:srgbClr val="000000"/>
              </a:solidFill>
              <a:latin typeface="MS Sans Serif"/>
            </a:rPr>
            <a:t>KORKEASAAREN ELÄINTARHA</a:t>
          </a:r>
        </a:p>
      </cdr:txBody>
    </cdr:sp>
  </cdr:relSizeAnchor>
  <cdr:relSizeAnchor xmlns:cdr="http://schemas.openxmlformats.org/drawingml/2006/chartDrawing">
    <cdr:from>
      <cdr:x>0.4069</cdr:x>
      <cdr:y>0.27823</cdr:y>
    </cdr:from>
    <cdr:to>
      <cdr:x>0.9988</cdr:x>
      <cdr:y>0.32775</cdr:y>
    </cdr:to>
    <cdr:sp macro="" textlink="">
      <cdr:nvSpPr>
        <cdr:cNvPr id="118786" name="Teksti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01603" y="1102967"/>
          <a:ext cx="434118" cy="1957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wrap="none" lIns="18288" tIns="18288" rIns="18288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800" b="0" i="0" u="none" strike="noStrike" baseline="0">
              <a:solidFill>
                <a:srgbClr val="000000"/>
              </a:solidFill>
              <a:latin typeface="MS Sans Serif"/>
            </a:rPr>
            <a:t>KÄYNNIT TULOSUUNNITTAIN</a:t>
          </a:r>
        </a:p>
      </cdr:txBody>
    </cdr:sp>
  </cdr:relSizeAnchor>
  <cdr:relSizeAnchor xmlns:cdr="http://schemas.openxmlformats.org/drawingml/2006/chartDrawing">
    <cdr:from>
      <cdr:x>0.37666</cdr:x>
      <cdr:y>0</cdr:y>
    </cdr:from>
    <cdr:to>
      <cdr:x>0.51958</cdr:x>
      <cdr:y>0.06758</cdr:y>
    </cdr:to>
    <cdr:sp macro="" textlink="Yht10!$A$1">
      <cdr:nvSpPr>
        <cdr:cNvPr id="118787" name="Teksti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79426" y="-60107"/>
          <a:ext cx="104820" cy="26714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fld id="{C834DBA7-7D0C-4C3E-BF1D-560302A8E096}" type="TxLink">
            <a:rPr lang="fi-FI"/>
            <a:pPr/>
            <a:t> </a:t>
          </a:fld>
          <a:endParaRPr lang="fi-FI"/>
        </a:p>
      </cdr:txBody>
    </cdr:sp>
  </cdr:relSizeAnchor>
</c:userShapes>
</file>

<file path=xl/drawings/drawing102.xml><?xml version="1.0" encoding="utf-8"?>
<c:userShapes xmlns:c="http://schemas.openxmlformats.org/drawingml/2006/chart">
  <cdr:relSizeAnchor xmlns:cdr="http://schemas.openxmlformats.org/drawingml/2006/chartDrawing">
    <cdr:from>
      <cdr:x>0.19589</cdr:x>
      <cdr:y>0</cdr:y>
    </cdr:from>
    <cdr:to>
      <cdr:x>0.2246</cdr:x>
      <cdr:y>0.07485</cdr:y>
    </cdr:to>
    <cdr:sp macro="" textlink="">
      <cdr:nvSpPr>
        <cdr:cNvPr id="119809" name="Teksti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46845" y="-2035"/>
          <a:ext cx="21060" cy="19106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wrap="none" lIns="18288" tIns="18288" rIns="18288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600" b="0" i="0" u="none" strike="noStrike" baseline="0">
              <a:solidFill>
                <a:srgbClr val="000000"/>
              </a:solidFill>
              <a:latin typeface="MS Sans Serif"/>
            </a:rPr>
            <a:t>KORKEASAAREN ELÄINTARHA</a:t>
          </a:r>
        </a:p>
      </cdr:txBody>
    </cdr:sp>
  </cdr:relSizeAnchor>
  <cdr:relSizeAnchor xmlns:cdr="http://schemas.openxmlformats.org/drawingml/2006/chartDrawing">
    <cdr:from>
      <cdr:x>0.2953</cdr:x>
      <cdr:y>0.11011</cdr:y>
    </cdr:from>
    <cdr:to>
      <cdr:x>0.43822</cdr:x>
      <cdr:y>0.21456</cdr:y>
    </cdr:to>
    <cdr:sp macro="" textlink="Yht10!$A$1">
      <cdr:nvSpPr>
        <cdr:cNvPr id="119810" name="Teksti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19757" y="284258"/>
          <a:ext cx="104820" cy="26663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fld id="{07BA4DD3-7CDB-4BDB-96A1-3EE47123FB38}" type="TxLink">
            <a:rPr lang="fi-FI"/>
            <a:pPr/>
            <a:t> </a:t>
          </a:fld>
          <a:endParaRPr lang="fi-FI"/>
        </a:p>
      </cdr:txBody>
    </cdr:sp>
  </cdr:relSizeAnchor>
  <cdr:relSizeAnchor xmlns:cdr="http://schemas.openxmlformats.org/drawingml/2006/chartDrawing">
    <cdr:from>
      <cdr:x>0.26833</cdr:x>
      <cdr:y>0</cdr:y>
    </cdr:from>
    <cdr:to>
      <cdr:x>0.6675</cdr:x>
      <cdr:y>0.06955</cdr:y>
    </cdr:to>
    <cdr:sp macro="" textlink="">
      <cdr:nvSpPr>
        <cdr:cNvPr id="119811" name="Teksti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99973" y="-13094"/>
          <a:ext cx="292763" cy="17755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wrap="none" lIns="9144" tIns="18288" rIns="9144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500" b="0" i="0" u="none" strike="noStrike" baseline="0">
              <a:solidFill>
                <a:srgbClr val="000000"/>
              </a:solidFill>
              <a:latin typeface="Small Fonts"/>
            </a:rPr>
            <a:t>KUUKAUDEN PÄIVITTÄISET MAKSIMI-, MINIMI- JA KESKIMÄÄRÄISET KÄVIJÄMÄÄRÄT</a:t>
          </a:r>
        </a:p>
      </cdr:txBody>
    </cdr:sp>
  </cdr:relSizeAnchor>
</c:userShapes>
</file>

<file path=xl/drawings/drawing103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0</xdr:colOff>
      <xdr:row>11</xdr:row>
      <xdr:rowOff>19050</xdr:rowOff>
    </xdr:from>
    <xdr:to>
      <xdr:col>36</xdr:col>
      <xdr:colOff>0</xdr:colOff>
      <xdr:row>35</xdr:row>
      <xdr:rowOff>0</xdr:rowOff>
    </xdr:to>
    <xdr:graphicFrame macro="">
      <xdr:nvGraphicFramePr>
        <xdr:cNvPr id="120853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36</xdr:col>
      <xdr:colOff>0</xdr:colOff>
      <xdr:row>27</xdr:row>
      <xdr:rowOff>66675</xdr:rowOff>
    </xdr:from>
    <xdr:to>
      <xdr:col>36</xdr:col>
      <xdr:colOff>0</xdr:colOff>
      <xdr:row>40</xdr:row>
      <xdr:rowOff>57150</xdr:rowOff>
    </xdr:to>
    <xdr:graphicFrame macro="">
      <xdr:nvGraphicFramePr>
        <xdr:cNvPr id="120854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  <xdr:twoCellAnchor>
    <xdr:from>
      <xdr:col>36</xdr:col>
      <xdr:colOff>0</xdr:colOff>
      <xdr:row>41</xdr:row>
      <xdr:rowOff>0</xdr:rowOff>
    </xdr:from>
    <xdr:to>
      <xdr:col>36</xdr:col>
      <xdr:colOff>0</xdr:colOff>
      <xdr:row>46</xdr:row>
      <xdr:rowOff>142875</xdr:rowOff>
    </xdr:to>
    <xdr:graphicFrame macro="">
      <xdr:nvGraphicFramePr>
        <xdr:cNvPr id="12085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9525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120833" name="Button 1" hidden="1">
              <a:extLst>
                <a:ext uri="{63B3BB69-23CF-44E3-9099-C40C66FF867C}">
                  <a14:compatExt spid="_x0000_s1208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Tammi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120834" name="Button 2" hidden="1">
              <a:extLst>
                <a:ext uri="{63B3BB69-23CF-44E3-9099-C40C66FF867C}">
                  <a14:compatExt spid="_x0000_s1208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Tammi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120835" name="Button 3" hidden="1">
              <a:extLst>
                <a:ext uri="{63B3BB69-23CF-44E3-9099-C40C66FF867C}">
                  <a14:compatExt spid="_x0000_s1208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Maalis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120836" name="Button 4" hidden="1">
              <a:extLst>
                <a:ext uri="{63B3BB69-23CF-44E3-9099-C40C66FF867C}">
                  <a14:compatExt spid="_x0000_s1208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Huhti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120837" name="Button 5" hidden="1">
              <a:extLst>
                <a:ext uri="{63B3BB69-23CF-44E3-9099-C40C66FF867C}">
                  <a14:compatExt spid="_x0000_s1208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Touko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120838" name="Button 6" hidden="1">
              <a:extLst>
                <a:ext uri="{63B3BB69-23CF-44E3-9099-C40C66FF867C}">
                  <a14:compatExt spid="_x0000_s1208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Kesä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120840" name="Button 8" hidden="1">
              <a:extLst>
                <a:ext uri="{63B3BB69-23CF-44E3-9099-C40C66FF867C}">
                  <a14:compatExt spid="_x0000_s1208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Heinä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120841" name="Button 9" hidden="1">
              <a:extLst>
                <a:ext uri="{63B3BB69-23CF-44E3-9099-C40C66FF867C}">
                  <a14:compatExt spid="_x0000_s1208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Syys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120842" name="Button 10" hidden="1">
              <a:extLst>
                <a:ext uri="{63B3BB69-23CF-44E3-9099-C40C66FF867C}">
                  <a14:compatExt spid="_x0000_s1208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Loka</a:t>
              </a:r>
            </a:p>
          </xdr:txBody>
        </xdr:sp>
        <xdr:clientData fPrintsWithSheet="0"/>
      </xdr:twoCellAnchor>
    </mc:Choice>
    <mc:Fallback/>
  </mc:AlternateContent>
</xdr:wsDr>
</file>

<file path=xl/drawings/drawing10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0.04831</cdr:y>
    </cdr:to>
    <cdr:sp macro="" textlink="">
      <cdr:nvSpPr>
        <cdr:cNvPr id="121857" name="Teksti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91837" y="-33103"/>
          <a:ext cx="1666913" cy="19095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27432" bIns="18288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800" b="0" i="0" u="none" strike="noStrike" baseline="0">
              <a:solidFill>
                <a:srgbClr val="000000"/>
              </a:solidFill>
              <a:latin typeface="MS Sans Serif"/>
            </a:rPr>
            <a:t>KORKEASAAREN ELÄINTARHA</a:t>
          </a:r>
        </a:p>
      </cdr:txBody>
    </cdr:sp>
  </cdr:relSizeAnchor>
  <cdr:relSizeAnchor xmlns:cdr="http://schemas.openxmlformats.org/drawingml/2006/chartDrawing">
    <cdr:from>
      <cdr:x>0.4069</cdr:x>
      <cdr:y>0.27823</cdr:y>
    </cdr:from>
    <cdr:to>
      <cdr:x>0.9988</cdr:x>
      <cdr:y>0.32775</cdr:y>
    </cdr:to>
    <cdr:sp macro="" textlink="">
      <cdr:nvSpPr>
        <cdr:cNvPr id="121858" name="Teksti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01603" y="1102967"/>
          <a:ext cx="434118" cy="1957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wrap="none" lIns="18288" tIns="18288" rIns="18288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800" b="0" i="0" u="none" strike="noStrike" baseline="0">
              <a:solidFill>
                <a:srgbClr val="000000"/>
              </a:solidFill>
              <a:latin typeface="MS Sans Serif"/>
            </a:rPr>
            <a:t>KÄYNNIT TULOSUUNNITTAIN</a:t>
          </a:r>
        </a:p>
      </cdr:txBody>
    </cdr:sp>
  </cdr:relSizeAnchor>
  <cdr:relSizeAnchor xmlns:cdr="http://schemas.openxmlformats.org/drawingml/2006/chartDrawing">
    <cdr:from>
      <cdr:x>0.37666</cdr:x>
      <cdr:y>0</cdr:y>
    </cdr:from>
    <cdr:to>
      <cdr:x>0.51958</cdr:x>
      <cdr:y>0.06758</cdr:y>
    </cdr:to>
    <cdr:sp macro="" textlink="Yht11!$A$1">
      <cdr:nvSpPr>
        <cdr:cNvPr id="121859" name="Teksti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79426" y="-63000"/>
          <a:ext cx="104820" cy="26714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fld id="{E9FB365E-B6C2-4FD3-9500-67995CFD4F9F}" type="TxLink">
            <a:rPr lang="fi-FI"/>
            <a:pPr/>
            <a:t> </a:t>
          </a:fld>
          <a:endParaRPr lang="fi-FI"/>
        </a:p>
      </cdr:txBody>
    </cdr:sp>
  </cdr:relSizeAnchor>
</c:userShapes>
</file>

<file path=xl/drawings/drawing105.xml><?xml version="1.0" encoding="utf-8"?>
<c:userShapes xmlns:c="http://schemas.openxmlformats.org/drawingml/2006/chart">
  <cdr:relSizeAnchor xmlns:cdr="http://schemas.openxmlformats.org/drawingml/2006/chartDrawing">
    <cdr:from>
      <cdr:x>0.19589</cdr:x>
      <cdr:y>0</cdr:y>
    </cdr:from>
    <cdr:to>
      <cdr:x>0.2246</cdr:x>
      <cdr:y>0.07485</cdr:y>
    </cdr:to>
    <cdr:sp macro="" textlink="">
      <cdr:nvSpPr>
        <cdr:cNvPr id="122881" name="Teksti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46845" y="-2035"/>
          <a:ext cx="21060" cy="19106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wrap="none" lIns="18288" tIns="18288" rIns="18288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600" b="0" i="0" u="none" strike="noStrike" baseline="0">
              <a:solidFill>
                <a:srgbClr val="000000"/>
              </a:solidFill>
              <a:latin typeface="MS Sans Serif"/>
            </a:rPr>
            <a:t>KORKEASAAREN ELÄINTARHA</a:t>
          </a:r>
        </a:p>
      </cdr:txBody>
    </cdr:sp>
  </cdr:relSizeAnchor>
  <cdr:relSizeAnchor xmlns:cdr="http://schemas.openxmlformats.org/drawingml/2006/chartDrawing">
    <cdr:from>
      <cdr:x>0.2953</cdr:x>
      <cdr:y>0.11011</cdr:y>
    </cdr:from>
    <cdr:to>
      <cdr:x>0.43822</cdr:x>
      <cdr:y>0.21456</cdr:y>
    </cdr:to>
    <cdr:sp macro="" textlink="Yht11!$A$1">
      <cdr:nvSpPr>
        <cdr:cNvPr id="122882" name="Teksti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19757" y="284258"/>
          <a:ext cx="104820" cy="26663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fld id="{46BA9569-3A80-431D-9AB4-0B3EDBBE79C7}" type="TxLink">
            <a:rPr lang="fi-FI"/>
            <a:pPr/>
            <a:t> </a:t>
          </a:fld>
          <a:endParaRPr lang="fi-FI"/>
        </a:p>
      </cdr:txBody>
    </cdr:sp>
  </cdr:relSizeAnchor>
  <cdr:relSizeAnchor xmlns:cdr="http://schemas.openxmlformats.org/drawingml/2006/chartDrawing">
    <cdr:from>
      <cdr:x>0.26833</cdr:x>
      <cdr:y>0</cdr:y>
    </cdr:from>
    <cdr:to>
      <cdr:x>0.6675</cdr:x>
      <cdr:y>0.06859</cdr:y>
    </cdr:to>
    <cdr:sp macro="" textlink="">
      <cdr:nvSpPr>
        <cdr:cNvPr id="122883" name="Teksti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99973" y="-10636"/>
          <a:ext cx="292763" cy="17509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wrap="none" lIns="9144" tIns="18288" rIns="9144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500" b="0" i="0" u="none" strike="noStrike" baseline="0">
              <a:solidFill>
                <a:srgbClr val="000000"/>
              </a:solidFill>
              <a:latin typeface="Small Fonts"/>
            </a:rPr>
            <a:t>KUUKAUDEN PÄIVITTÄISET MAKSIMI-, MINIMI- JA KESKIMÄÄRÄISET KÄVIJÄMÄÄRÄT</a:t>
          </a:r>
        </a:p>
      </cdr:txBody>
    </cdr:sp>
  </cdr:relSizeAnchor>
</c:userShapes>
</file>

<file path=xl/drawings/drawing106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0</xdr:colOff>
      <xdr:row>11</xdr:row>
      <xdr:rowOff>19050</xdr:rowOff>
    </xdr:from>
    <xdr:to>
      <xdr:col>36</xdr:col>
      <xdr:colOff>0</xdr:colOff>
      <xdr:row>35</xdr:row>
      <xdr:rowOff>0</xdr:rowOff>
    </xdr:to>
    <xdr:graphicFrame macro="">
      <xdr:nvGraphicFramePr>
        <xdr:cNvPr id="123925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36</xdr:col>
      <xdr:colOff>0</xdr:colOff>
      <xdr:row>27</xdr:row>
      <xdr:rowOff>66675</xdr:rowOff>
    </xdr:from>
    <xdr:to>
      <xdr:col>36</xdr:col>
      <xdr:colOff>0</xdr:colOff>
      <xdr:row>40</xdr:row>
      <xdr:rowOff>57150</xdr:rowOff>
    </xdr:to>
    <xdr:graphicFrame macro="">
      <xdr:nvGraphicFramePr>
        <xdr:cNvPr id="123926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  <xdr:twoCellAnchor>
    <xdr:from>
      <xdr:col>36</xdr:col>
      <xdr:colOff>0</xdr:colOff>
      <xdr:row>41</xdr:row>
      <xdr:rowOff>0</xdr:rowOff>
    </xdr:from>
    <xdr:to>
      <xdr:col>36</xdr:col>
      <xdr:colOff>0</xdr:colOff>
      <xdr:row>46</xdr:row>
      <xdr:rowOff>142875</xdr:rowOff>
    </xdr:to>
    <xdr:graphicFrame macro="">
      <xdr:nvGraphicFramePr>
        <xdr:cNvPr id="123927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9525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123905" name="Button 1" hidden="1">
              <a:extLst>
                <a:ext uri="{63B3BB69-23CF-44E3-9099-C40C66FF867C}">
                  <a14:compatExt spid="_x0000_s1239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Tammi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123906" name="Button 2" hidden="1">
              <a:extLst>
                <a:ext uri="{63B3BB69-23CF-44E3-9099-C40C66FF867C}">
                  <a14:compatExt spid="_x0000_s1239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Tammi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123907" name="Button 3" hidden="1">
              <a:extLst>
                <a:ext uri="{63B3BB69-23CF-44E3-9099-C40C66FF867C}">
                  <a14:compatExt spid="_x0000_s1239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Maalis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123908" name="Button 4" hidden="1">
              <a:extLst>
                <a:ext uri="{63B3BB69-23CF-44E3-9099-C40C66FF867C}">
                  <a14:compatExt spid="_x0000_s1239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Huhti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123909" name="Button 5" hidden="1">
              <a:extLst>
                <a:ext uri="{63B3BB69-23CF-44E3-9099-C40C66FF867C}">
                  <a14:compatExt spid="_x0000_s1239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Touko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123910" name="Button 6" hidden="1">
              <a:extLst>
                <a:ext uri="{63B3BB69-23CF-44E3-9099-C40C66FF867C}">
                  <a14:compatExt spid="_x0000_s1239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Kesä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9525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123911" name="Button 7" hidden="1">
              <a:extLst>
                <a:ext uri="{63B3BB69-23CF-44E3-9099-C40C66FF867C}">
                  <a14:compatExt spid="_x0000_s1239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Helmi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123912" name="Button 8" hidden="1">
              <a:extLst>
                <a:ext uri="{63B3BB69-23CF-44E3-9099-C40C66FF867C}">
                  <a14:compatExt spid="_x0000_s1239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Heinä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123913" name="Button 9" hidden="1">
              <a:extLst>
                <a:ext uri="{63B3BB69-23CF-44E3-9099-C40C66FF867C}">
                  <a14:compatExt spid="_x0000_s1239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Syys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123914" name="Button 10" hidden="1">
              <a:extLst>
                <a:ext uri="{63B3BB69-23CF-44E3-9099-C40C66FF867C}">
                  <a14:compatExt spid="_x0000_s1239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Loka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123915" name="Button 11" hidden="1">
              <a:extLst>
                <a:ext uri="{63B3BB69-23CF-44E3-9099-C40C66FF867C}">
                  <a14:compatExt spid="_x0000_s1239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Marras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123916" name="Button 12" hidden="1">
              <a:extLst>
                <a:ext uri="{63B3BB69-23CF-44E3-9099-C40C66FF867C}">
                  <a14:compatExt spid="_x0000_s1239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Joulu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0</xdr:rowOff>
        </xdr:from>
        <xdr:to>
          <xdr:col>35</xdr:col>
          <xdr:colOff>0</xdr:colOff>
          <xdr:row>6</xdr:row>
          <xdr:rowOff>0</xdr:rowOff>
        </xdr:to>
        <xdr:sp macro="" textlink="">
          <xdr:nvSpPr>
            <xdr:cNvPr id="123917" name="Button 13" hidden="1">
              <a:extLst>
                <a:ext uri="{63B3BB69-23CF-44E3-9099-C40C66FF867C}">
                  <a14:compatExt spid="_x0000_s1239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Elo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5</xdr:row>
          <xdr:rowOff>123825</xdr:rowOff>
        </xdr:to>
        <xdr:sp macro="" textlink="">
          <xdr:nvSpPr>
            <xdr:cNvPr id="123918" name="Button 14" hidden="1">
              <a:extLst>
                <a:ext uri="{63B3BB69-23CF-44E3-9099-C40C66FF867C}">
                  <a14:compatExt spid="_x0000_s1239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Taulukko-yhteenveto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142875</xdr:rowOff>
        </xdr:from>
        <xdr:to>
          <xdr:col>35</xdr:col>
          <xdr:colOff>0</xdr:colOff>
          <xdr:row>12</xdr:row>
          <xdr:rowOff>19050</xdr:rowOff>
        </xdr:to>
        <xdr:sp macro="" textlink="">
          <xdr:nvSpPr>
            <xdr:cNvPr id="123919" name="Button 15" hidden="1">
              <a:extLst>
                <a:ext uri="{63B3BB69-23CF-44E3-9099-C40C66FF867C}">
                  <a14:compatExt spid="_x0000_s1239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Yhteen-sä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152400</xdr:rowOff>
        </xdr:from>
        <xdr:to>
          <xdr:col>35</xdr:col>
          <xdr:colOff>0</xdr:colOff>
          <xdr:row>12</xdr:row>
          <xdr:rowOff>0</xdr:rowOff>
        </xdr:to>
        <xdr:sp macro="" textlink="">
          <xdr:nvSpPr>
            <xdr:cNvPr id="123920" name="Button 16" hidden="1">
              <a:extLst>
                <a:ext uri="{63B3BB69-23CF-44E3-9099-C40C66FF867C}">
                  <a14:compatExt spid="_x0000_s1239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Vertailu edellis-vuoteen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142875</xdr:rowOff>
        </xdr:from>
        <xdr:to>
          <xdr:col>35</xdr:col>
          <xdr:colOff>0</xdr:colOff>
          <xdr:row>12</xdr:row>
          <xdr:rowOff>0</xdr:rowOff>
        </xdr:to>
        <xdr:sp macro="" textlink="">
          <xdr:nvSpPr>
            <xdr:cNvPr id="123921" name="Button 17" hidden="1">
              <a:extLst>
                <a:ext uri="{63B3BB69-23CF-44E3-9099-C40C66FF867C}">
                  <a14:compatExt spid="_x0000_s1239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Käynnit tulosuun-nittain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152400</xdr:rowOff>
        </xdr:from>
        <xdr:to>
          <xdr:col>35</xdr:col>
          <xdr:colOff>0</xdr:colOff>
          <xdr:row>12</xdr:row>
          <xdr:rowOff>19050</xdr:rowOff>
        </xdr:to>
        <xdr:sp macro="" textlink="">
          <xdr:nvSpPr>
            <xdr:cNvPr id="123922" name="Button 18" hidden="1">
              <a:extLst>
                <a:ext uri="{63B3BB69-23CF-44E3-9099-C40C66FF867C}">
                  <a14:compatExt spid="_x0000_s1239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Aikuiset lapset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152400</xdr:rowOff>
        </xdr:from>
        <xdr:to>
          <xdr:col>35</xdr:col>
          <xdr:colOff>0</xdr:colOff>
          <xdr:row>12</xdr:row>
          <xdr:rowOff>28575</xdr:rowOff>
        </xdr:to>
        <xdr:sp macro="" textlink="">
          <xdr:nvSpPr>
            <xdr:cNvPr id="123923" name="Button 19" hidden="1">
              <a:extLst>
                <a:ext uri="{63B3BB69-23CF-44E3-9099-C40C66FF867C}">
                  <a14:compatExt spid="_x0000_s1239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Maksimi  minimi keskim.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12</xdr:row>
          <xdr:rowOff>19050</xdr:rowOff>
        </xdr:to>
        <xdr:sp macro="" textlink="">
          <xdr:nvSpPr>
            <xdr:cNvPr id="123924" name="Button 20" hidden="1">
              <a:extLst>
                <a:ext uri="{63B3BB69-23CF-44E3-9099-C40C66FF867C}">
                  <a14:compatExt spid="_x0000_s1239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PALUU PÄÄ-   IKKUNAAN</a:t>
              </a:r>
            </a:p>
          </xdr:txBody>
        </xdr:sp>
        <xdr:clientData fPrintsWithSheet="0"/>
      </xdr:twoCellAnchor>
    </mc:Choice>
    <mc:Fallback/>
  </mc:AlternateContent>
</xdr:wsDr>
</file>

<file path=xl/drawings/drawing107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0.04831</cdr:y>
    </cdr:to>
    <cdr:sp macro="" textlink="">
      <cdr:nvSpPr>
        <cdr:cNvPr id="124929" name="Teksti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91837" y="-34068"/>
          <a:ext cx="1666913" cy="19095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27432" bIns="18288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800" b="0" i="0" u="none" strike="noStrike" baseline="0">
              <a:solidFill>
                <a:srgbClr val="000000"/>
              </a:solidFill>
              <a:latin typeface="MS Sans Serif"/>
            </a:rPr>
            <a:t>KORKEASAAREN ELÄINTARHA</a:t>
          </a:r>
        </a:p>
      </cdr:txBody>
    </cdr:sp>
  </cdr:relSizeAnchor>
  <cdr:relSizeAnchor xmlns:cdr="http://schemas.openxmlformats.org/drawingml/2006/chartDrawing">
    <cdr:from>
      <cdr:x>0.4069</cdr:x>
      <cdr:y>0.27823</cdr:y>
    </cdr:from>
    <cdr:to>
      <cdr:x>0.9988</cdr:x>
      <cdr:y>0.32775</cdr:y>
    </cdr:to>
    <cdr:sp macro="" textlink="">
      <cdr:nvSpPr>
        <cdr:cNvPr id="124930" name="Teksti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01603" y="1102967"/>
          <a:ext cx="434118" cy="1957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wrap="none" lIns="18288" tIns="18288" rIns="18288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800" b="0" i="0" u="none" strike="noStrike" baseline="0">
              <a:solidFill>
                <a:srgbClr val="000000"/>
              </a:solidFill>
              <a:latin typeface="MS Sans Serif"/>
            </a:rPr>
            <a:t>KÄYNNIT TULOSUUNNITTAIN</a:t>
          </a:r>
        </a:p>
      </cdr:txBody>
    </cdr:sp>
  </cdr:relSizeAnchor>
  <cdr:relSizeAnchor xmlns:cdr="http://schemas.openxmlformats.org/drawingml/2006/chartDrawing">
    <cdr:from>
      <cdr:x>0.37666</cdr:x>
      <cdr:y>0</cdr:y>
    </cdr:from>
    <cdr:to>
      <cdr:x>0.51958</cdr:x>
      <cdr:y>0.06758</cdr:y>
    </cdr:to>
    <cdr:sp macro="" textlink="Yht12!$A$1">
      <cdr:nvSpPr>
        <cdr:cNvPr id="124931" name="Teksti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79426" y="-60107"/>
          <a:ext cx="104820" cy="26714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fld id="{F27C24AE-A0AB-4AE4-AE47-A13743E0B7AB}" type="TxLink">
            <a:rPr lang="fi-FI"/>
            <a:pPr/>
            <a:t> </a:t>
          </a:fld>
          <a:endParaRPr lang="fi-FI"/>
        </a:p>
      </cdr:txBody>
    </cdr:sp>
  </cdr:relSizeAnchor>
</c:userShapes>
</file>

<file path=xl/drawings/drawing108.xml><?xml version="1.0" encoding="utf-8"?>
<c:userShapes xmlns:c="http://schemas.openxmlformats.org/drawingml/2006/chart">
  <cdr:relSizeAnchor xmlns:cdr="http://schemas.openxmlformats.org/drawingml/2006/chartDrawing">
    <cdr:from>
      <cdr:x>0.19589</cdr:x>
      <cdr:y>0</cdr:y>
    </cdr:from>
    <cdr:to>
      <cdr:x>0.2246</cdr:x>
      <cdr:y>0.07485</cdr:y>
    </cdr:to>
    <cdr:sp macro="" textlink="">
      <cdr:nvSpPr>
        <cdr:cNvPr id="125953" name="Teksti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46845" y="-2035"/>
          <a:ext cx="21060" cy="19106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wrap="none" lIns="18288" tIns="18288" rIns="18288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600" b="0" i="0" u="none" strike="noStrike" baseline="0">
              <a:solidFill>
                <a:srgbClr val="000000"/>
              </a:solidFill>
              <a:latin typeface="MS Sans Serif"/>
            </a:rPr>
            <a:t>KORKEASAAREN ELÄINTARHA</a:t>
          </a:r>
        </a:p>
      </cdr:txBody>
    </cdr:sp>
  </cdr:relSizeAnchor>
  <cdr:relSizeAnchor xmlns:cdr="http://schemas.openxmlformats.org/drawingml/2006/chartDrawing">
    <cdr:from>
      <cdr:x>0.2953</cdr:x>
      <cdr:y>0.11011</cdr:y>
    </cdr:from>
    <cdr:to>
      <cdr:x>0.43822</cdr:x>
      <cdr:y>0.21456</cdr:y>
    </cdr:to>
    <cdr:sp macro="" textlink="Yht12!$A$1">
      <cdr:nvSpPr>
        <cdr:cNvPr id="125954" name="Teksti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19757" y="284258"/>
          <a:ext cx="104820" cy="26663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fld id="{5E7C0525-4323-494D-B74A-E0CB5D9E182A}" type="TxLink">
            <a:rPr lang="fi-FI"/>
            <a:pPr/>
            <a:t> </a:t>
          </a:fld>
          <a:endParaRPr lang="fi-FI"/>
        </a:p>
      </cdr:txBody>
    </cdr:sp>
  </cdr:relSizeAnchor>
  <cdr:relSizeAnchor xmlns:cdr="http://schemas.openxmlformats.org/drawingml/2006/chartDrawing">
    <cdr:from>
      <cdr:x>0.26833</cdr:x>
      <cdr:y>0</cdr:y>
    </cdr:from>
    <cdr:to>
      <cdr:x>0.6675</cdr:x>
      <cdr:y>0.06955</cdr:y>
    </cdr:to>
    <cdr:sp macro="" textlink="">
      <cdr:nvSpPr>
        <cdr:cNvPr id="125955" name="Teksti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99973" y="-13094"/>
          <a:ext cx="292763" cy="17755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wrap="none" lIns="9144" tIns="18288" rIns="9144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500" b="0" i="0" u="none" strike="noStrike" baseline="0">
              <a:solidFill>
                <a:srgbClr val="000000"/>
              </a:solidFill>
              <a:latin typeface="Small Fonts"/>
            </a:rPr>
            <a:t>KUUKAUDEN PÄIVITTÄISET MAKSIMI-, MINIMI- JA KESKIMÄÄRÄISET KÄVIJÄMÄÄRÄT</a:t>
          </a:r>
        </a:p>
      </cdr:txBody>
    </cdr:sp>
  </cdr:relSizeAnchor>
</c:userShapes>
</file>

<file path=xl/drawings/drawing10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38100</xdr:rowOff>
    </xdr:from>
    <xdr:to>
      <xdr:col>13</xdr:col>
      <xdr:colOff>304800</xdr:colOff>
      <xdr:row>35</xdr:row>
      <xdr:rowOff>123825</xdr:rowOff>
    </xdr:to>
    <xdr:graphicFrame macro="">
      <xdr:nvGraphicFramePr>
        <xdr:cNvPr id="12697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0.04831</cdr:y>
    </cdr:to>
    <cdr:sp macro="" textlink="">
      <cdr:nvSpPr>
        <cdr:cNvPr id="38913" name="Teksti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91837" y="-33103"/>
          <a:ext cx="1666913" cy="19095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27432" bIns="18288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800" b="0" i="0" u="none" strike="noStrike" baseline="0">
              <a:solidFill>
                <a:srgbClr val="000000"/>
              </a:solidFill>
              <a:latin typeface="MS Sans Serif"/>
            </a:rPr>
            <a:t>KORKEASAAREN ELÄINTARHA</a:t>
          </a:r>
        </a:p>
      </cdr:txBody>
    </cdr:sp>
  </cdr:relSizeAnchor>
  <cdr:relSizeAnchor xmlns:cdr="http://schemas.openxmlformats.org/drawingml/2006/chartDrawing">
    <cdr:from>
      <cdr:x>0.4069</cdr:x>
      <cdr:y>0.27823</cdr:y>
    </cdr:from>
    <cdr:to>
      <cdr:x>0.9988</cdr:x>
      <cdr:y>0.32775</cdr:y>
    </cdr:to>
    <cdr:sp macro="" textlink="">
      <cdr:nvSpPr>
        <cdr:cNvPr id="38914" name="Teksti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01603" y="1102967"/>
          <a:ext cx="434118" cy="1957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wrap="none" lIns="18288" tIns="18288" rIns="18288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800" b="0" i="0" u="none" strike="noStrike" baseline="0">
              <a:solidFill>
                <a:srgbClr val="000000"/>
              </a:solidFill>
              <a:latin typeface="MS Sans Serif"/>
            </a:rPr>
            <a:t>KÄYNNIT TULOSUUNNITTAIN</a:t>
          </a:r>
        </a:p>
      </cdr:txBody>
    </cdr:sp>
  </cdr:relSizeAnchor>
  <cdr:relSizeAnchor xmlns:cdr="http://schemas.openxmlformats.org/drawingml/2006/chartDrawing">
    <cdr:from>
      <cdr:x>0.37666</cdr:x>
      <cdr:y>0</cdr:y>
    </cdr:from>
    <cdr:to>
      <cdr:x>0.51958</cdr:x>
      <cdr:y>0.06758</cdr:y>
    </cdr:to>
    <cdr:sp macro="" textlink="'N4'!$A$1">
      <cdr:nvSpPr>
        <cdr:cNvPr id="38915" name="Teksti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79426" y="-50463"/>
          <a:ext cx="104820" cy="26714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fld id="{22151C83-29E9-453F-A93D-66C8B0ED5E3B}" type="TxLink">
            <a:rPr lang="fi-FI"/>
            <a:pPr/>
            <a:t> </a:t>
          </a:fld>
          <a:endParaRPr lang="fi-FI"/>
        </a:p>
      </cdr:txBody>
    </cdr:sp>
  </cdr:relSizeAnchor>
</c:userShapes>
</file>

<file path=xl/drawings/drawing1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19050</xdr:rowOff>
    </xdr:from>
    <xdr:to>
      <xdr:col>13</xdr:col>
      <xdr:colOff>266700</xdr:colOff>
      <xdr:row>34</xdr:row>
      <xdr:rowOff>38100</xdr:rowOff>
    </xdr:to>
    <xdr:graphicFrame macro="">
      <xdr:nvGraphicFramePr>
        <xdr:cNvPr id="129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9525</xdr:rowOff>
    </xdr:from>
    <xdr:to>
      <xdr:col>13</xdr:col>
      <xdr:colOff>285750</xdr:colOff>
      <xdr:row>36</xdr:row>
      <xdr:rowOff>28575</xdr:rowOff>
    </xdr:to>
    <xdr:graphicFrame macro="">
      <xdr:nvGraphicFramePr>
        <xdr:cNvPr id="130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0</xdr:row>
      <xdr:rowOff>57150</xdr:rowOff>
    </xdr:from>
    <xdr:to>
      <xdr:col>13</xdr:col>
      <xdr:colOff>276225</xdr:colOff>
      <xdr:row>36</xdr:row>
      <xdr:rowOff>123825</xdr:rowOff>
    </xdr:to>
    <xdr:graphicFrame macro="">
      <xdr:nvGraphicFramePr>
        <xdr:cNvPr id="131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28575</xdr:rowOff>
    </xdr:from>
    <xdr:to>
      <xdr:col>17</xdr:col>
      <xdr:colOff>142875</xdr:colOff>
      <xdr:row>30</xdr:row>
      <xdr:rowOff>19050</xdr:rowOff>
    </xdr:to>
    <xdr:graphicFrame macro="">
      <xdr:nvGraphicFramePr>
        <xdr:cNvPr id="13209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0</xdr:row>
      <xdr:rowOff>95250</xdr:rowOff>
    </xdr:from>
    <xdr:to>
      <xdr:col>15</xdr:col>
      <xdr:colOff>619125</xdr:colOff>
      <xdr:row>38</xdr:row>
      <xdr:rowOff>85725</xdr:rowOff>
    </xdr:to>
    <xdr:graphicFrame macro="">
      <xdr:nvGraphicFramePr>
        <xdr:cNvPr id="13312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5.xml><?xml version="1.0" encoding="utf-8"?>
<c:userShapes xmlns:c="http://schemas.openxmlformats.org/drawingml/2006/chart">
  <cdr:relSizeAnchor xmlns:cdr="http://schemas.openxmlformats.org/drawingml/2006/chartDrawing">
    <cdr:from>
      <cdr:x>0.49926</cdr:x>
      <cdr:y>0.50173</cdr:y>
    </cdr:from>
    <cdr:to>
      <cdr:x>0.51215</cdr:x>
      <cdr:y>0.55926</cdr:y>
    </cdr:to>
    <cdr:sp macro="" textlink="">
      <cdr:nvSpPr>
        <cdr:cNvPr id="134145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009261" y="3878914"/>
          <a:ext cx="155153" cy="44442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54864" tIns="45720" rIns="54864" bIns="4572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2600" b="0" i="0" u="none" strike="noStrike" baseline="0">
              <a:solidFill>
                <a:srgbClr val="000000"/>
              </a:solidFill>
              <a:latin typeface="Arial"/>
              <a:cs typeface="Arial"/>
            </a:rPr>
            <a:t>    </a:t>
          </a:r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0.19719</cdr:x>
      <cdr:y>0</cdr:y>
    </cdr:from>
    <cdr:to>
      <cdr:x>0.22895</cdr:x>
      <cdr:y>0.07485</cdr:y>
    </cdr:to>
    <cdr:sp macro="" textlink="">
      <cdr:nvSpPr>
        <cdr:cNvPr id="39937" name="Teksti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47803" y="-2035"/>
          <a:ext cx="23293" cy="19106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wrap="none" lIns="18288" tIns="18288" rIns="18288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600" b="0" i="0" u="none" strike="noStrike" baseline="0">
              <a:solidFill>
                <a:srgbClr val="000000"/>
              </a:solidFill>
              <a:latin typeface="MS Sans Serif"/>
            </a:rPr>
            <a:t>KORKEASAAREN ELÄINTARHA</a:t>
          </a:r>
        </a:p>
      </cdr:txBody>
    </cdr:sp>
  </cdr:relSizeAnchor>
  <cdr:relSizeAnchor xmlns:cdr="http://schemas.openxmlformats.org/drawingml/2006/chartDrawing">
    <cdr:from>
      <cdr:x>0.30879</cdr:x>
      <cdr:y>0.10024</cdr:y>
    </cdr:from>
    <cdr:to>
      <cdr:x>0.45171</cdr:x>
      <cdr:y>0.2047</cdr:y>
    </cdr:to>
    <cdr:sp macro="" textlink="'N4'!$A$1">
      <cdr:nvSpPr>
        <cdr:cNvPr id="39938" name="Teksti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29649" y="259069"/>
          <a:ext cx="104820" cy="26663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fld id="{E5B68CAC-78ED-41A4-B861-B7637E048BA8}" type="TxLink">
            <a:rPr lang="fi-FI"/>
            <a:pPr/>
            <a:t> </a:t>
          </a:fld>
          <a:endParaRPr lang="fi-FI"/>
        </a:p>
      </cdr:txBody>
    </cdr:sp>
  </cdr:relSizeAnchor>
  <cdr:relSizeAnchor xmlns:cdr="http://schemas.openxmlformats.org/drawingml/2006/chartDrawing">
    <cdr:from>
      <cdr:x>0.27746</cdr:x>
      <cdr:y>0</cdr:y>
    </cdr:from>
    <cdr:to>
      <cdr:x>0.67316</cdr:x>
      <cdr:y>0.06883</cdr:y>
    </cdr:to>
    <cdr:sp macro="" textlink="">
      <cdr:nvSpPr>
        <cdr:cNvPr id="39939" name="Teksti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06674" y="-11251"/>
          <a:ext cx="290210" cy="17570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wrap="none" lIns="9144" tIns="18288" rIns="9144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500" b="0" i="0" u="none" strike="noStrike" baseline="0">
              <a:solidFill>
                <a:srgbClr val="000000"/>
              </a:solidFill>
              <a:latin typeface="Small Fonts"/>
            </a:rPr>
            <a:t>KUUKAUDEN PÄIVITTÄISET MAKSIMI-, MINIMI- JA KESKIMÄÄRÄISET KÄVIJÄMÄÄRÄT</a:t>
          </a:r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0</xdr:colOff>
      <xdr:row>11</xdr:row>
      <xdr:rowOff>19050</xdr:rowOff>
    </xdr:from>
    <xdr:to>
      <xdr:col>36</xdr:col>
      <xdr:colOff>0</xdr:colOff>
      <xdr:row>35</xdr:row>
      <xdr:rowOff>0</xdr:rowOff>
    </xdr:to>
    <xdr:graphicFrame macro="">
      <xdr:nvGraphicFramePr>
        <xdr:cNvPr id="40981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36</xdr:col>
      <xdr:colOff>0</xdr:colOff>
      <xdr:row>27</xdr:row>
      <xdr:rowOff>66675</xdr:rowOff>
    </xdr:from>
    <xdr:to>
      <xdr:col>36</xdr:col>
      <xdr:colOff>0</xdr:colOff>
      <xdr:row>40</xdr:row>
      <xdr:rowOff>57150</xdr:rowOff>
    </xdr:to>
    <xdr:graphicFrame macro="">
      <xdr:nvGraphicFramePr>
        <xdr:cNvPr id="40982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  <xdr:twoCellAnchor>
    <xdr:from>
      <xdr:col>36</xdr:col>
      <xdr:colOff>0</xdr:colOff>
      <xdr:row>41</xdr:row>
      <xdr:rowOff>0</xdr:rowOff>
    </xdr:from>
    <xdr:to>
      <xdr:col>36</xdr:col>
      <xdr:colOff>0</xdr:colOff>
      <xdr:row>46</xdr:row>
      <xdr:rowOff>142875</xdr:rowOff>
    </xdr:to>
    <xdr:graphicFrame macro="">
      <xdr:nvGraphicFramePr>
        <xdr:cNvPr id="40983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9525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40961" name="Button 1" hidden="1">
              <a:extLst>
                <a:ext uri="{63B3BB69-23CF-44E3-9099-C40C66FF867C}">
                  <a14:compatExt spid="_x0000_s409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Tammi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40962" name="Button 2" hidden="1">
              <a:extLst>
                <a:ext uri="{63B3BB69-23CF-44E3-9099-C40C66FF867C}">
                  <a14:compatExt spid="_x0000_s409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Tammi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40963" name="Button 3" hidden="1">
              <a:extLst>
                <a:ext uri="{63B3BB69-23CF-44E3-9099-C40C66FF867C}">
                  <a14:compatExt spid="_x0000_s409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Maalis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40964" name="Button 4" hidden="1">
              <a:extLst>
                <a:ext uri="{63B3BB69-23CF-44E3-9099-C40C66FF867C}">
                  <a14:compatExt spid="_x0000_s409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Huhti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40965" name="Button 5" hidden="1">
              <a:extLst>
                <a:ext uri="{63B3BB69-23CF-44E3-9099-C40C66FF867C}">
                  <a14:compatExt spid="_x0000_s409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Touko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40966" name="Button 6" hidden="1">
              <a:extLst>
                <a:ext uri="{63B3BB69-23CF-44E3-9099-C40C66FF867C}">
                  <a14:compatExt spid="_x0000_s409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Kesä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9525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40967" name="Button 7" hidden="1">
              <a:extLst>
                <a:ext uri="{63B3BB69-23CF-44E3-9099-C40C66FF867C}">
                  <a14:compatExt spid="_x0000_s409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Helmi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40968" name="Button 8" hidden="1">
              <a:extLst>
                <a:ext uri="{63B3BB69-23CF-44E3-9099-C40C66FF867C}">
                  <a14:compatExt spid="_x0000_s409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Heinä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40969" name="Button 9" hidden="1">
              <a:extLst>
                <a:ext uri="{63B3BB69-23CF-44E3-9099-C40C66FF867C}">
                  <a14:compatExt spid="_x0000_s409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Syys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40970" name="Button 10" hidden="1">
              <a:extLst>
                <a:ext uri="{63B3BB69-23CF-44E3-9099-C40C66FF867C}">
                  <a14:compatExt spid="_x0000_s409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Loka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40971" name="Button 11" hidden="1">
              <a:extLst>
                <a:ext uri="{63B3BB69-23CF-44E3-9099-C40C66FF867C}">
                  <a14:compatExt spid="_x0000_s409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Marras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40972" name="Button 12" hidden="1">
              <a:extLst>
                <a:ext uri="{63B3BB69-23CF-44E3-9099-C40C66FF867C}">
                  <a14:compatExt spid="_x0000_s409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Joulu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0</xdr:rowOff>
        </xdr:from>
        <xdr:to>
          <xdr:col>35</xdr:col>
          <xdr:colOff>0</xdr:colOff>
          <xdr:row>6</xdr:row>
          <xdr:rowOff>0</xdr:rowOff>
        </xdr:to>
        <xdr:sp macro="" textlink="">
          <xdr:nvSpPr>
            <xdr:cNvPr id="40973" name="Button 13" hidden="1">
              <a:extLst>
                <a:ext uri="{63B3BB69-23CF-44E3-9099-C40C66FF867C}">
                  <a14:compatExt spid="_x0000_s409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Elo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5</xdr:row>
          <xdr:rowOff>123825</xdr:rowOff>
        </xdr:to>
        <xdr:sp macro="" textlink="">
          <xdr:nvSpPr>
            <xdr:cNvPr id="40974" name="Button 14" hidden="1">
              <a:extLst>
                <a:ext uri="{63B3BB69-23CF-44E3-9099-C40C66FF867C}">
                  <a14:compatExt spid="_x0000_s409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Taulukko-yhteenveto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142875</xdr:rowOff>
        </xdr:from>
        <xdr:to>
          <xdr:col>35</xdr:col>
          <xdr:colOff>0</xdr:colOff>
          <xdr:row>12</xdr:row>
          <xdr:rowOff>19050</xdr:rowOff>
        </xdr:to>
        <xdr:sp macro="" textlink="">
          <xdr:nvSpPr>
            <xdr:cNvPr id="40975" name="Button 15" hidden="1">
              <a:extLst>
                <a:ext uri="{63B3BB69-23CF-44E3-9099-C40C66FF867C}">
                  <a14:compatExt spid="_x0000_s409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Yhteen-sä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152400</xdr:rowOff>
        </xdr:from>
        <xdr:to>
          <xdr:col>35</xdr:col>
          <xdr:colOff>0</xdr:colOff>
          <xdr:row>12</xdr:row>
          <xdr:rowOff>0</xdr:rowOff>
        </xdr:to>
        <xdr:sp macro="" textlink="">
          <xdr:nvSpPr>
            <xdr:cNvPr id="40976" name="Button 16" hidden="1">
              <a:extLst>
                <a:ext uri="{63B3BB69-23CF-44E3-9099-C40C66FF867C}">
                  <a14:compatExt spid="_x0000_s409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Vertailu edellis-vuoteen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142875</xdr:rowOff>
        </xdr:from>
        <xdr:to>
          <xdr:col>35</xdr:col>
          <xdr:colOff>0</xdr:colOff>
          <xdr:row>12</xdr:row>
          <xdr:rowOff>0</xdr:rowOff>
        </xdr:to>
        <xdr:sp macro="" textlink="">
          <xdr:nvSpPr>
            <xdr:cNvPr id="40977" name="Button 17" hidden="1">
              <a:extLst>
                <a:ext uri="{63B3BB69-23CF-44E3-9099-C40C66FF867C}">
                  <a14:compatExt spid="_x0000_s409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Käynnit tulosuun-nittain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152400</xdr:rowOff>
        </xdr:from>
        <xdr:to>
          <xdr:col>35</xdr:col>
          <xdr:colOff>0</xdr:colOff>
          <xdr:row>12</xdr:row>
          <xdr:rowOff>19050</xdr:rowOff>
        </xdr:to>
        <xdr:sp macro="" textlink="">
          <xdr:nvSpPr>
            <xdr:cNvPr id="40978" name="Button 18" hidden="1">
              <a:extLst>
                <a:ext uri="{63B3BB69-23CF-44E3-9099-C40C66FF867C}">
                  <a14:compatExt spid="_x0000_s409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Aikuiset lapset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152400</xdr:rowOff>
        </xdr:from>
        <xdr:to>
          <xdr:col>35</xdr:col>
          <xdr:colOff>0</xdr:colOff>
          <xdr:row>12</xdr:row>
          <xdr:rowOff>28575</xdr:rowOff>
        </xdr:to>
        <xdr:sp macro="" textlink="">
          <xdr:nvSpPr>
            <xdr:cNvPr id="40979" name="Button 19" hidden="1">
              <a:extLst>
                <a:ext uri="{63B3BB69-23CF-44E3-9099-C40C66FF867C}">
                  <a14:compatExt spid="_x0000_s409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Maksimi  minimi keskim.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12</xdr:row>
          <xdr:rowOff>19050</xdr:rowOff>
        </xdr:to>
        <xdr:sp macro="" textlink="">
          <xdr:nvSpPr>
            <xdr:cNvPr id="40980" name="Button 20" hidden="1">
              <a:extLst>
                <a:ext uri="{63B3BB69-23CF-44E3-9099-C40C66FF867C}">
                  <a14:compatExt spid="_x0000_s409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PALUU PÄÄ-   IKKUNAAN</a:t>
              </a:r>
            </a:p>
          </xdr:txBody>
        </xdr:sp>
        <xdr:clientData fPrintsWithSheet="0"/>
      </xdr:twoCellAnchor>
    </mc:Choice>
    <mc:Fallback/>
  </mc:AlternateContent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0.04831</cdr:y>
    </cdr:to>
    <cdr:sp macro="" textlink="">
      <cdr:nvSpPr>
        <cdr:cNvPr id="41985" name="Teksti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91837" y="-34068"/>
          <a:ext cx="1666913" cy="19095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27432" bIns="18288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800" b="0" i="0" u="none" strike="noStrike" baseline="0">
              <a:solidFill>
                <a:srgbClr val="000000"/>
              </a:solidFill>
              <a:latin typeface="MS Sans Serif"/>
            </a:rPr>
            <a:t>KORKEASAAREN ELÄINTARHA</a:t>
          </a:r>
        </a:p>
      </cdr:txBody>
    </cdr:sp>
  </cdr:relSizeAnchor>
  <cdr:relSizeAnchor xmlns:cdr="http://schemas.openxmlformats.org/drawingml/2006/chartDrawing">
    <cdr:from>
      <cdr:x>0.4069</cdr:x>
      <cdr:y>0.27823</cdr:y>
    </cdr:from>
    <cdr:to>
      <cdr:x>0.9988</cdr:x>
      <cdr:y>0.32775</cdr:y>
    </cdr:to>
    <cdr:sp macro="" textlink="">
      <cdr:nvSpPr>
        <cdr:cNvPr id="41986" name="Teksti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01603" y="1102967"/>
          <a:ext cx="434118" cy="1957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wrap="none" lIns="18288" tIns="18288" rIns="18288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800" b="0" i="0" u="none" strike="noStrike" baseline="0">
              <a:solidFill>
                <a:srgbClr val="000000"/>
              </a:solidFill>
              <a:latin typeface="MS Sans Serif"/>
            </a:rPr>
            <a:t>KÄYNNIT TULOSUUNNITTAIN</a:t>
          </a:r>
        </a:p>
      </cdr:txBody>
    </cdr:sp>
  </cdr:relSizeAnchor>
  <cdr:relSizeAnchor xmlns:cdr="http://schemas.openxmlformats.org/drawingml/2006/chartDrawing">
    <cdr:from>
      <cdr:x>0.37666</cdr:x>
      <cdr:y>0</cdr:y>
    </cdr:from>
    <cdr:to>
      <cdr:x>0.51958</cdr:x>
      <cdr:y>0.06758</cdr:y>
    </cdr:to>
    <cdr:sp macro="" textlink="'N5'!$A$1">
      <cdr:nvSpPr>
        <cdr:cNvPr id="41987" name="Teksti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79426" y="-50463"/>
          <a:ext cx="104820" cy="26714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fld id="{C0877E25-6762-4000-BE77-E31D93611901}" type="TxLink">
            <a:rPr lang="fi-FI"/>
            <a:pPr/>
            <a:t> </a:t>
          </a:fld>
          <a:endParaRPr lang="fi-FI"/>
        </a:p>
      </cdr:txBody>
    </cdr:sp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0.19719</cdr:x>
      <cdr:y>0</cdr:y>
    </cdr:from>
    <cdr:to>
      <cdr:x>0.22895</cdr:x>
      <cdr:y>0.07485</cdr:y>
    </cdr:to>
    <cdr:sp macro="" textlink="">
      <cdr:nvSpPr>
        <cdr:cNvPr id="43009" name="Teksti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47803" y="-2035"/>
          <a:ext cx="23293" cy="19106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wrap="none" lIns="18288" tIns="18288" rIns="18288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600" b="0" i="0" u="none" strike="noStrike" baseline="0">
              <a:solidFill>
                <a:srgbClr val="000000"/>
              </a:solidFill>
              <a:latin typeface="MS Sans Serif"/>
            </a:rPr>
            <a:t>KORKEASAAREN ELÄINTARHA</a:t>
          </a:r>
        </a:p>
      </cdr:txBody>
    </cdr:sp>
  </cdr:relSizeAnchor>
  <cdr:relSizeAnchor xmlns:cdr="http://schemas.openxmlformats.org/drawingml/2006/chartDrawing">
    <cdr:from>
      <cdr:x>0.30879</cdr:x>
      <cdr:y>0.10049</cdr:y>
    </cdr:from>
    <cdr:to>
      <cdr:x>0.45171</cdr:x>
      <cdr:y>0.20494</cdr:y>
    </cdr:to>
    <cdr:sp macro="" textlink="'N5'!$A$1">
      <cdr:nvSpPr>
        <cdr:cNvPr id="43010" name="Teksti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29649" y="259683"/>
          <a:ext cx="104820" cy="26663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fld id="{CE6C65ED-4167-421F-B779-5523A470346C}" type="TxLink">
            <a:rPr lang="fi-FI"/>
            <a:pPr/>
            <a:t> </a:t>
          </a:fld>
          <a:endParaRPr lang="fi-FI"/>
        </a:p>
      </cdr:txBody>
    </cdr:sp>
  </cdr:relSizeAnchor>
  <cdr:relSizeAnchor xmlns:cdr="http://schemas.openxmlformats.org/drawingml/2006/chartDrawing">
    <cdr:from>
      <cdr:x>0.27746</cdr:x>
      <cdr:y>0</cdr:y>
    </cdr:from>
    <cdr:to>
      <cdr:x>0.67316</cdr:x>
      <cdr:y>0.06883</cdr:y>
    </cdr:to>
    <cdr:sp macro="" textlink="">
      <cdr:nvSpPr>
        <cdr:cNvPr id="43011" name="Teksti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06674" y="-11251"/>
          <a:ext cx="290210" cy="17570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wrap="none" lIns="9144" tIns="18288" rIns="9144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500" b="0" i="0" u="none" strike="noStrike" baseline="0">
              <a:solidFill>
                <a:srgbClr val="000000"/>
              </a:solidFill>
              <a:latin typeface="Small Fonts"/>
            </a:rPr>
            <a:t>KUUKAUDEN PÄIVITTÄISET MAKSIMI-, MINIMI- JA KESKIMÄÄRÄISET KÄVIJÄMÄÄRÄT</a:t>
          </a:r>
        </a:p>
      </cdr:txBody>
    </cdr:sp>
  </cdr:relSizeAnchor>
</c:userShapes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0</xdr:colOff>
      <xdr:row>11</xdr:row>
      <xdr:rowOff>19050</xdr:rowOff>
    </xdr:from>
    <xdr:to>
      <xdr:col>36</xdr:col>
      <xdr:colOff>0</xdr:colOff>
      <xdr:row>35</xdr:row>
      <xdr:rowOff>0</xdr:rowOff>
    </xdr:to>
    <xdr:graphicFrame macro="">
      <xdr:nvGraphicFramePr>
        <xdr:cNvPr id="56341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36</xdr:col>
      <xdr:colOff>0</xdr:colOff>
      <xdr:row>27</xdr:row>
      <xdr:rowOff>66675</xdr:rowOff>
    </xdr:from>
    <xdr:to>
      <xdr:col>36</xdr:col>
      <xdr:colOff>0</xdr:colOff>
      <xdr:row>40</xdr:row>
      <xdr:rowOff>57150</xdr:rowOff>
    </xdr:to>
    <xdr:graphicFrame macro="">
      <xdr:nvGraphicFramePr>
        <xdr:cNvPr id="56342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  <xdr:twoCellAnchor>
    <xdr:from>
      <xdr:col>36</xdr:col>
      <xdr:colOff>0</xdr:colOff>
      <xdr:row>41</xdr:row>
      <xdr:rowOff>0</xdr:rowOff>
    </xdr:from>
    <xdr:to>
      <xdr:col>36</xdr:col>
      <xdr:colOff>0</xdr:colOff>
      <xdr:row>46</xdr:row>
      <xdr:rowOff>142875</xdr:rowOff>
    </xdr:to>
    <xdr:graphicFrame macro="">
      <xdr:nvGraphicFramePr>
        <xdr:cNvPr id="56343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9525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56321" name="Button 1" hidden="1">
              <a:extLst>
                <a:ext uri="{63B3BB69-23CF-44E3-9099-C40C66FF867C}">
                  <a14:compatExt spid="_x0000_s563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Tammi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56322" name="Button 2" hidden="1">
              <a:extLst>
                <a:ext uri="{63B3BB69-23CF-44E3-9099-C40C66FF867C}">
                  <a14:compatExt spid="_x0000_s563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Tammi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56323" name="Button 3" hidden="1">
              <a:extLst>
                <a:ext uri="{63B3BB69-23CF-44E3-9099-C40C66FF867C}">
                  <a14:compatExt spid="_x0000_s563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Maalis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56324" name="Button 4" hidden="1">
              <a:extLst>
                <a:ext uri="{63B3BB69-23CF-44E3-9099-C40C66FF867C}">
                  <a14:compatExt spid="_x0000_s563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Huhti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56325" name="Button 5" hidden="1">
              <a:extLst>
                <a:ext uri="{63B3BB69-23CF-44E3-9099-C40C66FF867C}">
                  <a14:compatExt spid="_x0000_s563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Touko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56326" name="Button 6" hidden="1">
              <a:extLst>
                <a:ext uri="{63B3BB69-23CF-44E3-9099-C40C66FF867C}">
                  <a14:compatExt spid="_x0000_s563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Kesä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9525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56327" name="Button 7" hidden="1">
              <a:extLst>
                <a:ext uri="{63B3BB69-23CF-44E3-9099-C40C66FF867C}">
                  <a14:compatExt spid="_x0000_s563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Helmi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56328" name="Button 8" hidden="1">
              <a:extLst>
                <a:ext uri="{63B3BB69-23CF-44E3-9099-C40C66FF867C}">
                  <a14:compatExt spid="_x0000_s563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Heinä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56329" name="Button 9" hidden="1">
              <a:extLst>
                <a:ext uri="{63B3BB69-23CF-44E3-9099-C40C66FF867C}">
                  <a14:compatExt spid="_x0000_s563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Syys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56330" name="Button 10" hidden="1">
              <a:extLst>
                <a:ext uri="{63B3BB69-23CF-44E3-9099-C40C66FF867C}">
                  <a14:compatExt spid="_x0000_s563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Loka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56331" name="Button 11" hidden="1">
              <a:extLst>
                <a:ext uri="{63B3BB69-23CF-44E3-9099-C40C66FF867C}">
                  <a14:compatExt spid="_x0000_s563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Marras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56332" name="Button 12" hidden="1">
              <a:extLst>
                <a:ext uri="{63B3BB69-23CF-44E3-9099-C40C66FF867C}">
                  <a14:compatExt spid="_x0000_s563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Joulu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0</xdr:rowOff>
        </xdr:from>
        <xdr:to>
          <xdr:col>35</xdr:col>
          <xdr:colOff>0</xdr:colOff>
          <xdr:row>6</xdr:row>
          <xdr:rowOff>0</xdr:rowOff>
        </xdr:to>
        <xdr:sp macro="" textlink="">
          <xdr:nvSpPr>
            <xdr:cNvPr id="56333" name="Button 13" hidden="1">
              <a:extLst>
                <a:ext uri="{63B3BB69-23CF-44E3-9099-C40C66FF867C}">
                  <a14:compatExt spid="_x0000_s563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Elo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5</xdr:row>
          <xdr:rowOff>123825</xdr:rowOff>
        </xdr:to>
        <xdr:sp macro="" textlink="">
          <xdr:nvSpPr>
            <xdr:cNvPr id="56334" name="Button 14" hidden="1">
              <a:extLst>
                <a:ext uri="{63B3BB69-23CF-44E3-9099-C40C66FF867C}">
                  <a14:compatExt spid="_x0000_s563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Taulukko-yhteenveto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142875</xdr:rowOff>
        </xdr:from>
        <xdr:to>
          <xdr:col>35</xdr:col>
          <xdr:colOff>0</xdr:colOff>
          <xdr:row>12</xdr:row>
          <xdr:rowOff>19050</xdr:rowOff>
        </xdr:to>
        <xdr:sp macro="" textlink="">
          <xdr:nvSpPr>
            <xdr:cNvPr id="56335" name="Button 15" hidden="1">
              <a:extLst>
                <a:ext uri="{63B3BB69-23CF-44E3-9099-C40C66FF867C}">
                  <a14:compatExt spid="_x0000_s563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Yhteen-sä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152400</xdr:rowOff>
        </xdr:from>
        <xdr:to>
          <xdr:col>35</xdr:col>
          <xdr:colOff>0</xdr:colOff>
          <xdr:row>12</xdr:row>
          <xdr:rowOff>0</xdr:rowOff>
        </xdr:to>
        <xdr:sp macro="" textlink="">
          <xdr:nvSpPr>
            <xdr:cNvPr id="56336" name="Button 16" hidden="1">
              <a:extLst>
                <a:ext uri="{63B3BB69-23CF-44E3-9099-C40C66FF867C}">
                  <a14:compatExt spid="_x0000_s563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Vertailu edellis-vuoteen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142875</xdr:rowOff>
        </xdr:from>
        <xdr:to>
          <xdr:col>35</xdr:col>
          <xdr:colOff>0</xdr:colOff>
          <xdr:row>12</xdr:row>
          <xdr:rowOff>0</xdr:rowOff>
        </xdr:to>
        <xdr:sp macro="" textlink="">
          <xdr:nvSpPr>
            <xdr:cNvPr id="56337" name="Button 17" hidden="1">
              <a:extLst>
                <a:ext uri="{63B3BB69-23CF-44E3-9099-C40C66FF867C}">
                  <a14:compatExt spid="_x0000_s563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Käynnit tulosuun-nittain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152400</xdr:rowOff>
        </xdr:from>
        <xdr:to>
          <xdr:col>35</xdr:col>
          <xdr:colOff>0</xdr:colOff>
          <xdr:row>12</xdr:row>
          <xdr:rowOff>19050</xdr:rowOff>
        </xdr:to>
        <xdr:sp macro="" textlink="">
          <xdr:nvSpPr>
            <xdr:cNvPr id="56338" name="Button 18" hidden="1">
              <a:extLst>
                <a:ext uri="{63B3BB69-23CF-44E3-9099-C40C66FF867C}">
                  <a14:compatExt spid="_x0000_s563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Aikuiset lapset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152400</xdr:rowOff>
        </xdr:from>
        <xdr:to>
          <xdr:col>35</xdr:col>
          <xdr:colOff>0</xdr:colOff>
          <xdr:row>12</xdr:row>
          <xdr:rowOff>28575</xdr:rowOff>
        </xdr:to>
        <xdr:sp macro="" textlink="">
          <xdr:nvSpPr>
            <xdr:cNvPr id="56339" name="Button 19" hidden="1">
              <a:extLst>
                <a:ext uri="{63B3BB69-23CF-44E3-9099-C40C66FF867C}">
                  <a14:compatExt spid="_x0000_s563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Maksimi  minimi keskim.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12</xdr:row>
          <xdr:rowOff>19050</xdr:rowOff>
        </xdr:to>
        <xdr:sp macro="" textlink="">
          <xdr:nvSpPr>
            <xdr:cNvPr id="56340" name="Button 20" hidden="1">
              <a:extLst>
                <a:ext uri="{63B3BB69-23CF-44E3-9099-C40C66FF867C}">
                  <a14:compatExt spid="_x0000_s563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PALUU PÄÄ-   IKKUNAAN</a:t>
              </a:r>
            </a:p>
          </xdr:txBody>
        </xdr:sp>
        <xdr:clientData fPrintsWithSheet="0"/>
      </xdr:twoCellAnchor>
    </mc:Choice>
    <mc:Fallback/>
  </mc:AlternateContent>
</xdr:wsDr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0.04831</cdr:y>
    </cdr:to>
    <cdr:sp macro="" textlink="">
      <cdr:nvSpPr>
        <cdr:cNvPr id="57345" name="Teksti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91837" y="-43712"/>
          <a:ext cx="1666913" cy="19095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27432" bIns="18288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800" b="0" i="0" u="none" strike="noStrike" baseline="0">
              <a:solidFill>
                <a:srgbClr val="000000"/>
              </a:solidFill>
              <a:latin typeface="MS Sans Serif"/>
            </a:rPr>
            <a:t>KORKEASAAREN ELÄINTARHA</a:t>
          </a:r>
        </a:p>
      </cdr:txBody>
    </cdr:sp>
  </cdr:relSizeAnchor>
  <cdr:relSizeAnchor xmlns:cdr="http://schemas.openxmlformats.org/drawingml/2006/chartDrawing">
    <cdr:from>
      <cdr:x>0.4069</cdr:x>
      <cdr:y>0.27993</cdr:y>
    </cdr:from>
    <cdr:to>
      <cdr:x>0.9988</cdr:x>
      <cdr:y>0.32946</cdr:y>
    </cdr:to>
    <cdr:sp macro="" textlink="">
      <cdr:nvSpPr>
        <cdr:cNvPr id="57346" name="Teksti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01603" y="1109718"/>
          <a:ext cx="434118" cy="1957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wrap="none" lIns="18288" tIns="18288" rIns="18288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800" b="0" i="0" u="none" strike="noStrike" baseline="0">
              <a:solidFill>
                <a:srgbClr val="000000"/>
              </a:solidFill>
              <a:latin typeface="MS Sans Serif"/>
            </a:rPr>
            <a:t>KÄYNNIT TULOSUUNNITTAIN</a:t>
          </a:r>
        </a:p>
      </cdr:txBody>
    </cdr:sp>
  </cdr:relSizeAnchor>
  <cdr:relSizeAnchor xmlns:cdr="http://schemas.openxmlformats.org/drawingml/2006/chartDrawing">
    <cdr:from>
      <cdr:x>0.34359</cdr:x>
      <cdr:y>0</cdr:y>
    </cdr:from>
    <cdr:to>
      <cdr:x>0.48651</cdr:x>
      <cdr:y>0.06758</cdr:y>
    </cdr:to>
    <cdr:sp macro="" textlink="'N6'!$A$1">
      <cdr:nvSpPr>
        <cdr:cNvPr id="57347" name="Teksti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55176" y="-63000"/>
          <a:ext cx="104820" cy="26714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fld id="{7C60EB63-3AB6-4ACA-B1BD-1079EF75E038}" type="TxLink">
            <a:rPr lang="fi-FI"/>
            <a:pPr/>
            <a:t> </a:t>
          </a:fld>
          <a:endParaRPr lang="fi-FI"/>
        </a:p>
      </cdr:txBody>
    </cdr:sp>
  </cdr:relSizeAnchor>
</c:userShapes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0.19872</cdr:x>
      <cdr:y>0</cdr:y>
    </cdr:from>
    <cdr:to>
      <cdr:x>0.23309</cdr:x>
      <cdr:y>0.07485</cdr:y>
    </cdr:to>
    <cdr:sp macro="" textlink="">
      <cdr:nvSpPr>
        <cdr:cNvPr id="58369" name="Teksti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48919" y="-2035"/>
          <a:ext cx="25208" cy="19106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wrap="none" lIns="18288" tIns="18288" rIns="18288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600" b="0" i="0" u="none" strike="noStrike" baseline="0">
              <a:solidFill>
                <a:srgbClr val="000000"/>
              </a:solidFill>
              <a:latin typeface="MS Sans Serif"/>
            </a:rPr>
            <a:t>KORKEASAAREN ELÄINTARHA</a:t>
          </a:r>
        </a:p>
      </cdr:txBody>
    </cdr:sp>
  </cdr:relSizeAnchor>
  <cdr:relSizeAnchor xmlns:cdr="http://schemas.openxmlformats.org/drawingml/2006/chartDrawing">
    <cdr:from>
      <cdr:x>0.32184</cdr:x>
      <cdr:y>0.10024</cdr:y>
    </cdr:from>
    <cdr:to>
      <cdr:x>0.46476</cdr:x>
      <cdr:y>0.2047</cdr:y>
    </cdr:to>
    <cdr:sp macro="" textlink="'N6'!$A$1">
      <cdr:nvSpPr>
        <cdr:cNvPr id="58370" name="Teksti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39221" y="259069"/>
          <a:ext cx="104820" cy="26663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fld id="{EFB4036E-15EC-4546-9893-E2C772183B58}" type="TxLink">
            <a:rPr lang="fi-FI"/>
            <a:pPr/>
            <a:t> </a:t>
          </a:fld>
          <a:endParaRPr lang="fi-FI"/>
        </a:p>
      </cdr:txBody>
    </cdr:sp>
  </cdr:relSizeAnchor>
  <cdr:relSizeAnchor xmlns:cdr="http://schemas.openxmlformats.org/drawingml/2006/chartDrawing">
    <cdr:from>
      <cdr:x>0.28573</cdr:x>
      <cdr:y>0</cdr:y>
    </cdr:from>
    <cdr:to>
      <cdr:x>0.67881</cdr:x>
      <cdr:y>0.06859</cdr:y>
    </cdr:to>
    <cdr:sp macro="" textlink="">
      <cdr:nvSpPr>
        <cdr:cNvPr id="58371" name="Teksti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12737" y="-10636"/>
          <a:ext cx="288295" cy="17509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wrap="none" lIns="9144" tIns="18288" rIns="9144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500" b="0" i="0" u="none" strike="noStrike" baseline="0">
              <a:solidFill>
                <a:srgbClr val="000000"/>
              </a:solidFill>
              <a:latin typeface="Small Fonts"/>
            </a:rPr>
            <a:t>KUUKAUDEN PÄIVITTÄISET MAKSIMI-, MINIMI- JA KESKIMÄÄRÄISET KÄVIJÄMÄÄRÄT</a:t>
          </a:r>
        </a:p>
      </cdr:txBody>
    </cdr:sp>
  </cdr:relSizeAnchor>
</c:userShapes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0</xdr:colOff>
      <xdr:row>11</xdr:row>
      <xdr:rowOff>19050</xdr:rowOff>
    </xdr:from>
    <xdr:to>
      <xdr:col>36</xdr:col>
      <xdr:colOff>0</xdr:colOff>
      <xdr:row>35</xdr:row>
      <xdr:rowOff>0</xdr:rowOff>
    </xdr:to>
    <xdr:graphicFrame macro="">
      <xdr:nvGraphicFramePr>
        <xdr:cNvPr id="655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36</xdr:col>
      <xdr:colOff>0</xdr:colOff>
      <xdr:row>27</xdr:row>
      <xdr:rowOff>66675</xdr:rowOff>
    </xdr:from>
    <xdr:to>
      <xdr:col>36</xdr:col>
      <xdr:colOff>0</xdr:colOff>
      <xdr:row>40</xdr:row>
      <xdr:rowOff>57150</xdr:rowOff>
    </xdr:to>
    <xdr:graphicFrame macro="">
      <xdr:nvGraphicFramePr>
        <xdr:cNvPr id="65558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  <xdr:twoCellAnchor>
    <xdr:from>
      <xdr:col>36</xdr:col>
      <xdr:colOff>0</xdr:colOff>
      <xdr:row>41</xdr:row>
      <xdr:rowOff>0</xdr:rowOff>
    </xdr:from>
    <xdr:to>
      <xdr:col>36</xdr:col>
      <xdr:colOff>0</xdr:colOff>
      <xdr:row>46</xdr:row>
      <xdr:rowOff>142875</xdr:rowOff>
    </xdr:to>
    <xdr:graphicFrame macro="">
      <xdr:nvGraphicFramePr>
        <xdr:cNvPr id="65559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9525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65537" name="Button 1" hidden="1">
              <a:extLst>
                <a:ext uri="{63B3BB69-23CF-44E3-9099-C40C66FF867C}">
                  <a14:compatExt spid="_x0000_s655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Tammi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65538" name="Button 2" hidden="1">
              <a:extLst>
                <a:ext uri="{63B3BB69-23CF-44E3-9099-C40C66FF867C}">
                  <a14:compatExt spid="_x0000_s655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Tammi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65539" name="Button 3" hidden="1">
              <a:extLst>
                <a:ext uri="{63B3BB69-23CF-44E3-9099-C40C66FF867C}">
                  <a14:compatExt spid="_x0000_s655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Maalis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65540" name="Button 4" hidden="1">
              <a:extLst>
                <a:ext uri="{63B3BB69-23CF-44E3-9099-C40C66FF867C}">
                  <a14:compatExt spid="_x0000_s655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Huhti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65541" name="Button 5" hidden="1">
              <a:extLst>
                <a:ext uri="{63B3BB69-23CF-44E3-9099-C40C66FF867C}">
                  <a14:compatExt spid="_x0000_s655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Touko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65542" name="Button 6" hidden="1">
              <a:extLst>
                <a:ext uri="{63B3BB69-23CF-44E3-9099-C40C66FF867C}">
                  <a14:compatExt spid="_x0000_s655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Kesä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9525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65543" name="Button 7" hidden="1">
              <a:extLst>
                <a:ext uri="{63B3BB69-23CF-44E3-9099-C40C66FF867C}">
                  <a14:compatExt spid="_x0000_s655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Helmi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65544" name="Button 8" hidden="1">
              <a:extLst>
                <a:ext uri="{63B3BB69-23CF-44E3-9099-C40C66FF867C}">
                  <a14:compatExt spid="_x0000_s655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Heinä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65545" name="Button 9" hidden="1">
              <a:extLst>
                <a:ext uri="{63B3BB69-23CF-44E3-9099-C40C66FF867C}">
                  <a14:compatExt spid="_x0000_s655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Syys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65546" name="Button 10" hidden="1">
              <a:extLst>
                <a:ext uri="{63B3BB69-23CF-44E3-9099-C40C66FF867C}">
                  <a14:compatExt spid="_x0000_s655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Loka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65547" name="Button 11" hidden="1">
              <a:extLst>
                <a:ext uri="{63B3BB69-23CF-44E3-9099-C40C66FF867C}">
                  <a14:compatExt spid="_x0000_s655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Marras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65548" name="Button 12" hidden="1">
              <a:extLst>
                <a:ext uri="{63B3BB69-23CF-44E3-9099-C40C66FF867C}">
                  <a14:compatExt spid="_x0000_s655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Joulu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0</xdr:rowOff>
        </xdr:from>
        <xdr:to>
          <xdr:col>35</xdr:col>
          <xdr:colOff>0</xdr:colOff>
          <xdr:row>6</xdr:row>
          <xdr:rowOff>0</xdr:rowOff>
        </xdr:to>
        <xdr:sp macro="" textlink="">
          <xdr:nvSpPr>
            <xdr:cNvPr id="65549" name="Button 13" hidden="1">
              <a:extLst>
                <a:ext uri="{63B3BB69-23CF-44E3-9099-C40C66FF867C}">
                  <a14:compatExt spid="_x0000_s655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Elo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5</xdr:row>
          <xdr:rowOff>123825</xdr:rowOff>
        </xdr:to>
        <xdr:sp macro="" textlink="">
          <xdr:nvSpPr>
            <xdr:cNvPr id="65550" name="Button 14" hidden="1">
              <a:extLst>
                <a:ext uri="{63B3BB69-23CF-44E3-9099-C40C66FF867C}">
                  <a14:compatExt spid="_x0000_s655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Taulukko-yhteenveto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142875</xdr:rowOff>
        </xdr:from>
        <xdr:to>
          <xdr:col>35</xdr:col>
          <xdr:colOff>0</xdr:colOff>
          <xdr:row>12</xdr:row>
          <xdr:rowOff>19050</xdr:rowOff>
        </xdr:to>
        <xdr:sp macro="" textlink="">
          <xdr:nvSpPr>
            <xdr:cNvPr id="65551" name="Button 15" hidden="1">
              <a:extLst>
                <a:ext uri="{63B3BB69-23CF-44E3-9099-C40C66FF867C}">
                  <a14:compatExt spid="_x0000_s655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Yhteen-sä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152400</xdr:rowOff>
        </xdr:from>
        <xdr:to>
          <xdr:col>35</xdr:col>
          <xdr:colOff>0</xdr:colOff>
          <xdr:row>12</xdr:row>
          <xdr:rowOff>0</xdr:rowOff>
        </xdr:to>
        <xdr:sp macro="" textlink="">
          <xdr:nvSpPr>
            <xdr:cNvPr id="65552" name="Button 16" hidden="1">
              <a:extLst>
                <a:ext uri="{63B3BB69-23CF-44E3-9099-C40C66FF867C}">
                  <a14:compatExt spid="_x0000_s655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Vertailu edellis-vuoteen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142875</xdr:rowOff>
        </xdr:from>
        <xdr:to>
          <xdr:col>35</xdr:col>
          <xdr:colOff>0</xdr:colOff>
          <xdr:row>12</xdr:row>
          <xdr:rowOff>0</xdr:rowOff>
        </xdr:to>
        <xdr:sp macro="" textlink="">
          <xdr:nvSpPr>
            <xdr:cNvPr id="65553" name="Button 17" hidden="1">
              <a:extLst>
                <a:ext uri="{63B3BB69-23CF-44E3-9099-C40C66FF867C}">
                  <a14:compatExt spid="_x0000_s655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Käynnit tulosuun-nittain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152400</xdr:rowOff>
        </xdr:from>
        <xdr:to>
          <xdr:col>35</xdr:col>
          <xdr:colOff>0</xdr:colOff>
          <xdr:row>12</xdr:row>
          <xdr:rowOff>19050</xdr:rowOff>
        </xdr:to>
        <xdr:sp macro="" textlink="">
          <xdr:nvSpPr>
            <xdr:cNvPr id="65554" name="Button 18" hidden="1">
              <a:extLst>
                <a:ext uri="{63B3BB69-23CF-44E3-9099-C40C66FF867C}">
                  <a14:compatExt spid="_x0000_s655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Aikuiset lapset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152400</xdr:rowOff>
        </xdr:from>
        <xdr:to>
          <xdr:col>35</xdr:col>
          <xdr:colOff>0</xdr:colOff>
          <xdr:row>12</xdr:row>
          <xdr:rowOff>28575</xdr:rowOff>
        </xdr:to>
        <xdr:sp macro="" textlink="">
          <xdr:nvSpPr>
            <xdr:cNvPr id="65555" name="Button 19" hidden="1">
              <a:extLst>
                <a:ext uri="{63B3BB69-23CF-44E3-9099-C40C66FF867C}">
                  <a14:compatExt spid="_x0000_s655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Maksimi  minimi keskim.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12</xdr:row>
          <xdr:rowOff>19050</xdr:rowOff>
        </xdr:to>
        <xdr:sp macro="" textlink="">
          <xdr:nvSpPr>
            <xdr:cNvPr id="65556" name="Button 20" hidden="1">
              <a:extLst>
                <a:ext uri="{63B3BB69-23CF-44E3-9099-C40C66FF867C}">
                  <a14:compatExt spid="_x0000_s655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PALUU PÄÄ-   IKKUNAAN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0.04831</cdr:y>
    </cdr:to>
    <cdr:sp macro="" textlink="">
      <cdr:nvSpPr>
        <cdr:cNvPr id="2049" name="Teksti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91837" y="-41783"/>
          <a:ext cx="1666913" cy="19095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27432" bIns="18288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800" b="0" i="0" u="none" strike="noStrike" baseline="0">
              <a:solidFill>
                <a:srgbClr val="000000"/>
              </a:solidFill>
              <a:latin typeface="MS Sans Serif"/>
            </a:rPr>
            <a:t>KORKEASAAREN ELÄINTARHA</a:t>
          </a:r>
        </a:p>
      </cdr:txBody>
    </cdr:sp>
  </cdr:relSizeAnchor>
  <cdr:relSizeAnchor xmlns:cdr="http://schemas.openxmlformats.org/drawingml/2006/chartDrawing">
    <cdr:from>
      <cdr:x>0.4069</cdr:x>
      <cdr:y>0.27993</cdr:y>
    </cdr:from>
    <cdr:to>
      <cdr:x>0.9988</cdr:x>
      <cdr:y>0.32946</cdr:y>
    </cdr:to>
    <cdr:sp macro="" textlink="">
      <cdr:nvSpPr>
        <cdr:cNvPr id="2050" name="Teksti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01603" y="1109718"/>
          <a:ext cx="434118" cy="1957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wrap="none" lIns="18288" tIns="18288" rIns="18288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800" b="0" i="0" u="none" strike="noStrike" baseline="0">
              <a:solidFill>
                <a:srgbClr val="000000"/>
              </a:solidFill>
              <a:latin typeface="MS Sans Serif"/>
            </a:rPr>
            <a:t>KÄYNNIT TULOSUUNNITTAIN</a:t>
          </a:r>
        </a:p>
      </cdr:txBody>
    </cdr:sp>
  </cdr:relSizeAnchor>
  <cdr:relSizeAnchor xmlns:cdr="http://schemas.openxmlformats.org/drawingml/2006/chartDrawing">
    <cdr:from>
      <cdr:x>0.34359</cdr:x>
      <cdr:y>0</cdr:y>
    </cdr:from>
    <cdr:to>
      <cdr:x>0.48651</cdr:x>
      <cdr:y>0.06758</cdr:y>
    </cdr:to>
    <cdr:sp macro="" textlink="'N1'!$A$1">
      <cdr:nvSpPr>
        <cdr:cNvPr id="2051" name="Teksti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55176" y="-63000"/>
          <a:ext cx="104820" cy="26714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fld id="{D31ED422-B2D2-485E-9814-BDA93AEB7CB2}" type="TxLink">
            <a:rPr lang="fi-FI" sz="1200" b="1" i="0" u="none" strike="noStrike">
              <a:solidFill>
                <a:srgbClr val="000000"/>
              </a:solidFill>
              <a:latin typeface="Courier New"/>
              <a:cs typeface="Courier New"/>
            </a:rPr>
            <a:pPr/>
            <a:t> </a:t>
          </a:fld>
          <a:endParaRPr lang="fi-FI"/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0.04831</cdr:y>
    </cdr:to>
    <cdr:sp macro="" textlink="">
      <cdr:nvSpPr>
        <cdr:cNvPr id="66561" name="Teksti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91837" y="-31175"/>
          <a:ext cx="1666913" cy="19095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27432" bIns="18288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800" b="0" i="0" u="none" strike="noStrike" baseline="0">
              <a:solidFill>
                <a:srgbClr val="000000"/>
              </a:solidFill>
              <a:latin typeface="MS Sans Serif"/>
            </a:rPr>
            <a:t>KORKEASAAREN ELÄINTARHA</a:t>
          </a:r>
        </a:p>
      </cdr:txBody>
    </cdr:sp>
  </cdr:relSizeAnchor>
  <cdr:relSizeAnchor xmlns:cdr="http://schemas.openxmlformats.org/drawingml/2006/chartDrawing">
    <cdr:from>
      <cdr:x>0.4069</cdr:x>
      <cdr:y>0.27823</cdr:y>
    </cdr:from>
    <cdr:to>
      <cdr:x>0.9988</cdr:x>
      <cdr:y>0.32775</cdr:y>
    </cdr:to>
    <cdr:sp macro="" textlink="">
      <cdr:nvSpPr>
        <cdr:cNvPr id="66562" name="Teksti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01603" y="1102967"/>
          <a:ext cx="434118" cy="1957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wrap="none" lIns="18288" tIns="18288" rIns="18288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800" b="0" i="0" u="none" strike="noStrike" baseline="0">
              <a:solidFill>
                <a:srgbClr val="000000"/>
              </a:solidFill>
              <a:latin typeface="MS Sans Serif"/>
            </a:rPr>
            <a:t>KÄYNNIT TULOSUUNNITTAIN</a:t>
          </a:r>
        </a:p>
      </cdr:txBody>
    </cdr:sp>
  </cdr:relSizeAnchor>
  <cdr:relSizeAnchor xmlns:cdr="http://schemas.openxmlformats.org/drawingml/2006/chartDrawing">
    <cdr:from>
      <cdr:x>0.34359</cdr:x>
      <cdr:y>0</cdr:y>
    </cdr:from>
    <cdr:to>
      <cdr:x>0.48651</cdr:x>
      <cdr:y>0.06758</cdr:y>
    </cdr:to>
    <cdr:sp macro="" textlink="'N7'!$A$1">
      <cdr:nvSpPr>
        <cdr:cNvPr id="66563" name="Teksti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55176" y="-50463"/>
          <a:ext cx="104820" cy="26714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fld id="{199CDF0D-3F2D-44C9-9D0E-C3AEB2F5D7A6}" type="TxLink">
            <a:rPr lang="fi-FI"/>
            <a:pPr/>
            <a:t> </a:t>
          </a:fld>
          <a:endParaRPr lang="fi-FI"/>
        </a:p>
      </cdr:txBody>
    </cdr:sp>
  </cdr:relSizeAnchor>
</c:userShapes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0.19741</cdr:x>
      <cdr:y>0</cdr:y>
    </cdr:from>
    <cdr:to>
      <cdr:x>0.22895</cdr:x>
      <cdr:y>0.07413</cdr:y>
    </cdr:to>
    <cdr:sp macro="" textlink="">
      <cdr:nvSpPr>
        <cdr:cNvPr id="67585" name="Teksti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47962" y="-192"/>
          <a:ext cx="23134" cy="1892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wrap="none" lIns="18288" tIns="18288" rIns="18288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600" b="0" i="0" u="none" strike="noStrike" baseline="0">
              <a:solidFill>
                <a:srgbClr val="000000"/>
              </a:solidFill>
              <a:latin typeface="MS Sans Serif"/>
            </a:rPr>
            <a:t>KORKEASAAREN ELÄINTARHA</a:t>
          </a:r>
        </a:p>
      </cdr:txBody>
    </cdr:sp>
  </cdr:relSizeAnchor>
  <cdr:relSizeAnchor xmlns:cdr="http://schemas.openxmlformats.org/drawingml/2006/chartDrawing">
    <cdr:from>
      <cdr:x>0.30879</cdr:x>
      <cdr:y>0.10024</cdr:y>
    </cdr:from>
    <cdr:to>
      <cdr:x>0.45171</cdr:x>
      <cdr:y>0.2047</cdr:y>
    </cdr:to>
    <cdr:sp macro="" textlink="'N7'!$A$1">
      <cdr:nvSpPr>
        <cdr:cNvPr id="67586" name="Teksti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29649" y="259069"/>
          <a:ext cx="104820" cy="26663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fld id="{E620EBEF-19CC-4A73-881F-4196EC7EAB54}" type="TxLink">
            <a:rPr lang="fi-FI"/>
            <a:pPr/>
            <a:t> </a:t>
          </a:fld>
          <a:endParaRPr lang="fi-FI"/>
        </a:p>
      </cdr:txBody>
    </cdr:sp>
  </cdr:relSizeAnchor>
  <cdr:relSizeAnchor xmlns:cdr="http://schemas.openxmlformats.org/drawingml/2006/chartDrawing">
    <cdr:from>
      <cdr:x>0.27746</cdr:x>
      <cdr:y>0</cdr:y>
    </cdr:from>
    <cdr:to>
      <cdr:x>0.67316</cdr:x>
      <cdr:y>0.06883</cdr:y>
    </cdr:to>
    <cdr:sp macro="" textlink="">
      <cdr:nvSpPr>
        <cdr:cNvPr id="67587" name="Teksti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06674" y="-11251"/>
          <a:ext cx="290210" cy="17570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wrap="none" lIns="9144" tIns="18288" rIns="9144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500" b="0" i="0" u="none" strike="noStrike" baseline="0">
              <a:solidFill>
                <a:srgbClr val="000000"/>
              </a:solidFill>
              <a:latin typeface="Small Fonts"/>
            </a:rPr>
            <a:t>KUUKAUDEN PÄIVITTÄISET MAKSIMI-, MINIMI- JA KESKIMÄÄRÄISET KÄVIJÄMÄÄRÄT</a:t>
          </a:r>
        </a:p>
      </cdr:txBody>
    </cdr:sp>
  </cdr:relSizeAnchor>
</c:userShapes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0</xdr:colOff>
      <xdr:row>11</xdr:row>
      <xdr:rowOff>19050</xdr:rowOff>
    </xdr:from>
    <xdr:to>
      <xdr:col>36</xdr:col>
      <xdr:colOff>0</xdr:colOff>
      <xdr:row>35</xdr:row>
      <xdr:rowOff>0</xdr:rowOff>
    </xdr:to>
    <xdr:graphicFrame macro="">
      <xdr:nvGraphicFramePr>
        <xdr:cNvPr id="68629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36</xdr:col>
      <xdr:colOff>0</xdr:colOff>
      <xdr:row>27</xdr:row>
      <xdr:rowOff>66675</xdr:rowOff>
    </xdr:from>
    <xdr:to>
      <xdr:col>36</xdr:col>
      <xdr:colOff>0</xdr:colOff>
      <xdr:row>40</xdr:row>
      <xdr:rowOff>57150</xdr:rowOff>
    </xdr:to>
    <xdr:graphicFrame macro="">
      <xdr:nvGraphicFramePr>
        <xdr:cNvPr id="68630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  <xdr:twoCellAnchor>
    <xdr:from>
      <xdr:col>36</xdr:col>
      <xdr:colOff>0</xdr:colOff>
      <xdr:row>41</xdr:row>
      <xdr:rowOff>0</xdr:rowOff>
    </xdr:from>
    <xdr:to>
      <xdr:col>36</xdr:col>
      <xdr:colOff>0</xdr:colOff>
      <xdr:row>46</xdr:row>
      <xdr:rowOff>142875</xdr:rowOff>
    </xdr:to>
    <xdr:graphicFrame macro="">
      <xdr:nvGraphicFramePr>
        <xdr:cNvPr id="68631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9525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68609" name="Button 1" hidden="1">
              <a:extLst>
                <a:ext uri="{63B3BB69-23CF-44E3-9099-C40C66FF867C}">
                  <a14:compatExt spid="_x0000_s686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Tammi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68610" name="Button 2" hidden="1">
              <a:extLst>
                <a:ext uri="{63B3BB69-23CF-44E3-9099-C40C66FF867C}">
                  <a14:compatExt spid="_x0000_s686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Tammi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68611" name="Button 3" hidden="1">
              <a:extLst>
                <a:ext uri="{63B3BB69-23CF-44E3-9099-C40C66FF867C}">
                  <a14:compatExt spid="_x0000_s686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Maalis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68612" name="Button 4" hidden="1">
              <a:extLst>
                <a:ext uri="{63B3BB69-23CF-44E3-9099-C40C66FF867C}">
                  <a14:compatExt spid="_x0000_s686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Huhti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68613" name="Button 5" hidden="1">
              <a:extLst>
                <a:ext uri="{63B3BB69-23CF-44E3-9099-C40C66FF867C}">
                  <a14:compatExt spid="_x0000_s686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Touko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68614" name="Button 6" hidden="1">
              <a:extLst>
                <a:ext uri="{63B3BB69-23CF-44E3-9099-C40C66FF867C}">
                  <a14:compatExt spid="_x0000_s686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Kesä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9525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68615" name="Button 7" hidden="1">
              <a:extLst>
                <a:ext uri="{63B3BB69-23CF-44E3-9099-C40C66FF867C}">
                  <a14:compatExt spid="_x0000_s686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Helmi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68616" name="Button 8" hidden="1">
              <a:extLst>
                <a:ext uri="{63B3BB69-23CF-44E3-9099-C40C66FF867C}">
                  <a14:compatExt spid="_x0000_s686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Heinä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68617" name="Button 9" hidden="1">
              <a:extLst>
                <a:ext uri="{63B3BB69-23CF-44E3-9099-C40C66FF867C}">
                  <a14:compatExt spid="_x0000_s686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Syys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68618" name="Button 10" hidden="1">
              <a:extLst>
                <a:ext uri="{63B3BB69-23CF-44E3-9099-C40C66FF867C}">
                  <a14:compatExt spid="_x0000_s686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Loka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68619" name="Button 11" hidden="1">
              <a:extLst>
                <a:ext uri="{63B3BB69-23CF-44E3-9099-C40C66FF867C}">
                  <a14:compatExt spid="_x0000_s686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Marras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68620" name="Button 12" hidden="1">
              <a:extLst>
                <a:ext uri="{63B3BB69-23CF-44E3-9099-C40C66FF867C}">
                  <a14:compatExt spid="_x0000_s686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Joulu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0</xdr:rowOff>
        </xdr:from>
        <xdr:to>
          <xdr:col>35</xdr:col>
          <xdr:colOff>0</xdr:colOff>
          <xdr:row>6</xdr:row>
          <xdr:rowOff>0</xdr:rowOff>
        </xdr:to>
        <xdr:sp macro="" textlink="">
          <xdr:nvSpPr>
            <xdr:cNvPr id="68621" name="Button 13" hidden="1">
              <a:extLst>
                <a:ext uri="{63B3BB69-23CF-44E3-9099-C40C66FF867C}">
                  <a14:compatExt spid="_x0000_s686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Elo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5</xdr:row>
          <xdr:rowOff>123825</xdr:rowOff>
        </xdr:to>
        <xdr:sp macro="" textlink="">
          <xdr:nvSpPr>
            <xdr:cNvPr id="68622" name="Button 14" hidden="1">
              <a:extLst>
                <a:ext uri="{63B3BB69-23CF-44E3-9099-C40C66FF867C}">
                  <a14:compatExt spid="_x0000_s686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Taulukko-yhteenveto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142875</xdr:rowOff>
        </xdr:from>
        <xdr:to>
          <xdr:col>35</xdr:col>
          <xdr:colOff>0</xdr:colOff>
          <xdr:row>12</xdr:row>
          <xdr:rowOff>19050</xdr:rowOff>
        </xdr:to>
        <xdr:sp macro="" textlink="">
          <xdr:nvSpPr>
            <xdr:cNvPr id="68623" name="Button 15" hidden="1">
              <a:extLst>
                <a:ext uri="{63B3BB69-23CF-44E3-9099-C40C66FF867C}">
                  <a14:compatExt spid="_x0000_s686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Yhteen-sä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152400</xdr:rowOff>
        </xdr:from>
        <xdr:to>
          <xdr:col>35</xdr:col>
          <xdr:colOff>0</xdr:colOff>
          <xdr:row>12</xdr:row>
          <xdr:rowOff>0</xdr:rowOff>
        </xdr:to>
        <xdr:sp macro="" textlink="">
          <xdr:nvSpPr>
            <xdr:cNvPr id="68624" name="Button 16" hidden="1">
              <a:extLst>
                <a:ext uri="{63B3BB69-23CF-44E3-9099-C40C66FF867C}">
                  <a14:compatExt spid="_x0000_s686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Vertailu edellis-vuoteen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142875</xdr:rowOff>
        </xdr:from>
        <xdr:to>
          <xdr:col>35</xdr:col>
          <xdr:colOff>0</xdr:colOff>
          <xdr:row>12</xdr:row>
          <xdr:rowOff>0</xdr:rowOff>
        </xdr:to>
        <xdr:sp macro="" textlink="">
          <xdr:nvSpPr>
            <xdr:cNvPr id="68625" name="Button 17" hidden="1">
              <a:extLst>
                <a:ext uri="{63B3BB69-23CF-44E3-9099-C40C66FF867C}">
                  <a14:compatExt spid="_x0000_s686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Käynnit tulosuun-nittain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152400</xdr:rowOff>
        </xdr:from>
        <xdr:to>
          <xdr:col>35</xdr:col>
          <xdr:colOff>0</xdr:colOff>
          <xdr:row>12</xdr:row>
          <xdr:rowOff>19050</xdr:rowOff>
        </xdr:to>
        <xdr:sp macro="" textlink="">
          <xdr:nvSpPr>
            <xdr:cNvPr id="68626" name="Button 18" hidden="1">
              <a:extLst>
                <a:ext uri="{63B3BB69-23CF-44E3-9099-C40C66FF867C}">
                  <a14:compatExt spid="_x0000_s686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Aikuiset lapset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152400</xdr:rowOff>
        </xdr:from>
        <xdr:to>
          <xdr:col>35</xdr:col>
          <xdr:colOff>0</xdr:colOff>
          <xdr:row>12</xdr:row>
          <xdr:rowOff>28575</xdr:rowOff>
        </xdr:to>
        <xdr:sp macro="" textlink="">
          <xdr:nvSpPr>
            <xdr:cNvPr id="68627" name="Button 19" hidden="1">
              <a:extLst>
                <a:ext uri="{63B3BB69-23CF-44E3-9099-C40C66FF867C}">
                  <a14:compatExt spid="_x0000_s686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Maksimi  minimi keskim.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12</xdr:row>
          <xdr:rowOff>19050</xdr:rowOff>
        </xdr:to>
        <xdr:sp macro="" textlink="">
          <xdr:nvSpPr>
            <xdr:cNvPr id="68628" name="Button 20" hidden="1">
              <a:extLst>
                <a:ext uri="{63B3BB69-23CF-44E3-9099-C40C66FF867C}">
                  <a14:compatExt spid="_x0000_s686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PALUU PÄÄ-   IKKUNAAN</a:t>
              </a:r>
            </a:p>
          </xdr:txBody>
        </xdr:sp>
        <xdr:clientData fPrintsWithSheet="0"/>
      </xdr:twoCellAnchor>
    </mc:Choice>
    <mc:Fallback/>
  </mc:AlternateContent>
</xdr:wsDr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0.04831</cdr:y>
    </cdr:to>
    <cdr:sp macro="" textlink="">
      <cdr:nvSpPr>
        <cdr:cNvPr id="69633" name="Teksti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91837" y="-30210"/>
          <a:ext cx="1666913" cy="19095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27432" bIns="18288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800" b="0" i="0" u="none" strike="noStrike" baseline="0">
              <a:solidFill>
                <a:srgbClr val="000000"/>
              </a:solidFill>
              <a:latin typeface="MS Sans Serif"/>
            </a:rPr>
            <a:t>KORKEASAAREN ELÄINTARHA</a:t>
          </a:r>
        </a:p>
      </cdr:txBody>
    </cdr:sp>
  </cdr:relSizeAnchor>
  <cdr:relSizeAnchor xmlns:cdr="http://schemas.openxmlformats.org/drawingml/2006/chartDrawing">
    <cdr:from>
      <cdr:x>0.4069</cdr:x>
      <cdr:y>0.27823</cdr:y>
    </cdr:from>
    <cdr:to>
      <cdr:x>0.9988</cdr:x>
      <cdr:y>0.32775</cdr:y>
    </cdr:to>
    <cdr:sp macro="" textlink="">
      <cdr:nvSpPr>
        <cdr:cNvPr id="69634" name="Teksti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01603" y="1102967"/>
          <a:ext cx="434118" cy="1957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wrap="none" lIns="18288" tIns="18288" rIns="18288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800" b="0" i="0" u="none" strike="noStrike" baseline="0">
              <a:solidFill>
                <a:srgbClr val="000000"/>
              </a:solidFill>
              <a:latin typeface="MS Sans Serif"/>
            </a:rPr>
            <a:t>KÄYNNIT TULOSUUNNITTAIN</a:t>
          </a:r>
        </a:p>
      </cdr:txBody>
    </cdr:sp>
  </cdr:relSizeAnchor>
  <cdr:relSizeAnchor xmlns:cdr="http://schemas.openxmlformats.org/drawingml/2006/chartDrawing">
    <cdr:from>
      <cdr:x>0.34359</cdr:x>
      <cdr:y>0</cdr:y>
    </cdr:from>
    <cdr:to>
      <cdr:x>0.48651</cdr:x>
      <cdr:y>0.06758</cdr:y>
    </cdr:to>
    <cdr:sp macro="" textlink="'N8'!$A$1">
      <cdr:nvSpPr>
        <cdr:cNvPr id="69635" name="Teksti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55176" y="-50463"/>
          <a:ext cx="104820" cy="26714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fld id="{CE1E0BB1-F484-4E47-864A-91501A898049}" type="TxLink">
            <a:rPr lang="fi-FI"/>
            <a:pPr/>
            <a:t> </a:t>
          </a:fld>
          <a:endParaRPr lang="fi-FI"/>
        </a:p>
      </cdr:txBody>
    </cdr:sp>
  </cdr:relSizeAnchor>
</c:userShapes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0.19719</cdr:x>
      <cdr:y>0</cdr:y>
    </cdr:from>
    <cdr:to>
      <cdr:x>0.22895</cdr:x>
      <cdr:y>0.07437</cdr:y>
    </cdr:to>
    <cdr:sp macro="" textlink="">
      <cdr:nvSpPr>
        <cdr:cNvPr id="70657" name="Teksti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47803" y="-806"/>
          <a:ext cx="23293" cy="18983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wrap="none" lIns="18288" tIns="18288" rIns="18288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600" b="0" i="0" u="none" strike="noStrike" baseline="0">
              <a:solidFill>
                <a:srgbClr val="000000"/>
              </a:solidFill>
              <a:latin typeface="MS Sans Serif"/>
            </a:rPr>
            <a:t>KORKEASAAREN ELÄINTARHA</a:t>
          </a:r>
        </a:p>
      </cdr:txBody>
    </cdr:sp>
  </cdr:relSizeAnchor>
  <cdr:relSizeAnchor xmlns:cdr="http://schemas.openxmlformats.org/drawingml/2006/chartDrawing">
    <cdr:from>
      <cdr:x>0.30879</cdr:x>
      <cdr:y>0.10024</cdr:y>
    </cdr:from>
    <cdr:to>
      <cdr:x>0.45171</cdr:x>
      <cdr:y>0.2047</cdr:y>
    </cdr:to>
    <cdr:sp macro="" textlink="'N8'!$A$1">
      <cdr:nvSpPr>
        <cdr:cNvPr id="70658" name="Teksti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29649" y="259069"/>
          <a:ext cx="104820" cy="26663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fld id="{B6803ADC-A25C-40BF-8DC5-A06460CF4B40}" type="TxLink">
            <a:rPr lang="fi-FI"/>
            <a:pPr/>
            <a:t> </a:t>
          </a:fld>
          <a:endParaRPr lang="fi-FI"/>
        </a:p>
      </cdr:txBody>
    </cdr:sp>
  </cdr:relSizeAnchor>
  <cdr:relSizeAnchor xmlns:cdr="http://schemas.openxmlformats.org/drawingml/2006/chartDrawing">
    <cdr:from>
      <cdr:x>0.27746</cdr:x>
      <cdr:y>0</cdr:y>
    </cdr:from>
    <cdr:to>
      <cdr:x>0.67316</cdr:x>
      <cdr:y>0.06955</cdr:y>
    </cdr:to>
    <cdr:sp macro="" textlink="">
      <cdr:nvSpPr>
        <cdr:cNvPr id="70659" name="Teksti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06674" y="-13094"/>
          <a:ext cx="290210" cy="17755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wrap="none" lIns="9144" tIns="18288" rIns="9144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500" b="0" i="0" u="none" strike="noStrike" baseline="0">
              <a:solidFill>
                <a:srgbClr val="000000"/>
              </a:solidFill>
              <a:latin typeface="Small Fonts"/>
            </a:rPr>
            <a:t>KUUKAUDEN PÄIVITTÄISET MAKSIMI-, MINIMI- JA KESKIMÄÄRÄISET KÄVIJÄMÄÄRÄT</a:t>
          </a:r>
        </a:p>
      </cdr:txBody>
    </cdr:sp>
  </cdr:relSizeAnchor>
</c:userShapes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0</xdr:colOff>
      <xdr:row>11</xdr:row>
      <xdr:rowOff>19050</xdr:rowOff>
    </xdr:from>
    <xdr:to>
      <xdr:col>36</xdr:col>
      <xdr:colOff>0</xdr:colOff>
      <xdr:row>35</xdr:row>
      <xdr:rowOff>0</xdr:rowOff>
    </xdr:to>
    <xdr:graphicFrame macro="">
      <xdr:nvGraphicFramePr>
        <xdr:cNvPr id="71701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36</xdr:col>
      <xdr:colOff>0</xdr:colOff>
      <xdr:row>27</xdr:row>
      <xdr:rowOff>66675</xdr:rowOff>
    </xdr:from>
    <xdr:to>
      <xdr:col>36</xdr:col>
      <xdr:colOff>0</xdr:colOff>
      <xdr:row>40</xdr:row>
      <xdr:rowOff>57150</xdr:rowOff>
    </xdr:to>
    <xdr:graphicFrame macro="">
      <xdr:nvGraphicFramePr>
        <xdr:cNvPr id="71702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  <xdr:twoCellAnchor>
    <xdr:from>
      <xdr:col>36</xdr:col>
      <xdr:colOff>0</xdr:colOff>
      <xdr:row>41</xdr:row>
      <xdr:rowOff>0</xdr:rowOff>
    </xdr:from>
    <xdr:to>
      <xdr:col>36</xdr:col>
      <xdr:colOff>0</xdr:colOff>
      <xdr:row>46</xdr:row>
      <xdr:rowOff>142875</xdr:rowOff>
    </xdr:to>
    <xdr:graphicFrame macro="">
      <xdr:nvGraphicFramePr>
        <xdr:cNvPr id="71703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9525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71681" name="Button 1" hidden="1">
              <a:extLst>
                <a:ext uri="{63B3BB69-23CF-44E3-9099-C40C66FF867C}">
                  <a14:compatExt spid="_x0000_s716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Tammi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71682" name="Button 2" hidden="1">
              <a:extLst>
                <a:ext uri="{63B3BB69-23CF-44E3-9099-C40C66FF867C}">
                  <a14:compatExt spid="_x0000_s716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Tammi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71683" name="Button 3" hidden="1">
              <a:extLst>
                <a:ext uri="{63B3BB69-23CF-44E3-9099-C40C66FF867C}">
                  <a14:compatExt spid="_x0000_s716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Maalis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71684" name="Button 4" hidden="1">
              <a:extLst>
                <a:ext uri="{63B3BB69-23CF-44E3-9099-C40C66FF867C}">
                  <a14:compatExt spid="_x0000_s716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Huhti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71685" name="Button 5" hidden="1">
              <a:extLst>
                <a:ext uri="{63B3BB69-23CF-44E3-9099-C40C66FF867C}">
                  <a14:compatExt spid="_x0000_s716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Touko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71686" name="Button 6" hidden="1">
              <a:extLst>
                <a:ext uri="{63B3BB69-23CF-44E3-9099-C40C66FF867C}">
                  <a14:compatExt spid="_x0000_s716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Kesä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9525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71687" name="Button 7" hidden="1">
              <a:extLst>
                <a:ext uri="{63B3BB69-23CF-44E3-9099-C40C66FF867C}">
                  <a14:compatExt spid="_x0000_s716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Helmi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71688" name="Button 8" hidden="1">
              <a:extLst>
                <a:ext uri="{63B3BB69-23CF-44E3-9099-C40C66FF867C}">
                  <a14:compatExt spid="_x0000_s716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Heinä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71689" name="Button 9" hidden="1">
              <a:extLst>
                <a:ext uri="{63B3BB69-23CF-44E3-9099-C40C66FF867C}">
                  <a14:compatExt spid="_x0000_s716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Syys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71690" name="Button 10" hidden="1">
              <a:extLst>
                <a:ext uri="{63B3BB69-23CF-44E3-9099-C40C66FF867C}">
                  <a14:compatExt spid="_x0000_s716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Loka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71691" name="Button 11" hidden="1">
              <a:extLst>
                <a:ext uri="{63B3BB69-23CF-44E3-9099-C40C66FF867C}">
                  <a14:compatExt spid="_x0000_s716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Marras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71692" name="Button 12" hidden="1">
              <a:extLst>
                <a:ext uri="{63B3BB69-23CF-44E3-9099-C40C66FF867C}">
                  <a14:compatExt spid="_x0000_s716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Joulu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0</xdr:rowOff>
        </xdr:from>
        <xdr:to>
          <xdr:col>35</xdr:col>
          <xdr:colOff>0</xdr:colOff>
          <xdr:row>6</xdr:row>
          <xdr:rowOff>0</xdr:rowOff>
        </xdr:to>
        <xdr:sp macro="" textlink="">
          <xdr:nvSpPr>
            <xdr:cNvPr id="71693" name="Button 13" hidden="1">
              <a:extLst>
                <a:ext uri="{63B3BB69-23CF-44E3-9099-C40C66FF867C}">
                  <a14:compatExt spid="_x0000_s716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Elo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5</xdr:row>
          <xdr:rowOff>123825</xdr:rowOff>
        </xdr:to>
        <xdr:sp macro="" textlink="">
          <xdr:nvSpPr>
            <xdr:cNvPr id="71694" name="Button 14" hidden="1">
              <a:extLst>
                <a:ext uri="{63B3BB69-23CF-44E3-9099-C40C66FF867C}">
                  <a14:compatExt spid="_x0000_s716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Taulukko-yhteenveto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142875</xdr:rowOff>
        </xdr:from>
        <xdr:to>
          <xdr:col>35</xdr:col>
          <xdr:colOff>0</xdr:colOff>
          <xdr:row>12</xdr:row>
          <xdr:rowOff>19050</xdr:rowOff>
        </xdr:to>
        <xdr:sp macro="" textlink="">
          <xdr:nvSpPr>
            <xdr:cNvPr id="71695" name="Button 15" hidden="1">
              <a:extLst>
                <a:ext uri="{63B3BB69-23CF-44E3-9099-C40C66FF867C}">
                  <a14:compatExt spid="_x0000_s716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Yhteen-sä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152400</xdr:rowOff>
        </xdr:from>
        <xdr:to>
          <xdr:col>35</xdr:col>
          <xdr:colOff>0</xdr:colOff>
          <xdr:row>12</xdr:row>
          <xdr:rowOff>0</xdr:rowOff>
        </xdr:to>
        <xdr:sp macro="" textlink="">
          <xdr:nvSpPr>
            <xdr:cNvPr id="71696" name="Button 16" hidden="1">
              <a:extLst>
                <a:ext uri="{63B3BB69-23CF-44E3-9099-C40C66FF867C}">
                  <a14:compatExt spid="_x0000_s716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Vertailu edellis-vuoteen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142875</xdr:rowOff>
        </xdr:from>
        <xdr:to>
          <xdr:col>35</xdr:col>
          <xdr:colOff>0</xdr:colOff>
          <xdr:row>12</xdr:row>
          <xdr:rowOff>0</xdr:rowOff>
        </xdr:to>
        <xdr:sp macro="" textlink="">
          <xdr:nvSpPr>
            <xdr:cNvPr id="71697" name="Button 17" hidden="1">
              <a:extLst>
                <a:ext uri="{63B3BB69-23CF-44E3-9099-C40C66FF867C}">
                  <a14:compatExt spid="_x0000_s716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Käynnit tulosuun-nittain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152400</xdr:rowOff>
        </xdr:from>
        <xdr:to>
          <xdr:col>35</xdr:col>
          <xdr:colOff>0</xdr:colOff>
          <xdr:row>12</xdr:row>
          <xdr:rowOff>19050</xdr:rowOff>
        </xdr:to>
        <xdr:sp macro="" textlink="">
          <xdr:nvSpPr>
            <xdr:cNvPr id="71698" name="Button 18" hidden="1">
              <a:extLst>
                <a:ext uri="{63B3BB69-23CF-44E3-9099-C40C66FF867C}">
                  <a14:compatExt spid="_x0000_s716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Aikuiset lapset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152400</xdr:rowOff>
        </xdr:from>
        <xdr:to>
          <xdr:col>35</xdr:col>
          <xdr:colOff>0</xdr:colOff>
          <xdr:row>12</xdr:row>
          <xdr:rowOff>28575</xdr:rowOff>
        </xdr:to>
        <xdr:sp macro="" textlink="">
          <xdr:nvSpPr>
            <xdr:cNvPr id="71699" name="Button 19" hidden="1">
              <a:extLst>
                <a:ext uri="{63B3BB69-23CF-44E3-9099-C40C66FF867C}">
                  <a14:compatExt spid="_x0000_s716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Maksimi  minimi keskim.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12</xdr:row>
          <xdr:rowOff>19050</xdr:rowOff>
        </xdr:to>
        <xdr:sp macro="" textlink="">
          <xdr:nvSpPr>
            <xdr:cNvPr id="71700" name="Button 20" hidden="1">
              <a:extLst>
                <a:ext uri="{63B3BB69-23CF-44E3-9099-C40C66FF867C}">
                  <a14:compatExt spid="_x0000_s717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PALUU PÄÄ-   IKKUNAAN</a:t>
              </a:r>
            </a:p>
          </xdr:txBody>
        </xdr:sp>
        <xdr:clientData fPrintsWithSheet="0"/>
      </xdr:twoCellAnchor>
    </mc:Choice>
    <mc:Fallback/>
  </mc:AlternateContent>
</xdr:wsDr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0.04831</cdr:y>
    </cdr:to>
    <cdr:sp macro="" textlink="">
      <cdr:nvSpPr>
        <cdr:cNvPr id="72705" name="Teksti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91837" y="-43712"/>
          <a:ext cx="1666913" cy="19095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27432" bIns="18288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800" b="0" i="0" u="none" strike="noStrike" baseline="0">
              <a:solidFill>
                <a:srgbClr val="000000"/>
              </a:solidFill>
              <a:latin typeface="MS Sans Serif"/>
            </a:rPr>
            <a:t>KORKEASAAREN ELÄINTARHA</a:t>
          </a:r>
        </a:p>
      </cdr:txBody>
    </cdr:sp>
  </cdr:relSizeAnchor>
  <cdr:relSizeAnchor xmlns:cdr="http://schemas.openxmlformats.org/drawingml/2006/chartDrawing">
    <cdr:from>
      <cdr:x>0.4069</cdr:x>
      <cdr:y>0.27993</cdr:y>
    </cdr:from>
    <cdr:to>
      <cdr:x>0.9988</cdr:x>
      <cdr:y>0.32946</cdr:y>
    </cdr:to>
    <cdr:sp macro="" textlink="">
      <cdr:nvSpPr>
        <cdr:cNvPr id="72706" name="Teksti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01603" y="1109718"/>
          <a:ext cx="434118" cy="1957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wrap="none" lIns="18288" tIns="18288" rIns="18288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800" b="0" i="0" u="none" strike="noStrike" baseline="0">
              <a:solidFill>
                <a:srgbClr val="000000"/>
              </a:solidFill>
              <a:latin typeface="MS Sans Serif"/>
            </a:rPr>
            <a:t>KÄYNNIT TULOSUUNNITTAIN</a:t>
          </a:r>
        </a:p>
      </cdr:txBody>
    </cdr:sp>
  </cdr:relSizeAnchor>
  <cdr:relSizeAnchor xmlns:cdr="http://schemas.openxmlformats.org/drawingml/2006/chartDrawing">
    <cdr:from>
      <cdr:x>0.34359</cdr:x>
      <cdr:y>0</cdr:y>
    </cdr:from>
    <cdr:to>
      <cdr:x>0.48651</cdr:x>
      <cdr:y>0.06758</cdr:y>
    </cdr:to>
    <cdr:sp macro="" textlink="'N9'!$A$1">
      <cdr:nvSpPr>
        <cdr:cNvPr id="72707" name="Teksti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55176" y="-59142"/>
          <a:ext cx="104820" cy="26714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fld id="{A2AF2B9B-30FE-4F35-950A-E1F218FD618F}" type="TxLink">
            <a:rPr lang="fi-FI"/>
            <a:pPr/>
            <a:t> </a:t>
          </a:fld>
          <a:endParaRPr lang="fi-FI"/>
        </a:p>
      </cdr:txBody>
    </cdr:sp>
  </cdr:relSizeAnchor>
</c:userShapes>
</file>

<file path=xl/drawings/drawing27.xml><?xml version="1.0" encoding="utf-8"?>
<c:userShapes xmlns:c="http://schemas.openxmlformats.org/drawingml/2006/chart">
  <cdr:relSizeAnchor xmlns:cdr="http://schemas.openxmlformats.org/drawingml/2006/chartDrawing">
    <cdr:from>
      <cdr:x>0.19872</cdr:x>
      <cdr:y>0</cdr:y>
    </cdr:from>
    <cdr:to>
      <cdr:x>0.23309</cdr:x>
      <cdr:y>0.07509</cdr:y>
    </cdr:to>
    <cdr:sp macro="" textlink="">
      <cdr:nvSpPr>
        <cdr:cNvPr id="73729" name="Teksti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48919" y="-2650"/>
          <a:ext cx="25208" cy="19168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wrap="none" lIns="18288" tIns="18288" rIns="18288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600" b="0" i="0" u="none" strike="noStrike" baseline="0">
              <a:solidFill>
                <a:srgbClr val="000000"/>
              </a:solidFill>
              <a:latin typeface="MS Sans Serif"/>
            </a:rPr>
            <a:t>KORKEASAAREN ELÄINTARHA</a:t>
          </a:r>
        </a:p>
      </cdr:txBody>
    </cdr:sp>
  </cdr:relSizeAnchor>
  <cdr:relSizeAnchor xmlns:cdr="http://schemas.openxmlformats.org/drawingml/2006/chartDrawing">
    <cdr:from>
      <cdr:x>0.32184</cdr:x>
      <cdr:y>0.10024</cdr:y>
    </cdr:from>
    <cdr:to>
      <cdr:x>0.46476</cdr:x>
      <cdr:y>0.2047</cdr:y>
    </cdr:to>
    <cdr:sp macro="" textlink="'N9'!$A$1">
      <cdr:nvSpPr>
        <cdr:cNvPr id="73730" name="Teksti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39221" y="259069"/>
          <a:ext cx="104820" cy="26663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fld id="{32BE7461-632F-4B07-8094-CE2E8FDBCA57}" type="TxLink">
            <a:rPr lang="fi-FI"/>
            <a:pPr/>
            <a:t> </a:t>
          </a:fld>
          <a:endParaRPr lang="fi-FI"/>
        </a:p>
      </cdr:txBody>
    </cdr:sp>
  </cdr:relSizeAnchor>
  <cdr:relSizeAnchor xmlns:cdr="http://schemas.openxmlformats.org/drawingml/2006/chartDrawing">
    <cdr:from>
      <cdr:x>0.28573</cdr:x>
      <cdr:y>0</cdr:y>
    </cdr:from>
    <cdr:to>
      <cdr:x>0.67881</cdr:x>
      <cdr:y>0.06859</cdr:y>
    </cdr:to>
    <cdr:sp macro="" textlink="">
      <cdr:nvSpPr>
        <cdr:cNvPr id="73731" name="Teksti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12737" y="-10636"/>
          <a:ext cx="288295" cy="17509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wrap="none" lIns="9144" tIns="18288" rIns="9144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500" b="0" i="0" u="none" strike="noStrike" baseline="0">
              <a:solidFill>
                <a:srgbClr val="000000"/>
              </a:solidFill>
              <a:latin typeface="Small Fonts"/>
            </a:rPr>
            <a:t>KUUKAUDEN PÄIVITTÄISET MAKSIMI-, MINIMI- JA KESKIMÄÄRÄISET KÄVIJÄMÄÄRÄT</a:t>
          </a:r>
        </a:p>
      </cdr:txBody>
    </cdr:sp>
  </cdr:relSizeAnchor>
</c:userShapes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0</xdr:colOff>
      <xdr:row>11</xdr:row>
      <xdr:rowOff>19050</xdr:rowOff>
    </xdr:from>
    <xdr:to>
      <xdr:col>36</xdr:col>
      <xdr:colOff>0</xdr:colOff>
      <xdr:row>35</xdr:row>
      <xdr:rowOff>0</xdr:rowOff>
    </xdr:to>
    <xdr:graphicFrame macro="">
      <xdr:nvGraphicFramePr>
        <xdr:cNvPr id="74773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36</xdr:col>
      <xdr:colOff>0</xdr:colOff>
      <xdr:row>27</xdr:row>
      <xdr:rowOff>66675</xdr:rowOff>
    </xdr:from>
    <xdr:to>
      <xdr:col>36</xdr:col>
      <xdr:colOff>0</xdr:colOff>
      <xdr:row>40</xdr:row>
      <xdr:rowOff>57150</xdr:rowOff>
    </xdr:to>
    <xdr:graphicFrame macro="">
      <xdr:nvGraphicFramePr>
        <xdr:cNvPr id="74774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  <xdr:twoCellAnchor>
    <xdr:from>
      <xdr:col>36</xdr:col>
      <xdr:colOff>0</xdr:colOff>
      <xdr:row>41</xdr:row>
      <xdr:rowOff>0</xdr:rowOff>
    </xdr:from>
    <xdr:to>
      <xdr:col>36</xdr:col>
      <xdr:colOff>0</xdr:colOff>
      <xdr:row>46</xdr:row>
      <xdr:rowOff>142875</xdr:rowOff>
    </xdr:to>
    <xdr:graphicFrame macro="">
      <xdr:nvGraphicFramePr>
        <xdr:cNvPr id="7477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9525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74753" name="Button 1" hidden="1">
              <a:extLst>
                <a:ext uri="{63B3BB69-23CF-44E3-9099-C40C66FF867C}">
                  <a14:compatExt spid="_x0000_s747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Tammi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74754" name="Button 2" hidden="1">
              <a:extLst>
                <a:ext uri="{63B3BB69-23CF-44E3-9099-C40C66FF867C}">
                  <a14:compatExt spid="_x0000_s747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Tammi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74755" name="Button 3" hidden="1">
              <a:extLst>
                <a:ext uri="{63B3BB69-23CF-44E3-9099-C40C66FF867C}">
                  <a14:compatExt spid="_x0000_s747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Maalis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74756" name="Button 4" hidden="1">
              <a:extLst>
                <a:ext uri="{63B3BB69-23CF-44E3-9099-C40C66FF867C}">
                  <a14:compatExt spid="_x0000_s747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Huhti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74757" name="Button 5" hidden="1">
              <a:extLst>
                <a:ext uri="{63B3BB69-23CF-44E3-9099-C40C66FF867C}">
                  <a14:compatExt spid="_x0000_s747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Touko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74758" name="Button 6" hidden="1">
              <a:extLst>
                <a:ext uri="{63B3BB69-23CF-44E3-9099-C40C66FF867C}">
                  <a14:compatExt spid="_x0000_s747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Kesä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9525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74759" name="Button 7" hidden="1">
              <a:extLst>
                <a:ext uri="{63B3BB69-23CF-44E3-9099-C40C66FF867C}">
                  <a14:compatExt spid="_x0000_s747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Helmi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74760" name="Button 8" hidden="1">
              <a:extLst>
                <a:ext uri="{63B3BB69-23CF-44E3-9099-C40C66FF867C}">
                  <a14:compatExt spid="_x0000_s747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Heinä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74761" name="Button 9" hidden="1">
              <a:extLst>
                <a:ext uri="{63B3BB69-23CF-44E3-9099-C40C66FF867C}">
                  <a14:compatExt spid="_x0000_s747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Syys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74762" name="Button 10" hidden="1">
              <a:extLst>
                <a:ext uri="{63B3BB69-23CF-44E3-9099-C40C66FF867C}">
                  <a14:compatExt spid="_x0000_s747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Loka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74763" name="Button 11" hidden="1">
              <a:extLst>
                <a:ext uri="{63B3BB69-23CF-44E3-9099-C40C66FF867C}">
                  <a14:compatExt spid="_x0000_s747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Marras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74764" name="Button 12" hidden="1">
              <a:extLst>
                <a:ext uri="{63B3BB69-23CF-44E3-9099-C40C66FF867C}">
                  <a14:compatExt spid="_x0000_s747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Joulu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0</xdr:rowOff>
        </xdr:from>
        <xdr:to>
          <xdr:col>35</xdr:col>
          <xdr:colOff>0</xdr:colOff>
          <xdr:row>6</xdr:row>
          <xdr:rowOff>0</xdr:rowOff>
        </xdr:to>
        <xdr:sp macro="" textlink="">
          <xdr:nvSpPr>
            <xdr:cNvPr id="74765" name="Button 13" hidden="1">
              <a:extLst>
                <a:ext uri="{63B3BB69-23CF-44E3-9099-C40C66FF867C}">
                  <a14:compatExt spid="_x0000_s747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Elo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5</xdr:row>
          <xdr:rowOff>123825</xdr:rowOff>
        </xdr:to>
        <xdr:sp macro="" textlink="">
          <xdr:nvSpPr>
            <xdr:cNvPr id="74766" name="Button 14" hidden="1">
              <a:extLst>
                <a:ext uri="{63B3BB69-23CF-44E3-9099-C40C66FF867C}">
                  <a14:compatExt spid="_x0000_s747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Taulukko-yhteenveto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142875</xdr:rowOff>
        </xdr:from>
        <xdr:to>
          <xdr:col>35</xdr:col>
          <xdr:colOff>0</xdr:colOff>
          <xdr:row>12</xdr:row>
          <xdr:rowOff>19050</xdr:rowOff>
        </xdr:to>
        <xdr:sp macro="" textlink="">
          <xdr:nvSpPr>
            <xdr:cNvPr id="74767" name="Button 15" hidden="1">
              <a:extLst>
                <a:ext uri="{63B3BB69-23CF-44E3-9099-C40C66FF867C}">
                  <a14:compatExt spid="_x0000_s747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Yhteen-sä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152400</xdr:rowOff>
        </xdr:from>
        <xdr:to>
          <xdr:col>35</xdr:col>
          <xdr:colOff>0</xdr:colOff>
          <xdr:row>12</xdr:row>
          <xdr:rowOff>0</xdr:rowOff>
        </xdr:to>
        <xdr:sp macro="" textlink="">
          <xdr:nvSpPr>
            <xdr:cNvPr id="74768" name="Button 16" hidden="1">
              <a:extLst>
                <a:ext uri="{63B3BB69-23CF-44E3-9099-C40C66FF867C}">
                  <a14:compatExt spid="_x0000_s747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Vertailu edellis-vuoteen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142875</xdr:rowOff>
        </xdr:from>
        <xdr:to>
          <xdr:col>35</xdr:col>
          <xdr:colOff>0</xdr:colOff>
          <xdr:row>12</xdr:row>
          <xdr:rowOff>0</xdr:rowOff>
        </xdr:to>
        <xdr:sp macro="" textlink="">
          <xdr:nvSpPr>
            <xdr:cNvPr id="74769" name="Button 17" hidden="1">
              <a:extLst>
                <a:ext uri="{63B3BB69-23CF-44E3-9099-C40C66FF867C}">
                  <a14:compatExt spid="_x0000_s747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Käynnit tulosuun-nittain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152400</xdr:rowOff>
        </xdr:from>
        <xdr:to>
          <xdr:col>35</xdr:col>
          <xdr:colOff>0</xdr:colOff>
          <xdr:row>12</xdr:row>
          <xdr:rowOff>19050</xdr:rowOff>
        </xdr:to>
        <xdr:sp macro="" textlink="">
          <xdr:nvSpPr>
            <xdr:cNvPr id="74770" name="Button 18" hidden="1">
              <a:extLst>
                <a:ext uri="{63B3BB69-23CF-44E3-9099-C40C66FF867C}">
                  <a14:compatExt spid="_x0000_s747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Aikuiset lapset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152400</xdr:rowOff>
        </xdr:from>
        <xdr:to>
          <xdr:col>35</xdr:col>
          <xdr:colOff>0</xdr:colOff>
          <xdr:row>12</xdr:row>
          <xdr:rowOff>28575</xdr:rowOff>
        </xdr:to>
        <xdr:sp macro="" textlink="">
          <xdr:nvSpPr>
            <xdr:cNvPr id="74771" name="Button 19" hidden="1">
              <a:extLst>
                <a:ext uri="{63B3BB69-23CF-44E3-9099-C40C66FF867C}">
                  <a14:compatExt spid="_x0000_s747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Maksimi  minimi keskim.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12</xdr:row>
          <xdr:rowOff>19050</xdr:rowOff>
        </xdr:to>
        <xdr:sp macro="" textlink="">
          <xdr:nvSpPr>
            <xdr:cNvPr id="74772" name="Button 20" hidden="1">
              <a:extLst>
                <a:ext uri="{63B3BB69-23CF-44E3-9099-C40C66FF867C}">
                  <a14:compatExt spid="_x0000_s747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PALUU PÄÄ-   IKKUNAAN</a:t>
              </a:r>
            </a:p>
          </xdr:txBody>
        </xdr:sp>
        <xdr:clientData fPrintsWithSheet="0"/>
      </xdr:twoCellAnchor>
    </mc:Choice>
    <mc:Fallback/>
  </mc:AlternateContent>
</xdr:wsDr>
</file>

<file path=xl/drawings/drawing29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0.04831</cdr:y>
    </cdr:to>
    <cdr:sp macro="" textlink="">
      <cdr:nvSpPr>
        <cdr:cNvPr id="75777" name="Teksti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91837" y="-43712"/>
          <a:ext cx="1666913" cy="19095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27432" bIns="18288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800" b="0" i="0" u="none" strike="noStrike" baseline="0">
              <a:solidFill>
                <a:srgbClr val="000000"/>
              </a:solidFill>
              <a:latin typeface="MS Sans Serif"/>
            </a:rPr>
            <a:t>KORKEASAAREN ELÄINTARHA</a:t>
          </a:r>
        </a:p>
      </cdr:txBody>
    </cdr:sp>
  </cdr:relSizeAnchor>
  <cdr:relSizeAnchor xmlns:cdr="http://schemas.openxmlformats.org/drawingml/2006/chartDrawing">
    <cdr:from>
      <cdr:x>0.4069</cdr:x>
      <cdr:y>0.27993</cdr:y>
    </cdr:from>
    <cdr:to>
      <cdr:x>0.9988</cdr:x>
      <cdr:y>0.32946</cdr:y>
    </cdr:to>
    <cdr:sp macro="" textlink="">
      <cdr:nvSpPr>
        <cdr:cNvPr id="75778" name="Teksti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01603" y="1109718"/>
          <a:ext cx="434118" cy="1957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wrap="none" lIns="18288" tIns="18288" rIns="18288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800" b="0" i="0" u="none" strike="noStrike" baseline="0">
              <a:solidFill>
                <a:srgbClr val="000000"/>
              </a:solidFill>
              <a:latin typeface="MS Sans Serif"/>
            </a:rPr>
            <a:t>KÄYNNIT TULOSUUNNITTAIN</a:t>
          </a:r>
        </a:p>
      </cdr:txBody>
    </cdr:sp>
  </cdr:relSizeAnchor>
  <cdr:relSizeAnchor xmlns:cdr="http://schemas.openxmlformats.org/drawingml/2006/chartDrawing">
    <cdr:from>
      <cdr:x>0.34359</cdr:x>
      <cdr:y>0</cdr:y>
    </cdr:from>
    <cdr:to>
      <cdr:x>0.48651</cdr:x>
      <cdr:y>0.06758</cdr:y>
    </cdr:to>
    <cdr:sp macro="" textlink="'N10'!$A$1">
      <cdr:nvSpPr>
        <cdr:cNvPr id="75779" name="Teksti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55176" y="-63000"/>
          <a:ext cx="104820" cy="26714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fld id="{52750756-C351-416F-A87C-D32523A2A85D}" type="TxLink">
            <a:rPr lang="fi-FI"/>
            <a:pPr/>
            <a:t> </a:t>
          </a:fld>
          <a:endParaRPr lang="fi-FI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0.19719</cdr:x>
      <cdr:y>0</cdr:y>
    </cdr:from>
    <cdr:to>
      <cdr:x>0.22895</cdr:x>
      <cdr:y>0.07581</cdr:y>
    </cdr:to>
    <cdr:sp macro="" textlink="">
      <cdr:nvSpPr>
        <cdr:cNvPr id="3073" name="Teksti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47803" y="-4493"/>
          <a:ext cx="23293" cy="1935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wrap="none" lIns="18288" tIns="18288" rIns="18288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600" b="0" i="0" u="none" strike="noStrike" baseline="0">
              <a:solidFill>
                <a:srgbClr val="000000"/>
              </a:solidFill>
              <a:latin typeface="MS Sans Serif"/>
            </a:rPr>
            <a:t>KORKEASAAREN ELÄINTARHA</a:t>
          </a:r>
        </a:p>
      </cdr:txBody>
    </cdr:sp>
  </cdr:relSizeAnchor>
  <cdr:relSizeAnchor xmlns:cdr="http://schemas.openxmlformats.org/drawingml/2006/chartDrawing">
    <cdr:from>
      <cdr:x>0.30879</cdr:x>
      <cdr:y>0.10024</cdr:y>
    </cdr:from>
    <cdr:to>
      <cdr:x>0.45171</cdr:x>
      <cdr:y>0.2047</cdr:y>
    </cdr:to>
    <cdr:sp macro="" textlink="'N1'!$A$1">
      <cdr:nvSpPr>
        <cdr:cNvPr id="3074" name="Teksti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29649" y="259069"/>
          <a:ext cx="104820" cy="26663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fld id="{5E1B4620-E96A-4D2C-AA61-9705B7BB6F36}" type="TxLink">
            <a:rPr lang="fi-FI" sz="1200" b="1" i="0" u="none" strike="noStrike">
              <a:solidFill>
                <a:srgbClr val="000000"/>
              </a:solidFill>
              <a:latin typeface="Courier New"/>
              <a:cs typeface="Courier New"/>
            </a:rPr>
            <a:pPr/>
            <a:t> </a:t>
          </a:fld>
          <a:endParaRPr lang="fi-FI"/>
        </a:p>
      </cdr:txBody>
    </cdr:sp>
  </cdr:relSizeAnchor>
  <cdr:relSizeAnchor xmlns:cdr="http://schemas.openxmlformats.org/drawingml/2006/chartDrawing">
    <cdr:from>
      <cdr:x>0.27725</cdr:x>
      <cdr:y>0</cdr:y>
    </cdr:from>
    <cdr:to>
      <cdr:x>0.67316</cdr:x>
      <cdr:y>0.06955</cdr:y>
    </cdr:to>
    <cdr:sp macro="" textlink="">
      <cdr:nvSpPr>
        <cdr:cNvPr id="3075" name="Teksti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06515" y="-13094"/>
          <a:ext cx="290369" cy="17755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wrap="none" lIns="9144" tIns="18288" rIns="9144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500" b="0" i="0" u="none" strike="noStrike" baseline="0">
              <a:solidFill>
                <a:srgbClr val="000000"/>
              </a:solidFill>
              <a:latin typeface="Small Fonts"/>
            </a:rPr>
            <a:t>KUUKAUDEN PÄIVITTÄISET MAKSIMI-, MINIMI- JA KESKIMÄÄRÄISET KÄVIJÄMÄÄRÄT</a:t>
          </a:r>
        </a:p>
      </cdr:txBody>
    </cdr:sp>
  </cdr:relSizeAnchor>
</c:userShapes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0.19872</cdr:x>
      <cdr:y>0</cdr:y>
    </cdr:from>
    <cdr:to>
      <cdr:x>0.23309</cdr:x>
      <cdr:y>0.07485</cdr:y>
    </cdr:to>
    <cdr:sp macro="" textlink="">
      <cdr:nvSpPr>
        <cdr:cNvPr id="76801" name="Teksti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48919" y="-2035"/>
          <a:ext cx="25208" cy="19106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wrap="none" lIns="18288" tIns="18288" rIns="18288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600" b="0" i="0" u="none" strike="noStrike" baseline="0">
              <a:solidFill>
                <a:srgbClr val="000000"/>
              </a:solidFill>
              <a:latin typeface="MS Sans Serif"/>
            </a:rPr>
            <a:t>KORKEASAAREN ELÄINTARHA</a:t>
          </a:r>
        </a:p>
      </cdr:txBody>
    </cdr:sp>
  </cdr:relSizeAnchor>
  <cdr:relSizeAnchor xmlns:cdr="http://schemas.openxmlformats.org/drawingml/2006/chartDrawing">
    <cdr:from>
      <cdr:x>0.32184</cdr:x>
      <cdr:y>0.10024</cdr:y>
    </cdr:from>
    <cdr:to>
      <cdr:x>0.46476</cdr:x>
      <cdr:y>0.2047</cdr:y>
    </cdr:to>
    <cdr:sp macro="" textlink="'N10'!$A$1">
      <cdr:nvSpPr>
        <cdr:cNvPr id="76802" name="Teksti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39221" y="259069"/>
          <a:ext cx="104820" cy="26663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fld id="{50EDC1AE-3EF1-408A-9F1F-8553FABC191E}" type="TxLink">
            <a:rPr lang="fi-FI"/>
            <a:pPr/>
            <a:t> </a:t>
          </a:fld>
          <a:endParaRPr lang="fi-FI"/>
        </a:p>
      </cdr:txBody>
    </cdr:sp>
  </cdr:relSizeAnchor>
  <cdr:relSizeAnchor xmlns:cdr="http://schemas.openxmlformats.org/drawingml/2006/chartDrawing">
    <cdr:from>
      <cdr:x>0.28573</cdr:x>
      <cdr:y>0</cdr:y>
    </cdr:from>
    <cdr:to>
      <cdr:x>0.67881</cdr:x>
      <cdr:y>0.06859</cdr:y>
    </cdr:to>
    <cdr:sp macro="" textlink="">
      <cdr:nvSpPr>
        <cdr:cNvPr id="76803" name="Teksti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12737" y="-10636"/>
          <a:ext cx="288295" cy="17509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wrap="none" lIns="9144" tIns="18288" rIns="9144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500" b="0" i="0" u="none" strike="noStrike" baseline="0">
              <a:solidFill>
                <a:srgbClr val="000000"/>
              </a:solidFill>
              <a:latin typeface="Small Fonts"/>
            </a:rPr>
            <a:t>KUUKAUDEN PÄIVITTÄISET MAKSIMI-, MINIMI- JA KESKIMÄÄRÄISET KÄVIJÄMÄÄRÄT</a:t>
          </a:r>
        </a:p>
      </cdr:txBody>
    </cdr:sp>
  </cdr:relSizeAnchor>
</c:userShapes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0</xdr:colOff>
      <xdr:row>11</xdr:row>
      <xdr:rowOff>19050</xdr:rowOff>
    </xdr:from>
    <xdr:to>
      <xdr:col>36</xdr:col>
      <xdr:colOff>0</xdr:colOff>
      <xdr:row>35</xdr:row>
      <xdr:rowOff>0</xdr:rowOff>
    </xdr:to>
    <xdr:graphicFrame macro="">
      <xdr:nvGraphicFramePr>
        <xdr:cNvPr id="77845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36</xdr:col>
      <xdr:colOff>0</xdr:colOff>
      <xdr:row>27</xdr:row>
      <xdr:rowOff>66675</xdr:rowOff>
    </xdr:from>
    <xdr:to>
      <xdr:col>36</xdr:col>
      <xdr:colOff>0</xdr:colOff>
      <xdr:row>40</xdr:row>
      <xdr:rowOff>57150</xdr:rowOff>
    </xdr:to>
    <xdr:graphicFrame macro="">
      <xdr:nvGraphicFramePr>
        <xdr:cNvPr id="77846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  <xdr:twoCellAnchor>
    <xdr:from>
      <xdr:col>36</xdr:col>
      <xdr:colOff>0</xdr:colOff>
      <xdr:row>41</xdr:row>
      <xdr:rowOff>0</xdr:rowOff>
    </xdr:from>
    <xdr:to>
      <xdr:col>36</xdr:col>
      <xdr:colOff>0</xdr:colOff>
      <xdr:row>46</xdr:row>
      <xdr:rowOff>142875</xdr:rowOff>
    </xdr:to>
    <xdr:graphicFrame macro="">
      <xdr:nvGraphicFramePr>
        <xdr:cNvPr id="77847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9525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77825" name="Button 1" hidden="1">
              <a:extLst>
                <a:ext uri="{63B3BB69-23CF-44E3-9099-C40C66FF867C}">
                  <a14:compatExt spid="_x0000_s778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Tammi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77826" name="Button 2" hidden="1">
              <a:extLst>
                <a:ext uri="{63B3BB69-23CF-44E3-9099-C40C66FF867C}">
                  <a14:compatExt spid="_x0000_s778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Tammi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77827" name="Button 3" hidden="1">
              <a:extLst>
                <a:ext uri="{63B3BB69-23CF-44E3-9099-C40C66FF867C}">
                  <a14:compatExt spid="_x0000_s778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Maalis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77828" name="Button 4" hidden="1">
              <a:extLst>
                <a:ext uri="{63B3BB69-23CF-44E3-9099-C40C66FF867C}">
                  <a14:compatExt spid="_x0000_s778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Huhti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77829" name="Button 5" hidden="1">
              <a:extLst>
                <a:ext uri="{63B3BB69-23CF-44E3-9099-C40C66FF867C}">
                  <a14:compatExt spid="_x0000_s778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Touko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77830" name="Button 6" hidden="1">
              <a:extLst>
                <a:ext uri="{63B3BB69-23CF-44E3-9099-C40C66FF867C}">
                  <a14:compatExt spid="_x0000_s778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Kesä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9525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77831" name="Button 7" hidden="1">
              <a:extLst>
                <a:ext uri="{63B3BB69-23CF-44E3-9099-C40C66FF867C}">
                  <a14:compatExt spid="_x0000_s778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Helmi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77832" name="Button 8" hidden="1">
              <a:extLst>
                <a:ext uri="{63B3BB69-23CF-44E3-9099-C40C66FF867C}">
                  <a14:compatExt spid="_x0000_s778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Heinä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77833" name="Button 9" hidden="1">
              <a:extLst>
                <a:ext uri="{63B3BB69-23CF-44E3-9099-C40C66FF867C}">
                  <a14:compatExt spid="_x0000_s778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Syys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77834" name="Button 10" hidden="1">
              <a:extLst>
                <a:ext uri="{63B3BB69-23CF-44E3-9099-C40C66FF867C}">
                  <a14:compatExt spid="_x0000_s778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Loka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77835" name="Button 11" hidden="1">
              <a:extLst>
                <a:ext uri="{63B3BB69-23CF-44E3-9099-C40C66FF867C}">
                  <a14:compatExt spid="_x0000_s778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Marras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77836" name="Button 12" hidden="1">
              <a:extLst>
                <a:ext uri="{63B3BB69-23CF-44E3-9099-C40C66FF867C}">
                  <a14:compatExt spid="_x0000_s778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Joulu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0</xdr:rowOff>
        </xdr:from>
        <xdr:to>
          <xdr:col>35</xdr:col>
          <xdr:colOff>0</xdr:colOff>
          <xdr:row>6</xdr:row>
          <xdr:rowOff>0</xdr:rowOff>
        </xdr:to>
        <xdr:sp macro="" textlink="">
          <xdr:nvSpPr>
            <xdr:cNvPr id="77837" name="Button 13" hidden="1">
              <a:extLst>
                <a:ext uri="{63B3BB69-23CF-44E3-9099-C40C66FF867C}">
                  <a14:compatExt spid="_x0000_s778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Elo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5</xdr:row>
          <xdr:rowOff>123825</xdr:rowOff>
        </xdr:to>
        <xdr:sp macro="" textlink="">
          <xdr:nvSpPr>
            <xdr:cNvPr id="77838" name="Button 14" hidden="1">
              <a:extLst>
                <a:ext uri="{63B3BB69-23CF-44E3-9099-C40C66FF867C}">
                  <a14:compatExt spid="_x0000_s778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Taulukko-yhteenveto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142875</xdr:rowOff>
        </xdr:from>
        <xdr:to>
          <xdr:col>35</xdr:col>
          <xdr:colOff>0</xdr:colOff>
          <xdr:row>12</xdr:row>
          <xdr:rowOff>19050</xdr:rowOff>
        </xdr:to>
        <xdr:sp macro="" textlink="">
          <xdr:nvSpPr>
            <xdr:cNvPr id="77839" name="Button 15" hidden="1">
              <a:extLst>
                <a:ext uri="{63B3BB69-23CF-44E3-9099-C40C66FF867C}">
                  <a14:compatExt spid="_x0000_s778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Yhteen-sä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152400</xdr:rowOff>
        </xdr:from>
        <xdr:to>
          <xdr:col>35</xdr:col>
          <xdr:colOff>0</xdr:colOff>
          <xdr:row>12</xdr:row>
          <xdr:rowOff>0</xdr:rowOff>
        </xdr:to>
        <xdr:sp macro="" textlink="">
          <xdr:nvSpPr>
            <xdr:cNvPr id="77840" name="Button 16" hidden="1">
              <a:extLst>
                <a:ext uri="{63B3BB69-23CF-44E3-9099-C40C66FF867C}">
                  <a14:compatExt spid="_x0000_s778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Vertailu edellis-vuoteen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142875</xdr:rowOff>
        </xdr:from>
        <xdr:to>
          <xdr:col>35</xdr:col>
          <xdr:colOff>0</xdr:colOff>
          <xdr:row>12</xdr:row>
          <xdr:rowOff>0</xdr:rowOff>
        </xdr:to>
        <xdr:sp macro="" textlink="">
          <xdr:nvSpPr>
            <xdr:cNvPr id="77841" name="Button 17" hidden="1">
              <a:extLst>
                <a:ext uri="{63B3BB69-23CF-44E3-9099-C40C66FF867C}">
                  <a14:compatExt spid="_x0000_s778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Käynnit tulosuun-nittain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152400</xdr:rowOff>
        </xdr:from>
        <xdr:to>
          <xdr:col>35</xdr:col>
          <xdr:colOff>0</xdr:colOff>
          <xdr:row>12</xdr:row>
          <xdr:rowOff>19050</xdr:rowOff>
        </xdr:to>
        <xdr:sp macro="" textlink="">
          <xdr:nvSpPr>
            <xdr:cNvPr id="77842" name="Button 18" hidden="1">
              <a:extLst>
                <a:ext uri="{63B3BB69-23CF-44E3-9099-C40C66FF867C}">
                  <a14:compatExt spid="_x0000_s778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Aikuiset lapset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152400</xdr:rowOff>
        </xdr:from>
        <xdr:to>
          <xdr:col>35</xdr:col>
          <xdr:colOff>0</xdr:colOff>
          <xdr:row>12</xdr:row>
          <xdr:rowOff>28575</xdr:rowOff>
        </xdr:to>
        <xdr:sp macro="" textlink="">
          <xdr:nvSpPr>
            <xdr:cNvPr id="77843" name="Button 19" hidden="1">
              <a:extLst>
                <a:ext uri="{63B3BB69-23CF-44E3-9099-C40C66FF867C}">
                  <a14:compatExt spid="_x0000_s778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Maksimi  minimi keskim.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12</xdr:row>
          <xdr:rowOff>19050</xdr:rowOff>
        </xdr:to>
        <xdr:sp macro="" textlink="">
          <xdr:nvSpPr>
            <xdr:cNvPr id="77844" name="Button 20" hidden="1">
              <a:extLst>
                <a:ext uri="{63B3BB69-23CF-44E3-9099-C40C66FF867C}">
                  <a14:compatExt spid="_x0000_s778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PALUU PÄÄ-   IKKUNAAN</a:t>
              </a:r>
            </a:p>
          </xdr:txBody>
        </xdr:sp>
        <xdr:clientData fPrintsWithSheet="0"/>
      </xdr:twoCellAnchor>
    </mc:Choice>
    <mc:Fallback/>
  </mc:AlternateContent>
</xdr:wsDr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0.04831</cdr:y>
    </cdr:to>
    <cdr:sp macro="" textlink="">
      <cdr:nvSpPr>
        <cdr:cNvPr id="78849" name="Teksti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91837" y="-34068"/>
          <a:ext cx="1666913" cy="19095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27432" bIns="18288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800" b="0" i="0" u="none" strike="noStrike" baseline="0">
              <a:solidFill>
                <a:srgbClr val="000000"/>
              </a:solidFill>
              <a:latin typeface="MS Sans Serif"/>
            </a:rPr>
            <a:t>KORKEASAAREN ELÄINTARHA</a:t>
          </a:r>
        </a:p>
      </cdr:txBody>
    </cdr:sp>
  </cdr:relSizeAnchor>
  <cdr:relSizeAnchor xmlns:cdr="http://schemas.openxmlformats.org/drawingml/2006/chartDrawing">
    <cdr:from>
      <cdr:x>0.4069</cdr:x>
      <cdr:y>0.27823</cdr:y>
    </cdr:from>
    <cdr:to>
      <cdr:x>0.9988</cdr:x>
      <cdr:y>0.32775</cdr:y>
    </cdr:to>
    <cdr:sp macro="" textlink="">
      <cdr:nvSpPr>
        <cdr:cNvPr id="78850" name="Teksti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01603" y="1102967"/>
          <a:ext cx="434118" cy="1957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wrap="none" lIns="18288" tIns="18288" rIns="18288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800" b="0" i="0" u="none" strike="noStrike" baseline="0">
              <a:solidFill>
                <a:srgbClr val="000000"/>
              </a:solidFill>
              <a:latin typeface="MS Sans Serif"/>
            </a:rPr>
            <a:t>KÄYNNIT TULOSUUNNITTAIN</a:t>
          </a:r>
        </a:p>
      </cdr:txBody>
    </cdr:sp>
  </cdr:relSizeAnchor>
  <cdr:relSizeAnchor xmlns:cdr="http://schemas.openxmlformats.org/drawingml/2006/chartDrawing">
    <cdr:from>
      <cdr:x>0.34359</cdr:x>
      <cdr:y>0</cdr:y>
    </cdr:from>
    <cdr:to>
      <cdr:x>0.48651</cdr:x>
      <cdr:y>0.06758</cdr:y>
    </cdr:to>
    <cdr:sp macro="" textlink="'N11'!$A$1">
      <cdr:nvSpPr>
        <cdr:cNvPr id="78851" name="Teksti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55176" y="-51427"/>
          <a:ext cx="104820" cy="26714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fld id="{5CBA9F52-3176-4E0F-8FFB-1729A82D8FCC}" type="TxLink">
            <a:rPr lang="fi-FI"/>
            <a:pPr/>
            <a:t> </a:t>
          </a:fld>
          <a:endParaRPr lang="fi-FI"/>
        </a:p>
      </cdr:txBody>
    </cdr:sp>
  </cdr:relSizeAnchor>
</c:userShapes>
</file>

<file path=xl/drawings/drawing33.xml><?xml version="1.0" encoding="utf-8"?>
<c:userShapes xmlns:c="http://schemas.openxmlformats.org/drawingml/2006/chart">
  <cdr:relSizeAnchor xmlns:cdr="http://schemas.openxmlformats.org/drawingml/2006/chartDrawing">
    <cdr:from>
      <cdr:x>0.19872</cdr:x>
      <cdr:y>0</cdr:y>
    </cdr:from>
    <cdr:to>
      <cdr:x>0.23309</cdr:x>
      <cdr:y>0.07485</cdr:y>
    </cdr:to>
    <cdr:sp macro="" textlink="">
      <cdr:nvSpPr>
        <cdr:cNvPr id="79873" name="Teksti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48919" y="-2035"/>
          <a:ext cx="25208" cy="19106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wrap="none" lIns="18288" tIns="18288" rIns="18288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600" b="0" i="0" u="none" strike="noStrike" baseline="0">
              <a:solidFill>
                <a:srgbClr val="000000"/>
              </a:solidFill>
              <a:latin typeface="MS Sans Serif"/>
            </a:rPr>
            <a:t>KORKEASAAREN ELÄINTARHA</a:t>
          </a:r>
        </a:p>
      </cdr:txBody>
    </cdr:sp>
  </cdr:relSizeAnchor>
  <cdr:relSizeAnchor xmlns:cdr="http://schemas.openxmlformats.org/drawingml/2006/chartDrawing">
    <cdr:from>
      <cdr:x>0.32184</cdr:x>
      <cdr:y>0.10024</cdr:y>
    </cdr:from>
    <cdr:to>
      <cdr:x>0.46476</cdr:x>
      <cdr:y>0.2047</cdr:y>
    </cdr:to>
    <cdr:sp macro="" textlink="'N11'!$A$1">
      <cdr:nvSpPr>
        <cdr:cNvPr id="79874" name="Teksti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39221" y="259069"/>
          <a:ext cx="104820" cy="26663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fld id="{D749AC36-3072-4E7C-99B5-D09E2885237E}" type="TxLink">
            <a:rPr lang="fi-FI"/>
            <a:pPr/>
            <a:t> </a:t>
          </a:fld>
          <a:endParaRPr lang="fi-FI"/>
        </a:p>
      </cdr:txBody>
    </cdr:sp>
  </cdr:relSizeAnchor>
  <cdr:relSizeAnchor xmlns:cdr="http://schemas.openxmlformats.org/drawingml/2006/chartDrawing">
    <cdr:from>
      <cdr:x>0.28573</cdr:x>
      <cdr:y>0</cdr:y>
    </cdr:from>
    <cdr:to>
      <cdr:x>0.67881</cdr:x>
      <cdr:y>0.06955</cdr:y>
    </cdr:to>
    <cdr:sp macro="" textlink="">
      <cdr:nvSpPr>
        <cdr:cNvPr id="79875" name="Teksti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12737" y="-13094"/>
          <a:ext cx="288295" cy="17755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wrap="none" lIns="9144" tIns="18288" rIns="9144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500" b="0" i="0" u="none" strike="noStrike" baseline="0">
              <a:solidFill>
                <a:srgbClr val="000000"/>
              </a:solidFill>
              <a:latin typeface="Small Fonts"/>
            </a:rPr>
            <a:t>KUUKAUDEN PÄIVITTÄISET MAKSIMI-, MINIMI- JA KESKIMÄÄRÄISET KÄVIJÄMÄÄRÄT</a:t>
          </a:r>
        </a:p>
      </cdr:txBody>
    </cdr:sp>
  </cdr:relSizeAnchor>
</c:userShapes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0</xdr:colOff>
      <xdr:row>11</xdr:row>
      <xdr:rowOff>19050</xdr:rowOff>
    </xdr:from>
    <xdr:to>
      <xdr:col>36</xdr:col>
      <xdr:colOff>0</xdr:colOff>
      <xdr:row>35</xdr:row>
      <xdr:rowOff>0</xdr:rowOff>
    </xdr:to>
    <xdr:graphicFrame macro="">
      <xdr:nvGraphicFramePr>
        <xdr:cNvPr id="8091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36</xdr:col>
      <xdr:colOff>0</xdr:colOff>
      <xdr:row>27</xdr:row>
      <xdr:rowOff>66675</xdr:rowOff>
    </xdr:from>
    <xdr:to>
      <xdr:col>36</xdr:col>
      <xdr:colOff>0</xdr:colOff>
      <xdr:row>40</xdr:row>
      <xdr:rowOff>57150</xdr:rowOff>
    </xdr:to>
    <xdr:graphicFrame macro="">
      <xdr:nvGraphicFramePr>
        <xdr:cNvPr id="80918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  <xdr:twoCellAnchor>
    <xdr:from>
      <xdr:col>36</xdr:col>
      <xdr:colOff>0</xdr:colOff>
      <xdr:row>41</xdr:row>
      <xdr:rowOff>0</xdr:rowOff>
    </xdr:from>
    <xdr:to>
      <xdr:col>36</xdr:col>
      <xdr:colOff>0</xdr:colOff>
      <xdr:row>46</xdr:row>
      <xdr:rowOff>142875</xdr:rowOff>
    </xdr:to>
    <xdr:graphicFrame macro="">
      <xdr:nvGraphicFramePr>
        <xdr:cNvPr id="80919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9525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80897" name="Button 1" hidden="1">
              <a:extLst>
                <a:ext uri="{63B3BB69-23CF-44E3-9099-C40C66FF867C}">
                  <a14:compatExt spid="_x0000_s808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Tammi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80898" name="Button 2" hidden="1">
              <a:extLst>
                <a:ext uri="{63B3BB69-23CF-44E3-9099-C40C66FF867C}">
                  <a14:compatExt spid="_x0000_s808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Tammi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80899" name="Button 3" hidden="1">
              <a:extLst>
                <a:ext uri="{63B3BB69-23CF-44E3-9099-C40C66FF867C}">
                  <a14:compatExt spid="_x0000_s808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Maalis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80900" name="Button 4" hidden="1">
              <a:extLst>
                <a:ext uri="{63B3BB69-23CF-44E3-9099-C40C66FF867C}">
                  <a14:compatExt spid="_x0000_s809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Huhti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80901" name="Button 5" hidden="1">
              <a:extLst>
                <a:ext uri="{63B3BB69-23CF-44E3-9099-C40C66FF867C}">
                  <a14:compatExt spid="_x0000_s809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Touko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80902" name="Button 6" hidden="1">
              <a:extLst>
                <a:ext uri="{63B3BB69-23CF-44E3-9099-C40C66FF867C}">
                  <a14:compatExt spid="_x0000_s809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Kesä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9525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80903" name="Button 7" hidden="1">
              <a:extLst>
                <a:ext uri="{63B3BB69-23CF-44E3-9099-C40C66FF867C}">
                  <a14:compatExt spid="_x0000_s809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Helmi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80904" name="Button 8" hidden="1">
              <a:extLst>
                <a:ext uri="{63B3BB69-23CF-44E3-9099-C40C66FF867C}">
                  <a14:compatExt spid="_x0000_s809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Heinä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80905" name="Button 9" hidden="1">
              <a:extLst>
                <a:ext uri="{63B3BB69-23CF-44E3-9099-C40C66FF867C}">
                  <a14:compatExt spid="_x0000_s809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Syys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80906" name="Button 10" hidden="1">
              <a:extLst>
                <a:ext uri="{63B3BB69-23CF-44E3-9099-C40C66FF867C}">
                  <a14:compatExt spid="_x0000_s809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Loka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80907" name="Button 11" hidden="1">
              <a:extLst>
                <a:ext uri="{63B3BB69-23CF-44E3-9099-C40C66FF867C}">
                  <a14:compatExt spid="_x0000_s809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Marras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80908" name="Button 12" hidden="1">
              <a:extLst>
                <a:ext uri="{63B3BB69-23CF-44E3-9099-C40C66FF867C}">
                  <a14:compatExt spid="_x0000_s809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Joulu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0</xdr:rowOff>
        </xdr:from>
        <xdr:to>
          <xdr:col>35</xdr:col>
          <xdr:colOff>0</xdr:colOff>
          <xdr:row>6</xdr:row>
          <xdr:rowOff>0</xdr:rowOff>
        </xdr:to>
        <xdr:sp macro="" textlink="">
          <xdr:nvSpPr>
            <xdr:cNvPr id="80909" name="Button 13" hidden="1">
              <a:extLst>
                <a:ext uri="{63B3BB69-23CF-44E3-9099-C40C66FF867C}">
                  <a14:compatExt spid="_x0000_s809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Elo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5</xdr:row>
          <xdr:rowOff>123825</xdr:rowOff>
        </xdr:to>
        <xdr:sp macro="" textlink="">
          <xdr:nvSpPr>
            <xdr:cNvPr id="80910" name="Button 14" hidden="1">
              <a:extLst>
                <a:ext uri="{63B3BB69-23CF-44E3-9099-C40C66FF867C}">
                  <a14:compatExt spid="_x0000_s809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Taulukko-yhteenveto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142875</xdr:rowOff>
        </xdr:from>
        <xdr:to>
          <xdr:col>35</xdr:col>
          <xdr:colOff>0</xdr:colOff>
          <xdr:row>12</xdr:row>
          <xdr:rowOff>19050</xdr:rowOff>
        </xdr:to>
        <xdr:sp macro="" textlink="">
          <xdr:nvSpPr>
            <xdr:cNvPr id="80911" name="Button 15" hidden="1">
              <a:extLst>
                <a:ext uri="{63B3BB69-23CF-44E3-9099-C40C66FF867C}">
                  <a14:compatExt spid="_x0000_s809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Yhteen-sä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152400</xdr:rowOff>
        </xdr:from>
        <xdr:to>
          <xdr:col>35</xdr:col>
          <xdr:colOff>0</xdr:colOff>
          <xdr:row>12</xdr:row>
          <xdr:rowOff>0</xdr:rowOff>
        </xdr:to>
        <xdr:sp macro="" textlink="">
          <xdr:nvSpPr>
            <xdr:cNvPr id="80912" name="Button 16" hidden="1">
              <a:extLst>
                <a:ext uri="{63B3BB69-23CF-44E3-9099-C40C66FF867C}">
                  <a14:compatExt spid="_x0000_s809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Vertailu edellis-vuoteen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142875</xdr:rowOff>
        </xdr:from>
        <xdr:to>
          <xdr:col>35</xdr:col>
          <xdr:colOff>0</xdr:colOff>
          <xdr:row>12</xdr:row>
          <xdr:rowOff>0</xdr:rowOff>
        </xdr:to>
        <xdr:sp macro="" textlink="">
          <xdr:nvSpPr>
            <xdr:cNvPr id="80913" name="Button 17" hidden="1">
              <a:extLst>
                <a:ext uri="{63B3BB69-23CF-44E3-9099-C40C66FF867C}">
                  <a14:compatExt spid="_x0000_s809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Käynnit tulosuun-nittain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152400</xdr:rowOff>
        </xdr:from>
        <xdr:to>
          <xdr:col>35</xdr:col>
          <xdr:colOff>0</xdr:colOff>
          <xdr:row>12</xdr:row>
          <xdr:rowOff>19050</xdr:rowOff>
        </xdr:to>
        <xdr:sp macro="" textlink="">
          <xdr:nvSpPr>
            <xdr:cNvPr id="80914" name="Button 18" hidden="1">
              <a:extLst>
                <a:ext uri="{63B3BB69-23CF-44E3-9099-C40C66FF867C}">
                  <a14:compatExt spid="_x0000_s809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Aikuiset lapset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152400</xdr:rowOff>
        </xdr:from>
        <xdr:to>
          <xdr:col>35</xdr:col>
          <xdr:colOff>0</xdr:colOff>
          <xdr:row>12</xdr:row>
          <xdr:rowOff>28575</xdr:rowOff>
        </xdr:to>
        <xdr:sp macro="" textlink="">
          <xdr:nvSpPr>
            <xdr:cNvPr id="80915" name="Button 19" hidden="1">
              <a:extLst>
                <a:ext uri="{63B3BB69-23CF-44E3-9099-C40C66FF867C}">
                  <a14:compatExt spid="_x0000_s809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Maksimi  minimi keskim.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12</xdr:row>
          <xdr:rowOff>19050</xdr:rowOff>
        </xdr:to>
        <xdr:sp macro="" textlink="">
          <xdr:nvSpPr>
            <xdr:cNvPr id="80916" name="Button 20" hidden="1">
              <a:extLst>
                <a:ext uri="{63B3BB69-23CF-44E3-9099-C40C66FF867C}">
                  <a14:compatExt spid="_x0000_s809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PALUU PÄÄ-   IKKUNAAN</a:t>
              </a:r>
            </a:p>
          </xdr:txBody>
        </xdr:sp>
        <xdr:clientData fPrintsWithSheet="0"/>
      </xdr:twoCellAnchor>
    </mc:Choice>
    <mc:Fallback/>
  </mc:AlternateContent>
</xdr:wsDr>
</file>

<file path=xl/drawings/drawing35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0.04831</cdr:y>
    </cdr:to>
    <cdr:sp macro="" textlink="">
      <cdr:nvSpPr>
        <cdr:cNvPr id="81921" name="Teksti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91837" y="-43712"/>
          <a:ext cx="1666913" cy="19095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27432" bIns="18288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800" b="0" i="0" u="none" strike="noStrike" baseline="0">
              <a:solidFill>
                <a:srgbClr val="000000"/>
              </a:solidFill>
              <a:latin typeface="MS Sans Serif"/>
            </a:rPr>
            <a:t>KORKEASAAREN ELÄINTARHA</a:t>
          </a:r>
        </a:p>
      </cdr:txBody>
    </cdr:sp>
  </cdr:relSizeAnchor>
  <cdr:relSizeAnchor xmlns:cdr="http://schemas.openxmlformats.org/drawingml/2006/chartDrawing">
    <cdr:from>
      <cdr:x>0.4069</cdr:x>
      <cdr:y>0.27993</cdr:y>
    </cdr:from>
    <cdr:to>
      <cdr:x>0.9988</cdr:x>
      <cdr:y>0.32946</cdr:y>
    </cdr:to>
    <cdr:sp macro="" textlink="">
      <cdr:nvSpPr>
        <cdr:cNvPr id="81922" name="Teksti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01603" y="1109718"/>
          <a:ext cx="434118" cy="1957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wrap="none" lIns="18288" tIns="18288" rIns="18288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800" b="0" i="0" u="none" strike="noStrike" baseline="0">
              <a:solidFill>
                <a:srgbClr val="000000"/>
              </a:solidFill>
              <a:latin typeface="MS Sans Serif"/>
            </a:rPr>
            <a:t>KÄYNNIT TULOSUUNNITTAIN</a:t>
          </a:r>
        </a:p>
      </cdr:txBody>
    </cdr:sp>
  </cdr:relSizeAnchor>
  <cdr:relSizeAnchor xmlns:cdr="http://schemas.openxmlformats.org/drawingml/2006/chartDrawing">
    <cdr:from>
      <cdr:x>0.34359</cdr:x>
      <cdr:y>0</cdr:y>
    </cdr:from>
    <cdr:to>
      <cdr:x>0.48651</cdr:x>
      <cdr:y>0.06758</cdr:y>
    </cdr:to>
    <cdr:sp macro="" textlink="'N12'!$A$1">
      <cdr:nvSpPr>
        <cdr:cNvPr id="81923" name="Teksti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55176" y="-63000"/>
          <a:ext cx="104820" cy="26714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fld id="{895B40AB-5486-4D36-B628-8898E8F5B53B}" type="TxLink">
            <a:rPr lang="fi-FI"/>
            <a:pPr/>
            <a:t> </a:t>
          </a:fld>
          <a:endParaRPr lang="fi-FI"/>
        </a:p>
      </cdr:txBody>
    </cdr:sp>
  </cdr:relSizeAnchor>
</c:userShapes>
</file>

<file path=xl/drawings/drawing36.xml><?xml version="1.0" encoding="utf-8"?>
<c:userShapes xmlns:c="http://schemas.openxmlformats.org/drawingml/2006/chart">
  <cdr:relSizeAnchor xmlns:cdr="http://schemas.openxmlformats.org/drawingml/2006/chartDrawing">
    <cdr:from>
      <cdr:x>0.19872</cdr:x>
      <cdr:y>0</cdr:y>
    </cdr:from>
    <cdr:to>
      <cdr:x>0.23309</cdr:x>
      <cdr:y>0.07485</cdr:y>
    </cdr:to>
    <cdr:sp macro="" textlink="">
      <cdr:nvSpPr>
        <cdr:cNvPr id="82945" name="Teksti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48919" y="-2035"/>
          <a:ext cx="25208" cy="19106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wrap="none" lIns="18288" tIns="18288" rIns="18288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600" b="0" i="0" u="none" strike="noStrike" baseline="0">
              <a:solidFill>
                <a:srgbClr val="000000"/>
              </a:solidFill>
              <a:latin typeface="MS Sans Serif"/>
            </a:rPr>
            <a:t>KORKEASAAREN ELÄINTARHA</a:t>
          </a:r>
        </a:p>
      </cdr:txBody>
    </cdr:sp>
  </cdr:relSizeAnchor>
  <cdr:relSizeAnchor xmlns:cdr="http://schemas.openxmlformats.org/drawingml/2006/chartDrawing">
    <cdr:from>
      <cdr:x>0.32184</cdr:x>
      <cdr:y>0.10024</cdr:y>
    </cdr:from>
    <cdr:to>
      <cdr:x>0.46476</cdr:x>
      <cdr:y>0.2047</cdr:y>
    </cdr:to>
    <cdr:sp macro="" textlink="'N12'!$A$1">
      <cdr:nvSpPr>
        <cdr:cNvPr id="82946" name="Teksti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39221" y="259069"/>
          <a:ext cx="104820" cy="26663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fld id="{62D4C98A-4EAD-436F-A1B4-E4A57E3E4D99}" type="TxLink">
            <a:rPr lang="fi-FI"/>
            <a:pPr/>
            <a:t> </a:t>
          </a:fld>
          <a:endParaRPr lang="fi-FI"/>
        </a:p>
      </cdr:txBody>
    </cdr:sp>
  </cdr:relSizeAnchor>
  <cdr:relSizeAnchor xmlns:cdr="http://schemas.openxmlformats.org/drawingml/2006/chartDrawing">
    <cdr:from>
      <cdr:x>0.28573</cdr:x>
      <cdr:y>0</cdr:y>
    </cdr:from>
    <cdr:to>
      <cdr:x>0.67881</cdr:x>
      <cdr:y>0.06859</cdr:y>
    </cdr:to>
    <cdr:sp macro="" textlink="">
      <cdr:nvSpPr>
        <cdr:cNvPr id="82947" name="Teksti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12737" y="-10636"/>
          <a:ext cx="288295" cy="17509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wrap="none" lIns="9144" tIns="18288" rIns="9144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500" b="0" i="0" u="none" strike="noStrike" baseline="0">
              <a:solidFill>
                <a:srgbClr val="000000"/>
              </a:solidFill>
              <a:latin typeface="Small Fonts"/>
            </a:rPr>
            <a:t>KUUKAUDEN PÄIVITTÄISET MAKSIMI-, MINIMI- JA KESKIMÄÄRÄISET KÄVIJÄMÄÄRÄT</a:t>
          </a:r>
        </a:p>
      </cdr:txBody>
    </cdr:sp>
  </cdr:relSizeAnchor>
</c:userShapes>
</file>

<file path=xl/drawings/drawing37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0</xdr:colOff>
      <xdr:row>11</xdr:row>
      <xdr:rowOff>19050</xdr:rowOff>
    </xdr:from>
    <xdr:to>
      <xdr:col>36</xdr:col>
      <xdr:colOff>0</xdr:colOff>
      <xdr:row>35</xdr:row>
      <xdr:rowOff>0</xdr:rowOff>
    </xdr:to>
    <xdr:graphicFrame macro="">
      <xdr:nvGraphicFramePr>
        <xdr:cNvPr id="13333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36</xdr:col>
      <xdr:colOff>0</xdr:colOff>
      <xdr:row>27</xdr:row>
      <xdr:rowOff>66675</xdr:rowOff>
    </xdr:from>
    <xdr:to>
      <xdr:col>36</xdr:col>
      <xdr:colOff>0</xdr:colOff>
      <xdr:row>40</xdr:row>
      <xdr:rowOff>57150</xdr:rowOff>
    </xdr:to>
    <xdr:graphicFrame macro="">
      <xdr:nvGraphicFramePr>
        <xdr:cNvPr id="13334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  <xdr:twoCellAnchor>
    <xdr:from>
      <xdr:col>36</xdr:col>
      <xdr:colOff>0</xdr:colOff>
      <xdr:row>41</xdr:row>
      <xdr:rowOff>0</xdr:rowOff>
    </xdr:from>
    <xdr:to>
      <xdr:col>36</xdr:col>
      <xdr:colOff>0</xdr:colOff>
      <xdr:row>46</xdr:row>
      <xdr:rowOff>142875</xdr:rowOff>
    </xdr:to>
    <xdr:graphicFrame macro="">
      <xdr:nvGraphicFramePr>
        <xdr:cNvPr id="133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9525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13313" name="Button 1" hidden="1">
              <a:extLst>
                <a:ext uri="{63B3BB69-23CF-44E3-9099-C40C66FF867C}">
                  <a14:compatExt spid="_x0000_s133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Tammi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13314" name="Button 2" hidden="1">
              <a:extLst>
                <a:ext uri="{63B3BB69-23CF-44E3-9099-C40C66FF867C}">
                  <a14:compatExt spid="_x0000_s133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Tammi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13315" name="Button 3" hidden="1">
              <a:extLst>
                <a:ext uri="{63B3BB69-23CF-44E3-9099-C40C66FF867C}">
                  <a14:compatExt spid="_x0000_s133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Maalis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13316" name="Button 4" hidden="1">
              <a:extLst>
                <a:ext uri="{63B3BB69-23CF-44E3-9099-C40C66FF867C}">
                  <a14:compatExt spid="_x0000_s133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Huhti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13317" name="Button 5" hidden="1">
              <a:extLst>
                <a:ext uri="{63B3BB69-23CF-44E3-9099-C40C66FF867C}">
                  <a14:compatExt spid="_x0000_s133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Touko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13318" name="Button 6" hidden="1">
              <a:extLst>
                <a:ext uri="{63B3BB69-23CF-44E3-9099-C40C66FF867C}">
                  <a14:compatExt spid="_x0000_s133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Kesä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9525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13319" name="Button 7" hidden="1">
              <a:extLst>
                <a:ext uri="{63B3BB69-23CF-44E3-9099-C40C66FF867C}">
                  <a14:compatExt spid="_x0000_s133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Helmi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13320" name="Button 8" hidden="1">
              <a:extLst>
                <a:ext uri="{63B3BB69-23CF-44E3-9099-C40C66FF867C}">
                  <a14:compatExt spid="_x0000_s133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Heinä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13321" name="Button 9" hidden="1">
              <a:extLst>
                <a:ext uri="{63B3BB69-23CF-44E3-9099-C40C66FF867C}">
                  <a14:compatExt spid="_x0000_s133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Syys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13322" name="Button 10" hidden="1">
              <a:extLst>
                <a:ext uri="{63B3BB69-23CF-44E3-9099-C40C66FF867C}">
                  <a14:compatExt spid="_x0000_s133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Loka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13323" name="Button 11" hidden="1">
              <a:extLst>
                <a:ext uri="{63B3BB69-23CF-44E3-9099-C40C66FF867C}">
                  <a14:compatExt spid="_x0000_s133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Marras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13324" name="Button 12" hidden="1">
              <a:extLst>
                <a:ext uri="{63B3BB69-23CF-44E3-9099-C40C66FF867C}">
                  <a14:compatExt spid="_x0000_s133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Joulu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0</xdr:rowOff>
        </xdr:from>
        <xdr:to>
          <xdr:col>35</xdr:col>
          <xdr:colOff>0</xdr:colOff>
          <xdr:row>6</xdr:row>
          <xdr:rowOff>0</xdr:rowOff>
        </xdr:to>
        <xdr:sp macro="" textlink="">
          <xdr:nvSpPr>
            <xdr:cNvPr id="13325" name="Button 13" hidden="1">
              <a:extLst>
                <a:ext uri="{63B3BB69-23CF-44E3-9099-C40C66FF867C}">
                  <a14:compatExt spid="_x0000_s133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Elo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5</xdr:row>
          <xdr:rowOff>123825</xdr:rowOff>
        </xdr:to>
        <xdr:sp macro="" textlink="">
          <xdr:nvSpPr>
            <xdr:cNvPr id="13326" name="Button 14" hidden="1">
              <a:extLst>
                <a:ext uri="{63B3BB69-23CF-44E3-9099-C40C66FF867C}">
                  <a14:compatExt spid="_x0000_s133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Taulukko-yhteenveto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142875</xdr:rowOff>
        </xdr:from>
        <xdr:to>
          <xdr:col>35</xdr:col>
          <xdr:colOff>0</xdr:colOff>
          <xdr:row>12</xdr:row>
          <xdr:rowOff>19050</xdr:rowOff>
        </xdr:to>
        <xdr:sp macro="" textlink="">
          <xdr:nvSpPr>
            <xdr:cNvPr id="13327" name="Button 15" hidden="1">
              <a:extLst>
                <a:ext uri="{63B3BB69-23CF-44E3-9099-C40C66FF867C}">
                  <a14:compatExt spid="_x0000_s133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Yhteen-sä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152400</xdr:rowOff>
        </xdr:from>
        <xdr:to>
          <xdr:col>35</xdr:col>
          <xdr:colOff>0</xdr:colOff>
          <xdr:row>12</xdr:row>
          <xdr:rowOff>0</xdr:rowOff>
        </xdr:to>
        <xdr:sp macro="" textlink="">
          <xdr:nvSpPr>
            <xdr:cNvPr id="13328" name="Button 16" hidden="1">
              <a:extLst>
                <a:ext uri="{63B3BB69-23CF-44E3-9099-C40C66FF867C}">
                  <a14:compatExt spid="_x0000_s133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Vertailu edellis-vuoteen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142875</xdr:rowOff>
        </xdr:from>
        <xdr:to>
          <xdr:col>35</xdr:col>
          <xdr:colOff>0</xdr:colOff>
          <xdr:row>12</xdr:row>
          <xdr:rowOff>0</xdr:rowOff>
        </xdr:to>
        <xdr:sp macro="" textlink="">
          <xdr:nvSpPr>
            <xdr:cNvPr id="13329" name="Button 17" hidden="1">
              <a:extLst>
                <a:ext uri="{63B3BB69-23CF-44E3-9099-C40C66FF867C}">
                  <a14:compatExt spid="_x0000_s133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Käynnit tulosuun-nittain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152400</xdr:rowOff>
        </xdr:from>
        <xdr:to>
          <xdr:col>35</xdr:col>
          <xdr:colOff>0</xdr:colOff>
          <xdr:row>12</xdr:row>
          <xdr:rowOff>19050</xdr:rowOff>
        </xdr:to>
        <xdr:sp macro="" textlink="">
          <xdr:nvSpPr>
            <xdr:cNvPr id="13330" name="Button 18" hidden="1">
              <a:extLst>
                <a:ext uri="{63B3BB69-23CF-44E3-9099-C40C66FF867C}">
                  <a14:compatExt spid="_x0000_s133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Aikuiset lapset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152400</xdr:rowOff>
        </xdr:from>
        <xdr:to>
          <xdr:col>35</xdr:col>
          <xdr:colOff>0</xdr:colOff>
          <xdr:row>12</xdr:row>
          <xdr:rowOff>28575</xdr:rowOff>
        </xdr:to>
        <xdr:sp macro="" textlink="">
          <xdr:nvSpPr>
            <xdr:cNvPr id="13331" name="Button 19" hidden="1">
              <a:extLst>
                <a:ext uri="{63B3BB69-23CF-44E3-9099-C40C66FF867C}">
                  <a14:compatExt spid="_x0000_s133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Maksimi  minimi keskim.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12</xdr:row>
          <xdr:rowOff>19050</xdr:rowOff>
        </xdr:to>
        <xdr:sp macro="" textlink="">
          <xdr:nvSpPr>
            <xdr:cNvPr id="13332" name="Button 20" hidden="1">
              <a:extLst>
                <a:ext uri="{63B3BB69-23CF-44E3-9099-C40C66FF867C}">
                  <a14:compatExt spid="_x0000_s133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PALUU PÄÄ-   IKKUNAAN</a:t>
              </a:r>
            </a:p>
          </xdr:txBody>
        </xdr:sp>
        <xdr:clientData fPrintsWithSheet="0"/>
      </xdr:twoCellAnchor>
    </mc:Choice>
    <mc:Fallback/>
  </mc:AlternateContent>
</xdr:wsDr>
</file>

<file path=xl/drawings/drawing3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0.04831</cdr:y>
    </cdr:to>
    <cdr:sp macro="" textlink="">
      <cdr:nvSpPr>
        <cdr:cNvPr id="14337" name="Teksti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91837" y="-33103"/>
          <a:ext cx="1666913" cy="19095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27432" bIns="18288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800" b="0" i="0" u="none" strike="noStrike" baseline="0">
              <a:solidFill>
                <a:srgbClr val="000000"/>
              </a:solidFill>
              <a:latin typeface="MS Sans Serif"/>
            </a:rPr>
            <a:t>KORKEASAAREN ELÄINTARHA</a:t>
          </a:r>
        </a:p>
      </cdr:txBody>
    </cdr:sp>
  </cdr:relSizeAnchor>
  <cdr:relSizeAnchor xmlns:cdr="http://schemas.openxmlformats.org/drawingml/2006/chartDrawing">
    <cdr:from>
      <cdr:x>0.4069</cdr:x>
      <cdr:y>0.27823</cdr:y>
    </cdr:from>
    <cdr:to>
      <cdr:x>0.9988</cdr:x>
      <cdr:y>0.32775</cdr:y>
    </cdr:to>
    <cdr:sp macro="" textlink="">
      <cdr:nvSpPr>
        <cdr:cNvPr id="14338" name="Teksti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01603" y="1102967"/>
          <a:ext cx="434118" cy="1957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wrap="none" lIns="18288" tIns="18288" rIns="18288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800" b="0" i="0" u="none" strike="noStrike" baseline="0">
              <a:solidFill>
                <a:srgbClr val="000000"/>
              </a:solidFill>
              <a:latin typeface="MS Sans Serif"/>
            </a:rPr>
            <a:t>KÄYNNIT TULOSUUNNITTAIN</a:t>
          </a:r>
        </a:p>
      </cdr:txBody>
    </cdr:sp>
  </cdr:relSizeAnchor>
  <cdr:relSizeAnchor xmlns:cdr="http://schemas.openxmlformats.org/drawingml/2006/chartDrawing">
    <cdr:from>
      <cdr:x>0.37666</cdr:x>
      <cdr:y>0</cdr:y>
    </cdr:from>
    <cdr:to>
      <cdr:x>0.51958</cdr:x>
      <cdr:y>0.06758</cdr:y>
    </cdr:to>
    <cdr:sp macro="" textlink="'K1'!$A$1">
      <cdr:nvSpPr>
        <cdr:cNvPr id="14339" name="Teksti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79426" y="-50463"/>
          <a:ext cx="104820" cy="26714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fld id="{F3319B4A-6E33-4C2F-B257-6202DF6979C4}" type="TxLink">
            <a:rPr lang="fi-FI"/>
            <a:pPr/>
            <a:t> </a:t>
          </a:fld>
          <a:endParaRPr lang="fi-FI"/>
        </a:p>
      </cdr:txBody>
    </cdr:sp>
  </cdr:relSizeAnchor>
</c:userShapes>
</file>

<file path=xl/drawings/drawing39.xml><?xml version="1.0" encoding="utf-8"?>
<c:userShapes xmlns:c="http://schemas.openxmlformats.org/drawingml/2006/chart">
  <cdr:relSizeAnchor xmlns:cdr="http://schemas.openxmlformats.org/drawingml/2006/chartDrawing">
    <cdr:from>
      <cdr:x>0.20024</cdr:x>
      <cdr:y>0</cdr:y>
    </cdr:from>
    <cdr:to>
      <cdr:x>0.23744</cdr:x>
      <cdr:y>0.07485</cdr:y>
    </cdr:to>
    <cdr:sp macro="" textlink="">
      <cdr:nvSpPr>
        <cdr:cNvPr id="15361" name="Teksti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50036" y="-2035"/>
          <a:ext cx="27282" cy="19106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wrap="none" lIns="18288" tIns="18288" rIns="18288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600" b="0" i="0" u="none" strike="noStrike" baseline="0">
              <a:solidFill>
                <a:srgbClr val="000000"/>
              </a:solidFill>
              <a:latin typeface="MS Sans Serif"/>
            </a:rPr>
            <a:t>KORKEASAAREN ELÄINTARHA</a:t>
          </a:r>
        </a:p>
      </cdr:txBody>
    </cdr:sp>
  </cdr:relSizeAnchor>
  <cdr:relSizeAnchor xmlns:cdr="http://schemas.openxmlformats.org/drawingml/2006/chartDrawing">
    <cdr:from>
      <cdr:x>0.35056</cdr:x>
      <cdr:y>0.11011</cdr:y>
    </cdr:from>
    <cdr:to>
      <cdr:x>0.49347</cdr:x>
      <cdr:y>0.21456</cdr:y>
    </cdr:to>
    <cdr:sp macro="" textlink="'K1'!$A$1">
      <cdr:nvSpPr>
        <cdr:cNvPr id="15362" name="Teksti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60281" y="284258"/>
          <a:ext cx="104820" cy="26663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fld id="{8BA58CBA-537D-41D4-8C58-40EBD89AA38A}" type="TxLink">
            <a:rPr lang="fi-FI"/>
            <a:pPr/>
            <a:t> </a:t>
          </a:fld>
          <a:endParaRPr lang="fi-FI"/>
        </a:p>
      </cdr:txBody>
    </cdr:sp>
  </cdr:relSizeAnchor>
  <cdr:relSizeAnchor xmlns:cdr="http://schemas.openxmlformats.org/drawingml/2006/chartDrawing">
    <cdr:from>
      <cdr:x>0.29443</cdr:x>
      <cdr:y>0</cdr:y>
    </cdr:from>
    <cdr:to>
      <cdr:x>0.68425</cdr:x>
      <cdr:y>0.06859</cdr:y>
    </cdr:to>
    <cdr:sp macro="" textlink="">
      <cdr:nvSpPr>
        <cdr:cNvPr id="15363" name="Teksti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19119" y="-10636"/>
          <a:ext cx="285902" cy="17509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wrap="none" lIns="9144" tIns="18288" rIns="9144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500" b="0" i="0" u="none" strike="noStrike" baseline="0">
              <a:solidFill>
                <a:srgbClr val="000000"/>
              </a:solidFill>
              <a:latin typeface="Small Fonts"/>
            </a:rPr>
            <a:t>KUUKAUDEN PÄIVITTÄISET MAKSIMI-, MINIMI- JA KESKIMÄÄRÄISET KÄVIJÄMÄÄRÄT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0</xdr:colOff>
      <xdr:row>11</xdr:row>
      <xdr:rowOff>19050</xdr:rowOff>
    </xdr:from>
    <xdr:to>
      <xdr:col>36</xdr:col>
      <xdr:colOff>0</xdr:colOff>
      <xdr:row>35</xdr:row>
      <xdr:rowOff>0</xdr:rowOff>
    </xdr:to>
    <xdr:graphicFrame macro="">
      <xdr:nvGraphicFramePr>
        <xdr:cNvPr id="1947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36</xdr:col>
      <xdr:colOff>0</xdr:colOff>
      <xdr:row>27</xdr:row>
      <xdr:rowOff>66675</xdr:rowOff>
    </xdr:from>
    <xdr:to>
      <xdr:col>36</xdr:col>
      <xdr:colOff>0</xdr:colOff>
      <xdr:row>40</xdr:row>
      <xdr:rowOff>57150</xdr:rowOff>
    </xdr:to>
    <xdr:graphicFrame macro="">
      <xdr:nvGraphicFramePr>
        <xdr:cNvPr id="19478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  <xdr:twoCellAnchor>
    <xdr:from>
      <xdr:col>36</xdr:col>
      <xdr:colOff>0</xdr:colOff>
      <xdr:row>41</xdr:row>
      <xdr:rowOff>0</xdr:rowOff>
    </xdr:from>
    <xdr:to>
      <xdr:col>36</xdr:col>
      <xdr:colOff>0</xdr:colOff>
      <xdr:row>46</xdr:row>
      <xdr:rowOff>142875</xdr:rowOff>
    </xdr:to>
    <xdr:graphicFrame macro="">
      <xdr:nvGraphicFramePr>
        <xdr:cNvPr id="19479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9525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19457" name="Button 1" hidden="1">
              <a:extLst>
                <a:ext uri="{63B3BB69-23CF-44E3-9099-C40C66FF867C}">
                  <a14:compatExt spid="_x0000_s194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Tammi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19458" name="Button 2" hidden="1">
              <a:extLst>
                <a:ext uri="{63B3BB69-23CF-44E3-9099-C40C66FF867C}">
                  <a14:compatExt spid="_x0000_s194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Tammi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19459" name="Button 3" hidden="1">
              <a:extLst>
                <a:ext uri="{63B3BB69-23CF-44E3-9099-C40C66FF867C}">
                  <a14:compatExt spid="_x0000_s194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Maalis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19460" name="Button 4" hidden="1">
              <a:extLst>
                <a:ext uri="{63B3BB69-23CF-44E3-9099-C40C66FF867C}">
                  <a14:compatExt spid="_x0000_s194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Huhti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19461" name="Button 5" hidden="1">
              <a:extLst>
                <a:ext uri="{63B3BB69-23CF-44E3-9099-C40C66FF867C}">
                  <a14:compatExt spid="_x0000_s194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Touko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19462" name="Button 6" hidden="1">
              <a:extLst>
                <a:ext uri="{63B3BB69-23CF-44E3-9099-C40C66FF867C}">
                  <a14:compatExt spid="_x0000_s194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Kesä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9525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19463" name="Button 7" hidden="1">
              <a:extLst>
                <a:ext uri="{63B3BB69-23CF-44E3-9099-C40C66FF867C}">
                  <a14:compatExt spid="_x0000_s194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Helmi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19464" name="Button 8" hidden="1">
              <a:extLst>
                <a:ext uri="{63B3BB69-23CF-44E3-9099-C40C66FF867C}">
                  <a14:compatExt spid="_x0000_s194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Heinä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19465" name="Button 9" hidden="1">
              <a:extLst>
                <a:ext uri="{63B3BB69-23CF-44E3-9099-C40C66FF867C}">
                  <a14:compatExt spid="_x0000_s194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Syys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19466" name="Button 10" hidden="1">
              <a:extLst>
                <a:ext uri="{63B3BB69-23CF-44E3-9099-C40C66FF867C}">
                  <a14:compatExt spid="_x0000_s194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Loka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19467" name="Button 11" hidden="1">
              <a:extLst>
                <a:ext uri="{63B3BB69-23CF-44E3-9099-C40C66FF867C}">
                  <a14:compatExt spid="_x0000_s194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Marras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19468" name="Button 12" hidden="1">
              <a:extLst>
                <a:ext uri="{63B3BB69-23CF-44E3-9099-C40C66FF867C}">
                  <a14:compatExt spid="_x0000_s194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Joulu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0</xdr:rowOff>
        </xdr:from>
        <xdr:to>
          <xdr:col>35</xdr:col>
          <xdr:colOff>0</xdr:colOff>
          <xdr:row>6</xdr:row>
          <xdr:rowOff>0</xdr:rowOff>
        </xdr:to>
        <xdr:sp macro="" textlink="">
          <xdr:nvSpPr>
            <xdr:cNvPr id="19469" name="Button 13" hidden="1">
              <a:extLst>
                <a:ext uri="{63B3BB69-23CF-44E3-9099-C40C66FF867C}">
                  <a14:compatExt spid="_x0000_s194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Elo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5</xdr:row>
          <xdr:rowOff>123825</xdr:rowOff>
        </xdr:to>
        <xdr:sp macro="" textlink="">
          <xdr:nvSpPr>
            <xdr:cNvPr id="19470" name="Button 14" hidden="1">
              <a:extLst>
                <a:ext uri="{63B3BB69-23CF-44E3-9099-C40C66FF867C}">
                  <a14:compatExt spid="_x0000_s194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Taulukko-yhteenveto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142875</xdr:rowOff>
        </xdr:from>
        <xdr:to>
          <xdr:col>35</xdr:col>
          <xdr:colOff>0</xdr:colOff>
          <xdr:row>12</xdr:row>
          <xdr:rowOff>19050</xdr:rowOff>
        </xdr:to>
        <xdr:sp macro="" textlink="">
          <xdr:nvSpPr>
            <xdr:cNvPr id="19471" name="Button 15" hidden="1">
              <a:extLst>
                <a:ext uri="{63B3BB69-23CF-44E3-9099-C40C66FF867C}">
                  <a14:compatExt spid="_x0000_s194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Yhteen-sä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152400</xdr:rowOff>
        </xdr:from>
        <xdr:to>
          <xdr:col>35</xdr:col>
          <xdr:colOff>0</xdr:colOff>
          <xdr:row>12</xdr:row>
          <xdr:rowOff>0</xdr:rowOff>
        </xdr:to>
        <xdr:sp macro="" textlink="">
          <xdr:nvSpPr>
            <xdr:cNvPr id="19472" name="Button 16" hidden="1">
              <a:extLst>
                <a:ext uri="{63B3BB69-23CF-44E3-9099-C40C66FF867C}">
                  <a14:compatExt spid="_x0000_s194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Vertailu edellis-vuoteen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142875</xdr:rowOff>
        </xdr:from>
        <xdr:to>
          <xdr:col>35</xdr:col>
          <xdr:colOff>0</xdr:colOff>
          <xdr:row>12</xdr:row>
          <xdr:rowOff>0</xdr:rowOff>
        </xdr:to>
        <xdr:sp macro="" textlink="">
          <xdr:nvSpPr>
            <xdr:cNvPr id="19473" name="Button 17" hidden="1">
              <a:extLst>
                <a:ext uri="{63B3BB69-23CF-44E3-9099-C40C66FF867C}">
                  <a14:compatExt spid="_x0000_s194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Käynnit tulosuun-nittain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152400</xdr:rowOff>
        </xdr:from>
        <xdr:to>
          <xdr:col>35</xdr:col>
          <xdr:colOff>0</xdr:colOff>
          <xdr:row>12</xdr:row>
          <xdr:rowOff>19050</xdr:rowOff>
        </xdr:to>
        <xdr:sp macro="" textlink="">
          <xdr:nvSpPr>
            <xdr:cNvPr id="19474" name="Button 18" hidden="1">
              <a:extLst>
                <a:ext uri="{63B3BB69-23CF-44E3-9099-C40C66FF867C}">
                  <a14:compatExt spid="_x0000_s194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Aikuiset lapset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152400</xdr:rowOff>
        </xdr:from>
        <xdr:to>
          <xdr:col>35</xdr:col>
          <xdr:colOff>0</xdr:colOff>
          <xdr:row>12</xdr:row>
          <xdr:rowOff>28575</xdr:rowOff>
        </xdr:to>
        <xdr:sp macro="" textlink="">
          <xdr:nvSpPr>
            <xdr:cNvPr id="19475" name="Button 19" hidden="1">
              <a:extLst>
                <a:ext uri="{63B3BB69-23CF-44E3-9099-C40C66FF867C}">
                  <a14:compatExt spid="_x0000_s194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Maksimi  minimi keskim.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12</xdr:row>
          <xdr:rowOff>19050</xdr:rowOff>
        </xdr:to>
        <xdr:sp macro="" textlink="">
          <xdr:nvSpPr>
            <xdr:cNvPr id="19476" name="Button 20" hidden="1">
              <a:extLst>
                <a:ext uri="{63B3BB69-23CF-44E3-9099-C40C66FF867C}">
                  <a14:compatExt spid="_x0000_s194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PALUU PÄÄ-   IKKUNAAN</a:t>
              </a:r>
            </a:p>
          </xdr:txBody>
        </xdr:sp>
        <xdr:clientData fPrintsWithSheet="0"/>
      </xdr:twoCellAnchor>
    </mc:Choice>
    <mc:Fallback/>
  </mc:AlternateContent>
</xdr:wsDr>
</file>

<file path=xl/drawings/drawing40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0</xdr:colOff>
      <xdr:row>11</xdr:row>
      <xdr:rowOff>19050</xdr:rowOff>
    </xdr:from>
    <xdr:to>
      <xdr:col>36</xdr:col>
      <xdr:colOff>0</xdr:colOff>
      <xdr:row>35</xdr:row>
      <xdr:rowOff>0</xdr:rowOff>
    </xdr:to>
    <xdr:graphicFrame macro="">
      <xdr:nvGraphicFramePr>
        <xdr:cNvPr id="22549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36</xdr:col>
      <xdr:colOff>0</xdr:colOff>
      <xdr:row>27</xdr:row>
      <xdr:rowOff>66675</xdr:rowOff>
    </xdr:from>
    <xdr:to>
      <xdr:col>36</xdr:col>
      <xdr:colOff>0</xdr:colOff>
      <xdr:row>40</xdr:row>
      <xdr:rowOff>57150</xdr:rowOff>
    </xdr:to>
    <xdr:graphicFrame macro="">
      <xdr:nvGraphicFramePr>
        <xdr:cNvPr id="22550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  <xdr:twoCellAnchor>
    <xdr:from>
      <xdr:col>36</xdr:col>
      <xdr:colOff>0</xdr:colOff>
      <xdr:row>41</xdr:row>
      <xdr:rowOff>0</xdr:rowOff>
    </xdr:from>
    <xdr:to>
      <xdr:col>36</xdr:col>
      <xdr:colOff>0</xdr:colOff>
      <xdr:row>46</xdr:row>
      <xdr:rowOff>142875</xdr:rowOff>
    </xdr:to>
    <xdr:graphicFrame macro="">
      <xdr:nvGraphicFramePr>
        <xdr:cNvPr id="22551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9525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22529" name="Button 1" hidden="1">
              <a:extLst>
                <a:ext uri="{63B3BB69-23CF-44E3-9099-C40C66FF867C}">
                  <a14:compatExt spid="_x0000_s225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Tammi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22530" name="Button 2" hidden="1">
              <a:extLst>
                <a:ext uri="{63B3BB69-23CF-44E3-9099-C40C66FF867C}">
                  <a14:compatExt spid="_x0000_s225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Tammi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22531" name="Button 3" hidden="1">
              <a:extLst>
                <a:ext uri="{63B3BB69-23CF-44E3-9099-C40C66FF867C}">
                  <a14:compatExt spid="_x0000_s225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Maalis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22532" name="Button 4" hidden="1">
              <a:extLst>
                <a:ext uri="{63B3BB69-23CF-44E3-9099-C40C66FF867C}">
                  <a14:compatExt spid="_x0000_s225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Huhti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22533" name="Button 5" hidden="1">
              <a:extLst>
                <a:ext uri="{63B3BB69-23CF-44E3-9099-C40C66FF867C}">
                  <a14:compatExt spid="_x0000_s225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Touko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22534" name="Button 6" hidden="1">
              <a:extLst>
                <a:ext uri="{63B3BB69-23CF-44E3-9099-C40C66FF867C}">
                  <a14:compatExt spid="_x0000_s225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Kesä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9525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22535" name="Button 7" hidden="1">
              <a:extLst>
                <a:ext uri="{63B3BB69-23CF-44E3-9099-C40C66FF867C}">
                  <a14:compatExt spid="_x0000_s225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Helmi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22536" name="Button 8" hidden="1">
              <a:extLst>
                <a:ext uri="{63B3BB69-23CF-44E3-9099-C40C66FF867C}">
                  <a14:compatExt spid="_x0000_s225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Heinä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22537" name="Button 9" hidden="1">
              <a:extLst>
                <a:ext uri="{63B3BB69-23CF-44E3-9099-C40C66FF867C}">
                  <a14:compatExt spid="_x0000_s225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Syys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22538" name="Button 10" hidden="1">
              <a:extLst>
                <a:ext uri="{63B3BB69-23CF-44E3-9099-C40C66FF867C}">
                  <a14:compatExt spid="_x0000_s225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Loka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22539" name="Button 11" hidden="1">
              <a:extLst>
                <a:ext uri="{63B3BB69-23CF-44E3-9099-C40C66FF867C}">
                  <a14:compatExt spid="_x0000_s225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Marras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22540" name="Button 12" hidden="1">
              <a:extLst>
                <a:ext uri="{63B3BB69-23CF-44E3-9099-C40C66FF867C}">
                  <a14:compatExt spid="_x0000_s225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Joulu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0</xdr:rowOff>
        </xdr:from>
        <xdr:to>
          <xdr:col>35</xdr:col>
          <xdr:colOff>0</xdr:colOff>
          <xdr:row>6</xdr:row>
          <xdr:rowOff>0</xdr:rowOff>
        </xdr:to>
        <xdr:sp macro="" textlink="">
          <xdr:nvSpPr>
            <xdr:cNvPr id="22541" name="Button 13" hidden="1">
              <a:extLst>
                <a:ext uri="{63B3BB69-23CF-44E3-9099-C40C66FF867C}">
                  <a14:compatExt spid="_x0000_s225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Elo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5</xdr:row>
          <xdr:rowOff>123825</xdr:rowOff>
        </xdr:to>
        <xdr:sp macro="" textlink="">
          <xdr:nvSpPr>
            <xdr:cNvPr id="22542" name="Button 14" hidden="1">
              <a:extLst>
                <a:ext uri="{63B3BB69-23CF-44E3-9099-C40C66FF867C}">
                  <a14:compatExt spid="_x0000_s225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Taulukko-yhteenveto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142875</xdr:rowOff>
        </xdr:from>
        <xdr:to>
          <xdr:col>35</xdr:col>
          <xdr:colOff>0</xdr:colOff>
          <xdr:row>12</xdr:row>
          <xdr:rowOff>19050</xdr:rowOff>
        </xdr:to>
        <xdr:sp macro="" textlink="">
          <xdr:nvSpPr>
            <xdr:cNvPr id="22543" name="Button 15" hidden="1">
              <a:extLst>
                <a:ext uri="{63B3BB69-23CF-44E3-9099-C40C66FF867C}">
                  <a14:compatExt spid="_x0000_s225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Yhteen-sä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152400</xdr:rowOff>
        </xdr:from>
        <xdr:to>
          <xdr:col>35</xdr:col>
          <xdr:colOff>0</xdr:colOff>
          <xdr:row>12</xdr:row>
          <xdr:rowOff>0</xdr:rowOff>
        </xdr:to>
        <xdr:sp macro="" textlink="">
          <xdr:nvSpPr>
            <xdr:cNvPr id="22544" name="Button 16" hidden="1">
              <a:extLst>
                <a:ext uri="{63B3BB69-23CF-44E3-9099-C40C66FF867C}">
                  <a14:compatExt spid="_x0000_s225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Vertailu edellis-vuoteen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142875</xdr:rowOff>
        </xdr:from>
        <xdr:to>
          <xdr:col>35</xdr:col>
          <xdr:colOff>0</xdr:colOff>
          <xdr:row>12</xdr:row>
          <xdr:rowOff>0</xdr:rowOff>
        </xdr:to>
        <xdr:sp macro="" textlink="">
          <xdr:nvSpPr>
            <xdr:cNvPr id="22545" name="Button 17" hidden="1">
              <a:extLst>
                <a:ext uri="{63B3BB69-23CF-44E3-9099-C40C66FF867C}">
                  <a14:compatExt spid="_x0000_s225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Käynnit tulosuun-nittain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152400</xdr:rowOff>
        </xdr:from>
        <xdr:to>
          <xdr:col>35</xdr:col>
          <xdr:colOff>0</xdr:colOff>
          <xdr:row>12</xdr:row>
          <xdr:rowOff>19050</xdr:rowOff>
        </xdr:to>
        <xdr:sp macro="" textlink="">
          <xdr:nvSpPr>
            <xdr:cNvPr id="22546" name="Button 18" hidden="1">
              <a:extLst>
                <a:ext uri="{63B3BB69-23CF-44E3-9099-C40C66FF867C}">
                  <a14:compatExt spid="_x0000_s225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Aikuiset lapset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152400</xdr:rowOff>
        </xdr:from>
        <xdr:to>
          <xdr:col>35</xdr:col>
          <xdr:colOff>0</xdr:colOff>
          <xdr:row>12</xdr:row>
          <xdr:rowOff>28575</xdr:rowOff>
        </xdr:to>
        <xdr:sp macro="" textlink="">
          <xdr:nvSpPr>
            <xdr:cNvPr id="22547" name="Button 19" hidden="1">
              <a:extLst>
                <a:ext uri="{63B3BB69-23CF-44E3-9099-C40C66FF867C}">
                  <a14:compatExt spid="_x0000_s225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Maksimi  minimi keskim.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12</xdr:row>
          <xdr:rowOff>19050</xdr:rowOff>
        </xdr:to>
        <xdr:sp macro="" textlink="">
          <xdr:nvSpPr>
            <xdr:cNvPr id="22548" name="Button 20" hidden="1">
              <a:extLst>
                <a:ext uri="{63B3BB69-23CF-44E3-9099-C40C66FF867C}">
                  <a14:compatExt spid="_x0000_s225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PALUU PÄÄ-   IKKUNAAN</a:t>
              </a:r>
            </a:p>
          </xdr:txBody>
        </xdr:sp>
        <xdr:clientData fPrintsWithSheet="0"/>
      </xdr:twoCellAnchor>
    </mc:Choice>
    <mc:Fallback/>
  </mc:AlternateContent>
</xdr:wsDr>
</file>

<file path=xl/drawings/drawing41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0.04831</cdr:y>
    </cdr:to>
    <cdr:sp macro="" textlink="">
      <cdr:nvSpPr>
        <cdr:cNvPr id="23553" name="Teksti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91837" y="-33103"/>
          <a:ext cx="1666913" cy="19095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27432" bIns="18288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800" b="0" i="0" u="none" strike="noStrike" baseline="0">
              <a:solidFill>
                <a:srgbClr val="000000"/>
              </a:solidFill>
              <a:latin typeface="MS Sans Serif"/>
            </a:rPr>
            <a:t>KORKEASAAREN ELÄINTARHA</a:t>
          </a:r>
        </a:p>
      </cdr:txBody>
    </cdr:sp>
  </cdr:relSizeAnchor>
  <cdr:relSizeAnchor xmlns:cdr="http://schemas.openxmlformats.org/drawingml/2006/chartDrawing">
    <cdr:from>
      <cdr:x>0.4069</cdr:x>
      <cdr:y>0.27823</cdr:y>
    </cdr:from>
    <cdr:to>
      <cdr:x>0.9988</cdr:x>
      <cdr:y>0.32775</cdr:y>
    </cdr:to>
    <cdr:sp macro="" textlink="">
      <cdr:nvSpPr>
        <cdr:cNvPr id="23554" name="Teksti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01603" y="1102967"/>
          <a:ext cx="434118" cy="1957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wrap="none" lIns="18288" tIns="18288" rIns="18288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800" b="0" i="0" u="none" strike="noStrike" baseline="0">
              <a:solidFill>
                <a:srgbClr val="000000"/>
              </a:solidFill>
              <a:latin typeface="MS Sans Serif"/>
            </a:rPr>
            <a:t>KÄYNNIT TULOSUUNNITTAIN</a:t>
          </a:r>
        </a:p>
      </cdr:txBody>
    </cdr:sp>
  </cdr:relSizeAnchor>
  <cdr:relSizeAnchor xmlns:cdr="http://schemas.openxmlformats.org/drawingml/2006/chartDrawing">
    <cdr:from>
      <cdr:x>0.37666</cdr:x>
      <cdr:y>0</cdr:y>
    </cdr:from>
    <cdr:to>
      <cdr:x>0.51958</cdr:x>
      <cdr:y>0.06758</cdr:y>
    </cdr:to>
    <cdr:sp macro="" textlink="'K2'!$A$1">
      <cdr:nvSpPr>
        <cdr:cNvPr id="23555" name="Teksti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79426" y="-50463"/>
          <a:ext cx="104820" cy="26714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fld id="{A2A477FA-6C2A-4857-A480-A6761AB6A7CE}" type="TxLink">
            <a:rPr lang="fi-FI"/>
            <a:pPr/>
            <a:t> </a:t>
          </a:fld>
          <a:endParaRPr lang="fi-FI"/>
        </a:p>
      </cdr:txBody>
    </cdr:sp>
  </cdr:relSizeAnchor>
</c:userShapes>
</file>

<file path=xl/drawings/drawing42.xml><?xml version="1.0" encoding="utf-8"?>
<c:userShapes xmlns:c="http://schemas.openxmlformats.org/drawingml/2006/chart">
  <cdr:relSizeAnchor xmlns:cdr="http://schemas.openxmlformats.org/drawingml/2006/chartDrawing">
    <cdr:from>
      <cdr:x>0.19894</cdr:x>
      <cdr:y>0</cdr:y>
    </cdr:from>
    <cdr:to>
      <cdr:x>0.23309</cdr:x>
      <cdr:y>0.07485</cdr:y>
    </cdr:to>
    <cdr:sp macro="" textlink="">
      <cdr:nvSpPr>
        <cdr:cNvPr id="24577" name="Teksti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49079" y="-2035"/>
          <a:ext cx="25048" cy="19106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wrap="none" lIns="18288" tIns="18288" rIns="18288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600" b="0" i="0" u="none" strike="noStrike" baseline="0">
              <a:solidFill>
                <a:srgbClr val="000000"/>
              </a:solidFill>
              <a:latin typeface="MS Sans Serif"/>
            </a:rPr>
            <a:t>KORKEASAAREN ELÄINTARHA</a:t>
          </a:r>
        </a:p>
      </cdr:txBody>
    </cdr:sp>
  </cdr:relSizeAnchor>
  <cdr:relSizeAnchor xmlns:cdr="http://schemas.openxmlformats.org/drawingml/2006/chartDrawing">
    <cdr:from>
      <cdr:x>0.3375</cdr:x>
      <cdr:y>0.11011</cdr:y>
    </cdr:from>
    <cdr:to>
      <cdr:x>0.48042</cdr:x>
      <cdr:y>0.21456</cdr:y>
    </cdr:to>
    <cdr:sp macro="" textlink="'K2'!$A$1">
      <cdr:nvSpPr>
        <cdr:cNvPr id="24578" name="Teksti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50708" y="284258"/>
          <a:ext cx="104821" cy="26663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fld id="{7BD30F61-CE45-47A8-9C30-732B608F4F3E}" type="TxLink">
            <a:rPr lang="fi-FI"/>
            <a:pPr/>
            <a:t> </a:t>
          </a:fld>
          <a:endParaRPr lang="fi-FI"/>
        </a:p>
      </cdr:txBody>
    </cdr:sp>
  </cdr:relSizeAnchor>
  <cdr:relSizeAnchor xmlns:cdr="http://schemas.openxmlformats.org/drawingml/2006/chartDrawing">
    <cdr:from>
      <cdr:x>0.28573</cdr:x>
      <cdr:y>0</cdr:y>
    </cdr:from>
    <cdr:to>
      <cdr:x>0.67881</cdr:x>
      <cdr:y>0.06859</cdr:y>
    </cdr:to>
    <cdr:sp macro="" textlink="">
      <cdr:nvSpPr>
        <cdr:cNvPr id="24579" name="Teksti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12737" y="-10636"/>
          <a:ext cx="288295" cy="17509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wrap="none" lIns="9144" tIns="18288" rIns="9144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500" b="0" i="0" u="none" strike="noStrike" baseline="0">
              <a:solidFill>
                <a:srgbClr val="000000"/>
              </a:solidFill>
              <a:latin typeface="Small Fonts"/>
            </a:rPr>
            <a:t>KUUKAUDEN PÄIVITTÄISET MAKSIMI-, MINIMI- JA KESKIMÄÄRÄISET KÄVIJÄMÄÄRÄT</a:t>
          </a:r>
        </a:p>
      </cdr:txBody>
    </cdr:sp>
  </cdr:relSizeAnchor>
</c:userShapes>
</file>

<file path=xl/drawings/drawing43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0</xdr:colOff>
      <xdr:row>11</xdr:row>
      <xdr:rowOff>19050</xdr:rowOff>
    </xdr:from>
    <xdr:to>
      <xdr:col>36</xdr:col>
      <xdr:colOff>0</xdr:colOff>
      <xdr:row>35</xdr:row>
      <xdr:rowOff>0</xdr:rowOff>
    </xdr:to>
    <xdr:graphicFrame macro="">
      <xdr:nvGraphicFramePr>
        <xdr:cNvPr id="31765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36</xdr:col>
      <xdr:colOff>0</xdr:colOff>
      <xdr:row>27</xdr:row>
      <xdr:rowOff>66675</xdr:rowOff>
    </xdr:from>
    <xdr:to>
      <xdr:col>36</xdr:col>
      <xdr:colOff>0</xdr:colOff>
      <xdr:row>40</xdr:row>
      <xdr:rowOff>57150</xdr:rowOff>
    </xdr:to>
    <xdr:graphicFrame macro="">
      <xdr:nvGraphicFramePr>
        <xdr:cNvPr id="31766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  <xdr:twoCellAnchor>
    <xdr:from>
      <xdr:col>36</xdr:col>
      <xdr:colOff>0</xdr:colOff>
      <xdr:row>41</xdr:row>
      <xdr:rowOff>0</xdr:rowOff>
    </xdr:from>
    <xdr:to>
      <xdr:col>36</xdr:col>
      <xdr:colOff>0</xdr:colOff>
      <xdr:row>46</xdr:row>
      <xdr:rowOff>142875</xdr:rowOff>
    </xdr:to>
    <xdr:graphicFrame macro="">
      <xdr:nvGraphicFramePr>
        <xdr:cNvPr id="31767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9525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31745" name="Button 1" hidden="1">
              <a:extLst>
                <a:ext uri="{63B3BB69-23CF-44E3-9099-C40C66FF867C}">
                  <a14:compatExt spid="_x0000_s317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Tammi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31746" name="Button 2" hidden="1">
              <a:extLst>
                <a:ext uri="{63B3BB69-23CF-44E3-9099-C40C66FF867C}">
                  <a14:compatExt spid="_x0000_s317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Tammi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31747" name="Button 3" hidden="1">
              <a:extLst>
                <a:ext uri="{63B3BB69-23CF-44E3-9099-C40C66FF867C}">
                  <a14:compatExt spid="_x0000_s317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Maalis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31748" name="Button 4" hidden="1">
              <a:extLst>
                <a:ext uri="{63B3BB69-23CF-44E3-9099-C40C66FF867C}">
                  <a14:compatExt spid="_x0000_s317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Huhti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31749" name="Button 5" hidden="1">
              <a:extLst>
                <a:ext uri="{63B3BB69-23CF-44E3-9099-C40C66FF867C}">
                  <a14:compatExt spid="_x0000_s317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Touko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31750" name="Button 6" hidden="1">
              <a:extLst>
                <a:ext uri="{63B3BB69-23CF-44E3-9099-C40C66FF867C}">
                  <a14:compatExt spid="_x0000_s317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Kesä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9525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31751" name="Button 7" hidden="1">
              <a:extLst>
                <a:ext uri="{63B3BB69-23CF-44E3-9099-C40C66FF867C}">
                  <a14:compatExt spid="_x0000_s317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Helmi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31752" name="Button 8" hidden="1">
              <a:extLst>
                <a:ext uri="{63B3BB69-23CF-44E3-9099-C40C66FF867C}">
                  <a14:compatExt spid="_x0000_s317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Heinä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31753" name="Button 9" hidden="1">
              <a:extLst>
                <a:ext uri="{63B3BB69-23CF-44E3-9099-C40C66FF867C}">
                  <a14:compatExt spid="_x0000_s317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Syys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31754" name="Button 10" hidden="1">
              <a:extLst>
                <a:ext uri="{63B3BB69-23CF-44E3-9099-C40C66FF867C}">
                  <a14:compatExt spid="_x0000_s317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Loka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31755" name="Button 11" hidden="1">
              <a:extLst>
                <a:ext uri="{63B3BB69-23CF-44E3-9099-C40C66FF867C}">
                  <a14:compatExt spid="_x0000_s317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Marras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31756" name="Button 12" hidden="1">
              <a:extLst>
                <a:ext uri="{63B3BB69-23CF-44E3-9099-C40C66FF867C}">
                  <a14:compatExt spid="_x0000_s317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Joulu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0</xdr:rowOff>
        </xdr:from>
        <xdr:to>
          <xdr:col>35</xdr:col>
          <xdr:colOff>0</xdr:colOff>
          <xdr:row>6</xdr:row>
          <xdr:rowOff>0</xdr:rowOff>
        </xdr:to>
        <xdr:sp macro="" textlink="">
          <xdr:nvSpPr>
            <xdr:cNvPr id="31757" name="Button 13" hidden="1">
              <a:extLst>
                <a:ext uri="{63B3BB69-23CF-44E3-9099-C40C66FF867C}">
                  <a14:compatExt spid="_x0000_s317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Elo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5</xdr:row>
          <xdr:rowOff>123825</xdr:rowOff>
        </xdr:to>
        <xdr:sp macro="" textlink="">
          <xdr:nvSpPr>
            <xdr:cNvPr id="31758" name="Button 14" hidden="1">
              <a:extLst>
                <a:ext uri="{63B3BB69-23CF-44E3-9099-C40C66FF867C}">
                  <a14:compatExt spid="_x0000_s317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Taulukko-yhteenveto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142875</xdr:rowOff>
        </xdr:from>
        <xdr:to>
          <xdr:col>35</xdr:col>
          <xdr:colOff>0</xdr:colOff>
          <xdr:row>12</xdr:row>
          <xdr:rowOff>19050</xdr:rowOff>
        </xdr:to>
        <xdr:sp macro="" textlink="">
          <xdr:nvSpPr>
            <xdr:cNvPr id="31759" name="Button 15" hidden="1">
              <a:extLst>
                <a:ext uri="{63B3BB69-23CF-44E3-9099-C40C66FF867C}">
                  <a14:compatExt spid="_x0000_s317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Yhteen-sä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152400</xdr:rowOff>
        </xdr:from>
        <xdr:to>
          <xdr:col>35</xdr:col>
          <xdr:colOff>0</xdr:colOff>
          <xdr:row>12</xdr:row>
          <xdr:rowOff>0</xdr:rowOff>
        </xdr:to>
        <xdr:sp macro="" textlink="">
          <xdr:nvSpPr>
            <xdr:cNvPr id="31760" name="Button 16" hidden="1">
              <a:extLst>
                <a:ext uri="{63B3BB69-23CF-44E3-9099-C40C66FF867C}">
                  <a14:compatExt spid="_x0000_s317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Vertailu edellis-vuoteen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142875</xdr:rowOff>
        </xdr:from>
        <xdr:to>
          <xdr:col>35</xdr:col>
          <xdr:colOff>0</xdr:colOff>
          <xdr:row>12</xdr:row>
          <xdr:rowOff>0</xdr:rowOff>
        </xdr:to>
        <xdr:sp macro="" textlink="">
          <xdr:nvSpPr>
            <xdr:cNvPr id="31761" name="Button 17" hidden="1">
              <a:extLst>
                <a:ext uri="{63B3BB69-23CF-44E3-9099-C40C66FF867C}">
                  <a14:compatExt spid="_x0000_s317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Käynnit tulosuun-nittain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152400</xdr:rowOff>
        </xdr:from>
        <xdr:to>
          <xdr:col>35</xdr:col>
          <xdr:colOff>0</xdr:colOff>
          <xdr:row>12</xdr:row>
          <xdr:rowOff>19050</xdr:rowOff>
        </xdr:to>
        <xdr:sp macro="" textlink="">
          <xdr:nvSpPr>
            <xdr:cNvPr id="31762" name="Button 18" hidden="1">
              <a:extLst>
                <a:ext uri="{63B3BB69-23CF-44E3-9099-C40C66FF867C}">
                  <a14:compatExt spid="_x0000_s317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Aikuiset lapset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152400</xdr:rowOff>
        </xdr:from>
        <xdr:to>
          <xdr:col>35</xdr:col>
          <xdr:colOff>0</xdr:colOff>
          <xdr:row>12</xdr:row>
          <xdr:rowOff>28575</xdr:rowOff>
        </xdr:to>
        <xdr:sp macro="" textlink="">
          <xdr:nvSpPr>
            <xdr:cNvPr id="31763" name="Button 19" hidden="1">
              <a:extLst>
                <a:ext uri="{63B3BB69-23CF-44E3-9099-C40C66FF867C}">
                  <a14:compatExt spid="_x0000_s317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Maksimi  minimi keskim.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12</xdr:row>
          <xdr:rowOff>19050</xdr:rowOff>
        </xdr:to>
        <xdr:sp macro="" textlink="">
          <xdr:nvSpPr>
            <xdr:cNvPr id="31764" name="Button 20" hidden="1">
              <a:extLst>
                <a:ext uri="{63B3BB69-23CF-44E3-9099-C40C66FF867C}">
                  <a14:compatExt spid="_x0000_s317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PALUU PÄÄ-   IKKUNAAN</a:t>
              </a:r>
            </a:p>
          </xdr:txBody>
        </xdr:sp>
        <xdr:clientData fPrintsWithSheet="0"/>
      </xdr:twoCellAnchor>
    </mc:Choice>
    <mc:Fallback/>
  </mc:AlternateContent>
</xdr:wsDr>
</file>

<file path=xl/drawings/drawing4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0.04831</cdr:y>
    </cdr:to>
    <cdr:sp macro="" textlink="">
      <cdr:nvSpPr>
        <cdr:cNvPr id="32769" name="Teksti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91837" y="-33103"/>
          <a:ext cx="1666913" cy="19095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27432" bIns="18288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800" b="0" i="0" u="none" strike="noStrike" baseline="0">
              <a:solidFill>
                <a:srgbClr val="000000"/>
              </a:solidFill>
              <a:latin typeface="MS Sans Serif"/>
            </a:rPr>
            <a:t>KORKEASAAREN ELÄINTARHA</a:t>
          </a:r>
        </a:p>
      </cdr:txBody>
    </cdr:sp>
  </cdr:relSizeAnchor>
  <cdr:relSizeAnchor xmlns:cdr="http://schemas.openxmlformats.org/drawingml/2006/chartDrawing">
    <cdr:from>
      <cdr:x>0.4069</cdr:x>
      <cdr:y>0.27823</cdr:y>
    </cdr:from>
    <cdr:to>
      <cdr:x>0.9988</cdr:x>
      <cdr:y>0.32775</cdr:y>
    </cdr:to>
    <cdr:sp macro="" textlink="">
      <cdr:nvSpPr>
        <cdr:cNvPr id="32770" name="Teksti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01603" y="1102967"/>
          <a:ext cx="434118" cy="1957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wrap="none" lIns="18288" tIns="18288" rIns="18288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800" b="0" i="0" u="none" strike="noStrike" baseline="0">
              <a:solidFill>
                <a:srgbClr val="000000"/>
              </a:solidFill>
              <a:latin typeface="MS Sans Serif"/>
            </a:rPr>
            <a:t>KÄYNNIT TULOSUUNNITTAIN</a:t>
          </a:r>
        </a:p>
      </cdr:txBody>
    </cdr:sp>
  </cdr:relSizeAnchor>
  <cdr:relSizeAnchor xmlns:cdr="http://schemas.openxmlformats.org/drawingml/2006/chartDrawing">
    <cdr:from>
      <cdr:x>0.37666</cdr:x>
      <cdr:y>0</cdr:y>
    </cdr:from>
    <cdr:to>
      <cdr:x>0.51958</cdr:x>
      <cdr:y>0.06758</cdr:y>
    </cdr:to>
    <cdr:sp macro="" textlink="'K3'!$A$1">
      <cdr:nvSpPr>
        <cdr:cNvPr id="32771" name="Teksti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79426" y="-50463"/>
          <a:ext cx="104820" cy="26714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fld id="{BCA88489-495D-421B-8E37-29B94BEC3313}" type="TxLink">
            <a:rPr lang="fi-FI"/>
            <a:pPr/>
            <a:t> </a:t>
          </a:fld>
          <a:endParaRPr lang="fi-FI"/>
        </a:p>
      </cdr:txBody>
    </cdr:sp>
  </cdr:relSizeAnchor>
</c:userShapes>
</file>

<file path=xl/drawings/drawing45.xml><?xml version="1.0" encoding="utf-8"?>
<c:userShapes xmlns:c="http://schemas.openxmlformats.org/drawingml/2006/chart">
  <cdr:relSizeAnchor xmlns:cdr="http://schemas.openxmlformats.org/drawingml/2006/chartDrawing">
    <cdr:from>
      <cdr:x>0.19894</cdr:x>
      <cdr:y>0</cdr:y>
    </cdr:from>
    <cdr:to>
      <cdr:x>0.23331</cdr:x>
      <cdr:y>0.07485</cdr:y>
    </cdr:to>
    <cdr:sp macro="" textlink="">
      <cdr:nvSpPr>
        <cdr:cNvPr id="33793" name="Teksti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49079" y="-2035"/>
          <a:ext cx="25208" cy="19106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wrap="none" lIns="18288" tIns="18288" rIns="18288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600" b="0" i="0" u="none" strike="noStrike" baseline="0">
              <a:solidFill>
                <a:srgbClr val="000000"/>
              </a:solidFill>
              <a:latin typeface="MS Sans Serif"/>
            </a:rPr>
            <a:t>KORKEASAAREN ELÄINTARHA</a:t>
          </a:r>
        </a:p>
      </cdr:txBody>
    </cdr:sp>
  </cdr:relSizeAnchor>
  <cdr:relSizeAnchor xmlns:cdr="http://schemas.openxmlformats.org/drawingml/2006/chartDrawing">
    <cdr:from>
      <cdr:x>0.3375</cdr:x>
      <cdr:y>0.11011</cdr:y>
    </cdr:from>
    <cdr:to>
      <cdr:x>0.48042</cdr:x>
      <cdr:y>0.21456</cdr:y>
    </cdr:to>
    <cdr:sp macro="" textlink="'K3'!$A$1">
      <cdr:nvSpPr>
        <cdr:cNvPr id="33794" name="Teksti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50708" y="284258"/>
          <a:ext cx="104821" cy="26663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fld id="{2147D263-2DF6-48BF-8CF8-0580693AC46E}" type="TxLink">
            <a:rPr lang="fi-FI"/>
            <a:pPr/>
            <a:t> </a:t>
          </a:fld>
          <a:endParaRPr lang="fi-FI"/>
        </a:p>
      </cdr:txBody>
    </cdr:sp>
  </cdr:relSizeAnchor>
  <cdr:relSizeAnchor xmlns:cdr="http://schemas.openxmlformats.org/drawingml/2006/chartDrawing">
    <cdr:from>
      <cdr:x>0.28595</cdr:x>
      <cdr:y>0</cdr:y>
    </cdr:from>
    <cdr:to>
      <cdr:x>0.67881</cdr:x>
      <cdr:y>0.06859</cdr:y>
    </cdr:to>
    <cdr:sp macro="" textlink="">
      <cdr:nvSpPr>
        <cdr:cNvPr id="33795" name="Teksti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12896" y="-10636"/>
          <a:ext cx="288136" cy="17509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wrap="none" lIns="9144" tIns="18288" rIns="9144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500" b="0" i="0" u="none" strike="noStrike" baseline="0">
              <a:solidFill>
                <a:srgbClr val="000000"/>
              </a:solidFill>
              <a:latin typeface="Small Fonts"/>
            </a:rPr>
            <a:t>KUUKAUDEN PÄIVITTÄISET MAKSIMI-, MINIMI- JA KESKIMÄÄRÄISET KÄVIJÄMÄÄRÄT</a:t>
          </a:r>
        </a:p>
      </cdr:txBody>
    </cdr:sp>
  </cdr:relSizeAnchor>
</c:userShapes>
</file>

<file path=xl/drawings/drawing46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0</xdr:colOff>
      <xdr:row>11</xdr:row>
      <xdr:rowOff>19050</xdr:rowOff>
    </xdr:from>
    <xdr:to>
      <xdr:col>36</xdr:col>
      <xdr:colOff>0</xdr:colOff>
      <xdr:row>35</xdr:row>
      <xdr:rowOff>0</xdr:rowOff>
    </xdr:to>
    <xdr:graphicFrame macro="">
      <xdr:nvGraphicFramePr>
        <xdr:cNvPr id="44053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36</xdr:col>
      <xdr:colOff>0</xdr:colOff>
      <xdr:row>27</xdr:row>
      <xdr:rowOff>66675</xdr:rowOff>
    </xdr:from>
    <xdr:to>
      <xdr:col>36</xdr:col>
      <xdr:colOff>0</xdr:colOff>
      <xdr:row>40</xdr:row>
      <xdr:rowOff>57150</xdr:rowOff>
    </xdr:to>
    <xdr:graphicFrame macro="">
      <xdr:nvGraphicFramePr>
        <xdr:cNvPr id="44054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  <xdr:twoCellAnchor>
    <xdr:from>
      <xdr:col>36</xdr:col>
      <xdr:colOff>0</xdr:colOff>
      <xdr:row>41</xdr:row>
      <xdr:rowOff>0</xdr:rowOff>
    </xdr:from>
    <xdr:to>
      <xdr:col>36</xdr:col>
      <xdr:colOff>0</xdr:colOff>
      <xdr:row>46</xdr:row>
      <xdr:rowOff>142875</xdr:rowOff>
    </xdr:to>
    <xdr:graphicFrame macro="">
      <xdr:nvGraphicFramePr>
        <xdr:cNvPr id="4405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9525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44033" name="Button 1" hidden="1">
              <a:extLst>
                <a:ext uri="{63B3BB69-23CF-44E3-9099-C40C66FF867C}">
                  <a14:compatExt spid="_x0000_s440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Tammi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44034" name="Button 2" hidden="1">
              <a:extLst>
                <a:ext uri="{63B3BB69-23CF-44E3-9099-C40C66FF867C}">
                  <a14:compatExt spid="_x0000_s44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Tammi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44035" name="Button 3" hidden="1">
              <a:extLst>
                <a:ext uri="{63B3BB69-23CF-44E3-9099-C40C66FF867C}">
                  <a14:compatExt spid="_x0000_s440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Maalis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44036" name="Button 4" hidden="1">
              <a:extLst>
                <a:ext uri="{63B3BB69-23CF-44E3-9099-C40C66FF867C}">
                  <a14:compatExt spid="_x0000_s440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Huhti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44037" name="Button 5" hidden="1">
              <a:extLst>
                <a:ext uri="{63B3BB69-23CF-44E3-9099-C40C66FF867C}">
                  <a14:compatExt spid="_x0000_s440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Touko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44038" name="Button 6" hidden="1">
              <a:extLst>
                <a:ext uri="{63B3BB69-23CF-44E3-9099-C40C66FF867C}">
                  <a14:compatExt spid="_x0000_s440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Kesä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9525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44039" name="Button 7" hidden="1">
              <a:extLst>
                <a:ext uri="{63B3BB69-23CF-44E3-9099-C40C66FF867C}">
                  <a14:compatExt spid="_x0000_s440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Helmi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44040" name="Button 8" hidden="1">
              <a:extLst>
                <a:ext uri="{63B3BB69-23CF-44E3-9099-C40C66FF867C}">
                  <a14:compatExt spid="_x0000_s440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Heinä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44041" name="Button 9" hidden="1">
              <a:extLst>
                <a:ext uri="{63B3BB69-23CF-44E3-9099-C40C66FF867C}">
                  <a14:compatExt spid="_x0000_s440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Syys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44042" name="Button 10" hidden="1">
              <a:extLst>
                <a:ext uri="{63B3BB69-23CF-44E3-9099-C40C66FF867C}">
                  <a14:compatExt spid="_x0000_s440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Loka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44043" name="Button 11" hidden="1">
              <a:extLst>
                <a:ext uri="{63B3BB69-23CF-44E3-9099-C40C66FF867C}">
                  <a14:compatExt spid="_x0000_s440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Marras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44044" name="Button 12" hidden="1">
              <a:extLst>
                <a:ext uri="{63B3BB69-23CF-44E3-9099-C40C66FF867C}">
                  <a14:compatExt spid="_x0000_s440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Joulu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0</xdr:rowOff>
        </xdr:from>
        <xdr:to>
          <xdr:col>35</xdr:col>
          <xdr:colOff>0</xdr:colOff>
          <xdr:row>6</xdr:row>
          <xdr:rowOff>0</xdr:rowOff>
        </xdr:to>
        <xdr:sp macro="" textlink="">
          <xdr:nvSpPr>
            <xdr:cNvPr id="44045" name="Button 13" hidden="1">
              <a:extLst>
                <a:ext uri="{63B3BB69-23CF-44E3-9099-C40C66FF867C}">
                  <a14:compatExt spid="_x0000_s440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Elo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5</xdr:row>
          <xdr:rowOff>123825</xdr:rowOff>
        </xdr:to>
        <xdr:sp macro="" textlink="">
          <xdr:nvSpPr>
            <xdr:cNvPr id="44046" name="Button 14" hidden="1">
              <a:extLst>
                <a:ext uri="{63B3BB69-23CF-44E3-9099-C40C66FF867C}">
                  <a14:compatExt spid="_x0000_s440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Taulukko-yhteenveto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142875</xdr:rowOff>
        </xdr:from>
        <xdr:to>
          <xdr:col>35</xdr:col>
          <xdr:colOff>0</xdr:colOff>
          <xdr:row>12</xdr:row>
          <xdr:rowOff>19050</xdr:rowOff>
        </xdr:to>
        <xdr:sp macro="" textlink="">
          <xdr:nvSpPr>
            <xdr:cNvPr id="44047" name="Button 15" hidden="1">
              <a:extLst>
                <a:ext uri="{63B3BB69-23CF-44E3-9099-C40C66FF867C}">
                  <a14:compatExt spid="_x0000_s440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Yhteen-sä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152400</xdr:rowOff>
        </xdr:from>
        <xdr:to>
          <xdr:col>35</xdr:col>
          <xdr:colOff>0</xdr:colOff>
          <xdr:row>12</xdr:row>
          <xdr:rowOff>0</xdr:rowOff>
        </xdr:to>
        <xdr:sp macro="" textlink="">
          <xdr:nvSpPr>
            <xdr:cNvPr id="44048" name="Button 16" hidden="1">
              <a:extLst>
                <a:ext uri="{63B3BB69-23CF-44E3-9099-C40C66FF867C}">
                  <a14:compatExt spid="_x0000_s440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Vertailu edellis-vuoteen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142875</xdr:rowOff>
        </xdr:from>
        <xdr:to>
          <xdr:col>35</xdr:col>
          <xdr:colOff>0</xdr:colOff>
          <xdr:row>12</xdr:row>
          <xdr:rowOff>0</xdr:rowOff>
        </xdr:to>
        <xdr:sp macro="" textlink="">
          <xdr:nvSpPr>
            <xdr:cNvPr id="44049" name="Button 17" hidden="1">
              <a:extLst>
                <a:ext uri="{63B3BB69-23CF-44E3-9099-C40C66FF867C}">
                  <a14:compatExt spid="_x0000_s44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Käynnit tulosuun-nittain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152400</xdr:rowOff>
        </xdr:from>
        <xdr:to>
          <xdr:col>35</xdr:col>
          <xdr:colOff>0</xdr:colOff>
          <xdr:row>12</xdr:row>
          <xdr:rowOff>19050</xdr:rowOff>
        </xdr:to>
        <xdr:sp macro="" textlink="">
          <xdr:nvSpPr>
            <xdr:cNvPr id="44050" name="Button 18" hidden="1">
              <a:extLst>
                <a:ext uri="{63B3BB69-23CF-44E3-9099-C40C66FF867C}">
                  <a14:compatExt spid="_x0000_s440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Aikuiset lapset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152400</xdr:rowOff>
        </xdr:from>
        <xdr:to>
          <xdr:col>35</xdr:col>
          <xdr:colOff>0</xdr:colOff>
          <xdr:row>12</xdr:row>
          <xdr:rowOff>28575</xdr:rowOff>
        </xdr:to>
        <xdr:sp macro="" textlink="">
          <xdr:nvSpPr>
            <xdr:cNvPr id="44051" name="Button 19" hidden="1">
              <a:extLst>
                <a:ext uri="{63B3BB69-23CF-44E3-9099-C40C66FF867C}">
                  <a14:compatExt spid="_x0000_s440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Maksimi  minimi keskim.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12</xdr:row>
          <xdr:rowOff>19050</xdr:rowOff>
        </xdr:to>
        <xdr:sp macro="" textlink="">
          <xdr:nvSpPr>
            <xdr:cNvPr id="44052" name="Button 20" hidden="1">
              <a:extLst>
                <a:ext uri="{63B3BB69-23CF-44E3-9099-C40C66FF867C}">
                  <a14:compatExt spid="_x0000_s440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PALUU PÄÄ-   IKKUNAAN</a:t>
              </a:r>
            </a:p>
          </xdr:txBody>
        </xdr:sp>
        <xdr:clientData fPrintsWithSheet="0"/>
      </xdr:twoCellAnchor>
    </mc:Choice>
    <mc:Fallback/>
  </mc:AlternateContent>
</xdr:wsDr>
</file>

<file path=xl/drawings/drawing47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0.04831</cdr:y>
    </cdr:to>
    <cdr:sp macro="" textlink="">
      <cdr:nvSpPr>
        <cdr:cNvPr id="45057" name="Teksti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91837" y="-33103"/>
          <a:ext cx="1666913" cy="19095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27432" bIns="18288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800" b="0" i="0" u="none" strike="noStrike" baseline="0">
              <a:solidFill>
                <a:srgbClr val="000000"/>
              </a:solidFill>
              <a:latin typeface="MS Sans Serif"/>
            </a:rPr>
            <a:t>KORKEASAAREN ELÄINTARHA</a:t>
          </a:r>
        </a:p>
      </cdr:txBody>
    </cdr:sp>
  </cdr:relSizeAnchor>
  <cdr:relSizeAnchor xmlns:cdr="http://schemas.openxmlformats.org/drawingml/2006/chartDrawing">
    <cdr:from>
      <cdr:x>0.4069</cdr:x>
      <cdr:y>0.27823</cdr:y>
    </cdr:from>
    <cdr:to>
      <cdr:x>0.9988</cdr:x>
      <cdr:y>0.32775</cdr:y>
    </cdr:to>
    <cdr:sp macro="" textlink="">
      <cdr:nvSpPr>
        <cdr:cNvPr id="45058" name="Teksti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01603" y="1102967"/>
          <a:ext cx="434118" cy="1957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wrap="none" lIns="18288" tIns="18288" rIns="18288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800" b="0" i="0" u="none" strike="noStrike" baseline="0">
              <a:solidFill>
                <a:srgbClr val="000000"/>
              </a:solidFill>
              <a:latin typeface="MS Sans Serif"/>
            </a:rPr>
            <a:t>KÄYNNIT TULOSUUNNITTAIN</a:t>
          </a:r>
        </a:p>
      </cdr:txBody>
    </cdr:sp>
  </cdr:relSizeAnchor>
  <cdr:relSizeAnchor xmlns:cdr="http://schemas.openxmlformats.org/drawingml/2006/chartDrawing">
    <cdr:from>
      <cdr:x>0.37666</cdr:x>
      <cdr:y>0</cdr:y>
    </cdr:from>
    <cdr:to>
      <cdr:x>0.51958</cdr:x>
      <cdr:y>0.06758</cdr:y>
    </cdr:to>
    <cdr:sp macro="" textlink="'K4'!$A$1">
      <cdr:nvSpPr>
        <cdr:cNvPr id="45059" name="Teksti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79426" y="-50463"/>
          <a:ext cx="104820" cy="26714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fld id="{8A0A49B3-33BB-4895-8959-6AE03CB51CD0}" type="TxLink">
            <a:rPr lang="fi-FI"/>
            <a:pPr/>
            <a:t> </a:t>
          </a:fld>
          <a:endParaRPr lang="fi-FI"/>
        </a:p>
      </cdr:txBody>
    </cdr:sp>
  </cdr:relSizeAnchor>
</c:userShapes>
</file>

<file path=xl/drawings/drawing48.xml><?xml version="1.0" encoding="utf-8"?>
<c:userShapes xmlns:c="http://schemas.openxmlformats.org/drawingml/2006/chart">
  <cdr:relSizeAnchor xmlns:cdr="http://schemas.openxmlformats.org/drawingml/2006/chartDrawing">
    <cdr:from>
      <cdr:x>0.19894</cdr:x>
      <cdr:y>0</cdr:y>
    </cdr:from>
    <cdr:to>
      <cdr:x>0.23331</cdr:x>
      <cdr:y>0.07485</cdr:y>
    </cdr:to>
    <cdr:sp macro="" textlink="">
      <cdr:nvSpPr>
        <cdr:cNvPr id="46081" name="Teksti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49079" y="-2035"/>
          <a:ext cx="25208" cy="19106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wrap="none" lIns="18288" tIns="18288" rIns="18288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600" b="0" i="0" u="none" strike="noStrike" baseline="0">
              <a:solidFill>
                <a:srgbClr val="000000"/>
              </a:solidFill>
              <a:latin typeface="MS Sans Serif"/>
            </a:rPr>
            <a:t>KORKEASAAREN ELÄINTARHA</a:t>
          </a:r>
        </a:p>
      </cdr:txBody>
    </cdr:sp>
  </cdr:relSizeAnchor>
  <cdr:relSizeAnchor xmlns:cdr="http://schemas.openxmlformats.org/drawingml/2006/chartDrawing">
    <cdr:from>
      <cdr:x>0.3375</cdr:x>
      <cdr:y>0.11011</cdr:y>
    </cdr:from>
    <cdr:to>
      <cdr:x>0.48042</cdr:x>
      <cdr:y>0.21456</cdr:y>
    </cdr:to>
    <cdr:sp macro="" textlink="'K4'!$A$1">
      <cdr:nvSpPr>
        <cdr:cNvPr id="46082" name="Teksti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50708" y="284258"/>
          <a:ext cx="104821" cy="26663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fld id="{D4D30400-5906-4352-8056-7BAD6DC7567F}" type="TxLink">
            <a:rPr lang="fi-FI"/>
            <a:pPr/>
            <a:t> </a:t>
          </a:fld>
          <a:endParaRPr lang="fi-FI"/>
        </a:p>
      </cdr:txBody>
    </cdr:sp>
  </cdr:relSizeAnchor>
  <cdr:relSizeAnchor xmlns:cdr="http://schemas.openxmlformats.org/drawingml/2006/chartDrawing">
    <cdr:from>
      <cdr:x>0.28595</cdr:x>
      <cdr:y>0</cdr:y>
    </cdr:from>
    <cdr:to>
      <cdr:x>0.67881</cdr:x>
      <cdr:y>0.06859</cdr:y>
    </cdr:to>
    <cdr:sp macro="" textlink="">
      <cdr:nvSpPr>
        <cdr:cNvPr id="46083" name="Teksti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12896" y="-10636"/>
          <a:ext cx="288136" cy="17509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wrap="none" lIns="9144" tIns="18288" rIns="9144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500" b="0" i="0" u="none" strike="noStrike" baseline="0">
              <a:solidFill>
                <a:srgbClr val="000000"/>
              </a:solidFill>
              <a:latin typeface="Small Fonts"/>
            </a:rPr>
            <a:t>KUUKAUDEN PÄIVITTÄISET MAKSIMI-, MINIMI- JA KESKIMÄÄRÄISET KÄVIJÄMÄÄRÄT</a:t>
          </a:r>
        </a:p>
      </cdr:txBody>
    </cdr:sp>
  </cdr:relSizeAnchor>
</c:userShapes>
</file>

<file path=xl/drawings/drawing49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0</xdr:colOff>
      <xdr:row>11</xdr:row>
      <xdr:rowOff>19050</xdr:rowOff>
    </xdr:from>
    <xdr:to>
      <xdr:col>36</xdr:col>
      <xdr:colOff>0</xdr:colOff>
      <xdr:row>35</xdr:row>
      <xdr:rowOff>0</xdr:rowOff>
    </xdr:to>
    <xdr:graphicFrame macro="">
      <xdr:nvGraphicFramePr>
        <xdr:cNvPr id="47125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36</xdr:col>
      <xdr:colOff>0</xdr:colOff>
      <xdr:row>27</xdr:row>
      <xdr:rowOff>66675</xdr:rowOff>
    </xdr:from>
    <xdr:to>
      <xdr:col>36</xdr:col>
      <xdr:colOff>0</xdr:colOff>
      <xdr:row>40</xdr:row>
      <xdr:rowOff>57150</xdr:rowOff>
    </xdr:to>
    <xdr:graphicFrame macro="">
      <xdr:nvGraphicFramePr>
        <xdr:cNvPr id="47126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  <xdr:twoCellAnchor>
    <xdr:from>
      <xdr:col>36</xdr:col>
      <xdr:colOff>0</xdr:colOff>
      <xdr:row>41</xdr:row>
      <xdr:rowOff>0</xdr:rowOff>
    </xdr:from>
    <xdr:to>
      <xdr:col>36</xdr:col>
      <xdr:colOff>0</xdr:colOff>
      <xdr:row>46</xdr:row>
      <xdr:rowOff>142875</xdr:rowOff>
    </xdr:to>
    <xdr:graphicFrame macro="">
      <xdr:nvGraphicFramePr>
        <xdr:cNvPr id="47127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9525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47105" name="Button 1" hidden="1">
              <a:extLst>
                <a:ext uri="{63B3BB69-23CF-44E3-9099-C40C66FF867C}">
                  <a14:compatExt spid="_x0000_s471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Tammi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47106" name="Button 2" hidden="1">
              <a:extLst>
                <a:ext uri="{63B3BB69-23CF-44E3-9099-C40C66FF867C}">
                  <a14:compatExt spid="_x0000_s471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Tammi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47107" name="Button 3" hidden="1">
              <a:extLst>
                <a:ext uri="{63B3BB69-23CF-44E3-9099-C40C66FF867C}">
                  <a14:compatExt spid="_x0000_s471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Maalis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47108" name="Button 4" hidden="1">
              <a:extLst>
                <a:ext uri="{63B3BB69-23CF-44E3-9099-C40C66FF867C}">
                  <a14:compatExt spid="_x0000_s47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Huhti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47109" name="Button 5" hidden="1">
              <a:extLst>
                <a:ext uri="{63B3BB69-23CF-44E3-9099-C40C66FF867C}">
                  <a14:compatExt spid="_x0000_s47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Touko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47110" name="Button 6" hidden="1">
              <a:extLst>
                <a:ext uri="{63B3BB69-23CF-44E3-9099-C40C66FF867C}">
                  <a14:compatExt spid="_x0000_s47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Kesä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9525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47111" name="Button 7" hidden="1">
              <a:extLst>
                <a:ext uri="{63B3BB69-23CF-44E3-9099-C40C66FF867C}">
                  <a14:compatExt spid="_x0000_s47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Helmi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47112" name="Button 8" hidden="1">
              <a:extLst>
                <a:ext uri="{63B3BB69-23CF-44E3-9099-C40C66FF867C}">
                  <a14:compatExt spid="_x0000_s47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Heinä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47113" name="Button 9" hidden="1">
              <a:extLst>
                <a:ext uri="{63B3BB69-23CF-44E3-9099-C40C66FF867C}">
                  <a14:compatExt spid="_x0000_s47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Syys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47114" name="Button 10" hidden="1">
              <a:extLst>
                <a:ext uri="{63B3BB69-23CF-44E3-9099-C40C66FF867C}">
                  <a14:compatExt spid="_x0000_s47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Loka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47115" name="Button 11" hidden="1">
              <a:extLst>
                <a:ext uri="{63B3BB69-23CF-44E3-9099-C40C66FF867C}">
                  <a14:compatExt spid="_x0000_s471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Marras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47116" name="Button 12" hidden="1">
              <a:extLst>
                <a:ext uri="{63B3BB69-23CF-44E3-9099-C40C66FF867C}">
                  <a14:compatExt spid="_x0000_s47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Joulu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0</xdr:rowOff>
        </xdr:from>
        <xdr:to>
          <xdr:col>35</xdr:col>
          <xdr:colOff>0</xdr:colOff>
          <xdr:row>6</xdr:row>
          <xdr:rowOff>0</xdr:rowOff>
        </xdr:to>
        <xdr:sp macro="" textlink="">
          <xdr:nvSpPr>
            <xdr:cNvPr id="47117" name="Button 13" hidden="1">
              <a:extLst>
                <a:ext uri="{63B3BB69-23CF-44E3-9099-C40C66FF867C}">
                  <a14:compatExt spid="_x0000_s47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Elo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5</xdr:row>
          <xdr:rowOff>123825</xdr:rowOff>
        </xdr:to>
        <xdr:sp macro="" textlink="">
          <xdr:nvSpPr>
            <xdr:cNvPr id="47118" name="Button 14" hidden="1">
              <a:extLst>
                <a:ext uri="{63B3BB69-23CF-44E3-9099-C40C66FF867C}">
                  <a14:compatExt spid="_x0000_s47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Taulukko-yhteenveto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142875</xdr:rowOff>
        </xdr:from>
        <xdr:to>
          <xdr:col>35</xdr:col>
          <xdr:colOff>0</xdr:colOff>
          <xdr:row>12</xdr:row>
          <xdr:rowOff>19050</xdr:rowOff>
        </xdr:to>
        <xdr:sp macro="" textlink="">
          <xdr:nvSpPr>
            <xdr:cNvPr id="47119" name="Button 15" hidden="1">
              <a:extLst>
                <a:ext uri="{63B3BB69-23CF-44E3-9099-C40C66FF867C}">
                  <a14:compatExt spid="_x0000_s47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Yhteen-sä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152400</xdr:rowOff>
        </xdr:from>
        <xdr:to>
          <xdr:col>35</xdr:col>
          <xdr:colOff>0</xdr:colOff>
          <xdr:row>12</xdr:row>
          <xdr:rowOff>0</xdr:rowOff>
        </xdr:to>
        <xdr:sp macro="" textlink="">
          <xdr:nvSpPr>
            <xdr:cNvPr id="47120" name="Button 16" hidden="1">
              <a:extLst>
                <a:ext uri="{63B3BB69-23CF-44E3-9099-C40C66FF867C}">
                  <a14:compatExt spid="_x0000_s47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Vertailu edellis-vuoteen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142875</xdr:rowOff>
        </xdr:from>
        <xdr:to>
          <xdr:col>35</xdr:col>
          <xdr:colOff>0</xdr:colOff>
          <xdr:row>12</xdr:row>
          <xdr:rowOff>0</xdr:rowOff>
        </xdr:to>
        <xdr:sp macro="" textlink="">
          <xdr:nvSpPr>
            <xdr:cNvPr id="47121" name="Button 17" hidden="1">
              <a:extLst>
                <a:ext uri="{63B3BB69-23CF-44E3-9099-C40C66FF867C}">
                  <a14:compatExt spid="_x0000_s47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Käynnit tulosuun-nittain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152400</xdr:rowOff>
        </xdr:from>
        <xdr:to>
          <xdr:col>35</xdr:col>
          <xdr:colOff>0</xdr:colOff>
          <xdr:row>12</xdr:row>
          <xdr:rowOff>19050</xdr:rowOff>
        </xdr:to>
        <xdr:sp macro="" textlink="">
          <xdr:nvSpPr>
            <xdr:cNvPr id="47122" name="Button 18" hidden="1">
              <a:extLst>
                <a:ext uri="{63B3BB69-23CF-44E3-9099-C40C66FF867C}">
                  <a14:compatExt spid="_x0000_s47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Aikuiset lapset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152400</xdr:rowOff>
        </xdr:from>
        <xdr:to>
          <xdr:col>35</xdr:col>
          <xdr:colOff>0</xdr:colOff>
          <xdr:row>12</xdr:row>
          <xdr:rowOff>28575</xdr:rowOff>
        </xdr:to>
        <xdr:sp macro="" textlink="">
          <xdr:nvSpPr>
            <xdr:cNvPr id="47123" name="Button 19" hidden="1">
              <a:extLst>
                <a:ext uri="{63B3BB69-23CF-44E3-9099-C40C66FF867C}">
                  <a14:compatExt spid="_x0000_s47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Maksimi  minimi keskim.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12</xdr:row>
          <xdr:rowOff>19050</xdr:rowOff>
        </xdr:to>
        <xdr:sp macro="" textlink="">
          <xdr:nvSpPr>
            <xdr:cNvPr id="47124" name="Button 20" hidden="1">
              <a:extLst>
                <a:ext uri="{63B3BB69-23CF-44E3-9099-C40C66FF867C}">
                  <a14:compatExt spid="_x0000_s47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PALUU PÄÄ-   IKKUNAAN</a:t>
              </a:r>
            </a:p>
          </xdr:txBody>
        </xdr:sp>
        <xdr:clientData fPrintsWithSheet="0"/>
      </xdr:twoCellAnchor>
    </mc:Choice>
    <mc:Fallback/>
  </mc:AlternateContent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0.04831</cdr:y>
    </cdr:to>
    <cdr:sp macro="" textlink="">
      <cdr:nvSpPr>
        <cdr:cNvPr id="20481" name="Teksti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91837" y="-34068"/>
          <a:ext cx="1666913" cy="19095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27432" bIns="18288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800" b="0" i="0" u="none" strike="noStrike" baseline="0">
              <a:solidFill>
                <a:srgbClr val="000000"/>
              </a:solidFill>
              <a:latin typeface="MS Sans Serif"/>
            </a:rPr>
            <a:t>KORKEASAAREN ELÄINTARHA</a:t>
          </a:r>
        </a:p>
      </cdr:txBody>
    </cdr:sp>
  </cdr:relSizeAnchor>
  <cdr:relSizeAnchor xmlns:cdr="http://schemas.openxmlformats.org/drawingml/2006/chartDrawing">
    <cdr:from>
      <cdr:x>0.4069</cdr:x>
      <cdr:y>0.27823</cdr:y>
    </cdr:from>
    <cdr:to>
      <cdr:x>0.9988</cdr:x>
      <cdr:y>0.32775</cdr:y>
    </cdr:to>
    <cdr:sp macro="" textlink="">
      <cdr:nvSpPr>
        <cdr:cNvPr id="20482" name="Teksti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01603" y="1102967"/>
          <a:ext cx="434118" cy="1957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wrap="none" lIns="18288" tIns="18288" rIns="18288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800" b="0" i="0" u="none" strike="noStrike" baseline="0">
              <a:solidFill>
                <a:srgbClr val="000000"/>
              </a:solidFill>
              <a:latin typeface="MS Sans Serif"/>
            </a:rPr>
            <a:t>KÄYNNIT TULOSUUNNITTAIN</a:t>
          </a:r>
        </a:p>
      </cdr:txBody>
    </cdr:sp>
  </cdr:relSizeAnchor>
  <cdr:relSizeAnchor xmlns:cdr="http://schemas.openxmlformats.org/drawingml/2006/chartDrawing">
    <cdr:from>
      <cdr:x>0.34359</cdr:x>
      <cdr:y>0</cdr:y>
    </cdr:from>
    <cdr:to>
      <cdr:x>0.48651</cdr:x>
      <cdr:y>0.06758</cdr:y>
    </cdr:to>
    <cdr:sp macro="" textlink="'N2'!$A$1">
      <cdr:nvSpPr>
        <cdr:cNvPr id="20483" name="Teksti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55176" y="-51427"/>
          <a:ext cx="104820" cy="26714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fld id="{E06CA4F8-47F4-4A1F-9C44-85226205BF8F}" type="TxLink">
            <a:rPr lang="fi-FI"/>
            <a:pPr/>
            <a:t> </a:t>
          </a:fld>
          <a:endParaRPr lang="fi-FI"/>
        </a:p>
      </cdr:txBody>
    </cdr:sp>
  </cdr:relSizeAnchor>
</c:userShapes>
</file>

<file path=xl/drawings/drawing5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0.04831</cdr:y>
    </cdr:to>
    <cdr:sp macro="" textlink="">
      <cdr:nvSpPr>
        <cdr:cNvPr id="48129" name="Teksti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91837" y="-33103"/>
          <a:ext cx="1666913" cy="19095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27432" bIns="18288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800" b="0" i="0" u="none" strike="noStrike" baseline="0">
              <a:solidFill>
                <a:srgbClr val="000000"/>
              </a:solidFill>
              <a:latin typeface="MS Sans Serif"/>
            </a:rPr>
            <a:t>KORKEASAAREN ELÄINTARHA</a:t>
          </a:r>
        </a:p>
      </cdr:txBody>
    </cdr:sp>
  </cdr:relSizeAnchor>
  <cdr:relSizeAnchor xmlns:cdr="http://schemas.openxmlformats.org/drawingml/2006/chartDrawing">
    <cdr:from>
      <cdr:x>0.4069</cdr:x>
      <cdr:y>0.27823</cdr:y>
    </cdr:from>
    <cdr:to>
      <cdr:x>0.9988</cdr:x>
      <cdr:y>0.32775</cdr:y>
    </cdr:to>
    <cdr:sp macro="" textlink="">
      <cdr:nvSpPr>
        <cdr:cNvPr id="48130" name="Teksti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01603" y="1102967"/>
          <a:ext cx="434118" cy="1957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wrap="none" lIns="18288" tIns="18288" rIns="18288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800" b="0" i="0" u="none" strike="noStrike" baseline="0">
              <a:solidFill>
                <a:srgbClr val="000000"/>
              </a:solidFill>
              <a:latin typeface="MS Sans Serif"/>
            </a:rPr>
            <a:t>KÄYNNIT TULOSUUNNITTAIN</a:t>
          </a:r>
        </a:p>
      </cdr:txBody>
    </cdr:sp>
  </cdr:relSizeAnchor>
  <cdr:relSizeAnchor xmlns:cdr="http://schemas.openxmlformats.org/drawingml/2006/chartDrawing">
    <cdr:from>
      <cdr:x>0.37666</cdr:x>
      <cdr:y>0</cdr:y>
    </cdr:from>
    <cdr:to>
      <cdr:x>0.51958</cdr:x>
      <cdr:y>0.06758</cdr:y>
    </cdr:to>
    <cdr:sp macro="" textlink="'K5'!$A$1">
      <cdr:nvSpPr>
        <cdr:cNvPr id="48131" name="Teksti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79426" y="-50463"/>
          <a:ext cx="104820" cy="26714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fld id="{237FE58F-2816-4C28-9BDE-4E79BC0E407A}" type="TxLink">
            <a:rPr lang="fi-FI"/>
            <a:pPr/>
            <a:t> </a:t>
          </a:fld>
          <a:endParaRPr lang="fi-FI"/>
        </a:p>
      </cdr:txBody>
    </cdr:sp>
  </cdr:relSizeAnchor>
</c:userShapes>
</file>

<file path=xl/drawings/drawing51.xml><?xml version="1.0" encoding="utf-8"?>
<c:userShapes xmlns:c="http://schemas.openxmlformats.org/drawingml/2006/chart">
  <cdr:relSizeAnchor xmlns:cdr="http://schemas.openxmlformats.org/drawingml/2006/chartDrawing">
    <cdr:from>
      <cdr:x>0.19894</cdr:x>
      <cdr:y>0</cdr:y>
    </cdr:from>
    <cdr:to>
      <cdr:x>0.23331</cdr:x>
      <cdr:y>0.07485</cdr:y>
    </cdr:to>
    <cdr:sp macro="" textlink="">
      <cdr:nvSpPr>
        <cdr:cNvPr id="49153" name="Teksti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49079" y="-2035"/>
          <a:ext cx="25208" cy="19106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wrap="none" lIns="18288" tIns="18288" rIns="18288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600" b="0" i="0" u="none" strike="noStrike" baseline="0">
              <a:solidFill>
                <a:srgbClr val="000000"/>
              </a:solidFill>
              <a:latin typeface="MS Sans Serif"/>
            </a:rPr>
            <a:t>KORKEASAAREN ELÄINTARHA</a:t>
          </a:r>
        </a:p>
      </cdr:txBody>
    </cdr:sp>
  </cdr:relSizeAnchor>
  <cdr:relSizeAnchor xmlns:cdr="http://schemas.openxmlformats.org/drawingml/2006/chartDrawing">
    <cdr:from>
      <cdr:x>0.3375</cdr:x>
      <cdr:y>0.11011</cdr:y>
    </cdr:from>
    <cdr:to>
      <cdr:x>0.48042</cdr:x>
      <cdr:y>0.21456</cdr:y>
    </cdr:to>
    <cdr:sp macro="" textlink="'K5'!$A$1">
      <cdr:nvSpPr>
        <cdr:cNvPr id="49154" name="Teksti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50708" y="284258"/>
          <a:ext cx="104821" cy="26663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fld id="{ACE82AD8-9276-464F-917D-85C59FDD3BB1}" type="TxLink">
            <a:rPr lang="fi-FI"/>
            <a:pPr/>
            <a:t> </a:t>
          </a:fld>
          <a:endParaRPr lang="fi-FI"/>
        </a:p>
      </cdr:txBody>
    </cdr:sp>
  </cdr:relSizeAnchor>
  <cdr:relSizeAnchor xmlns:cdr="http://schemas.openxmlformats.org/drawingml/2006/chartDrawing">
    <cdr:from>
      <cdr:x>0.28595</cdr:x>
      <cdr:y>0</cdr:y>
    </cdr:from>
    <cdr:to>
      <cdr:x>0.67881</cdr:x>
      <cdr:y>0.06859</cdr:y>
    </cdr:to>
    <cdr:sp macro="" textlink="">
      <cdr:nvSpPr>
        <cdr:cNvPr id="49155" name="Teksti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12896" y="-10636"/>
          <a:ext cx="288136" cy="17509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wrap="none" lIns="9144" tIns="18288" rIns="9144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500" b="0" i="0" u="none" strike="noStrike" baseline="0">
              <a:solidFill>
                <a:srgbClr val="000000"/>
              </a:solidFill>
              <a:latin typeface="Small Fonts"/>
            </a:rPr>
            <a:t>KUUKAUDEN PÄIVITTÄISET MAKSIMI-, MINIMI- JA KESKIMÄÄRÄISET KÄVIJÄMÄÄRÄT</a:t>
          </a:r>
        </a:p>
      </cdr:txBody>
    </cdr:sp>
  </cdr:relSizeAnchor>
</c:userShapes>
</file>

<file path=xl/drawings/drawing52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0</xdr:colOff>
      <xdr:row>11</xdr:row>
      <xdr:rowOff>19050</xdr:rowOff>
    </xdr:from>
    <xdr:to>
      <xdr:col>36</xdr:col>
      <xdr:colOff>0</xdr:colOff>
      <xdr:row>35</xdr:row>
      <xdr:rowOff>0</xdr:rowOff>
    </xdr:to>
    <xdr:graphicFrame macro="">
      <xdr:nvGraphicFramePr>
        <xdr:cNvPr id="83989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36</xdr:col>
      <xdr:colOff>0</xdr:colOff>
      <xdr:row>27</xdr:row>
      <xdr:rowOff>66675</xdr:rowOff>
    </xdr:from>
    <xdr:to>
      <xdr:col>36</xdr:col>
      <xdr:colOff>0</xdr:colOff>
      <xdr:row>40</xdr:row>
      <xdr:rowOff>57150</xdr:rowOff>
    </xdr:to>
    <xdr:graphicFrame macro="">
      <xdr:nvGraphicFramePr>
        <xdr:cNvPr id="83990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  <xdr:twoCellAnchor>
    <xdr:from>
      <xdr:col>36</xdr:col>
      <xdr:colOff>0</xdr:colOff>
      <xdr:row>41</xdr:row>
      <xdr:rowOff>0</xdr:rowOff>
    </xdr:from>
    <xdr:to>
      <xdr:col>36</xdr:col>
      <xdr:colOff>0</xdr:colOff>
      <xdr:row>46</xdr:row>
      <xdr:rowOff>142875</xdr:rowOff>
    </xdr:to>
    <xdr:graphicFrame macro="">
      <xdr:nvGraphicFramePr>
        <xdr:cNvPr id="83991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9525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83969" name="Button 1" hidden="1">
              <a:extLst>
                <a:ext uri="{63B3BB69-23CF-44E3-9099-C40C66FF867C}">
                  <a14:compatExt spid="_x0000_s839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Tammi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83970" name="Button 2" hidden="1">
              <a:extLst>
                <a:ext uri="{63B3BB69-23CF-44E3-9099-C40C66FF867C}">
                  <a14:compatExt spid="_x0000_s839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Tammi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83971" name="Button 3" hidden="1">
              <a:extLst>
                <a:ext uri="{63B3BB69-23CF-44E3-9099-C40C66FF867C}">
                  <a14:compatExt spid="_x0000_s839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Maalis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83972" name="Button 4" hidden="1">
              <a:extLst>
                <a:ext uri="{63B3BB69-23CF-44E3-9099-C40C66FF867C}">
                  <a14:compatExt spid="_x0000_s839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Huhti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83973" name="Button 5" hidden="1">
              <a:extLst>
                <a:ext uri="{63B3BB69-23CF-44E3-9099-C40C66FF867C}">
                  <a14:compatExt spid="_x0000_s839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Touko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83974" name="Button 6" hidden="1">
              <a:extLst>
                <a:ext uri="{63B3BB69-23CF-44E3-9099-C40C66FF867C}">
                  <a14:compatExt spid="_x0000_s839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Kesä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9525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83975" name="Button 7" hidden="1">
              <a:extLst>
                <a:ext uri="{63B3BB69-23CF-44E3-9099-C40C66FF867C}">
                  <a14:compatExt spid="_x0000_s839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Helmi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83976" name="Button 8" hidden="1">
              <a:extLst>
                <a:ext uri="{63B3BB69-23CF-44E3-9099-C40C66FF867C}">
                  <a14:compatExt spid="_x0000_s839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Heinä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83977" name="Button 9" hidden="1">
              <a:extLst>
                <a:ext uri="{63B3BB69-23CF-44E3-9099-C40C66FF867C}">
                  <a14:compatExt spid="_x0000_s839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Syys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83978" name="Button 10" hidden="1">
              <a:extLst>
                <a:ext uri="{63B3BB69-23CF-44E3-9099-C40C66FF867C}">
                  <a14:compatExt spid="_x0000_s839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Loka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83979" name="Button 11" hidden="1">
              <a:extLst>
                <a:ext uri="{63B3BB69-23CF-44E3-9099-C40C66FF867C}">
                  <a14:compatExt spid="_x0000_s839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Marras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83980" name="Button 12" hidden="1">
              <a:extLst>
                <a:ext uri="{63B3BB69-23CF-44E3-9099-C40C66FF867C}">
                  <a14:compatExt spid="_x0000_s839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Joulu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0</xdr:rowOff>
        </xdr:from>
        <xdr:to>
          <xdr:col>35</xdr:col>
          <xdr:colOff>0</xdr:colOff>
          <xdr:row>6</xdr:row>
          <xdr:rowOff>0</xdr:rowOff>
        </xdr:to>
        <xdr:sp macro="" textlink="">
          <xdr:nvSpPr>
            <xdr:cNvPr id="83981" name="Button 13" hidden="1">
              <a:extLst>
                <a:ext uri="{63B3BB69-23CF-44E3-9099-C40C66FF867C}">
                  <a14:compatExt spid="_x0000_s839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Elo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5</xdr:row>
          <xdr:rowOff>123825</xdr:rowOff>
        </xdr:to>
        <xdr:sp macro="" textlink="">
          <xdr:nvSpPr>
            <xdr:cNvPr id="83982" name="Button 14" hidden="1">
              <a:extLst>
                <a:ext uri="{63B3BB69-23CF-44E3-9099-C40C66FF867C}">
                  <a14:compatExt spid="_x0000_s839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Taulukko-yhteenveto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142875</xdr:rowOff>
        </xdr:from>
        <xdr:to>
          <xdr:col>35</xdr:col>
          <xdr:colOff>0</xdr:colOff>
          <xdr:row>12</xdr:row>
          <xdr:rowOff>19050</xdr:rowOff>
        </xdr:to>
        <xdr:sp macro="" textlink="">
          <xdr:nvSpPr>
            <xdr:cNvPr id="83983" name="Button 15" hidden="1">
              <a:extLst>
                <a:ext uri="{63B3BB69-23CF-44E3-9099-C40C66FF867C}">
                  <a14:compatExt spid="_x0000_s839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Yhteen-sä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152400</xdr:rowOff>
        </xdr:from>
        <xdr:to>
          <xdr:col>35</xdr:col>
          <xdr:colOff>0</xdr:colOff>
          <xdr:row>12</xdr:row>
          <xdr:rowOff>0</xdr:rowOff>
        </xdr:to>
        <xdr:sp macro="" textlink="">
          <xdr:nvSpPr>
            <xdr:cNvPr id="83984" name="Button 16" hidden="1">
              <a:extLst>
                <a:ext uri="{63B3BB69-23CF-44E3-9099-C40C66FF867C}">
                  <a14:compatExt spid="_x0000_s839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Vertailu edellis-vuoteen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142875</xdr:rowOff>
        </xdr:from>
        <xdr:to>
          <xdr:col>35</xdr:col>
          <xdr:colOff>0</xdr:colOff>
          <xdr:row>12</xdr:row>
          <xdr:rowOff>0</xdr:rowOff>
        </xdr:to>
        <xdr:sp macro="" textlink="">
          <xdr:nvSpPr>
            <xdr:cNvPr id="83985" name="Button 17" hidden="1">
              <a:extLst>
                <a:ext uri="{63B3BB69-23CF-44E3-9099-C40C66FF867C}">
                  <a14:compatExt spid="_x0000_s839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Käynnit tulosuun-nittain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152400</xdr:rowOff>
        </xdr:from>
        <xdr:to>
          <xdr:col>35</xdr:col>
          <xdr:colOff>0</xdr:colOff>
          <xdr:row>12</xdr:row>
          <xdr:rowOff>19050</xdr:rowOff>
        </xdr:to>
        <xdr:sp macro="" textlink="">
          <xdr:nvSpPr>
            <xdr:cNvPr id="83986" name="Button 18" hidden="1">
              <a:extLst>
                <a:ext uri="{63B3BB69-23CF-44E3-9099-C40C66FF867C}">
                  <a14:compatExt spid="_x0000_s839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Aikuiset lapset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152400</xdr:rowOff>
        </xdr:from>
        <xdr:to>
          <xdr:col>35</xdr:col>
          <xdr:colOff>0</xdr:colOff>
          <xdr:row>12</xdr:row>
          <xdr:rowOff>28575</xdr:rowOff>
        </xdr:to>
        <xdr:sp macro="" textlink="">
          <xdr:nvSpPr>
            <xdr:cNvPr id="83987" name="Button 19" hidden="1">
              <a:extLst>
                <a:ext uri="{63B3BB69-23CF-44E3-9099-C40C66FF867C}">
                  <a14:compatExt spid="_x0000_s839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Maksimi  minimi keskim.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12</xdr:row>
          <xdr:rowOff>19050</xdr:rowOff>
        </xdr:to>
        <xdr:sp macro="" textlink="">
          <xdr:nvSpPr>
            <xdr:cNvPr id="83988" name="Button 20" hidden="1">
              <a:extLst>
                <a:ext uri="{63B3BB69-23CF-44E3-9099-C40C66FF867C}">
                  <a14:compatExt spid="_x0000_s839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PALUU PÄÄ-   IKKUNAAN</a:t>
              </a:r>
            </a:p>
          </xdr:txBody>
        </xdr:sp>
        <xdr:clientData fPrintsWithSheet="0"/>
      </xdr:twoCellAnchor>
    </mc:Choice>
    <mc:Fallback/>
  </mc:AlternateContent>
</xdr:wsDr>
</file>

<file path=xl/drawings/drawing53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0.04831</cdr:y>
    </cdr:to>
    <cdr:sp macro="" textlink="">
      <cdr:nvSpPr>
        <cdr:cNvPr id="84993" name="Teksti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91837" y="-33103"/>
          <a:ext cx="1666913" cy="19095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27432" bIns="18288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800" b="0" i="0" u="none" strike="noStrike" baseline="0">
              <a:solidFill>
                <a:srgbClr val="000000"/>
              </a:solidFill>
              <a:latin typeface="MS Sans Serif"/>
            </a:rPr>
            <a:t>KORKEASAAREN ELÄINTARHA</a:t>
          </a:r>
        </a:p>
      </cdr:txBody>
    </cdr:sp>
  </cdr:relSizeAnchor>
  <cdr:relSizeAnchor xmlns:cdr="http://schemas.openxmlformats.org/drawingml/2006/chartDrawing">
    <cdr:from>
      <cdr:x>0.4069</cdr:x>
      <cdr:y>0.27823</cdr:y>
    </cdr:from>
    <cdr:to>
      <cdr:x>0.9988</cdr:x>
      <cdr:y>0.32775</cdr:y>
    </cdr:to>
    <cdr:sp macro="" textlink="">
      <cdr:nvSpPr>
        <cdr:cNvPr id="84994" name="Teksti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01603" y="1102967"/>
          <a:ext cx="434118" cy="1957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wrap="none" lIns="18288" tIns="18288" rIns="18288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800" b="0" i="0" u="none" strike="noStrike" baseline="0">
              <a:solidFill>
                <a:srgbClr val="000000"/>
              </a:solidFill>
              <a:latin typeface="MS Sans Serif"/>
            </a:rPr>
            <a:t>KÄYNNIT TULOSUUNNITTAIN</a:t>
          </a:r>
        </a:p>
      </cdr:txBody>
    </cdr:sp>
  </cdr:relSizeAnchor>
  <cdr:relSizeAnchor xmlns:cdr="http://schemas.openxmlformats.org/drawingml/2006/chartDrawing">
    <cdr:from>
      <cdr:x>0.37666</cdr:x>
      <cdr:y>0</cdr:y>
    </cdr:from>
    <cdr:to>
      <cdr:x>0.51958</cdr:x>
      <cdr:y>0.06758</cdr:y>
    </cdr:to>
    <cdr:sp macro="" textlink="'K6'!$A$1">
      <cdr:nvSpPr>
        <cdr:cNvPr id="84995" name="Teksti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79426" y="-50463"/>
          <a:ext cx="104820" cy="26714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fld id="{691F4438-CE11-422D-B8BF-D7911ED14AE8}" type="TxLink">
            <a:rPr lang="fi-FI"/>
            <a:pPr/>
            <a:t> </a:t>
          </a:fld>
          <a:endParaRPr lang="fi-FI"/>
        </a:p>
      </cdr:txBody>
    </cdr:sp>
  </cdr:relSizeAnchor>
</c:userShapes>
</file>

<file path=xl/drawings/drawing54.xml><?xml version="1.0" encoding="utf-8"?>
<c:userShapes xmlns:c="http://schemas.openxmlformats.org/drawingml/2006/chart">
  <cdr:relSizeAnchor xmlns:cdr="http://schemas.openxmlformats.org/drawingml/2006/chartDrawing">
    <cdr:from>
      <cdr:x>0.19894</cdr:x>
      <cdr:y>0</cdr:y>
    </cdr:from>
    <cdr:to>
      <cdr:x>0.23309</cdr:x>
      <cdr:y>0.07485</cdr:y>
    </cdr:to>
    <cdr:sp macro="" textlink="">
      <cdr:nvSpPr>
        <cdr:cNvPr id="86017" name="Teksti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49079" y="-2035"/>
          <a:ext cx="25048" cy="19106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wrap="none" lIns="18288" tIns="18288" rIns="18288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600" b="0" i="0" u="none" strike="noStrike" baseline="0">
              <a:solidFill>
                <a:srgbClr val="000000"/>
              </a:solidFill>
              <a:latin typeface="MS Sans Serif"/>
            </a:rPr>
            <a:t>KORKEASAAREN ELÄINTARHA</a:t>
          </a:r>
        </a:p>
      </cdr:txBody>
    </cdr:sp>
  </cdr:relSizeAnchor>
  <cdr:relSizeAnchor xmlns:cdr="http://schemas.openxmlformats.org/drawingml/2006/chartDrawing">
    <cdr:from>
      <cdr:x>0.3375</cdr:x>
      <cdr:y>0.11011</cdr:y>
    </cdr:from>
    <cdr:to>
      <cdr:x>0.48042</cdr:x>
      <cdr:y>0.21456</cdr:y>
    </cdr:to>
    <cdr:sp macro="" textlink="'K6'!$A$1">
      <cdr:nvSpPr>
        <cdr:cNvPr id="86018" name="Teksti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50708" y="284258"/>
          <a:ext cx="104821" cy="26663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fld id="{B7F82F9C-13D1-4867-8C8E-756772C50C1B}" type="TxLink">
            <a:rPr lang="fi-FI"/>
            <a:pPr/>
            <a:t> </a:t>
          </a:fld>
          <a:endParaRPr lang="fi-FI"/>
        </a:p>
      </cdr:txBody>
    </cdr:sp>
  </cdr:relSizeAnchor>
  <cdr:relSizeAnchor xmlns:cdr="http://schemas.openxmlformats.org/drawingml/2006/chartDrawing">
    <cdr:from>
      <cdr:x>0.28573</cdr:x>
      <cdr:y>0</cdr:y>
    </cdr:from>
    <cdr:to>
      <cdr:x>0.67881</cdr:x>
      <cdr:y>0.06859</cdr:y>
    </cdr:to>
    <cdr:sp macro="" textlink="">
      <cdr:nvSpPr>
        <cdr:cNvPr id="86019" name="Teksti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12737" y="-10636"/>
          <a:ext cx="288295" cy="17509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wrap="none" lIns="9144" tIns="18288" rIns="9144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500" b="0" i="0" u="none" strike="noStrike" baseline="0">
              <a:solidFill>
                <a:srgbClr val="000000"/>
              </a:solidFill>
              <a:latin typeface="Small Fonts"/>
            </a:rPr>
            <a:t>KUUKAUDEN PÄIVITTÄISET MAKSIMI-, MINIMI- JA KESKIMÄÄRÄISET KÄVIJÄMÄÄRÄT</a:t>
          </a:r>
        </a:p>
      </cdr:txBody>
    </cdr:sp>
  </cdr:relSizeAnchor>
</c:userShapes>
</file>

<file path=xl/drawings/drawing55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0</xdr:colOff>
      <xdr:row>11</xdr:row>
      <xdr:rowOff>19050</xdr:rowOff>
    </xdr:from>
    <xdr:to>
      <xdr:col>36</xdr:col>
      <xdr:colOff>0</xdr:colOff>
      <xdr:row>35</xdr:row>
      <xdr:rowOff>0</xdr:rowOff>
    </xdr:to>
    <xdr:graphicFrame macro="">
      <xdr:nvGraphicFramePr>
        <xdr:cNvPr id="87061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36</xdr:col>
      <xdr:colOff>0</xdr:colOff>
      <xdr:row>27</xdr:row>
      <xdr:rowOff>66675</xdr:rowOff>
    </xdr:from>
    <xdr:to>
      <xdr:col>36</xdr:col>
      <xdr:colOff>0</xdr:colOff>
      <xdr:row>40</xdr:row>
      <xdr:rowOff>57150</xdr:rowOff>
    </xdr:to>
    <xdr:graphicFrame macro="">
      <xdr:nvGraphicFramePr>
        <xdr:cNvPr id="87062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  <xdr:twoCellAnchor>
    <xdr:from>
      <xdr:col>36</xdr:col>
      <xdr:colOff>0</xdr:colOff>
      <xdr:row>41</xdr:row>
      <xdr:rowOff>0</xdr:rowOff>
    </xdr:from>
    <xdr:to>
      <xdr:col>36</xdr:col>
      <xdr:colOff>0</xdr:colOff>
      <xdr:row>46</xdr:row>
      <xdr:rowOff>142875</xdr:rowOff>
    </xdr:to>
    <xdr:graphicFrame macro="">
      <xdr:nvGraphicFramePr>
        <xdr:cNvPr id="87063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9525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87041" name="Button 1" hidden="1">
              <a:extLst>
                <a:ext uri="{63B3BB69-23CF-44E3-9099-C40C66FF867C}">
                  <a14:compatExt spid="_x0000_s870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Tammi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87042" name="Button 2" hidden="1">
              <a:extLst>
                <a:ext uri="{63B3BB69-23CF-44E3-9099-C40C66FF867C}">
                  <a14:compatExt spid="_x0000_s870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Tammi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87043" name="Button 3" hidden="1">
              <a:extLst>
                <a:ext uri="{63B3BB69-23CF-44E3-9099-C40C66FF867C}">
                  <a14:compatExt spid="_x0000_s870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Maalis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87044" name="Button 4" hidden="1">
              <a:extLst>
                <a:ext uri="{63B3BB69-23CF-44E3-9099-C40C66FF867C}">
                  <a14:compatExt spid="_x0000_s870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Huhti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87045" name="Button 5" hidden="1">
              <a:extLst>
                <a:ext uri="{63B3BB69-23CF-44E3-9099-C40C66FF867C}">
                  <a14:compatExt spid="_x0000_s870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Touko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87046" name="Button 6" hidden="1">
              <a:extLst>
                <a:ext uri="{63B3BB69-23CF-44E3-9099-C40C66FF867C}">
                  <a14:compatExt spid="_x0000_s870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Kesä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9525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87047" name="Button 7" hidden="1">
              <a:extLst>
                <a:ext uri="{63B3BB69-23CF-44E3-9099-C40C66FF867C}">
                  <a14:compatExt spid="_x0000_s870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Helmi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87048" name="Button 8" hidden="1">
              <a:extLst>
                <a:ext uri="{63B3BB69-23CF-44E3-9099-C40C66FF867C}">
                  <a14:compatExt spid="_x0000_s870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Heinä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87049" name="Button 9" hidden="1">
              <a:extLst>
                <a:ext uri="{63B3BB69-23CF-44E3-9099-C40C66FF867C}">
                  <a14:compatExt spid="_x0000_s87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Syys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87050" name="Button 10" hidden="1">
              <a:extLst>
                <a:ext uri="{63B3BB69-23CF-44E3-9099-C40C66FF867C}">
                  <a14:compatExt spid="_x0000_s870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Loka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87051" name="Button 11" hidden="1">
              <a:extLst>
                <a:ext uri="{63B3BB69-23CF-44E3-9099-C40C66FF867C}">
                  <a14:compatExt spid="_x0000_s870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Marras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87052" name="Button 12" hidden="1">
              <a:extLst>
                <a:ext uri="{63B3BB69-23CF-44E3-9099-C40C66FF867C}">
                  <a14:compatExt spid="_x0000_s870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Joulu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0</xdr:rowOff>
        </xdr:from>
        <xdr:to>
          <xdr:col>35</xdr:col>
          <xdr:colOff>0</xdr:colOff>
          <xdr:row>6</xdr:row>
          <xdr:rowOff>0</xdr:rowOff>
        </xdr:to>
        <xdr:sp macro="" textlink="">
          <xdr:nvSpPr>
            <xdr:cNvPr id="87053" name="Button 13" hidden="1">
              <a:extLst>
                <a:ext uri="{63B3BB69-23CF-44E3-9099-C40C66FF867C}">
                  <a14:compatExt spid="_x0000_s870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Elo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5</xdr:row>
          <xdr:rowOff>123825</xdr:rowOff>
        </xdr:to>
        <xdr:sp macro="" textlink="">
          <xdr:nvSpPr>
            <xdr:cNvPr id="87054" name="Button 14" hidden="1">
              <a:extLst>
                <a:ext uri="{63B3BB69-23CF-44E3-9099-C40C66FF867C}">
                  <a14:compatExt spid="_x0000_s870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Taulukko-yhteenveto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142875</xdr:rowOff>
        </xdr:from>
        <xdr:to>
          <xdr:col>35</xdr:col>
          <xdr:colOff>0</xdr:colOff>
          <xdr:row>12</xdr:row>
          <xdr:rowOff>19050</xdr:rowOff>
        </xdr:to>
        <xdr:sp macro="" textlink="">
          <xdr:nvSpPr>
            <xdr:cNvPr id="87055" name="Button 15" hidden="1">
              <a:extLst>
                <a:ext uri="{63B3BB69-23CF-44E3-9099-C40C66FF867C}">
                  <a14:compatExt spid="_x0000_s870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Yhteen-sä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152400</xdr:rowOff>
        </xdr:from>
        <xdr:to>
          <xdr:col>35</xdr:col>
          <xdr:colOff>0</xdr:colOff>
          <xdr:row>12</xdr:row>
          <xdr:rowOff>0</xdr:rowOff>
        </xdr:to>
        <xdr:sp macro="" textlink="">
          <xdr:nvSpPr>
            <xdr:cNvPr id="87056" name="Button 16" hidden="1">
              <a:extLst>
                <a:ext uri="{63B3BB69-23CF-44E3-9099-C40C66FF867C}">
                  <a14:compatExt spid="_x0000_s870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Vertailu edellis-vuoteen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142875</xdr:rowOff>
        </xdr:from>
        <xdr:to>
          <xdr:col>35</xdr:col>
          <xdr:colOff>0</xdr:colOff>
          <xdr:row>12</xdr:row>
          <xdr:rowOff>0</xdr:rowOff>
        </xdr:to>
        <xdr:sp macro="" textlink="">
          <xdr:nvSpPr>
            <xdr:cNvPr id="87057" name="Button 17" hidden="1">
              <a:extLst>
                <a:ext uri="{63B3BB69-23CF-44E3-9099-C40C66FF867C}">
                  <a14:compatExt spid="_x0000_s870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Käynnit tulosuun-nittain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152400</xdr:rowOff>
        </xdr:from>
        <xdr:to>
          <xdr:col>35</xdr:col>
          <xdr:colOff>0</xdr:colOff>
          <xdr:row>12</xdr:row>
          <xdr:rowOff>19050</xdr:rowOff>
        </xdr:to>
        <xdr:sp macro="" textlink="">
          <xdr:nvSpPr>
            <xdr:cNvPr id="87058" name="Button 18" hidden="1">
              <a:extLst>
                <a:ext uri="{63B3BB69-23CF-44E3-9099-C40C66FF867C}">
                  <a14:compatExt spid="_x0000_s870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Aikuiset lapset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152400</xdr:rowOff>
        </xdr:from>
        <xdr:to>
          <xdr:col>35</xdr:col>
          <xdr:colOff>0</xdr:colOff>
          <xdr:row>12</xdr:row>
          <xdr:rowOff>28575</xdr:rowOff>
        </xdr:to>
        <xdr:sp macro="" textlink="">
          <xdr:nvSpPr>
            <xdr:cNvPr id="87059" name="Button 19" hidden="1">
              <a:extLst>
                <a:ext uri="{63B3BB69-23CF-44E3-9099-C40C66FF867C}">
                  <a14:compatExt spid="_x0000_s870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Maksimi  minimi keskim.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12</xdr:row>
          <xdr:rowOff>19050</xdr:rowOff>
        </xdr:to>
        <xdr:sp macro="" textlink="">
          <xdr:nvSpPr>
            <xdr:cNvPr id="87060" name="Button 20" hidden="1">
              <a:extLst>
                <a:ext uri="{63B3BB69-23CF-44E3-9099-C40C66FF867C}">
                  <a14:compatExt spid="_x0000_s870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PALUU PÄÄ-   IKKUNAAN</a:t>
              </a:r>
            </a:p>
          </xdr:txBody>
        </xdr:sp>
        <xdr:clientData fPrintsWithSheet="0"/>
      </xdr:twoCellAnchor>
    </mc:Choice>
    <mc:Fallback/>
  </mc:AlternateContent>
</xdr:wsDr>
</file>

<file path=xl/drawings/drawing5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0.04831</cdr:y>
    </cdr:to>
    <cdr:sp macro="" textlink="">
      <cdr:nvSpPr>
        <cdr:cNvPr id="88065" name="Teksti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91837" y="-33103"/>
          <a:ext cx="1666913" cy="19095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27432" bIns="18288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800" b="0" i="0" u="none" strike="noStrike" baseline="0">
              <a:solidFill>
                <a:srgbClr val="000000"/>
              </a:solidFill>
              <a:latin typeface="MS Sans Serif"/>
            </a:rPr>
            <a:t>KORKEASAAREN ELÄINTARHA</a:t>
          </a:r>
        </a:p>
      </cdr:txBody>
    </cdr:sp>
  </cdr:relSizeAnchor>
  <cdr:relSizeAnchor xmlns:cdr="http://schemas.openxmlformats.org/drawingml/2006/chartDrawing">
    <cdr:from>
      <cdr:x>0.4069</cdr:x>
      <cdr:y>0.27823</cdr:y>
    </cdr:from>
    <cdr:to>
      <cdr:x>0.9988</cdr:x>
      <cdr:y>0.32775</cdr:y>
    </cdr:to>
    <cdr:sp macro="" textlink="">
      <cdr:nvSpPr>
        <cdr:cNvPr id="88066" name="Teksti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01603" y="1102967"/>
          <a:ext cx="434118" cy="1957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wrap="none" lIns="18288" tIns="18288" rIns="18288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800" b="0" i="0" u="none" strike="noStrike" baseline="0">
              <a:solidFill>
                <a:srgbClr val="000000"/>
              </a:solidFill>
              <a:latin typeface="MS Sans Serif"/>
            </a:rPr>
            <a:t>KÄYNNIT TULOSUUNNITTAIN</a:t>
          </a:r>
        </a:p>
      </cdr:txBody>
    </cdr:sp>
  </cdr:relSizeAnchor>
  <cdr:relSizeAnchor xmlns:cdr="http://schemas.openxmlformats.org/drawingml/2006/chartDrawing">
    <cdr:from>
      <cdr:x>0.37666</cdr:x>
      <cdr:y>0</cdr:y>
    </cdr:from>
    <cdr:to>
      <cdr:x>0.51958</cdr:x>
      <cdr:y>0.06758</cdr:y>
    </cdr:to>
    <cdr:sp macro="" textlink="'K7'!$A$1">
      <cdr:nvSpPr>
        <cdr:cNvPr id="88067" name="Teksti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79426" y="-50463"/>
          <a:ext cx="104820" cy="26714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fld id="{7957AEA1-1868-4349-8C72-E1E804657423}" type="TxLink">
            <a:rPr lang="fi-FI"/>
            <a:pPr/>
            <a:t> </a:t>
          </a:fld>
          <a:endParaRPr lang="fi-FI"/>
        </a:p>
      </cdr:txBody>
    </cdr:sp>
  </cdr:relSizeAnchor>
</c:userShapes>
</file>

<file path=xl/drawings/drawing57.xml><?xml version="1.0" encoding="utf-8"?>
<c:userShapes xmlns:c="http://schemas.openxmlformats.org/drawingml/2006/chart">
  <cdr:relSizeAnchor xmlns:cdr="http://schemas.openxmlformats.org/drawingml/2006/chartDrawing">
    <cdr:from>
      <cdr:x>0.19894</cdr:x>
      <cdr:y>0</cdr:y>
    </cdr:from>
    <cdr:to>
      <cdr:x>0.23309</cdr:x>
      <cdr:y>0.07485</cdr:y>
    </cdr:to>
    <cdr:sp macro="" textlink="">
      <cdr:nvSpPr>
        <cdr:cNvPr id="89089" name="Teksti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49079" y="-2035"/>
          <a:ext cx="25048" cy="19106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wrap="none" lIns="18288" tIns="18288" rIns="18288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600" b="0" i="0" u="none" strike="noStrike" baseline="0">
              <a:solidFill>
                <a:srgbClr val="000000"/>
              </a:solidFill>
              <a:latin typeface="MS Sans Serif"/>
            </a:rPr>
            <a:t>KORKEASAAREN ELÄINTARHA</a:t>
          </a:r>
        </a:p>
      </cdr:txBody>
    </cdr:sp>
  </cdr:relSizeAnchor>
  <cdr:relSizeAnchor xmlns:cdr="http://schemas.openxmlformats.org/drawingml/2006/chartDrawing">
    <cdr:from>
      <cdr:x>0.3375</cdr:x>
      <cdr:y>0.11011</cdr:y>
    </cdr:from>
    <cdr:to>
      <cdr:x>0.48042</cdr:x>
      <cdr:y>0.21456</cdr:y>
    </cdr:to>
    <cdr:sp macro="" textlink="'K7'!$A$1">
      <cdr:nvSpPr>
        <cdr:cNvPr id="89090" name="Teksti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50708" y="284258"/>
          <a:ext cx="104821" cy="26663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fld id="{A486DD73-82A6-4854-93E8-0ED8DD0F2E6E}" type="TxLink">
            <a:rPr lang="fi-FI"/>
            <a:pPr/>
            <a:t> </a:t>
          </a:fld>
          <a:endParaRPr lang="fi-FI"/>
        </a:p>
      </cdr:txBody>
    </cdr:sp>
  </cdr:relSizeAnchor>
  <cdr:relSizeAnchor xmlns:cdr="http://schemas.openxmlformats.org/drawingml/2006/chartDrawing">
    <cdr:from>
      <cdr:x>0.28573</cdr:x>
      <cdr:y>0</cdr:y>
    </cdr:from>
    <cdr:to>
      <cdr:x>0.67881</cdr:x>
      <cdr:y>0.06859</cdr:y>
    </cdr:to>
    <cdr:sp macro="" textlink="">
      <cdr:nvSpPr>
        <cdr:cNvPr id="89091" name="Teksti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12737" y="-10636"/>
          <a:ext cx="288295" cy="17509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wrap="none" lIns="9144" tIns="18288" rIns="9144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500" b="0" i="0" u="none" strike="noStrike" baseline="0">
              <a:solidFill>
                <a:srgbClr val="000000"/>
              </a:solidFill>
              <a:latin typeface="Small Fonts"/>
            </a:rPr>
            <a:t>KUUKAUDEN PÄIVITTÄISET MAKSIMI-, MINIMI- JA KESKIMÄÄRÄISET KÄVIJÄMÄÄRÄT</a:t>
          </a:r>
        </a:p>
      </cdr:txBody>
    </cdr:sp>
  </cdr:relSizeAnchor>
</c:userShapes>
</file>

<file path=xl/drawings/drawing58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0</xdr:colOff>
      <xdr:row>11</xdr:row>
      <xdr:rowOff>19050</xdr:rowOff>
    </xdr:from>
    <xdr:to>
      <xdr:col>36</xdr:col>
      <xdr:colOff>0</xdr:colOff>
      <xdr:row>35</xdr:row>
      <xdr:rowOff>0</xdr:rowOff>
    </xdr:to>
    <xdr:graphicFrame macro="">
      <xdr:nvGraphicFramePr>
        <xdr:cNvPr id="90133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36</xdr:col>
      <xdr:colOff>0</xdr:colOff>
      <xdr:row>27</xdr:row>
      <xdr:rowOff>66675</xdr:rowOff>
    </xdr:from>
    <xdr:to>
      <xdr:col>36</xdr:col>
      <xdr:colOff>0</xdr:colOff>
      <xdr:row>40</xdr:row>
      <xdr:rowOff>57150</xdr:rowOff>
    </xdr:to>
    <xdr:graphicFrame macro="">
      <xdr:nvGraphicFramePr>
        <xdr:cNvPr id="90134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  <xdr:twoCellAnchor>
    <xdr:from>
      <xdr:col>36</xdr:col>
      <xdr:colOff>0</xdr:colOff>
      <xdr:row>41</xdr:row>
      <xdr:rowOff>0</xdr:rowOff>
    </xdr:from>
    <xdr:to>
      <xdr:col>36</xdr:col>
      <xdr:colOff>0</xdr:colOff>
      <xdr:row>46</xdr:row>
      <xdr:rowOff>142875</xdr:rowOff>
    </xdr:to>
    <xdr:graphicFrame macro="">
      <xdr:nvGraphicFramePr>
        <xdr:cNvPr id="90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9525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90113" name="Button 1" hidden="1">
              <a:extLst>
                <a:ext uri="{63B3BB69-23CF-44E3-9099-C40C66FF867C}">
                  <a14:compatExt spid="_x0000_s90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Tammi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90114" name="Button 2" hidden="1">
              <a:extLst>
                <a:ext uri="{63B3BB69-23CF-44E3-9099-C40C66FF867C}">
                  <a14:compatExt spid="_x0000_s90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Tammi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90115" name="Button 3" hidden="1">
              <a:extLst>
                <a:ext uri="{63B3BB69-23CF-44E3-9099-C40C66FF867C}">
                  <a14:compatExt spid="_x0000_s901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Maalis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90116" name="Button 4" hidden="1">
              <a:extLst>
                <a:ext uri="{63B3BB69-23CF-44E3-9099-C40C66FF867C}">
                  <a14:compatExt spid="_x0000_s90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Huhti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90117" name="Button 5" hidden="1">
              <a:extLst>
                <a:ext uri="{63B3BB69-23CF-44E3-9099-C40C66FF867C}">
                  <a14:compatExt spid="_x0000_s90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Touko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90118" name="Button 6" hidden="1">
              <a:extLst>
                <a:ext uri="{63B3BB69-23CF-44E3-9099-C40C66FF867C}">
                  <a14:compatExt spid="_x0000_s90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Kesä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9525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90119" name="Button 7" hidden="1">
              <a:extLst>
                <a:ext uri="{63B3BB69-23CF-44E3-9099-C40C66FF867C}">
                  <a14:compatExt spid="_x0000_s90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Helmi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90120" name="Button 8" hidden="1">
              <a:extLst>
                <a:ext uri="{63B3BB69-23CF-44E3-9099-C40C66FF867C}">
                  <a14:compatExt spid="_x0000_s90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Heinä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90121" name="Button 9" hidden="1">
              <a:extLst>
                <a:ext uri="{63B3BB69-23CF-44E3-9099-C40C66FF867C}">
                  <a14:compatExt spid="_x0000_s90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Syys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90122" name="Button 10" hidden="1">
              <a:extLst>
                <a:ext uri="{63B3BB69-23CF-44E3-9099-C40C66FF867C}">
                  <a14:compatExt spid="_x0000_s90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Loka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90123" name="Button 11" hidden="1">
              <a:extLst>
                <a:ext uri="{63B3BB69-23CF-44E3-9099-C40C66FF867C}">
                  <a14:compatExt spid="_x0000_s90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Marras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90124" name="Button 12" hidden="1">
              <a:extLst>
                <a:ext uri="{63B3BB69-23CF-44E3-9099-C40C66FF867C}">
                  <a14:compatExt spid="_x0000_s90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Joulu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0</xdr:rowOff>
        </xdr:from>
        <xdr:to>
          <xdr:col>35</xdr:col>
          <xdr:colOff>0</xdr:colOff>
          <xdr:row>6</xdr:row>
          <xdr:rowOff>0</xdr:rowOff>
        </xdr:to>
        <xdr:sp macro="" textlink="">
          <xdr:nvSpPr>
            <xdr:cNvPr id="90125" name="Button 13" hidden="1">
              <a:extLst>
                <a:ext uri="{63B3BB69-23CF-44E3-9099-C40C66FF867C}">
                  <a14:compatExt spid="_x0000_s90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Elo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5</xdr:row>
          <xdr:rowOff>123825</xdr:rowOff>
        </xdr:to>
        <xdr:sp macro="" textlink="">
          <xdr:nvSpPr>
            <xdr:cNvPr id="90126" name="Button 14" hidden="1">
              <a:extLst>
                <a:ext uri="{63B3BB69-23CF-44E3-9099-C40C66FF867C}">
                  <a14:compatExt spid="_x0000_s90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Taulukko-yhteenveto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142875</xdr:rowOff>
        </xdr:from>
        <xdr:to>
          <xdr:col>35</xdr:col>
          <xdr:colOff>0</xdr:colOff>
          <xdr:row>12</xdr:row>
          <xdr:rowOff>19050</xdr:rowOff>
        </xdr:to>
        <xdr:sp macro="" textlink="">
          <xdr:nvSpPr>
            <xdr:cNvPr id="90127" name="Button 15" hidden="1">
              <a:extLst>
                <a:ext uri="{63B3BB69-23CF-44E3-9099-C40C66FF867C}">
                  <a14:compatExt spid="_x0000_s90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Yhteen-sä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152400</xdr:rowOff>
        </xdr:from>
        <xdr:to>
          <xdr:col>35</xdr:col>
          <xdr:colOff>0</xdr:colOff>
          <xdr:row>12</xdr:row>
          <xdr:rowOff>0</xdr:rowOff>
        </xdr:to>
        <xdr:sp macro="" textlink="">
          <xdr:nvSpPr>
            <xdr:cNvPr id="90128" name="Button 16" hidden="1">
              <a:extLst>
                <a:ext uri="{63B3BB69-23CF-44E3-9099-C40C66FF867C}">
                  <a14:compatExt spid="_x0000_s90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Vertailu edellis-vuoteen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142875</xdr:rowOff>
        </xdr:from>
        <xdr:to>
          <xdr:col>35</xdr:col>
          <xdr:colOff>0</xdr:colOff>
          <xdr:row>12</xdr:row>
          <xdr:rowOff>0</xdr:rowOff>
        </xdr:to>
        <xdr:sp macro="" textlink="">
          <xdr:nvSpPr>
            <xdr:cNvPr id="90129" name="Button 17" hidden="1">
              <a:extLst>
                <a:ext uri="{63B3BB69-23CF-44E3-9099-C40C66FF867C}">
                  <a14:compatExt spid="_x0000_s901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Käynnit tulosuun-nittain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152400</xdr:rowOff>
        </xdr:from>
        <xdr:to>
          <xdr:col>35</xdr:col>
          <xdr:colOff>0</xdr:colOff>
          <xdr:row>12</xdr:row>
          <xdr:rowOff>19050</xdr:rowOff>
        </xdr:to>
        <xdr:sp macro="" textlink="">
          <xdr:nvSpPr>
            <xdr:cNvPr id="90130" name="Button 18" hidden="1">
              <a:extLst>
                <a:ext uri="{63B3BB69-23CF-44E3-9099-C40C66FF867C}">
                  <a14:compatExt spid="_x0000_s90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Aikuiset lapset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152400</xdr:rowOff>
        </xdr:from>
        <xdr:to>
          <xdr:col>35</xdr:col>
          <xdr:colOff>0</xdr:colOff>
          <xdr:row>12</xdr:row>
          <xdr:rowOff>28575</xdr:rowOff>
        </xdr:to>
        <xdr:sp macro="" textlink="">
          <xdr:nvSpPr>
            <xdr:cNvPr id="90131" name="Button 19" hidden="1">
              <a:extLst>
                <a:ext uri="{63B3BB69-23CF-44E3-9099-C40C66FF867C}">
                  <a14:compatExt spid="_x0000_s90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Maksimi  minimi keskim.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12</xdr:row>
          <xdr:rowOff>19050</xdr:rowOff>
        </xdr:to>
        <xdr:sp macro="" textlink="">
          <xdr:nvSpPr>
            <xdr:cNvPr id="90132" name="Button 20" hidden="1">
              <a:extLst>
                <a:ext uri="{63B3BB69-23CF-44E3-9099-C40C66FF867C}">
                  <a14:compatExt spid="_x0000_s90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PALUU PÄÄ-   IKKUNAAN</a:t>
              </a:r>
            </a:p>
          </xdr:txBody>
        </xdr:sp>
        <xdr:clientData fPrintsWithSheet="0"/>
      </xdr:twoCellAnchor>
    </mc:Choice>
    <mc:Fallback/>
  </mc:AlternateContent>
</xdr:wsDr>
</file>

<file path=xl/drawings/drawing59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0.04831</cdr:y>
    </cdr:to>
    <cdr:sp macro="" textlink="">
      <cdr:nvSpPr>
        <cdr:cNvPr id="91137" name="Teksti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91837" y="-33103"/>
          <a:ext cx="1666913" cy="19095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27432" bIns="18288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800" b="0" i="0" u="none" strike="noStrike" baseline="0">
              <a:solidFill>
                <a:srgbClr val="000000"/>
              </a:solidFill>
              <a:latin typeface="MS Sans Serif"/>
            </a:rPr>
            <a:t>KORKEASAAREN ELÄINTARHA</a:t>
          </a:r>
        </a:p>
      </cdr:txBody>
    </cdr:sp>
  </cdr:relSizeAnchor>
  <cdr:relSizeAnchor xmlns:cdr="http://schemas.openxmlformats.org/drawingml/2006/chartDrawing">
    <cdr:from>
      <cdr:x>0.4069</cdr:x>
      <cdr:y>0.27823</cdr:y>
    </cdr:from>
    <cdr:to>
      <cdr:x>0.9988</cdr:x>
      <cdr:y>0.32775</cdr:y>
    </cdr:to>
    <cdr:sp macro="" textlink="">
      <cdr:nvSpPr>
        <cdr:cNvPr id="91138" name="Teksti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01603" y="1102967"/>
          <a:ext cx="434118" cy="1957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wrap="none" lIns="18288" tIns="18288" rIns="18288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800" b="0" i="0" u="none" strike="noStrike" baseline="0">
              <a:solidFill>
                <a:srgbClr val="000000"/>
              </a:solidFill>
              <a:latin typeface="MS Sans Serif"/>
            </a:rPr>
            <a:t>KÄYNNIT TULOSUUNNITTAIN</a:t>
          </a:r>
        </a:p>
      </cdr:txBody>
    </cdr:sp>
  </cdr:relSizeAnchor>
  <cdr:relSizeAnchor xmlns:cdr="http://schemas.openxmlformats.org/drawingml/2006/chartDrawing">
    <cdr:from>
      <cdr:x>0.37666</cdr:x>
      <cdr:y>0</cdr:y>
    </cdr:from>
    <cdr:to>
      <cdr:x>0.51958</cdr:x>
      <cdr:y>0.06758</cdr:y>
    </cdr:to>
    <cdr:sp macro="" textlink="'K8'!$A$1">
      <cdr:nvSpPr>
        <cdr:cNvPr id="91139" name="Teksti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79426" y="-50463"/>
          <a:ext cx="104820" cy="26714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fld id="{0A7B37E4-4B01-49CA-A57B-19214A1BFD46}" type="TxLink">
            <a:rPr lang="fi-FI"/>
            <a:pPr/>
            <a:t> </a:t>
          </a:fld>
          <a:endParaRPr lang="fi-FI"/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0.19872</cdr:x>
      <cdr:y>0</cdr:y>
    </cdr:from>
    <cdr:to>
      <cdr:x>0.23309</cdr:x>
      <cdr:y>0.07485</cdr:y>
    </cdr:to>
    <cdr:sp macro="" textlink="">
      <cdr:nvSpPr>
        <cdr:cNvPr id="21505" name="Teksti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48919" y="-2035"/>
          <a:ext cx="25208" cy="19106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wrap="none" lIns="18288" tIns="18288" rIns="18288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600" b="0" i="0" u="none" strike="noStrike" baseline="0">
              <a:solidFill>
                <a:srgbClr val="000000"/>
              </a:solidFill>
              <a:latin typeface="MS Sans Serif"/>
            </a:rPr>
            <a:t>KORKEASAAREN ELÄINTARHA</a:t>
          </a:r>
        </a:p>
      </cdr:txBody>
    </cdr:sp>
  </cdr:relSizeAnchor>
  <cdr:relSizeAnchor xmlns:cdr="http://schemas.openxmlformats.org/drawingml/2006/chartDrawing">
    <cdr:from>
      <cdr:x>0.32184</cdr:x>
      <cdr:y>0.10049</cdr:y>
    </cdr:from>
    <cdr:to>
      <cdr:x>0.46476</cdr:x>
      <cdr:y>0.20494</cdr:y>
    </cdr:to>
    <cdr:sp macro="" textlink="'N2'!$A$1">
      <cdr:nvSpPr>
        <cdr:cNvPr id="21506" name="Teksti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39221" y="259683"/>
          <a:ext cx="104820" cy="26663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fld id="{897313DB-01C5-4F4B-964F-842B77CC5584}" type="TxLink">
            <a:rPr lang="fi-FI"/>
            <a:pPr/>
            <a:t> </a:t>
          </a:fld>
          <a:endParaRPr lang="fi-FI"/>
        </a:p>
      </cdr:txBody>
    </cdr:sp>
  </cdr:relSizeAnchor>
  <cdr:relSizeAnchor xmlns:cdr="http://schemas.openxmlformats.org/drawingml/2006/chartDrawing">
    <cdr:from>
      <cdr:x>0.28573</cdr:x>
      <cdr:y>0</cdr:y>
    </cdr:from>
    <cdr:to>
      <cdr:x>0.67881</cdr:x>
      <cdr:y>0.06715</cdr:y>
    </cdr:to>
    <cdr:sp macro="" textlink="">
      <cdr:nvSpPr>
        <cdr:cNvPr id="21507" name="Teksti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12737" y="-6950"/>
          <a:ext cx="288295" cy="17140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wrap="none" lIns="9144" tIns="18288" rIns="9144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500" b="0" i="0" u="none" strike="noStrike" baseline="0">
              <a:solidFill>
                <a:srgbClr val="000000"/>
              </a:solidFill>
              <a:latin typeface="Small Fonts"/>
            </a:rPr>
            <a:t>KUUKAUDEN PÄIVITTÄISET MAKSIMI-, MINIMI- JA KESKIMÄÄRÄISET KÄVIJÄMÄÄRÄT</a:t>
          </a:r>
        </a:p>
      </cdr:txBody>
    </cdr:sp>
  </cdr:relSizeAnchor>
</c:userShapes>
</file>

<file path=xl/drawings/drawing60.xml><?xml version="1.0" encoding="utf-8"?>
<c:userShapes xmlns:c="http://schemas.openxmlformats.org/drawingml/2006/chart">
  <cdr:relSizeAnchor xmlns:cdr="http://schemas.openxmlformats.org/drawingml/2006/chartDrawing">
    <cdr:from>
      <cdr:x>0.19894</cdr:x>
      <cdr:y>0</cdr:y>
    </cdr:from>
    <cdr:to>
      <cdr:x>0.23309</cdr:x>
      <cdr:y>0.07485</cdr:y>
    </cdr:to>
    <cdr:sp macro="" textlink="">
      <cdr:nvSpPr>
        <cdr:cNvPr id="92161" name="Teksti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49079" y="-2035"/>
          <a:ext cx="25048" cy="19106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wrap="none" lIns="18288" tIns="18288" rIns="18288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600" b="0" i="0" u="none" strike="noStrike" baseline="0">
              <a:solidFill>
                <a:srgbClr val="000000"/>
              </a:solidFill>
              <a:latin typeface="MS Sans Serif"/>
            </a:rPr>
            <a:t>KORKEASAAREN ELÄINTARHA</a:t>
          </a:r>
        </a:p>
      </cdr:txBody>
    </cdr:sp>
  </cdr:relSizeAnchor>
  <cdr:relSizeAnchor xmlns:cdr="http://schemas.openxmlformats.org/drawingml/2006/chartDrawing">
    <cdr:from>
      <cdr:x>0.3375</cdr:x>
      <cdr:y>0.11011</cdr:y>
    </cdr:from>
    <cdr:to>
      <cdr:x>0.48042</cdr:x>
      <cdr:y>0.21456</cdr:y>
    </cdr:to>
    <cdr:sp macro="" textlink="'K8'!$A$1">
      <cdr:nvSpPr>
        <cdr:cNvPr id="92162" name="Teksti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50708" y="284258"/>
          <a:ext cx="104821" cy="26663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fld id="{901B684A-62EB-47D3-8EE2-4261841EE70A}" type="TxLink">
            <a:rPr lang="fi-FI"/>
            <a:pPr/>
            <a:t> </a:t>
          </a:fld>
          <a:endParaRPr lang="fi-FI"/>
        </a:p>
      </cdr:txBody>
    </cdr:sp>
  </cdr:relSizeAnchor>
  <cdr:relSizeAnchor xmlns:cdr="http://schemas.openxmlformats.org/drawingml/2006/chartDrawing">
    <cdr:from>
      <cdr:x>0.28573</cdr:x>
      <cdr:y>0</cdr:y>
    </cdr:from>
    <cdr:to>
      <cdr:x>0.67881</cdr:x>
      <cdr:y>0.06859</cdr:y>
    </cdr:to>
    <cdr:sp macro="" textlink="">
      <cdr:nvSpPr>
        <cdr:cNvPr id="92163" name="Teksti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12737" y="-10636"/>
          <a:ext cx="288295" cy="17509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wrap="none" lIns="9144" tIns="18288" rIns="9144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500" b="0" i="0" u="none" strike="noStrike" baseline="0">
              <a:solidFill>
                <a:srgbClr val="000000"/>
              </a:solidFill>
              <a:latin typeface="Small Fonts"/>
            </a:rPr>
            <a:t>KUUKAUDEN PÄIVITTÄISET MAKSIMI-, MINIMI- JA KESKIMÄÄRÄISET KÄVIJÄMÄÄRÄT</a:t>
          </a:r>
        </a:p>
      </cdr:txBody>
    </cdr:sp>
  </cdr:relSizeAnchor>
</c:userShapes>
</file>

<file path=xl/drawings/drawing61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0</xdr:colOff>
      <xdr:row>11</xdr:row>
      <xdr:rowOff>19050</xdr:rowOff>
    </xdr:from>
    <xdr:to>
      <xdr:col>36</xdr:col>
      <xdr:colOff>0</xdr:colOff>
      <xdr:row>35</xdr:row>
      <xdr:rowOff>0</xdr:rowOff>
    </xdr:to>
    <xdr:graphicFrame macro="">
      <xdr:nvGraphicFramePr>
        <xdr:cNvPr id="93205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36</xdr:col>
      <xdr:colOff>0</xdr:colOff>
      <xdr:row>27</xdr:row>
      <xdr:rowOff>66675</xdr:rowOff>
    </xdr:from>
    <xdr:to>
      <xdr:col>36</xdr:col>
      <xdr:colOff>0</xdr:colOff>
      <xdr:row>40</xdr:row>
      <xdr:rowOff>57150</xdr:rowOff>
    </xdr:to>
    <xdr:graphicFrame macro="">
      <xdr:nvGraphicFramePr>
        <xdr:cNvPr id="93206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  <xdr:twoCellAnchor>
    <xdr:from>
      <xdr:col>36</xdr:col>
      <xdr:colOff>0</xdr:colOff>
      <xdr:row>41</xdr:row>
      <xdr:rowOff>0</xdr:rowOff>
    </xdr:from>
    <xdr:to>
      <xdr:col>36</xdr:col>
      <xdr:colOff>0</xdr:colOff>
      <xdr:row>46</xdr:row>
      <xdr:rowOff>142875</xdr:rowOff>
    </xdr:to>
    <xdr:graphicFrame macro="">
      <xdr:nvGraphicFramePr>
        <xdr:cNvPr id="93207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9525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93185" name="Button 1" hidden="1">
              <a:extLst>
                <a:ext uri="{63B3BB69-23CF-44E3-9099-C40C66FF867C}">
                  <a14:compatExt spid="_x0000_s931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Tammi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93186" name="Button 2" hidden="1">
              <a:extLst>
                <a:ext uri="{63B3BB69-23CF-44E3-9099-C40C66FF867C}">
                  <a14:compatExt spid="_x0000_s931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Tammi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93187" name="Button 3" hidden="1">
              <a:extLst>
                <a:ext uri="{63B3BB69-23CF-44E3-9099-C40C66FF867C}">
                  <a14:compatExt spid="_x0000_s931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Maalis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93188" name="Button 4" hidden="1">
              <a:extLst>
                <a:ext uri="{63B3BB69-23CF-44E3-9099-C40C66FF867C}">
                  <a14:compatExt spid="_x0000_s931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Huhti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93189" name="Button 5" hidden="1">
              <a:extLst>
                <a:ext uri="{63B3BB69-23CF-44E3-9099-C40C66FF867C}">
                  <a14:compatExt spid="_x0000_s931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Touko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93190" name="Button 6" hidden="1">
              <a:extLst>
                <a:ext uri="{63B3BB69-23CF-44E3-9099-C40C66FF867C}">
                  <a14:compatExt spid="_x0000_s931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Kesä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9525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93191" name="Button 7" hidden="1">
              <a:extLst>
                <a:ext uri="{63B3BB69-23CF-44E3-9099-C40C66FF867C}">
                  <a14:compatExt spid="_x0000_s931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Helmi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93192" name="Button 8" hidden="1">
              <a:extLst>
                <a:ext uri="{63B3BB69-23CF-44E3-9099-C40C66FF867C}">
                  <a14:compatExt spid="_x0000_s931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Heinä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93193" name="Button 9" hidden="1">
              <a:extLst>
                <a:ext uri="{63B3BB69-23CF-44E3-9099-C40C66FF867C}">
                  <a14:compatExt spid="_x0000_s931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Syys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93194" name="Button 10" hidden="1">
              <a:extLst>
                <a:ext uri="{63B3BB69-23CF-44E3-9099-C40C66FF867C}">
                  <a14:compatExt spid="_x0000_s931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Loka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93195" name="Button 11" hidden="1">
              <a:extLst>
                <a:ext uri="{63B3BB69-23CF-44E3-9099-C40C66FF867C}">
                  <a14:compatExt spid="_x0000_s931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Marras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93196" name="Button 12" hidden="1">
              <a:extLst>
                <a:ext uri="{63B3BB69-23CF-44E3-9099-C40C66FF867C}">
                  <a14:compatExt spid="_x0000_s931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Joulu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0</xdr:rowOff>
        </xdr:from>
        <xdr:to>
          <xdr:col>35</xdr:col>
          <xdr:colOff>0</xdr:colOff>
          <xdr:row>6</xdr:row>
          <xdr:rowOff>0</xdr:rowOff>
        </xdr:to>
        <xdr:sp macro="" textlink="">
          <xdr:nvSpPr>
            <xdr:cNvPr id="93197" name="Button 13" hidden="1">
              <a:extLst>
                <a:ext uri="{63B3BB69-23CF-44E3-9099-C40C66FF867C}">
                  <a14:compatExt spid="_x0000_s931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Elo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5</xdr:row>
          <xdr:rowOff>123825</xdr:rowOff>
        </xdr:to>
        <xdr:sp macro="" textlink="">
          <xdr:nvSpPr>
            <xdr:cNvPr id="93198" name="Button 14" hidden="1">
              <a:extLst>
                <a:ext uri="{63B3BB69-23CF-44E3-9099-C40C66FF867C}">
                  <a14:compatExt spid="_x0000_s931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Taulukko-yhteenveto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142875</xdr:rowOff>
        </xdr:from>
        <xdr:to>
          <xdr:col>35</xdr:col>
          <xdr:colOff>0</xdr:colOff>
          <xdr:row>12</xdr:row>
          <xdr:rowOff>19050</xdr:rowOff>
        </xdr:to>
        <xdr:sp macro="" textlink="">
          <xdr:nvSpPr>
            <xdr:cNvPr id="93199" name="Button 15" hidden="1">
              <a:extLst>
                <a:ext uri="{63B3BB69-23CF-44E3-9099-C40C66FF867C}">
                  <a14:compatExt spid="_x0000_s931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Yhteen-sä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152400</xdr:rowOff>
        </xdr:from>
        <xdr:to>
          <xdr:col>35</xdr:col>
          <xdr:colOff>0</xdr:colOff>
          <xdr:row>12</xdr:row>
          <xdr:rowOff>0</xdr:rowOff>
        </xdr:to>
        <xdr:sp macro="" textlink="">
          <xdr:nvSpPr>
            <xdr:cNvPr id="93200" name="Button 16" hidden="1">
              <a:extLst>
                <a:ext uri="{63B3BB69-23CF-44E3-9099-C40C66FF867C}">
                  <a14:compatExt spid="_x0000_s932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Vertailu edellis-vuoteen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142875</xdr:rowOff>
        </xdr:from>
        <xdr:to>
          <xdr:col>35</xdr:col>
          <xdr:colOff>0</xdr:colOff>
          <xdr:row>12</xdr:row>
          <xdr:rowOff>0</xdr:rowOff>
        </xdr:to>
        <xdr:sp macro="" textlink="">
          <xdr:nvSpPr>
            <xdr:cNvPr id="93201" name="Button 17" hidden="1">
              <a:extLst>
                <a:ext uri="{63B3BB69-23CF-44E3-9099-C40C66FF867C}">
                  <a14:compatExt spid="_x0000_s932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Käynnit tulosuun-nittain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152400</xdr:rowOff>
        </xdr:from>
        <xdr:to>
          <xdr:col>35</xdr:col>
          <xdr:colOff>0</xdr:colOff>
          <xdr:row>12</xdr:row>
          <xdr:rowOff>19050</xdr:rowOff>
        </xdr:to>
        <xdr:sp macro="" textlink="">
          <xdr:nvSpPr>
            <xdr:cNvPr id="93202" name="Button 18" hidden="1">
              <a:extLst>
                <a:ext uri="{63B3BB69-23CF-44E3-9099-C40C66FF867C}">
                  <a14:compatExt spid="_x0000_s932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Aikuiset lapset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152400</xdr:rowOff>
        </xdr:from>
        <xdr:to>
          <xdr:col>35</xdr:col>
          <xdr:colOff>0</xdr:colOff>
          <xdr:row>12</xdr:row>
          <xdr:rowOff>28575</xdr:rowOff>
        </xdr:to>
        <xdr:sp macro="" textlink="">
          <xdr:nvSpPr>
            <xdr:cNvPr id="93203" name="Button 19" hidden="1">
              <a:extLst>
                <a:ext uri="{63B3BB69-23CF-44E3-9099-C40C66FF867C}">
                  <a14:compatExt spid="_x0000_s932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Maksimi  minimi keskim.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12</xdr:row>
          <xdr:rowOff>19050</xdr:rowOff>
        </xdr:to>
        <xdr:sp macro="" textlink="">
          <xdr:nvSpPr>
            <xdr:cNvPr id="93204" name="Button 20" hidden="1">
              <a:extLst>
                <a:ext uri="{63B3BB69-23CF-44E3-9099-C40C66FF867C}">
                  <a14:compatExt spid="_x0000_s932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PALUU PÄÄ-   IKKUNAAN</a:t>
              </a:r>
            </a:p>
          </xdr:txBody>
        </xdr:sp>
        <xdr:clientData fPrintsWithSheet="0"/>
      </xdr:twoCellAnchor>
    </mc:Choice>
    <mc:Fallback/>
  </mc:AlternateContent>
</xdr:wsDr>
</file>

<file path=xl/drawings/drawing6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0.04831</cdr:y>
    </cdr:to>
    <cdr:sp macro="" textlink="">
      <cdr:nvSpPr>
        <cdr:cNvPr id="94209" name="Teksti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91837" y="-33103"/>
          <a:ext cx="1666913" cy="19095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27432" bIns="18288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800" b="0" i="0" u="none" strike="noStrike" baseline="0">
              <a:solidFill>
                <a:srgbClr val="000000"/>
              </a:solidFill>
              <a:latin typeface="MS Sans Serif"/>
            </a:rPr>
            <a:t>KORKEASAAREN ELÄINTARHA</a:t>
          </a:r>
        </a:p>
      </cdr:txBody>
    </cdr:sp>
  </cdr:relSizeAnchor>
  <cdr:relSizeAnchor xmlns:cdr="http://schemas.openxmlformats.org/drawingml/2006/chartDrawing">
    <cdr:from>
      <cdr:x>0.4069</cdr:x>
      <cdr:y>0.27823</cdr:y>
    </cdr:from>
    <cdr:to>
      <cdr:x>0.9988</cdr:x>
      <cdr:y>0.32775</cdr:y>
    </cdr:to>
    <cdr:sp macro="" textlink="">
      <cdr:nvSpPr>
        <cdr:cNvPr id="94210" name="Teksti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01603" y="1102967"/>
          <a:ext cx="434118" cy="1957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wrap="none" lIns="18288" tIns="18288" rIns="18288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800" b="0" i="0" u="none" strike="noStrike" baseline="0">
              <a:solidFill>
                <a:srgbClr val="000000"/>
              </a:solidFill>
              <a:latin typeface="MS Sans Serif"/>
            </a:rPr>
            <a:t>KÄYNNIT TULOSUUNNITTAIN</a:t>
          </a:r>
        </a:p>
      </cdr:txBody>
    </cdr:sp>
  </cdr:relSizeAnchor>
  <cdr:relSizeAnchor xmlns:cdr="http://schemas.openxmlformats.org/drawingml/2006/chartDrawing">
    <cdr:from>
      <cdr:x>0.37666</cdr:x>
      <cdr:y>0</cdr:y>
    </cdr:from>
    <cdr:to>
      <cdr:x>0.51958</cdr:x>
      <cdr:y>0.06758</cdr:y>
    </cdr:to>
    <cdr:sp macro="" textlink="'K9'!$A$1">
      <cdr:nvSpPr>
        <cdr:cNvPr id="94211" name="Teksti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79426" y="-50463"/>
          <a:ext cx="104820" cy="26714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fld id="{C7C1226C-E773-49F1-90B2-BC6F9892213D}" type="TxLink">
            <a:rPr lang="fi-FI"/>
            <a:pPr/>
            <a:t> </a:t>
          </a:fld>
          <a:endParaRPr lang="fi-FI"/>
        </a:p>
      </cdr:txBody>
    </cdr:sp>
  </cdr:relSizeAnchor>
</c:userShapes>
</file>

<file path=xl/drawings/drawing63.xml><?xml version="1.0" encoding="utf-8"?>
<c:userShapes xmlns:c="http://schemas.openxmlformats.org/drawingml/2006/chart">
  <cdr:relSizeAnchor xmlns:cdr="http://schemas.openxmlformats.org/drawingml/2006/chartDrawing">
    <cdr:from>
      <cdr:x>0.19894</cdr:x>
      <cdr:y>0</cdr:y>
    </cdr:from>
    <cdr:to>
      <cdr:x>0.23309</cdr:x>
      <cdr:y>0.07485</cdr:y>
    </cdr:to>
    <cdr:sp macro="" textlink="">
      <cdr:nvSpPr>
        <cdr:cNvPr id="95233" name="Teksti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49079" y="-2035"/>
          <a:ext cx="25048" cy="19106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wrap="none" lIns="18288" tIns="18288" rIns="18288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600" b="0" i="0" u="none" strike="noStrike" baseline="0">
              <a:solidFill>
                <a:srgbClr val="000000"/>
              </a:solidFill>
              <a:latin typeface="MS Sans Serif"/>
            </a:rPr>
            <a:t>KORKEASAAREN ELÄINTARHA</a:t>
          </a:r>
        </a:p>
      </cdr:txBody>
    </cdr:sp>
  </cdr:relSizeAnchor>
  <cdr:relSizeAnchor xmlns:cdr="http://schemas.openxmlformats.org/drawingml/2006/chartDrawing">
    <cdr:from>
      <cdr:x>0.3375</cdr:x>
      <cdr:y>0.11011</cdr:y>
    </cdr:from>
    <cdr:to>
      <cdr:x>0.48042</cdr:x>
      <cdr:y>0.21456</cdr:y>
    </cdr:to>
    <cdr:sp macro="" textlink="'K9'!$A$1">
      <cdr:nvSpPr>
        <cdr:cNvPr id="95234" name="Teksti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50708" y="284258"/>
          <a:ext cx="104821" cy="26663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fld id="{55AC55BB-EF08-4D64-956D-044BF872273D}" type="TxLink">
            <a:rPr lang="fi-FI"/>
            <a:pPr/>
            <a:t> </a:t>
          </a:fld>
          <a:endParaRPr lang="fi-FI"/>
        </a:p>
      </cdr:txBody>
    </cdr:sp>
  </cdr:relSizeAnchor>
  <cdr:relSizeAnchor xmlns:cdr="http://schemas.openxmlformats.org/drawingml/2006/chartDrawing">
    <cdr:from>
      <cdr:x>0.28573</cdr:x>
      <cdr:y>0</cdr:y>
    </cdr:from>
    <cdr:to>
      <cdr:x>0.67881</cdr:x>
      <cdr:y>0.06859</cdr:y>
    </cdr:to>
    <cdr:sp macro="" textlink="">
      <cdr:nvSpPr>
        <cdr:cNvPr id="95235" name="Teksti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12737" y="-10636"/>
          <a:ext cx="288295" cy="17509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wrap="none" lIns="9144" tIns="18288" rIns="9144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500" b="0" i="0" u="none" strike="noStrike" baseline="0">
              <a:solidFill>
                <a:srgbClr val="000000"/>
              </a:solidFill>
              <a:latin typeface="Small Fonts"/>
            </a:rPr>
            <a:t>KUUKAUDEN PÄIVITTÄISET MAKSIMI-, MINIMI- JA KESKIMÄÄRÄISET KÄVIJÄMÄÄRÄT</a:t>
          </a:r>
        </a:p>
      </cdr:txBody>
    </cdr:sp>
  </cdr:relSizeAnchor>
</c:userShapes>
</file>

<file path=xl/drawings/drawing64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0</xdr:colOff>
      <xdr:row>11</xdr:row>
      <xdr:rowOff>19050</xdr:rowOff>
    </xdr:from>
    <xdr:to>
      <xdr:col>36</xdr:col>
      <xdr:colOff>0</xdr:colOff>
      <xdr:row>35</xdr:row>
      <xdr:rowOff>0</xdr:rowOff>
    </xdr:to>
    <xdr:graphicFrame macro="">
      <xdr:nvGraphicFramePr>
        <xdr:cNvPr id="9627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36</xdr:col>
      <xdr:colOff>0</xdr:colOff>
      <xdr:row>27</xdr:row>
      <xdr:rowOff>66675</xdr:rowOff>
    </xdr:from>
    <xdr:to>
      <xdr:col>36</xdr:col>
      <xdr:colOff>0</xdr:colOff>
      <xdr:row>40</xdr:row>
      <xdr:rowOff>57150</xdr:rowOff>
    </xdr:to>
    <xdr:graphicFrame macro="">
      <xdr:nvGraphicFramePr>
        <xdr:cNvPr id="96278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  <xdr:twoCellAnchor>
    <xdr:from>
      <xdr:col>36</xdr:col>
      <xdr:colOff>0</xdr:colOff>
      <xdr:row>41</xdr:row>
      <xdr:rowOff>0</xdr:rowOff>
    </xdr:from>
    <xdr:to>
      <xdr:col>36</xdr:col>
      <xdr:colOff>0</xdr:colOff>
      <xdr:row>46</xdr:row>
      <xdr:rowOff>142875</xdr:rowOff>
    </xdr:to>
    <xdr:graphicFrame macro="">
      <xdr:nvGraphicFramePr>
        <xdr:cNvPr id="96279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9525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96257" name="Button 1" hidden="1">
              <a:extLst>
                <a:ext uri="{63B3BB69-23CF-44E3-9099-C40C66FF867C}">
                  <a14:compatExt spid="_x0000_s962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Tammi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96258" name="Button 2" hidden="1">
              <a:extLst>
                <a:ext uri="{63B3BB69-23CF-44E3-9099-C40C66FF867C}">
                  <a14:compatExt spid="_x0000_s962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Tammi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96259" name="Button 3" hidden="1">
              <a:extLst>
                <a:ext uri="{63B3BB69-23CF-44E3-9099-C40C66FF867C}">
                  <a14:compatExt spid="_x0000_s962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Maalis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96260" name="Button 4" hidden="1">
              <a:extLst>
                <a:ext uri="{63B3BB69-23CF-44E3-9099-C40C66FF867C}">
                  <a14:compatExt spid="_x0000_s962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Huhti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96261" name="Button 5" hidden="1">
              <a:extLst>
                <a:ext uri="{63B3BB69-23CF-44E3-9099-C40C66FF867C}">
                  <a14:compatExt spid="_x0000_s962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Touko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96262" name="Button 6" hidden="1">
              <a:extLst>
                <a:ext uri="{63B3BB69-23CF-44E3-9099-C40C66FF867C}">
                  <a14:compatExt spid="_x0000_s962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Kesä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9525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96263" name="Button 7" hidden="1">
              <a:extLst>
                <a:ext uri="{63B3BB69-23CF-44E3-9099-C40C66FF867C}">
                  <a14:compatExt spid="_x0000_s962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Helmi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96264" name="Button 8" hidden="1">
              <a:extLst>
                <a:ext uri="{63B3BB69-23CF-44E3-9099-C40C66FF867C}">
                  <a14:compatExt spid="_x0000_s962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Heinä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96265" name="Button 9" hidden="1">
              <a:extLst>
                <a:ext uri="{63B3BB69-23CF-44E3-9099-C40C66FF867C}">
                  <a14:compatExt spid="_x0000_s962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Syys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96266" name="Button 10" hidden="1">
              <a:extLst>
                <a:ext uri="{63B3BB69-23CF-44E3-9099-C40C66FF867C}">
                  <a14:compatExt spid="_x0000_s962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Loka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96267" name="Button 11" hidden="1">
              <a:extLst>
                <a:ext uri="{63B3BB69-23CF-44E3-9099-C40C66FF867C}">
                  <a14:compatExt spid="_x0000_s962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Marras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96268" name="Button 12" hidden="1">
              <a:extLst>
                <a:ext uri="{63B3BB69-23CF-44E3-9099-C40C66FF867C}">
                  <a14:compatExt spid="_x0000_s962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Joulu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0</xdr:rowOff>
        </xdr:from>
        <xdr:to>
          <xdr:col>35</xdr:col>
          <xdr:colOff>0</xdr:colOff>
          <xdr:row>6</xdr:row>
          <xdr:rowOff>0</xdr:rowOff>
        </xdr:to>
        <xdr:sp macro="" textlink="">
          <xdr:nvSpPr>
            <xdr:cNvPr id="96269" name="Button 13" hidden="1">
              <a:extLst>
                <a:ext uri="{63B3BB69-23CF-44E3-9099-C40C66FF867C}">
                  <a14:compatExt spid="_x0000_s962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Elo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5</xdr:row>
          <xdr:rowOff>123825</xdr:rowOff>
        </xdr:to>
        <xdr:sp macro="" textlink="">
          <xdr:nvSpPr>
            <xdr:cNvPr id="96270" name="Button 14" hidden="1">
              <a:extLst>
                <a:ext uri="{63B3BB69-23CF-44E3-9099-C40C66FF867C}">
                  <a14:compatExt spid="_x0000_s962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Taulukko-yhteenveto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142875</xdr:rowOff>
        </xdr:from>
        <xdr:to>
          <xdr:col>35</xdr:col>
          <xdr:colOff>0</xdr:colOff>
          <xdr:row>12</xdr:row>
          <xdr:rowOff>19050</xdr:rowOff>
        </xdr:to>
        <xdr:sp macro="" textlink="">
          <xdr:nvSpPr>
            <xdr:cNvPr id="96271" name="Button 15" hidden="1">
              <a:extLst>
                <a:ext uri="{63B3BB69-23CF-44E3-9099-C40C66FF867C}">
                  <a14:compatExt spid="_x0000_s962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Yhteen-sä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152400</xdr:rowOff>
        </xdr:from>
        <xdr:to>
          <xdr:col>35</xdr:col>
          <xdr:colOff>0</xdr:colOff>
          <xdr:row>12</xdr:row>
          <xdr:rowOff>0</xdr:rowOff>
        </xdr:to>
        <xdr:sp macro="" textlink="">
          <xdr:nvSpPr>
            <xdr:cNvPr id="96272" name="Button 16" hidden="1">
              <a:extLst>
                <a:ext uri="{63B3BB69-23CF-44E3-9099-C40C66FF867C}">
                  <a14:compatExt spid="_x0000_s962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Vertailu edellis-vuoteen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142875</xdr:rowOff>
        </xdr:from>
        <xdr:to>
          <xdr:col>35</xdr:col>
          <xdr:colOff>0</xdr:colOff>
          <xdr:row>12</xdr:row>
          <xdr:rowOff>0</xdr:rowOff>
        </xdr:to>
        <xdr:sp macro="" textlink="">
          <xdr:nvSpPr>
            <xdr:cNvPr id="96273" name="Button 17" hidden="1">
              <a:extLst>
                <a:ext uri="{63B3BB69-23CF-44E3-9099-C40C66FF867C}">
                  <a14:compatExt spid="_x0000_s962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Käynnit tulosuun-nittain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152400</xdr:rowOff>
        </xdr:from>
        <xdr:to>
          <xdr:col>35</xdr:col>
          <xdr:colOff>0</xdr:colOff>
          <xdr:row>12</xdr:row>
          <xdr:rowOff>19050</xdr:rowOff>
        </xdr:to>
        <xdr:sp macro="" textlink="">
          <xdr:nvSpPr>
            <xdr:cNvPr id="96274" name="Button 18" hidden="1">
              <a:extLst>
                <a:ext uri="{63B3BB69-23CF-44E3-9099-C40C66FF867C}">
                  <a14:compatExt spid="_x0000_s962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Aikuiset lapset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152400</xdr:rowOff>
        </xdr:from>
        <xdr:to>
          <xdr:col>35</xdr:col>
          <xdr:colOff>0</xdr:colOff>
          <xdr:row>12</xdr:row>
          <xdr:rowOff>28575</xdr:rowOff>
        </xdr:to>
        <xdr:sp macro="" textlink="">
          <xdr:nvSpPr>
            <xdr:cNvPr id="96275" name="Button 19" hidden="1">
              <a:extLst>
                <a:ext uri="{63B3BB69-23CF-44E3-9099-C40C66FF867C}">
                  <a14:compatExt spid="_x0000_s962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Maksimi  minimi keskim.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12</xdr:row>
          <xdr:rowOff>19050</xdr:rowOff>
        </xdr:to>
        <xdr:sp macro="" textlink="">
          <xdr:nvSpPr>
            <xdr:cNvPr id="96276" name="Button 20" hidden="1">
              <a:extLst>
                <a:ext uri="{63B3BB69-23CF-44E3-9099-C40C66FF867C}">
                  <a14:compatExt spid="_x0000_s962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PALUU PÄÄ-   IKKUNAAN</a:t>
              </a:r>
            </a:p>
          </xdr:txBody>
        </xdr:sp>
        <xdr:clientData fPrintsWithSheet="0"/>
      </xdr:twoCellAnchor>
    </mc:Choice>
    <mc:Fallback/>
  </mc:AlternateContent>
</xdr:wsDr>
</file>

<file path=xl/drawings/drawing65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0.04831</cdr:y>
    </cdr:to>
    <cdr:sp macro="" textlink="">
      <cdr:nvSpPr>
        <cdr:cNvPr id="97281" name="Teksti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91837" y="-33103"/>
          <a:ext cx="1666913" cy="19095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27432" bIns="18288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800" b="0" i="0" u="none" strike="noStrike" baseline="0">
              <a:solidFill>
                <a:srgbClr val="000000"/>
              </a:solidFill>
              <a:latin typeface="MS Sans Serif"/>
            </a:rPr>
            <a:t>KORKEASAAREN ELÄINTARHA</a:t>
          </a:r>
        </a:p>
      </cdr:txBody>
    </cdr:sp>
  </cdr:relSizeAnchor>
  <cdr:relSizeAnchor xmlns:cdr="http://schemas.openxmlformats.org/drawingml/2006/chartDrawing">
    <cdr:from>
      <cdr:x>0.4069</cdr:x>
      <cdr:y>0.27823</cdr:y>
    </cdr:from>
    <cdr:to>
      <cdr:x>0.9988</cdr:x>
      <cdr:y>0.32775</cdr:y>
    </cdr:to>
    <cdr:sp macro="" textlink="">
      <cdr:nvSpPr>
        <cdr:cNvPr id="97282" name="Teksti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01603" y="1102967"/>
          <a:ext cx="434118" cy="1957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wrap="none" lIns="18288" tIns="18288" rIns="18288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800" b="0" i="0" u="none" strike="noStrike" baseline="0">
              <a:solidFill>
                <a:srgbClr val="000000"/>
              </a:solidFill>
              <a:latin typeface="MS Sans Serif"/>
            </a:rPr>
            <a:t>KÄYNNIT TULOSUUNNITTAIN</a:t>
          </a:r>
        </a:p>
      </cdr:txBody>
    </cdr:sp>
  </cdr:relSizeAnchor>
  <cdr:relSizeAnchor xmlns:cdr="http://schemas.openxmlformats.org/drawingml/2006/chartDrawing">
    <cdr:from>
      <cdr:x>0.37666</cdr:x>
      <cdr:y>0</cdr:y>
    </cdr:from>
    <cdr:to>
      <cdr:x>0.51958</cdr:x>
      <cdr:y>0.06758</cdr:y>
    </cdr:to>
    <cdr:sp macro="" textlink="'K10'!$A$1">
      <cdr:nvSpPr>
        <cdr:cNvPr id="97283" name="Teksti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79426" y="-50463"/>
          <a:ext cx="104820" cy="26714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fld id="{BFF8B7C5-D56D-41B9-A7AA-73F941A1B64B}" type="TxLink">
            <a:rPr lang="fi-FI"/>
            <a:pPr/>
            <a:t> </a:t>
          </a:fld>
          <a:endParaRPr lang="fi-FI"/>
        </a:p>
      </cdr:txBody>
    </cdr:sp>
  </cdr:relSizeAnchor>
</c:userShapes>
</file>

<file path=xl/drawings/drawing66.xml><?xml version="1.0" encoding="utf-8"?>
<c:userShapes xmlns:c="http://schemas.openxmlformats.org/drawingml/2006/chart">
  <cdr:relSizeAnchor xmlns:cdr="http://schemas.openxmlformats.org/drawingml/2006/chartDrawing">
    <cdr:from>
      <cdr:x>0.19894</cdr:x>
      <cdr:y>0</cdr:y>
    </cdr:from>
    <cdr:to>
      <cdr:x>0.23309</cdr:x>
      <cdr:y>0.07485</cdr:y>
    </cdr:to>
    <cdr:sp macro="" textlink="">
      <cdr:nvSpPr>
        <cdr:cNvPr id="98305" name="Teksti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49079" y="-2035"/>
          <a:ext cx="25048" cy="19106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wrap="none" lIns="18288" tIns="18288" rIns="18288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600" b="0" i="0" u="none" strike="noStrike" baseline="0">
              <a:solidFill>
                <a:srgbClr val="000000"/>
              </a:solidFill>
              <a:latin typeface="MS Sans Serif"/>
            </a:rPr>
            <a:t>KORKEASAAREN ELÄINTARHA</a:t>
          </a:r>
        </a:p>
      </cdr:txBody>
    </cdr:sp>
  </cdr:relSizeAnchor>
  <cdr:relSizeAnchor xmlns:cdr="http://schemas.openxmlformats.org/drawingml/2006/chartDrawing">
    <cdr:from>
      <cdr:x>0.3375</cdr:x>
      <cdr:y>0.11011</cdr:y>
    </cdr:from>
    <cdr:to>
      <cdr:x>0.48042</cdr:x>
      <cdr:y>0.21456</cdr:y>
    </cdr:to>
    <cdr:sp macro="" textlink="'K10'!$A$1">
      <cdr:nvSpPr>
        <cdr:cNvPr id="98306" name="Teksti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50708" y="284258"/>
          <a:ext cx="104821" cy="26663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fld id="{8CC761F6-D6E0-4305-B3CE-199A4DC3CDFA}" type="TxLink">
            <a:rPr lang="fi-FI"/>
            <a:pPr/>
            <a:t> </a:t>
          </a:fld>
          <a:endParaRPr lang="fi-FI"/>
        </a:p>
      </cdr:txBody>
    </cdr:sp>
  </cdr:relSizeAnchor>
  <cdr:relSizeAnchor xmlns:cdr="http://schemas.openxmlformats.org/drawingml/2006/chartDrawing">
    <cdr:from>
      <cdr:x>0.28573</cdr:x>
      <cdr:y>0</cdr:y>
    </cdr:from>
    <cdr:to>
      <cdr:x>0.67881</cdr:x>
      <cdr:y>0.06859</cdr:y>
    </cdr:to>
    <cdr:sp macro="" textlink="">
      <cdr:nvSpPr>
        <cdr:cNvPr id="98307" name="Teksti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12737" y="-10636"/>
          <a:ext cx="288295" cy="17509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wrap="none" lIns="9144" tIns="18288" rIns="9144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500" b="0" i="0" u="none" strike="noStrike" baseline="0">
              <a:solidFill>
                <a:srgbClr val="000000"/>
              </a:solidFill>
              <a:latin typeface="Small Fonts"/>
            </a:rPr>
            <a:t>KUUKAUDEN PÄIVITTÄISET MAKSIMI-, MINIMI- JA KESKIMÄÄRÄISET KÄVIJÄMÄÄRÄT</a:t>
          </a:r>
        </a:p>
      </cdr:txBody>
    </cdr:sp>
  </cdr:relSizeAnchor>
</c:userShapes>
</file>

<file path=xl/drawings/drawing67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0</xdr:colOff>
      <xdr:row>11</xdr:row>
      <xdr:rowOff>19050</xdr:rowOff>
    </xdr:from>
    <xdr:to>
      <xdr:col>36</xdr:col>
      <xdr:colOff>0</xdr:colOff>
      <xdr:row>35</xdr:row>
      <xdr:rowOff>0</xdr:rowOff>
    </xdr:to>
    <xdr:graphicFrame macro="">
      <xdr:nvGraphicFramePr>
        <xdr:cNvPr id="99349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36</xdr:col>
      <xdr:colOff>0</xdr:colOff>
      <xdr:row>27</xdr:row>
      <xdr:rowOff>66675</xdr:rowOff>
    </xdr:from>
    <xdr:to>
      <xdr:col>36</xdr:col>
      <xdr:colOff>0</xdr:colOff>
      <xdr:row>40</xdr:row>
      <xdr:rowOff>57150</xdr:rowOff>
    </xdr:to>
    <xdr:graphicFrame macro="">
      <xdr:nvGraphicFramePr>
        <xdr:cNvPr id="99350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  <xdr:twoCellAnchor>
    <xdr:from>
      <xdr:col>36</xdr:col>
      <xdr:colOff>0</xdr:colOff>
      <xdr:row>41</xdr:row>
      <xdr:rowOff>0</xdr:rowOff>
    </xdr:from>
    <xdr:to>
      <xdr:col>36</xdr:col>
      <xdr:colOff>0</xdr:colOff>
      <xdr:row>46</xdr:row>
      <xdr:rowOff>142875</xdr:rowOff>
    </xdr:to>
    <xdr:graphicFrame macro="">
      <xdr:nvGraphicFramePr>
        <xdr:cNvPr id="99351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9525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99329" name="Button 1" hidden="1">
              <a:extLst>
                <a:ext uri="{63B3BB69-23CF-44E3-9099-C40C66FF867C}">
                  <a14:compatExt spid="_x0000_s993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Tammi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99330" name="Button 2" hidden="1">
              <a:extLst>
                <a:ext uri="{63B3BB69-23CF-44E3-9099-C40C66FF867C}">
                  <a14:compatExt spid="_x0000_s993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Tammi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99331" name="Button 3" hidden="1">
              <a:extLst>
                <a:ext uri="{63B3BB69-23CF-44E3-9099-C40C66FF867C}">
                  <a14:compatExt spid="_x0000_s993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Maalis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99332" name="Button 4" hidden="1">
              <a:extLst>
                <a:ext uri="{63B3BB69-23CF-44E3-9099-C40C66FF867C}">
                  <a14:compatExt spid="_x0000_s993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Huhti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99333" name="Button 5" hidden="1">
              <a:extLst>
                <a:ext uri="{63B3BB69-23CF-44E3-9099-C40C66FF867C}">
                  <a14:compatExt spid="_x0000_s993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Touko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99334" name="Button 6" hidden="1">
              <a:extLst>
                <a:ext uri="{63B3BB69-23CF-44E3-9099-C40C66FF867C}">
                  <a14:compatExt spid="_x0000_s993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Kesä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9525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99335" name="Button 7" hidden="1">
              <a:extLst>
                <a:ext uri="{63B3BB69-23CF-44E3-9099-C40C66FF867C}">
                  <a14:compatExt spid="_x0000_s993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Helmi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99336" name="Button 8" hidden="1">
              <a:extLst>
                <a:ext uri="{63B3BB69-23CF-44E3-9099-C40C66FF867C}">
                  <a14:compatExt spid="_x0000_s993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Heinä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99337" name="Button 9" hidden="1">
              <a:extLst>
                <a:ext uri="{63B3BB69-23CF-44E3-9099-C40C66FF867C}">
                  <a14:compatExt spid="_x0000_s993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Syys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99338" name="Button 10" hidden="1">
              <a:extLst>
                <a:ext uri="{63B3BB69-23CF-44E3-9099-C40C66FF867C}">
                  <a14:compatExt spid="_x0000_s993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Loka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99339" name="Button 11" hidden="1">
              <a:extLst>
                <a:ext uri="{63B3BB69-23CF-44E3-9099-C40C66FF867C}">
                  <a14:compatExt spid="_x0000_s993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Marras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99340" name="Button 12" hidden="1">
              <a:extLst>
                <a:ext uri="{63B3BB69-23CF-44E3-9099-C40C66FF867C}">
                  <a14:compatExt spid="_x0000_s993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Joulu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0</xdr:rowOff>
        </xdr:from>
        <xdr:to>
          <xdr:col>35</xdr:col>
          <xdr:colOff>0</xdr:colOff>
          <xdr:row>6</xdr:row>
          <xdr:rowOff>0</xdr:rowOff>
        </xdr:to>
        <xdr:sp macro="" textlink="">
          <xdr:nvSpPr>
            <xdr:cNvPr id="99341" name="Button 13" hidden="1">
              <a:extLst>
                <a:ext uri="{63B3BB69-23CF-44E3-9099-C40C66FF867C}">
                  <a14:compatExt spid="_x0000_s993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Elo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5</xdr:row>
          <xdr:rowOff>123825</xdr:rowOff>
        </xdr:to>
        <xdr:sp macro="" textlink="">
          <xdr:nvSpPr>
            <xdr:cNvPr id="99342" name="Button 14" hidden="1">
              <a:extLst>
                <a:ext uri="{63B3BB69-23CF-44E3-9099-C40C66FF867C}">
                  <a14:compatExt spid="_x0000_s993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Taulukko-yhteenveto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142875</xdr:rowOff>
        </xdr:from>
        <xdr:to>
          <xdr:col>35</xdr:col>
          <xdr:colOff>0</xdr:colOff>
          <xdr:row>12</xdr:row>
          <xdr:rowOff>19050</xdr:rowOff>
        </xdr:to>
        <xdr:sp macro="" textlink="">
          <xdr:nvSpPr>
            <xdr:cNvPr id="99343" name="Button 15" hidden="1">
              <a:extLst>
                <a:ext uri="{63B3BB69-23CF-44E3-9099-C40C66FF867C}">
                  <a14:compatExt spid="_x0000_s993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Yhteen-sä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152400</xdr:rowOff>
        </xdr:from>
        <xdr:to>
          <xdr:col>35</xdr:col>
          <xdr:colOff>0</xdr:colOff>
          <xdr:row>12</xdr:row>
          <xdr:rowOff>0</xdr:rowOff>
        </xdr:to>
        <xdr:sp macro="" textlink="">
          <xdr:nvSpPr>
            <xdr:cNvPr id="99344" name="Button 16" hidden="1">
              <a:extLst>
                <a:ext uri="{63B3BB69-23CF-44E3-9099-C40C66FF867C}">
                  <a14:compatExt spid="_x0000_s993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Vertailu edellis-vuoteen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142875</xdr:rowOff>
        </xdr:from>
        <xdr:to>
          <xdr:col>35</xdr:col>
          <xdr:colOff>0</xdr:colOff>
          <xdr:row>12</xdr:row>
          <xdr:rowOff>0</xdr:rowOff>
        </xdr:to>
        <xdr:sp macro="" textlink="">
          <xdr:nvSpPr>
            <xdr:cNvPr id="99345" name="Button 17" hidden="1">
              <a:extLst>
                <a:ext uri="{63B3BB69-23CF-44E3-9099-C40C66FF867C}">
                  <a14:compatExt spid="_x0000_s993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Käynnit tulosuun-nittain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152400</xdr:rowOff>
        </xdr:from>
        <xdr:to>
          <xdr:col>35</xdr:col>
          <xdr:colOff>0</xdr:colOff>
          <xdr:row>12</xdr:row>
          <xdr:rowOff>19050</xdr:rowOff>
        </xdr:to>
        <xdr:sp macro="" textlink="">
          <xdr:nvSpPr>
            <xdr:cNvPr id="99346" name="Button 18" hidden="1">
              <a:extLst>
                <a:ext uri="{63B3BB69-23CF-44E3-9099-C40C66FF867C}">
                  <a14:compatExt spid="_x0000_s993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Aikuiset lapset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152400</xdr:rowOff>
        </xdr:from>
        <xdr:to>
          <xdr:col>35</xdr:col>
          <xdr:colOff>0</xdr:colOff>
          <xdr:row>12</xdr:row>
          <xdr:rowOff>28575</xdr:rowOff>
        </xdr:to>
        <xdr:sp macro="" textlink="">
          <xdr:nvSpPr>
            <xdr:cNvPr id="99347" name="Button 19" hidden="1">
              <a:extLst>
                <a:ext uri="{63B3BB69-23CF-44E3-9099-C40C66FF867C}">
                  <a14:compatExt spid="_x0000_s993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Maksimi  minimi keskim.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12</xdr:row>
          <xdr:rowOff>19050</xdr:rowOff>
        </xdr:to>
        <xdr:sp macro="" textlink="">
          <xdr:nvSpPr>
            <xdr:cNvPr id="99348" name="Button 20" hidden="1">
              <a:extLst>
                <a:ext uri="{63B3BB69-23CF-44E3-9099-C40C66FF867C}">
                  <a14:compatExt spid="_x0000_s993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PALUU PÄÄ-   IKKUNAAN</a:t>
              </a:r>
            </a:p>
          </xdr:txBody>
        </xdr:sp>
        <xdr:clientData fPrintsWithSheet="0"/>
      </xdr:twoCellAnchor>
    </mc:Choice>
    <mc:Fallback/>
  </mc:AlternateContent>
</xdr:wsDr>
</file>

<file path=xl/drawings/drawing6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0.04831</cdr:y>
    </cdr:to>
    <cdr:sp macro="" textlink="">
      <cdr:nvSpPr>
        <cdr:cNvPr id="100353" name="Teksti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91837" y="-33103"/>
          <a:ext cx="1666913" cy="19095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27432" bIns="18288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800" b="0" i="0" u="none" strike="noStrike" baseline="0">
              <a:solidFill>
                <a:srgbClr val="000000"/>
              </a:solidFill>
              <a:latin typeface="MS Sans Serif"/>
            </a:rPr>
            <a:t>KORKEASAAREN ELÄINTARHA</a:t>
          </a:r>
        </a:p>
      </cdr:txBody>
    </cdr:sp>
  </cdr:relSizeAnchor>
  <cdr:relSizeAnchor xmlns:cdr="http://schemas.openxmlformats.org/drawingml/2006/chartDrawing">
    <cdr:from>
      <cdr:x>0.4069</cdr:x>
      <cdr:y>0.27823</cdr:y>
    </cdr:from>
    <cdr:to>
      <cdr:x>0.9988</cdr:x>
      <cdr:y>0.32775</cdr:y>
    </cdr:to>
    <cdr:sp macro="" textlink="">
      <cdr:nvSpPr>
        <cdr:cNvPr id="100354" name="Teksti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01603" y="1102967"/>
          <a:ext cx="434118" cy="1957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wrap="none" lIns="18288" tIns="18288" rIns="18288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800" b="0" i="0" u="none" strike="noStrike" baseline="0">
              <a:solidFill>
                <a:srgbClr val="000000"/>
              </a:solidFill>
              <a:latin typeface="MS Sans Serif"/>
            </a:rPr>
            <a:t>KÄYNNIT TULOSUUNNITTAIN</a:t>
          </a:r>
        </a:p>
      </cdr:txBody>
    </cdr:sp>
  </cdr:relSizeAnchor>
  <cdr:relSizeAnchor xmlns:cdr="http://schemas.openxmlformats.org/drawingml/2006/chartDrawing">
    <cdr:from>
      <cdr:x>0.37666</cdr:x>
      <cdr:y>0</cdr:y>
    </cdr:from>
    <cdr:to>
      <cdr:x>0.51958</cdr:x>
      <cdr:y>0.06758</cdr:y>
    </cdr:to>
    <cdr:sp macro="" textlink="'K11'!$A$1">
      <cdr:nvSpPr>
        <cdr:cNvPr id="100355" name="Teksti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79426" y="-50463"/>
          <a:ext cx="104820" cy="26714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fld id="{5B48808E-64D6-4648-A593-CA58BBF86111}" type="TxLink">
            <a:rPr lang="fi-FI"/>
            <a:pPr/>
            <a:t> </a:t>
          </a:fld>
          <a:endParaRPr lang="fi-FI"/>
        </a:p>
      </cdr:txBody>
    </cdr:sp>
  </cdr:relSizeAnchor>
</c:userShapes>
</file>

<file path=xl/drawings/drawing69.xml><?xml version="1.0" encoding="utf-8"?>
<c:userShapes xmlns:c="http://schemas.openxmlformats.org/drawingml/2006/chart">
  <cdr:relSizeAnchor xmlns:cdr="http://schemas.openxmlformats.org/drawingml/2006/chartDrawing">
    <cdr:from>
      <cdr:x>0.19894</cdr:x>
      <cdr:y>0</cdr:y>
    </cdr:from>
    <cdr:to>
      <cdr:x>0.23309</cdr:x>
      <cdr:y>0.07485</cdr:y>
    </cdr:to>
    <cdr:sp macro="" textlink="">
      <cdr:nvSpPr>
        <cdr:cNvPr id="101377" name="Teksti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49079" y="-2035"/>
          <a:ext cx="25048" cy="19106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wrap="none" lIns="18288" tIns="18288" rIns="18288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600" b="0" i="0" u="none" strike="noStrike" baseline="0">
              <a:solidFill>
                <a:srgbClr val="000000"/>
              </a:solidFill>
              <a:latin typeface="MS Sans Serif"/>
            </a:rPr>
            <a:t>KORKEASAAREN ELÄINTARHA</a:t>
          </a:r>
        </a:p>
      </cdr:txBody>
    </cdr:sp>
  </cdr:relSizeAnchor>
  <cdr:relSizeAnchor xmlns:cdr="http://schemas.openxmlformats.org/drawingml/2006/chartDrawing">
    <cdr:from>
      <cdr:x>0.3375</cdr:x>
      <cdr:y>0.11011</cdr:y>
    </cdr:from>
    <cdr:to>
      <cdr:x>0.48042</cdr:x>
      <cdr:y>0.21456</cdr:y>
    </cdr:to>
    <cdr:sp macro="" textlink="'K11'!$A$1">
      <cdr:nvSpPr>
        <cdr:cNvPr id="101378" name="Teksti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50708" y="284258"/>
          <a:ext cx="104821" cy="26663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fld id="{C22D1DB1-499F-4BF3-86C8-133CF26414A0}" type="TxLink">
            <a:rPr lang="fi-FI"/>
            <a:pPr/>
            <a:t> </a:t>
          </a:fld>
          <a:endParaRPr lang="fi-FI"/>
        </a:p>
      </cdr:txBody>
    </cdr:sp>
  </cdr:relSizeAnchor>
  <cdr:relSizeAnchor xmlns:cdr="http://schemas.openxmlformats.org/drawingml/2006/chartDrawing">
    <cdr:from>
      <cdr:x>0.28573</cdr:x>
      <cdr:y>0</cdr:y>
    </cdr:from>
    <cdr:to>
      <cdr:x>0.67881</cdr:x>
      <cdr:y>0.06859</cdr:y>
    </cdr:to>
    <cdr:sp macro="" textlink="">
      <cdr:nvSpPr>
        <cdr:cNvPr id="101379" name="Teksti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12737" y="-10636"/>
          <a:ext cx="288295" cy="17509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wrap="none" lIns="9144" tIns="18288" rIns="9144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500" b="0" i="0" u="none" strike="noStrike" baseline="0">
              <a:solidFill>
                <a:srgbClr val="000000"/>
              </a:solidFill>
              <a:latin typeface="Small Fonts"/>
            </a:rPr>
            <a:t>KUUKAUDEN PÄIVITTÄISET MAKSIMI-, MINIMI- JA KESKIMÄÄRÄISET KÄVIJÄMÄÄRÄT</a:t>
          </a: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0</xdr:colOff>
      <xdr:row>11</xdr:row>
      <xdr:rowOff>19050</xdr:rowOff>
    </xdr:from>
    <xdr:to>
      <xdr:col>36</xdr:col>
      <xdr:colOff>0</xdr:colOff>
      <xdr:row>35</xdr:row>
      <xdr:rowOff>0</xdr:rowOff>
    </xdr:to>
    <xdr:graphicFrame macro="">
      <xdr:nvGraphicFramePr>
        <xdr:cNvPr id="28693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36</xdr:col>
      <xdr:colOff>0</xdr:colOff>
      <xdr:row>27</xdr:row>
      <xdr:rowOff>66675</xdr:rowOff>
    </xdr:from>
    <xdr:to>
      <xdr:col>36</xdr:col>
      <xdr:colOff>0</xdr:colOff>
      <xdr:row>40</xdr:row>
      <xdr:rowOff>57150</xdr:rowOff>
    </xdr:to>
    <xdr:graphicFrame macro="">
      <xdr:nvGraphicFramePr>
        <xdr:cNvPr id="28694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  <xdr:twoCellAnchor>
    <xdr:from>
      <xdr:col>36</xdr:col>
      <xdr:colOff>0</xdr:colOff>
      <xdr:row>41</xdr:row>
      <xdr:rowOff>0</xdr:rowOff>
    </xdr:from>
    <xdr:to>
      <xdr:col>36</xdr:col>
      <xdr:colOff>0</xdr:colOff>
      <xdr:row>46</xdr:row>
      <xdr:rowOff>142875</xdr:rowOff>
    </xdr:to>
    <xdr:graphicFrame macro="">
      <xdr:nvGraphicFramePr>
        <xdr:cNvPr id="2869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9525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28673" name="Button 1" hidden="1">
              <a:extLst>
                <a:ext uri="{63B3BB69-23CF-44E3-9099-C40C66FF867C}">
                  <a14:compatExt spid="_x0000_s286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Tammi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28674" name="Button 2" hidden="1">
              <a:extLst>
                <a:ext uri="{63B3BB69-23CF-44E3-9099-C40C66FF867C}">
                  <a14:compatExt spid="_x0000_s286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Tammi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28675" name="Button 3" hidden="1">
              <a:extLst>
                <a:ext uri="{63B3BB69-23CF-44E3-9099-C40C66FF867C}">
                  <a14:compatExt spid="_x0000_s286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Maalis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28676" name="Button 4" hidden="1">
              <a:extLst>
                <a:ext uri="{63B3BB69-23CF-44E3-9099-C40C66FF867C}">
                  <a14:compatExt spid="_x0000_s286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Huhti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28677" name="Button 5" hidden="1">
              <a:extLst>
                <a:ext uri="{63B3BB69-23CF-44E3-9099-C40C66FF867C}">
                  <a14:compatExt spid="_x0000_s286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Touko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28678" name="Button 6" hidden="1">
              <a:extLst>
                <a:ext uri="{63B3BB69-23CF-44E3-9099-C40C66FF867C}">
                  <a14:compatExt spid="_x0000_s286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Kesä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9525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28679" name="Button 7" hidden="1">
              <a:extLst>
                <a:ext uri="{63B3BB69-23CF-44E3-9099-C40C66FF867C}">
                  <a14:compatExt spid="_x0000_s286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Helmi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28680" name="Button 8" hidden="1">
              <a:extLst>
                <a:ext uri="{63B3BB69-23CF-44E3-9099-C40C66FF867C}">
                  <a14:compatExt spid="_x0000_s286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Heinä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28681" name="Button 9" hidden="1">
              <a:extLst>
                <a:ext uri="{63B3BB69-23CF-44E3-9099-C40C66FF867C}">
                  <a14:compatExt spid="_x0000_s286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Syys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28682" name="Button 10" hidden="1">
              <a:extLst>
                <a:ext uri="{63B3BB69-23CF-44E3-9099-C40C66FF867C}">
                  <a14:compatExt spid="_x0000_s286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Loka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28683" name="Button 11" hidden="1">
              <a:extLst>
                <a:ext uri="{63B3BB69-23CF-44E3-9099-C40C66FF867C}">
                  <a14:compatExt spid="_x0000_s286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Marras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28684" name="Button 12" hidden="1">
              <a:extLst>
                <a:ext uri="{63B3BB69-23CF-44E3-9099-C40C66FF867C}">
                  <a14:compatExt spid="_x0000_s286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Joulu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0</xdr:rowOff>
        </xdr:from>
        <xdr:to>
          <xdr:col>35</xdr:col>
          <xdr:colOff>0</xdr:colOff>
          <xdr:row>6</xdr:row>
          <xdr:rowOff>0</xdr:rowOff>
        </xdr:to>
        <xdr:sp macro="" textlink="">
          <xdr:nvSpPr>
            <xdr:cNvPr id="28685" name="Button 13" hidden="1">
              <a:extLst>
                <a:ext uri="{63B3BB69-23CF-44E3-9099-C40C66FF867C}">
                  <a14:compatExt spid="_x0000_s286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Elo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5</xdr:row>
          <xdr:rowOff>123825</xdr:rowOff>
        </xdr:to>
        <xdr:sp macro="" textlink="">
          <xdr:nvSpPr>
            <xdr:cNvPr id="28686" name="Button 14" hidden="1">
              <a:extLst>
                <a:ext uri="{63B3BB69-23CF-44E3-9099-C40C66FF867C}">
                  <a14:compatExt spid="_x0000_s286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Taulukko-yhteenveto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142875</xdr:rowOff>
        </xdr:from>
        <xdr:to>
          <xdr:col>35</xdr:col>
          <xdr:colOff>0</xdr:colOff>
          <xdr:row>12</xdr:row>
          <xdr:rowOff>19050</xdr:rowOff>
        </xdr:to>
        <xdr:sp macro="" textlink="">
          <xdr:nvSpPr>
            <xdr:cNvPr id="28687" name="Button 15" hidden="1">
              <a:extLst>
                <a:ext uri="{63B3BB69-23CF-44E3-9099-C40C66FF867C}">
                  <a14:compatExt spid="_x0000_s286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Yhteen-sä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152400</xdr:rowOff>
        </xdr:from>
        <xdr:to>
          <xdr:col>35</xdr:col>
          <xdr:colOff>0</xdr:colOff>
          <xdr:row>12</xdr:row>
          <xdr:rowOff>0</xdr:rowOff>
        </xdr:to>
        <xdr:sp macro="" textlink="">
          <xdr:nvSpPr>
            <xdr:cNvPr id="28688" name="Button 16" hidden="1">
              <a:extLst>
                <a:ext uri="{63B3BB69-23CF-44E3-9099-C40C66FF867C}">
                  <a14:compatExt spid="_x0000_s286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Vertailu edellis-vuoteen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142875</xdr:rowOff>
        </xdr:from>
        <xdr:to>
          <xdr:col>35</xdr:col>
          <xdr:colOff>0</xdr:colOff>
          <xdr:row>12</xdr:row>
          <xdr:rowOff>0</xdr:rowOff>
        </xdr:to>
        <xdr:sp macro="" textlink="">
          <xdr:nvSpPr>
            <xdr:cNvPr id="28689" name="Button 17" hidden="1">
              <a:extLst>
                <a:ext uri="{63B3BB69-23CF-44E3-9099-C40C66FF867C}">
                  <a14:compatExt spid="_x0000_s286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Käynnit tulosuun-nittain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152400</xdr:rowOff>
        </xdr:from>
        <xdr:to>
          <xdr:col>35</xdr:col>
          <xdr:colOff>0</xdr:colOff>
          <xdr:row>12</xdr:row>
          <xdr:rowOff>19050</xdr:rowOff>
        </xdr:to>
        <xdr:sp macro="" textlink="">
          <xdr:nvSpPr>
            <xdr:cNvPr id="28690" name="Button 18" hidden="1">
              <a:extLst>
                <a:ext uri="{63B3BB69-23CF-44E3-9099-C40C66FF867C}">
                  <a14:compatExt spid="_x0000_s286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Aikuiset lapset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152400</xdr:rowOff>
        </xdr:from>
        <xdr:to>
          <xdr:col>35</xdr:col>
          <xdr:colOff>0</xdr:colOff>
          <xdr:row>12</xdr:row>
          <xdr:rowOff>28575</xdr:rowOff>
        </xdr:to>
        <xdr:sp macro="" textlink="">
          <xdr:nvSpPr>
            <xdr:cNvPr id="28691" name="Button 19" hidden="1">
              <a:extLst>
                <a:ext uri="{63B3BB69-23CF-44E3-9099-C40C66FF867C}">
                  <a14:compatExt spid="_x0000_s286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Maksimi  minimi keskim.</a:t>
              </a:r>
            </a:p>
          </xdr:txBody>
        </xdr:sp>
        <xdr:clientData fPrintsWithSheet="0"/>
      </xdr:twoCellAnchor>
    </mc:Choice>
    <mc:Fallback/>
  </mc:AlternateContent>
</xdr:wsDr>
</file>

<file path=xl/drawings/drawing70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0</xdr:colOff>
      <xdr:row>11</xdr:row>
      <xdr:rowOff>19050</xdr:rowOff>
    </xdr:from>
    <xdr:to>
      <xdr:col>36</xdr:col>
      <xdr:colOff>0</xdr:colOff>
      <xdr:row>35</xdr:row>
      <xdr:rowOff>0</xdr:rowOff>
    </xdr:to>
    <xdr:graphicFrame macro="">
      <xdr:nvGraphicFramePr>
        <xdr:cNvPr id="102421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36</xdr:col>
      <xdr:colOff>0</xdr:colOff>
      <xdr:row>27</xdr:row>
      <xdr:rowOff>66675</xdr:rowOff>
    </xdr:from>
    <xdr:to>
      <xdr:col>36</xdr:col>
      <xdr:colOff>0</xdr:colOff>
      <xdr:row>40</xdr:row>
      <xdr:rowOff>57150</xdr:rowOff>
    </xdr:to>
    <xdr:graphicFrame macro="">
      <xdr:nvGraphicFramePr>
        <xdr:cNvPr id="102422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  <xdr:twoCellAnchor>
    <xdr:from>
      <xdr:col>36</xdr:col>
      <xdr:colOff>0</xdr:colOff>
      <xdr:row>41</xdr:row>
      <xdr:rowOff>0</xdr:rowOff>
    </xdr:from>
    <xdr:to>
      <xdr:col>36</xdr:col>
      <xdr:colOff>0</xdr:colOff>
      <xdr:row>46</xdr:row>
      <xdr:rowOff>142875</xdr:rowOff>
    </xdr:to>
    <xdr:graphicFrame macro="">
      <xdr:nvGraphicFramePr>
        <xdr:cNvPr id="102423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9525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102401" name="Button 1" hidden="1">
              <a:extLst>
                <a:ext uri="{63B3BB69-23CF-44E3-9099-C40C66FF867C}">
                  <a14:compatExt spid="_x0000_s1024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Tammi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102402" name="Button 2" hidden="1">
              <a:extLst>
                <a:ext uri="{63B3BB69-23CF-44E3-9099-C40C66FF867C}">
                  <a14:compatExt spid="_x0000_s1024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Tammi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102403" name="Button 3" hidden="1">
              <a:extLst>
                <a:ext uri="{63B3BB69-23CF-44E3-9099-C40C66FF867C}">
                  <a14:compatExt spid="_x0000_s1024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Maalis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102404" name="Button 4" hidden="1">
              <a:extLst>
                <a:ext uri="{63B3BB69-23CF-44E3-9099-C40C66FF867C}">
                  <a14:compatExt spid="_x0000_s1024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Huhti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102405" name="Button 5" hidden="1">
              <a:extLst>
                <a:ext uri="{63B3BB69-23CF-44E3-9099-C40C66FF867C}">
                  <a14:compatExt spid="_x0000_s1024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Touko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102406" name="Button 6" hidden="1">
              <a:extLst>
                <a:ext uri="{63B3BB69-23CF-44E3-9099-C40C66FF867C}">
                  <a14:compatExt spid="_x0000_s1024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Kesä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9525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102407" name="Button 7" hidden="1">
              <a:extLst>
                <a:ext uri="{63B3BB69-23CF-44E3-9099-C40C66FF867C}">
                  <a14:compatExt spid="_x0000_s1024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Helmi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102408" name="Button 8" hidden="1">
              <a:extLst>
                <a:ext uri="{63B3BB69-23CF-44E3-9099-C40C66FF867C}">
                  <a14:compatExt spid="_x0000_s1024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Heinä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102409" name="Button 9" hidden="1">
              <a:extLst>
                <a:ext uri="{63B3BB69-23CF-44E3-9099-C40C66FF867C}">
                  <a14:compatExt spid="_x0000_s1024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Syys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102410" name="Button 10" hidden="1">
              <a:extLst>
                <a:ext uri="{63B3BB69-23CF-44E3-9099-C40C66FF867C}">
                  <a14:compatExt spid="_x0000_s1024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Loka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102411" name="Button 11" hidden="1">
              <a:extLst>
                <a:ext uri="{63B3BB69-23CF-44E3-9099-C40C66FF867C}">
                  <a14:compatExt spid="_x0000_s1024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Marras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102412" name="Button 12" hidden="1">
              <a:extLst>
                <a:ext uri="{63B3BB69-23CF-44E3-9099-C40C66FF867C}">
                  <a14:compatExt spid="_x0000_s1024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Joulu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0</xdr:rowOff>
        </xdr:from>
        <xdr:to>
          <xdr:col>35</xdr:col>
          <xdr:colOff>0</xdr:colOff>
          <xdr:row>6</xdr:row>
          <xdr:rowOff>0</xdr:rowOff>
        </xdr:to>
        <xdr:sp macro="" textlink="">
          <xdr:nvSpPr>
            <xdr:cNvPr id="102413" name="Button 13" hidden="1">
              <a:extLst>
                <a:ext uri="{63B3BB69-23CF-44E3-9099-C40C66FF867C}">
                  <a14:compatExt spid="_x0000_s1024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Elo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5</xdr:row>
          <xdr:rowOff>123825</xdr:rowOff>
        </xdr:to>
        <xdr:sp macro="" textlink="">
          <xdr:nvSpPr>
            <xdr:cNvPr id="102414" name="Button 14" hidden="1">
              <a:extLst>
                <a:ext uri="{63B3BB69-23CF-44E3-9099-C40C66FF867C}">
                  <a14:compatExt spid="_x0000_s1024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Taulukko-yhteenveto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142875</xdr:rowOff>
        </xdr:from>
        <xdr:to>
          <xdr:col>35</xdr:col>
          <xdr:colOff>0</xdr:colOff>
          <xdr:row>12</xdr:row>
          <xdr:rowOff>19050</xdr:rowOff>
        </xdr:to>
        <xdr:sp macro="" textlink="">
          <xdr:nvSpPr>
            <xdr:cNvPr id="102415" name="Button 15" hidden="1">
              <a:extLst>
                <a:ext uri="{63B3BB69-23CF-44E3-9099-C40C66FF867C}">
                  <a14:compatExt spid="_x0000_s1024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Yhteen-sä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152400</xdr:rowOff>
        </xdr:from>
        <xdr:to>
          <xdr:col>35</xdr:col>
          <xdr:colOff>0</xdr:colOff>
          <xdr:row>12</xdr:row>
          <xdr:rowOff>0</xdr:rowOff>
        </xdr:to>
        <xdr:sp macro="" textlink="">
          <xdr:nvSpPr>
            <xdr:cNvPr id="102416" name="Button 16" hidden="1">
              <a:extLst>
                <a:ext uri="{63B3BB69-23CF-44E3-9099-C40C66FF867C}">
                  <a14:compatExt spid="_x0000_s1024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Vertailu edellis-vuoteen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142875</xdr:rowOff>
        </xdr:from>
        <xdr:to>
          <xdr:col>35</xdr:col>
          <xdr:colOff>0</xdr:colOff>
          <xdr:row>12</xdr:row>
          <xdr:rowOff>0</xdr:rowOff>
        </xdr:to>
        <xdr:sp macro="" textlink="">
          <xdr:nvSpPr>
            <xdr:cNvPr id="102417" name="Button 17" hidden="1">
              <a:extLst>
                <a:ext uri="{63B3BB69-23CF-44E3-9099-C40C66FF867C}">
                  <a14:compatExt spid="_x0000_s1024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Käynnit tulosuun-nittain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152400</xdr:rowOff>
        </xdr:from>
        <xdr:to>
          <xdr:col>35</xdr:col>
          <xdr:colOff>0</xdr:colOff>
          <xdr:row>12</xdr:row>
          <xdr:rowOff>19050</xdr:rowOff>
        </xdr:to>
        <xdr:sp macro="" textlink="">
          <xdr:nvSpPr>
            <xdr:cNvPr id="102418" name="Button 18" hidden="1">
              <a:extLst>
                <a:ext uri="{63B3BB69-23CF-44E3-9099-C40C66FF867C}">
                  <a14:compatExt spid="_x0000_s1024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Aikuiset lapset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152400</xdr:rowOff>
        </xdr:from>
        <xdr:to>
          <xdr:col>35</xdr:col>
          <xdr:colOff>0</xdr:colOff>
          <xdr:row>12</xdr:row>
          <xdr:rowOff>28575</xdr:rowOff>
        </xdr:to>
        <xdr:sp macro="" textlink="">
          <xdr:nvSpPr>
            <xdr:cNvPr id="102419" name="Button 19" hidden="1">
              <a:extLst>
                <a:ext uri="{63B3BB69-23CF-44E3-9099-C40C66FF867C}">
                  <a14:compatExt spid="_x0000_s1024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Maksimi  minimi keskim.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12</xdr:row>
          <xdr:rowOff>19050</xdr:rowOff>
        </xdr:to>
        <xdr:sp macro="" textlink="">
          <xdr:nvSpPr>
            <xdr:cNvPr id="102420" name="Button 20" hidden="1">
              <a:extLst>
                <a:ext uri="{63B3BB69-23CF-44E3-9099-C40C66FF867C}">
                  <a14:compatExt spid="_x0000_s1024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PALUU PÄÄ-   IKKUNAAN</a:t>
              </a:r>
            </a:p>
          </xdr:txBody>
        </xdr:sp>
        <xdr:clientData fPrintsWithSheet="0"/>
      </xdr:twoCellAnchor>
    </mc:Choice>
    <mc:Fallback/>
  </mc:AlternateContent>
</xdr:wsDr>
</file>

<file path=xl/drawings/drawing71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0.04831</cdr:y>
    </cdr:to>
    <cdr:sp macro="" textlink="">
      <cdr:nvSpPr>
        <cdr:cNvPr id="103425" name="Teksti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91837" y="-33103"/>
          <a:ext cx="1666913" cy="19095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27432" bIns="18288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800" b="0" i="0" u="none" strike="noStrike" baseline="0">
              <a:solidFill>
                <a:srgbClr val="000000"/>
              </a:solidFill>
              <a:latin typeface="MS Sans Serif"/>
            </a:rPr>
            <a:t>KORKEASAAREN ELÄINTARHA</a:t>
          </a:r>
        </a:p>
      </cdr:txBody>
    </cdr:sp>
  </cdr:relSizeAnchor>
  <cdr:relSizeAnchor xmlns:cdr="http://schemas.openxmlformats.org/drawingml/2006/chartDrawing">
    <cdr:from>
      <cdr:x>0.4069</cdr:x>
      <cdr:y>0.27823</cdr:y>
    </cdr:from>
    <cdr:to>
      <cdr:x>0.9988</cdr:x>
      <cdr:y>0.32775</cdr:y>
    </cdr:to>
    <cdr:sp macro="" textlink="">
      <cdr:nvSpPr>
        <cdr:cNvPr id="103426" name="Teksti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01603" y="1102967"/>
          <a:ext cx="434118" cy="1957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wrap="none" lIns="18288" tIns="18288" rIns="18288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800" b="0" i="0" u="none" strike="noStrike" baseline="0">
              <a:solidFill>
                <a:srgbClr val="000000"/>
              </a:solidFill>
              <a:latin typeface="MS Sans Serif"/>
            </a:rPr>
            <a:t>KÄYNNIT TULOSUUNNITTAIN</a:t>
          </a:r>
        </a:p>
      </cdr:txBody>
    </cdr:sp>
  </cdr:relSizeAnchor>
  <cdr:relSizeAnchor xmlns:cdr="http://schemas.openxmlformats.org/drawingml/2006/chartDrawing">
    <cdr:from>
      <cdr:x>0.37666</cdr:x>
      <cdr:y>0</cdr:y>
    </cdr:from>
    <cdr:to>
      <cdr:x>0.51958</cdr:x>
      <cdr:y>0.06758</cdr:y>
    </cdr:to>
    <cdr:sp macro="" textlink="'K12'!$A$1">
      <cdr:nvSpPr>
        <cdr:cNvPr id="103427" name="Teksti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79426" y="-50463"/>
          <a:ext cx="104820" cy="26714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fld id="{8C5AA880-046E-486C-9B4B-03FC91015C78}" type="TxLink">
            <a:rPr lang="fi-FI"/>
            <a:pPr/>
            <a:t> </a:t>
          </a:fld>
          <a:endParaRPr lang="fi-FI"/>
        </a:p>
      </cdr:txBody>
    </cdr:sp>
  </cdr:relSizeAnchor>
</c:userShapes>
</file>

<file path=xl/drawings/drawing72.xml><?xml version="1.0" encoding="utf-8"?>
<c:userShapes xmlns:c="http://schemas.openxmlformats.org/drawingml/2006/chart">
  <cdr:relSizeAnchor xmlns:cdr="http://schemas.openxmlformats.org/drawingml/2006/chartDrawing">
    <cdr:from>
      <cdr:x>0.19894</cdr:x>
      <cdr:y>0</cdr:y>
    </cdr:from>
    <cdr:to>
      <cdr:x>0.23309</cdr:x>
      <cdr:y>0.07485</cdr:y>
    </cdr:to>
    <cdr:sp macro="" textlink="">
      <cdr:nvSpPr>
        <cdr:cNvPr id="104449" name="Teksti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49079" y="-2035"/>
          <a:ext cx="25048" cy="19106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wrap="none" lIns="18288" tIns="18288" rIns="18288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600" b="0" i="0" u="none" strike="noStrike" baseline="0">
              <a:solidFill>
                <a:srgbClr val="000000"/>
              </a:solidFill>
              <a:latin typeface="MS Sans Serif"/>
            </a:rPr>
            <a:t>KORKEASAAREN ELÄINTARHA</a:t>
          </a:r>
        </a:p>
      </cdr:txBody>
    </cdr:sp>
  </cdr:relSizeAnchor>
  <cdr:relSizeAnchor xmlns:cdr="http://schemas.openxmlformats.org/drawingml/2006/chartDrawing">
    <cdr:from>
      <cdr:x>0.3375</cdr:x>
      <cdr:y>0.11011</cdr:y>
    </cdr:from>
    <cdr:to>
      <cdr:x>0.48042</cdr:x>
      <cdr:y>0.21456</cdr:y>
    </cdr:to>
    <cdr:sp macro="" textlink="'K12'!$A$1">
      <cdr:nvSpPr>
        <cdr:cNvPr id="104450" name="Teksti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50708" y="284258"/>
          <a:ext cx="104821" cy="26663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fld id="{83492267-A266-4FFB-B327-BF4D287B2F33}" type="TxLink">
            <a:rPr lang="fi-FI"/>
            <a:pPr/>
            <a:t> </a:t>
          </a:fld>
          <a:endParaRPr lang="fi-FI"/>
        </a:p>
      </cdr:txBody>
    </cdr:sp>
  </cdr:relSizeAnchor>
  <cdr:relSizeAnchor xmlns:cdr="http://schemas.openxmlformats.org/drawingml/2006/chartDrawing">
    <cdr:from>
      <cdr:x>0.28573</cdr:x>
      <cdr:y>0</cdr:y>
    </cdr:from>
    <cdr:to>
      <cdr:x>0.67881</cdr:x>
      <cdr:y>0.06859</cdr:y>
    </cdr:to>
    <cdr:sp macro="" textlink="">
      <cdr:nvSpPr>
        <cdr:cNvPr id="104451" name="Teksti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12737" y="-10636"/>
          <a:ext cx="288295" cy="17509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wrap="none" lIns="9144" tIns="18288" rIns="9144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500" b="0" i="0" u="none" strike="noStrike" baseline="0">
              <a:solidFill>
                <a:srgbClr val="000000"/>
              </a:solidFill>
              <a:latin typeface="Small Fonts"/>
            </a:rPr>
            <a:t>KUUKAUDEN PÄIVITTÄISET MAKSIMI-, MINIMI- JA KESKIMÄÄRÄISET KÄVIJÄMÄÄRÄT</a:t>
          </a:r>
        </a:p>
      </cdr:txBody>
    </cdr:sp>
  </cdr:relSizeAnchor>
</c:userShapes>
</file>

<file path=xl/drawings/drawing73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0</xdr:colOff>
      <xdr:row>11</xdr:row>
      <xdr:rowOff>19050</xdr:rowOff>
    </xdr:from>
    <xdr:to>
      <xdr:col>36</xdr:col>
      <xdr:colOff>0</xdr:colOff>
      <xdr:row>35</xdr:row>
      <xdr:rowOff>0</xdr:rowOff>
    </xdr:to>
    <xdr:graphicFrame macro="">
      <xdr:nvGraphicFramePr>
        <xdr:cNvPr id="16405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36</xdr:col>
      <xdr:colOff>0</xdr:colOff>
      <xdr:row>27</xdr:row>
      <xdr:rowOff>66675</xdr:rowOff>
    </xdr:from>
    <xdr:to>
      <xdr:col>36</xdr:col>
      <xdr:colOff>0</xdr:colOff>
      <xdr:row>40</xdr:row>
      <xdr:rowOff>57150</xdr:rowOff>
    </xdr:to>
    <xdr:graphicFrame macro="">
      <xdr:nvGraphicFramePr>
        <xdr:cNvPr id="16406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  <xdr:twoCellAnchor>
    <xdr:from>
      <xdr:col>36</xdr:col>
      <xdr:colOff>0</xdr:colOff>
      <xdr:row>41</xdr:row>
      <xdr:rowOff>0</xdr:rowOff>
    </xdr:from>
    <xdr:to>
      <xdr:col>36</xdr:col>
      <xdr:colOff>0</xdr:colOff>
      <xdr:row>46</xdr:row>
      <xdr:rowOff>142875</xdr:rowOff>
    </xdr:to>
    <xdr:graphicFrame macro="">
      <xdr:nvGraphicFramePr>
        <xdr:cNvPr id="16407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9525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16385" name="Button 1" hidden="1">
              <a:extLst>
                <a:ext uri="{63B3BB69-23CF-44E3-9099-C40C66FF867C}">
                  <a14:compatExt spid="_x0000_s163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Tammi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16386" name="Button 2" hidden="1">
              <a:extLst>
                <a:ext uri="{63B3BB69-23CF-44E3-9099-C40C66FF867C}">
                  <a14:compatExt spid="_x0000_s163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Tammi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16387" name="Button 3" hidden="1">
              <a:extLst>
                <a:ext uri="{63B3BB69-23CF-44E3-9099-C40C66FF867C}">
                  <a14:compatExt spid="_x0000_s163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Maalis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16388" name="Button 4" hidden="1">
              <a:extLst>
                <a:ext uri="{63B3BB69-23CF-44E3-9099-C40C66FF867C}">
                  <a14:compatExt spid="_x0000_s163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Huhti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16389" name="Button 5" hidden="1">
              <a:extLst>
                <a:ext uri="{63B3BB69-23CF-44E3-9099-C40C66FF867C}">
                  <a14:compatExt spid="_x0000_s163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Touko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16390" name="Button 6" hidden="1">
              <a:extLst>
                <a:ext uri="{63B3BB69-23CF-44E3-9099-C40C66FF867C}">
                  <a14:compatExt spid="_x0000_s163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Kesä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9525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16391" name="Button 7" hidden="1">
              <a:extLst>
                <a:ext uri="{63B3BB69-23CF-44E3-9099-C40C66FF867C}">
                  <a14:compatExt spid="_x0000_s163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Helmi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16392" name="Button 8" hidden="1">
              <a:extLst>
                <a:ext uri="{63B3BB69-23CF-44E3-9099-C40C66FF867C}">
                  <a14:compatExt spid="_x0000_s163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Heinä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16393" name="Button 9" hidden="1">
              <a:extLst>
                <a:ext uri="{63B3BB69-23CF-44E3-9099-C40C66FF867C}">
                  <a14:compatExt spid="_x0000_s163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Syys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16394" name="Button 10" hidden="1">
              <a:extLst>
                <a:ext uri="{63B3BB69-23CF-44E3-9099-C40C66FF867C}">
                  <a14:compatExt spid="_x0000_s163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Loka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16395" name="Button 11" hidden="1">
              <a:extLst>
                <a:ext uri="{63B3BB69-23CF-44E3-9099-C40C66FF867C}">
                  <a14:compatExt spid="_x0000_s163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Marras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16396" name="Button 12" hidden="1">
              <a:extLst>
                <a:ext uri="{63B3BB69-23CF-44E3-9099-C40C66FF867C}">
                  <a14:compatExt spid="_x0000_s163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Joulu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0</xdr:rowOff>
        </xdr:from>
        <xdr:to>
          <xdr:col>35</xdr:col>
          <xdr:colOff>0</xdr:colOff>
          <xdr:row>6</xdr:row>
          <xdr:rowOff>0</xdr:rowOff>
        </xdr:to>
        <xdr:sp macro="" textlink="">
          <xdr:nvSpPr>
            <xdr:cNvPr id="16397" name="Button 13" hidden="1">
              <a:extLst>
                <a:ext uri="{63B3BB69-23CF-44E3-9099-C40C66FF867C}">
                  <a14:compatExt spid="_x0000_s163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Elo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5</xdr:row>
          <xdr:rowOff>123825</xdr:rowOff>
        </xdr:to>
        <xdr:sp macro="" textlink="">
          <xdr:nvSpPr>
            <xdr:cNvPr id="16398" name="Button 14" hidden="1">
              <a:extLst>
                <a:ext uri="{63B3BB69-23CF-44E3-9099-C40C66FF867C}">
                  <a14:compatExt spid="_x0000_s163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Taulukko-yhteenveto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142875</xdr:rowOff>
        </xdr:from>
        <xdr:to>
          <xdr:col>35</xdr:col>
          <xdr:colOff>0</xdr:colOff>
          <xdr:row>12</xdr:row>
          <xdr:rowOff>19050</xdr:rowOff>
        </xdr:to>
        <xdr:sp macro="" textlink="">
          <xdr:nvSpPr>
            <xdr:cNvPr id="16399" name="Button 15" hidden="1">
              <a:extLst>
                <a:ext uri="{63B3BB69-23CF-44E3-9099-C40C66FF867C}">
                  <a14:compatExt spid="_x0000_s163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Yhteen-sä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152400</xdr:rowOff>
        </xdr:from>
        <xdr:to>
          <xdr:col>35</xdr:col>
          <xdr:colOff>0</xdr:colOff>
          <xdr:row>12</xdr:row>
          <xdr:rowOff>0</xdr:rowOff>
        </xdr:to>
        <xdr:sp macro="" textlink="">
          <xdr:nvSpPr>
            <xdr:cNvPr id="16400" name="Button 16" hidden="1">
              <a:extLst>
                <a:ext uri="{63B3BB69-23CF-44E3-9099-C40C66FF867C}">
                  <a14:compatExt spid="_x0000_s164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Vertailu edellis-vuoteen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142875</xdr:rowOff>
        </xdr:from>
        <xdr:to>
          <xdr:col>35</xdr:col>
          <xdr:colOff>0</xdr:colOff>
          <xdr:row>12</xdr:row>
          <xdr:rowOff>0</xdr:rowOff>
        </xdr:to>
        <xdr:sp macro="" textlink="">
          <xdr:nvSpPr>
            <xdr:cNvPr id="16401" name="Button 17" hidden="1">
              <a:extLst>
                <a:ext uri="{63B3BB69-23CF-44E3-9099-C40C66FF867C}">
                  <a14:compatExt spid="_x0000_s164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Käynnit tulosuun-nittain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152400</xdr:rowOff>
        </xdr:from>
        <xdr:to>
          <xdr:col>35</xdr:col>
          <xdr:colOff>0</xdr:colOff>
          <xdr:row>12</xdr:row>
          <xdr:rowOff>19050</xdr:rowOff>
        </xdr:to>
        <xdr:sp macro="" textlink="">
          <xdr:nvSpPr>
            <xdr:cNvPr id="16402" name="Button 18" hidden="1">
              <a:extLst>
                <a:ext uri="{63B3BB69-23CF-44E3-9099-C40C66FF867C}">
                  <a14:compatExt spid="_x0000_s164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Aikuiset lapset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152400</xdr:rowOff>
        </xdr:from>
        <xdr:to>
          <xdr:col>35</xdr:col>
          <xdr:colOff>0</xdr:colOff>
          <xdr:row>12</xdr:row>
          <xdr:rowOff>28575</xdr:rowOff>
        </xdr:to>
        <xdr:sp macro="" textlink="">
          <xdr:nvSpPr>
            <xdr:cNvPr id="16403" name="Button 19" hidden="1">
              <a:extLst>
                <a:ext uri="{63B3BB69-23CF-44E3-9099-C40C66FF867C}">
                  <a14:compatExt spid="_x0000_s164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Maksimi  minimi keskim.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12</xdr:row>
          <xdr:rowOff>19050</xdr:rowOff>
        </xdr:to>
        <xdr:sp macro="" textlink="">
          <xdr:nvSpPr>
            <xdr:cNvPr id="16404" name="Button 20" hidden="1">
              <a:extLst>
                <a:ext uri="{63B3BB69-23CF-44E3-9099-C40C66FF867C}">
                  <a14:compatExt spid="_x0000_s164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PALUU PÄÄ-   IKKUNAAN</a:t>
              </a:r>
            </a:p>
          </xdr:txBody>
        </xdr:sp>
        <xdr:clientData fPrintsWithSheet="0"/>
      </xdr:twoCellAnchor>
    </mc:Choice>
    <mc:Fallback/>
  </mc:AlternateContent>
</xdr:wsDr>
</file>

<file path=xl/drawings/drawing7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0.04831</cdr:y>
    </cdr:to>
    <cdr:sp macro="" textlink="">
      <cdr:nvSpPr>
        <cdr:cNvPr id="17409" name="Teksti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91837" y="-33103"/>
          <a:ext cx="1666913" cy="19095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27432" bIns="18288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800" b="0" i="0" u="none" strike="noStrike" baseline="0">
              <a:solidFill>
                <a:srgbClr val="000000"/>
              </a:solidFill>
              <a:latin typeface="MS Sans Serif"/>
            </a:rPr>
            <a:t>KORKEASAAREN ELÄINTARHA</a:t>
          </a:r>
        </a:p>
      </cdr:txBody>
    </cdr:sp>
  </cdr:relSizeAnchor>
  <cdr:relSizeAnchor xmlns:cdr="http://schemas.openxmlformats.org/drawingml/2006/chartDrawing">
    <cdr:from>
      <cdr:x>0.4069</cdr:x>
      <cdr:y>0.27823</cdr:y>
    </cdr:from>
    <cdr:to>
      <cdr:x>0.9988</cdr:x>
      <cdr:y>0.32775</cdr:y>
    </cdr:to>
    <cdr:sp macro="" textlink="">
      <cdr:nvSpPr>
        <cdr:cNvPr id="17410" name="Teksti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01603" y="1102967"/>
          <a:ext cx="434118" cy="1957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wrap="none" lIns="18288" tIns="18288" rIns="18288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800" b="0" i="0" u="none" strike="noStrike" baseline="0">
              <a:solidFill>
                <a:srgbClr val="000000"/>
              </a:solidFill>
              <a:latin typeface="MS Sans Serif"/>
            </a:rPr>
            <a:t>KÄYNNIT TULOSUUNNITTAIN</a:t>
          </a:r>
        </a:p>
      </cdr:txBody>
    </cdr:sp>
  </cdr:relSizeAnchor>
  <cdr:relSizeAnchor xmlns:cdr="http://schemas.openxmlformats.org/drawingml/2006/chartDrawing">
    <cdr:from>
      <cdr:x>0.37666</cdr:x>
      <cdr:y>0</cdr:y>
    </cdr:from>
    <cdr:to>
      <cdr:x>0.51958</cdr:x>
      <cdr:y>0.06758</cdr:y>
    </cdr:to>
    <cdr:sp macro="" textlink="Yht1!$A$1">
      <cdr:nvSpPr>
        <cdr:cNvPr id="17411" name="Teksti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79426" y="-63000"/>
          <a:ext cx="104820" cy="26714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fld id="{EE6E6807-4406-414F-B877-D785E01B2EBB}" type="TxLink">
            <a:rPr lang="fi-FI"/>
            <a:pPr/>
            <a:t> </a:t>
          </a:fld>
          <a:endParaRPr lang="fi-FI"/>
        </a:p>
      </cdr:txBody>
    </cdr:sp>
  </cdr:relSizeAnchor>
</c:userShapes>
</file>

<file path=xl/drawings/drawing75.xml><?xml version="1.0" encoding="utf-8"?>
<c:userShapes xmlns:c="http://schemas.openxmlformats.org/drawingml/2006/chart">
  <cdr:relSizeAnchor xmlns:cdr="http://schemas.openxmlformats.org/drawingml/2006/chartDrawing">
    <cdr:from>
      <cdr:x>0.19589</cdr:x>
      <cdr:y>0</cdr:y>
    </cdr:from>
    <cdr:to>
      <cdr:x>0.2246</cdr:x>
      <cdr:y>0.07485</cdr:y>
    </cdr:to>
    <cdr:sp macro="" textlink="">
      <cdr:nvSpPr>
        <cdr:cNvPr id="18433" name="Teksti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46845" y="-2035"/>
          <a:ext cx="21060" cy="19106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wrap="none" lIns="18288" tIns="18288" rIns="18288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600" b="0" i="0" u="none" strike="noStrike" baseline="0">
              <a:solidFill>
                <a:srgbClr val="000000"/>
              </a:solidFill>
              <a:latin typeface="MS Sans Serif"/>
            </a:rPr>
            <a:t>KORKEASAAREN ELÄINTARHA</a:t>
          </a:r>
        </a:p>
      </cdr:txBody>
    </cdr:sp>
  </cdr:relSizeAnchor>
  <cdr:relSizeAnchor xmlns:cdr="http://schemas.openxmlformats.org/drawingml/2006/chartDrawing">
    <cdr:from>
      <cdr:x>0.2953</cdr:x>
      <cdr:y>0.11035</cdr:y>
    </cdr:from>
    <cdr:to>
      <cdr:x>0.43822</cdr:x>
      <cdr:y>0.2148</cdr:y>
    </cdr:to>
    <cdr:sp macro="" textlink="Yht1!$A$1">
      <cdr:nvSpPr>
        <cdr:cNvPr id="18434" name="Teksti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19757" y="284872"/>
          <a:ext cx="104820" cy="26663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fld id="{54461353-43B0-4E41-9265-B8BB82B72273}" type="TxLink">
            <a:rPr lang="fi-FI"/>
            <a:pPr/>
            <a:t> </a:t>
          </a:fld>
          <a:endParaRPr lang="fi-FI"/>
        </a:p>
      </cdr:txBody>
    </cdr:sp>
  </cdr:relSizeAnchor>
  <cdr:relSizeAnchor xmlns:cdr="http://schemas.openxmlformats.org/drawingml/2006/chartDrawing">
    <cdr:from>
      <cdr:x>0.26833</cdr:x>
      <cdr:y>0</cdr:y>
    </cdr:from>
    <cdr:to>
      <cdr:x>0.6675</cdr:x>
      <cdr:y>0.06859</cdr:y>
    </cdr:to>
    <cdr:sp macro="" textlink="">
      <cdr:nvSpPr>
        <cdr:cNvPr id="18435" name="Teksti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99973" y="-10636"/>
          <a:ext cx="292763" cy="17509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wrap="none" lIns="9144" tIns="18288" rIns="9144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500" b="0" i="0" u="none" strike="noStrike" baseline="0">
              <a:solidFill>
                <a:srgbClr val="000000"/>
              </a:solidFill>
              <a:latin typeface="Small Fonts"/>
            </a:rPr>
            <a:t>KUUKAUDEN PÄIVITTÄISET MAKSIMI-, MINIMI- JA KESKIMÄÄRÄISET KÄVIJÄMÄÄRÄT</a:t>
          </a:r>
        </a:p>
      </cdr:txBody>
    </cdr:sp>
  </cdr:relSizeAnchor>
</c:userShapes>
</file>

<file path=xl/drawings/drawing76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0</xdr:colOff>
      <xdr:row>11</xdr:row>
      <xdr:rowOff>19050</xdr:rowOff>
    </xdr:from>
    <xdr:to>
      <xdr:col>36</xdr:col>
      <xdr:colOff>0</xdr:colOff>
      <xdr:row>35</xdr:row>
      <xdr:rowOff>0</xdr:rowOff>
    </xdr:to>
    <xdr:graphicFrame macro="">
      <xdr:nvGraphicFramePr>
        <xdr:cNvPr id="25621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36</xdr:col>
      <xdr:colOff>0</xdr:colOff>
      <xdr:row>27</xdr:row>
      <xdr:rowOff>66675</xdr:rowOff>
    </xdr:from>
    <xdr:to>
      <xdr:col>36</xdr:col>
      <xdr:colOff>0</xdr:colOff>
      <xdr:row>40</xdr:row>
      <xdr:rowOff>57150</xdr:rowOff>
    </xdr:to>
    <xdr:graphicFrame macro="">
      <xdr:nvGraphicFramePr>
        <xdr:cNvPr id="25622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  <xdr:twoCellAnchor>
    <xdr:from>
      <xdr:col>36</xdr:col>
      <xdr:colOff>0</xdr:colOff>
      <xdr:row>41</xdr:row>
      <xdr:rowOff>0</xdr:rowOff>
    </xdr:from>
    <xdr:to>
      <xdr:col>36</xdr:col>
      <xdr:colOff>0</xdr:colOff>
      <xdr:row>46</xdr:row>
      <xdr:rowOff>142875</xdr:rowOff>
    </xdr:to>
    <xdr:graphicFrame macro="">
      <xdr:nvGraphicFramePr>
        <xdr:cNvPr id="25623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9525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25601" name="Button 1" hidden="1">
              <a:extLst>
                <a:ext uri="{63B3BB69-23CF-44E3-9099-C40C66FF867C}">
                  <a14:compatExt spid="_x0000_s256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Tammi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25602" name="Button 2" hidden="1">
              <a:extLst>
                <a:ext uri="{63B3BB69-23CF-44E3-9099-C40C66FF867C}">
                  <a14:compatExt spid="_x0000_s256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Tammi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25603" name="Button 3" hidden="1">
              <a:extLst>
                <a:ext uri="{63B3BB69-23CF-44E3-9099-C40C66FF867C}">
                  <a14:compatExt spid="_x0000_s256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Maalis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25604" name="Button 4" hidden="1">
              <a:extLst>
                <a:ext uri="{63B3BB69-23CF-44E3-9099-C40C66FF867C}">
                  <a14:compatExt spid="_x0000_s256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Huhti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25605" name="Button 5" hidden="1">
              <a:extLst>
                <a:ext uri="{63B3BB69-23CF-44E3-9099-C40C66FF867C}">
                  <a14:compatExt spid="_x0000_s256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Touko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25606" name="Button 6" hidden="1">
              <a:extLst>
                <a:ext uri="{63B3BB69-23CF-44E3-9099-C40C66FF867C}">
                  <a14:compatExt spid="_x0000_s256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Kesä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9525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25607" name="Button 7" hidden="1">
              <a:extLst>
                <a:ext uri="{63B3BB69-23CF-44E3-9099-C40C66FF867C}">
                  <a14:compatExt spid="_x0000_s256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Helmi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25608" name="Button 8" hidden="1">
              <a:extLst>
                <a:ext uri="{63B3BB69-23CF-44E3-9099-C40C66FF867C}">
                  <a14:compatExt spid="_x0000_s256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Heinä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25609" name="Button 9" hidden="1">
              <a:extLst>
                <a:ext uri="{63B3BB69-23CF-44E3-9099-C40C66FF867C}">
                  <a14:compatExt spid="_x0000_s256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Syys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25610" name="Button 10" hidden="1">
              <a:extLst>
                <a:ext uri="{63B3BB69-23CF-44E3-9099-C40C66FF867C}">
                  <a14:compatExt spid="_x0000_s256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Loka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25611" name="Button 11" hidden="1">
              <a:extLst>
                <a:ext uri="{63B3BB69-23CF-44E3-9099-C40C66FF867C}">
                  <a14:compatExt spid="_x0000_s256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Marras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25612" name="Button 12" hidden="1">
              <a:extLst>
                <a:ext uri="{63B3BB69-23CF-44E3-9099-C40C66FF867C}">
                  <a14:compatExt spid="_x0000_s256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Joulu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0</xdr:rowOff>
        </xdr:from>
        <xdr:to>
          <xdr:col>35</xdr:col>
          <xdr:colOff>0</xdr:colOff>
          <xdr:row>6</xdr:row>
          <xdr:rowOff>0</xdr:rowOff>
        </xdr:to>
        <xdr:sp macro="" textlink="">
          <xdr:nvSpPr>
            <xdr:cNvPr id="25613" name="Button 13" hidden="1">
              <a:extLst>
                <a:ext uri="{63B3BB69-23CF-44E3-9099-C40C66FF867C}">
                  <a14:compatExt spid="_x0000_s256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Elo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5</xdr:row>
          <xdr:rowOff>123825</xdr:rowOff>
        </xdr:to>
        <xdr:sp macro="" textlink="">
          <xdr:nvSpPr>
            <xdr:cNvPr id="25614" name="Button 14" hidden="1">
              <a:extLst>
                <a:ext uri="{63B3BB69-23CF-44E3-9099-C40C66FF867C}">
                  <a14:compatExt spid="_x0000_s256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Taulukko-yhteenveto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142875</xdr:rowOff>
        </xdr:from>
        <xdr:to>
          <xdr:col>35</xdr:col>
          <xdr:colOff>0</xdr:colOff>
          <xdr:row>12</xdr:row>
          <xdr:rowOff>19050</xdr:rowOff>
        </xdr:to>
        <xdr:sp macro="" textlink="">
          <xdr:nvSpPr>
            <xdr:cNvPr id="25615" name="Button 15" hidden="1">
              <a:extLst>
                <a:ext uri="{63B3BB69-23CF-44E3-9099-C40C66FF867C}">
                  <a14:compatExt spid="_x0000_s256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Yhteen-sä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152400</xdr:rowOff>
        </xdr:from>
        <xdr:to>
          <xdr:col>35</xdr:col>
          <xdr:colOff>0</xdr:colOff>
          <xdr:row>12</xdr:row>
          <xdr:rowOff>0</xdr:rowOff>
        </xdr:to>
        <xdr:sp macro="" textlink="">
          <xdr:nvSpPr>
            <xdr:cNvPr id="25616" name="Button 16" hidden="1">
              <a:extLst>
                <a:ext uri="{63B3BB69-23CF-44E3-9099-C40C66FF867C}">
                  <a14:compatExt spid="_x0000_s256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Vertailu edellis-vuoteen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142875</xdr:rowOff>
        </xdr:from>
        <xdr:to>
          <xdr:col>35</xdr:col>
          <xdr:colOff>0</xdr:colOff>
          <xdr:row>12</xdr:row>
          <xdr:rowOff>0</xdr:rowOff>
        </xdr:to>
        <xdr:sp macro="" textlink="">
          <xdr:nvSpPr>
            <xdr:cNvPr id="25617" name="Button 17" hidden="1">
              <a:extLst>
                <a:ext uri="{63B3BB69-23CF-44E3-9099-C40C66FF867C}">
                  <a14:compatExt spid="_x0000_s256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Käynnit tulosuun-nittain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152400</xdr:rowOff>
        </xdr:from>
        <xdr:to>
          <xdr:col>35</xdr:col>
          <xdr:colOff>0</xdr:colOff>
          <xdr:row>12</xdr:row>
          <xdr:rowOff>19050</xdr:rowOff>
        </xdr:to>
        <xdr:sp macro="" textlink="">
          <xdr:nvSpPr>
            <xdr:cNvPr id="25618" name="Button 18" hidden="1">
              <a:extLst>
                <a:ext uri="{63B3BB69-23CF-44E3-9099-C40C66FF867C}">
                  <a14:compatExt spid="_x0000_s256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Aikuiset lapset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152400</xdr:rowOff>
        </xdr:from>
        <xdr:to>
          <xdr:col>35</xdr:col>
          <xdr:colOff>0</xdr:colOff>
          <xdr:row>12</xdr:row>
          <xdr:rowOff>28575</xdr:rowOff>
        </xdr:to>
        <xdr:sp macro="" textlink="">
          <xdr:nvSpPr>
            <xdr:cNvPr id="25619" name="Button 19" hidden="1">
              <a:extLst>
                <a:ext uri="{63B3BB69-23CF-44E3-9099-C40C66FF867C}">
                  <a14:compatExt spid="_x0000_s256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Maksimi  minimi keskim.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12</xdr:row>
          <xdr:rowOff>19050</xdr:rowOff>
        </xdr:to>
        <xdr:sp macro="" textlink="">
          <xdr:nvSpPr>
            <xdr:cNvPr id="25620" name="Button 20" hidden="1">
              <a:extLst>
                <a:ext uri="{63B3BB69-23CF-44E3-9099-C40C66FF867C}">
                  <a14:compatExt spid="_x0000_s256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PALUU PÄÄ-   IKKUNAAN</a:t>
              </a:r>
            </a:p>
          </xdr:txBody>
        </xdr:sp>
        <xdr:clientData fPrintsWithSheet="0"/>
      </xdr:twoCellAnchor>
    </mc:Choice>
    <mc:Fallback/>
  </mc:AlternateContent>
</xdr:wsDr>
</file>

<file path=xl/drawings/drawing77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0.04831</cdr:y>
    </cdr:to>
    <cdr:sp macro="" textlink="">
      <cdr:nvSpPr>
        <cdr:cNvPr id="26625" name="Teksti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91837" y="-33103"/>
          <a:ext cx="1666913" cy="19095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27432" bIns="18288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800" b="0" i="0" u="none" strike="noStrike" baseline="0">
              <a:solidFill>
                <a:srgbClr val="000000"/>
              </a:solidFill>
              <a:latin typeface="MS Sans Serif"/>
            </a:rPr>
            <a:t>KORKEASAAREN ELÄINTARHA</a:t>
          </a:r>
        </a:p>
      </cdr:txBody>
    </cdr:sp>
  </cdr:relSizeAnchor>
  <cdr:relSizeAnchor xmlns:cdr="http://schemas.openxmlformats.org/drawingml/2006/chartDrawing">
    <cdr:from>
      <cdr:x>0.4069</cdr:x>
      <cdr:y>0.27823</cdr:y>
    </cdr:from>
    <cdr:to>
      <cdr:x>0.9988</cdr:x>
      <cdr:y>0.32775</cdr:y>
    </cdr:to>
    <cdr:sp macro="" textlink="">
      <cdr:nvSpPr>
        <cdr:cNvPr id="26626" name="Teksti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01603" y="1102967"/>
          <a:ext cx="434118" cy="1957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wrap="none" lIns="18288" tIns="18288" rIns="18288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800" b="0" i="0" u="none" strike="noStrike" baseline="0">
              <a:solidFill>
                <a:srgbClr val="000000"/>
              </a:solidFill>
              <a:latin typeface="MS Sans Serif"/>
            </a:rPr>
            <a:t>KÄYNNIT TULOSUUNNITTAIN</a:t>
          </a:r>
        </a:p>
      </cdr:txBody>
    </cdr:sp>
  </cdr:relSizeAnchor>
  <cdr:relSizeAnchor xmlns:cdr="http://schemas.openxmlformats.org/drawingml/2006/chartDrawing">
    <cdr:from>
      <cdr:x>0.37666</cdr:x>
      <cdr:y>0</cdr:y>
    </cdr:from>
    <cdr:to>
      <cdr:x>0.51958</cdr:x>
      <cdr:y>0.06758</cdr:y>
    </cdr:to>
    <cdr:sp macro="" textlink="Yht2!$A$1">
      <cdr:nvSpPr>
        <cdr:cNvPr id="26627" name="Teksti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79426" y="-63000"/>
          <a:ext cx="104820" cy="26714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fld id="{431EB7BE-53C2-483C-8B20-321780430395}" type="TxLink">
            <a:rPr lang="fi-FI"/>
            <a:pPr/>
            <a:t> </a:t>
          </a:fld>
          <a:endParaRPr lang="fi-FI"/>
        </a:p>
      </cdr:txBody>
    </cdr:sp>
  </cdr:relSizeAnchor>
</c:userShapes>
</file>

<file path=xl/drawings/drawing78.xml><?xml version="1.0" encoding="utf-8"?>
<c:userShapes xmlns:c="http://schemas.openxmlformats.org/drawingml/2006/chart">
  <cdr:relSizeAnchor xmlns:cdr="http://schemas.openxmlformats.org/drawingml/2006/chartDrawing">
    <cdr:from>
      <cdr:x>0.19328</cdr:x>
      <cdr:y>0</cdr:y>
    </cdr:from>
    <cdr:to>
      <cdr:x>0.21612</cdr:x>
      <cdr:y>0.07461</cdr:y>
    </cdr:to>
    <cdr:sp macro="" textlink="">
      <cdr:nvSpPr>
        <cdr:cNvPr id="27649" name="Teksti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44931" y="-1421"/>
          <a:ext cx="16752" cy="19045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wrap="none" lIns="18288" tIns="18288" rIns="18288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600" b="0" i="0" u="none" strike="noStrike" baseline="0">
              <a:solidFill>
                <a:srgbClr val="000000"/>
              </a:solidFill>
              <a:latin typeface="MS Sans Serif"/>
            </a:rPr>
            <a:t>KORKEASAAREN ELÄINTARHA</a:t>
          </a:r>
        </a:p>
      </cdr:txBody>
    </cdr:sp>
  </cdr:relSizeAnchor>
  <cdr:relSizeAnchor xmlns:cdr="http://schemas.openxmlformats.org/drawingml/2006/chartDrawing">
    <cdr:from>
      <cdr:x>0.27094</cdr:x>
      <cdr:y>0.11107</cdr:y>
    </cdr:from>
    <cdr:to>
      <cdr:x>0.41386</cdr:x>
      <cdr:y>0.21553</cdr:y>
    </cdr:to>
    <cdr:sp macro="" textlink="Yht2!$A$1">
      <cdr:nvSpPr>
        <cdr:cNvPr id="27650" name="Teksti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01888" y="286715"/>
          <a:ext cx="104820" cy="26663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fld id="{13C1374F-5B4D-4051-AA24-916759198086}" type="TxLink">
            <a:rPr lang="fi-FI"/>
            <a:pPr/>
            <a:t> </a:t>
          </a:fld>
          <a:endParaRPr lang="fi-FI"/>
        </a:p>
      </cdr:txBody>
    </cdr:sp>
  </cdr:relSizeAnchor>
  <cdr:relSizeAnchor xmlns:cdr="http://schemas.openxmlformats.org/drawingml/2006/chartDrawing">
    <cdr:from>
      <cdr:x>0.25114</cdr:x>
      <cdr:y>0</cdr:y>
    </cdr:from>
    <cdr:to>
      <cdr:x>0.65641</cdr:x>
      <cdr:y>0.06787</cdr:y>
    </cdr:to>
    <cdr:sp macro="" textlink="">
      <cdr:nvSpPr>
        <cdr:cNvPr id="27651" name="Teksti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87369" y="-8793"/>
          <a:ext cx="297230" cy="1732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wrap="none" lIns="9144" tIns="18288" rIns="9144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500" b="0" i="0" u="none" strike="noStrike" baseline="0">
              <a:solidFill>
                <a:srgbClr val="000000"/>
              </a:solidFill>
              <a:latin typeface="Small Fonts"/>
            </a:rPr>
            <a:t>KUUKAUDEN PÄIVITTÄISET MAKSIMI-, MINIMI- JA KESKIMÄÄRÄISET KÄVIJÄMÄÄRÄT</a:t>
          </a:r>
        </a:p>
      </cdr:txBody>
    </cdr:sp>
  </cdr:relSizeAnchor>
</c:userShapes>
</file>

<file path=xl/drawings/drawing79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0</xdr:colOff>
      <xdr:row>11</xdr:row>
      <xdr:rowOff>19050</xdr:rowOff>
    </xdr:from>
    <xdr:to>
      <xdr:col>36</xdr:col>
      <xdr:colOff>0</xdr:colOff>
      <xdr:row>35</xdr:row>
      <xdr:rowOff>0</xdr:rowOff>
    </xdr:to>
    <xdr:graphicFrame macro="">
      <xdr:nvGraphicFramePr>
        <xdr:cNvPr id="3483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36</xdr:col>
      <xdr:colOff>0</xdr:colOff>
      <xdr:row>27</xdr:row>
      <xdr:rowOff>66675</xdr:rowOff>
    </xdr:from>
    <xdr:to>
      <xdr:col>36</xdr:col>
      <xdr:colOff>0</xdr:colOff>
      <xdr:row>40</xdr:row>
      <xdr:rowOff>57150</xdr:rowOff>
    </xdr:to>
    <xdr:graphicFrame macro="">
      <xdr:nvGraphicFramePr>
        <xdr:cNvPr id="34838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  <xdr:twoCellAnchor>
    <xdr:from>
      <xdr:col>36</xdr:col>
      <xdr:colOff>0</xdr:colOff>
      <xdr:row>41</xdr:row>
      <xdr:rowOff>0</xdr:rowOff>
    </xdr:from>
    <xdr:to>
      <xdr:col>36</xdr:col>
      <xdr:colOff>0</xdr:colOff>
      <xdr:row>46</xdr:row>
      <xdr:rowOff>142875</xdr:rowOff>
    </xdr:to>
    <xdr:graphicFrame macro="">
      <xdr:nvGraphicFramePr>
        <xdr:cNvPr id="34839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9525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34817" name="Button 1" hidden="1">
              <a:extLst>
                <a:ext uri="{63B3BB69-23CF-44E3-9099-C40C66FF867C}">
                  <a14:compatExt spid="_x0000_s348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Tammi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34818" name="Button 2" hidden="1">
              <a:extLst>
                <a:ext uri="{63B3BB69-23CF-44E3-9099-C40C66FF867C}">
                  <a14:compatExt spid="_x0000_s348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Tammi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34819" name="Button 3" hidden="1">
              <a:extLst>
                <a:ext uri="{63B3BB69-23CF-44E3-9099-C40C66FF867C}">
                  <a14:compatExt spid="_x0000_s348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Maalis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34820" name="Button 4" hidden="1">
              <a:extLst>
                <a:ext uri="{63B3BB69-23CF-44E3-9099-C40C66FF867C}">
                  <a14:compatExt spid="_x0000_s348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Huhti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34821" name="Button 5" hidden="1">
              <a:extLst>
                <a:ext uri="{63B3BB69-23CF-44E3-9099-C40C66FF867C}">
                  <a14:compatExt spid="_x0000_s348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Touko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34822" name="Button 6" hidden="1">
              <a:extLst>
                <a:ext uri="{63B3BB69-23CF-44E3-9099-C40C66FF867C}">
                  <a14:compatExt spid="_x0000_s348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Kesä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9525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34823" name="Button 7" hidden="1">
              <a:extLst>
                <a:ext uri="{63B3BB69-23CF-44E3-9099-C40C66FF867C}">
                  <a14:compatExt spid="_x0000_s348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Helmi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34824" name="Button 8" hidden="1">
              <a:extLst>
                <a:ext uri="{63B3BB69-23CF-44E3-9099-C40C66FF867C}">
                  <a14:compatExt spid="_x0000_s348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Heinä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34825" name="Button 9" hidden="1">
              <a:extLst>
                <a:ext uri="{63B3BB69-23CF-44E3-9099-C40C66FF867C}">
                  <a14:compatExt spid="_x0000_s348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Syys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34826" name="Button 10" hidden="1">
              <a:extLst>
                <a:ext uri="{63B3BB69-23CF-44E3-9099-C40C66FF867C}">
                  <a14:compatExt spid="_x0000_s348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Loka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34827" name="Button 11" hidden="1">
              <a:extLst>
                <a:ext uri="{63B3BB69-23CF-44E3-9099-C40C66FF867C}">
                  <a14:compatExt spid="_x0000_s348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Marras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34828" name="Button 12" hidden="1">
              <a:extLst>
                <a:ext uri="{63B3BB69-23CF-44E3-9099-C40C66FF867C}">
                  <a14:compatExt spid="_x0000_s348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Joulu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0</xdr:rowOff>
        </xdr:from>
        <xdr:to>
          <xdr:col>35</xdr:col>
          <xdr:colOff>0</xdr:colOff>
          <xdr:row>6</xdr:row>
          <xdr:rowOff>0</xdr:rowOff>
        </xdr:to>
        <xdr:sp macro="" textlink="">
          <xdr:nvSpPr>
            <xdr:cNvPr id="34829" name="Button 13" hidden="1">
              <a:extLst>
                <a:ext uri="{63B3BB69-23CF-44E3-9099-C40C66FF867C}">
                  <a14:compatExt spid="_x0000_s348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Elo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5</xdr:row>
          <xdr:rowOff>123825</xdr:rowOff>
        </xdr:to>
        <xdr:sp macro="" textlink="">
          <xdr:nvSpPr>
            <xdr:cNvPr id="34830" name="Button 14" hidden="1">
              <a:extLst>
                <a:ext uri="{63B3BB69-23CF-44E3-9099-C40C66FF867C}">
                  <a14:compatExt spid="_x0000_s348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Taulukko-yhteenveto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142875</xdr:rowOff>
        </xdr:from>
        <xdr:to>
          <xdr:col>35</xdr:col>
          <xdr:colOff>0</xdr:colOff>
          <xdr:row>12</xdr:row>
          <xdr:rowOff>19050</xdr:rowOff>
        </xdr:to>
        <xdr:sp macro="" textlink="">
          <xdr:nvSpPr>
            <xdr:cNvPr id="34831" name="Button 15" hidden="1">
              <a:extLst>
                <a:ext uri="{63B3BB69-23CF-44E3-9099-C40C66FF867C}">
                  <a14:compatExt spid="_x0000_s348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Yhteen-sä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152400</xdr:rowOff>
        </xdr:from>
        <xdr:to>
          <xdr:col>35</xdr:col>
          <xdr:colOff>0</xdr:colOff>
          <xdr:row>12</xdr:row>
          <xdr:rowOff>0</xdr:rowOff>
        </xdr:to>
        <xdr:sp macro="" textlink="">
          <xdr:nvSpPr>
            <xdr:cNvPr id="34832" name="Button 16" hidden="1">
              <a:extLst>
                <a:ext uri="{63B3BB69-23CF-44E3-9099-C40C66FF867C}">
                  <a14:compatExt spid="_x0000_s348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Vertailu edellis-vuoteen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142875</xdr:rowOff>
        </xdr:from>
        <xdr:to>
          <xdr:col>35</xdr:col>
          <xdr:colOff>0</xdr:colOff>
          <xdr:row>12</xdr:row>
          <xdr:rowOff>0</xdr:rowOff>
        </xdr:to>
        <xdr:sp macro="" textlink="">
          <xdr:nvSpPr>
            <xdr:cNvPr id="34833" name="Button 17" hidden="1">
              <a:extLst>
                <a:ext uri="{63B3BB69-23CF-44E3-9099-C40C66FF867C}">
                  <a14:compatExt spid="_x0000_s348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Käynnit tulosuun-nittain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152400</xdr:rowOff>
        </xdr:from>
        <xdr:to>
          <xdr:col>35</xdr:col>
          <xdr:colOff>0</xdr:colOff>
          <xdr:row>12</xdr:row>
          <xdr:rowOff>19050</xdr:rowOff>
        </xdr:to>
        <xdr:sp macro="" textlink="">
          <xdr:nvSpPr>
            <xdr:cNvPr id="34834" name="Button 18" hidden="1">
              <a:extLst>
                <a:ext uri="{63B3BB69-23CF-44E3-9099-C40C66FF867C}">
                  <a14:compatExt spid="_x0000_s348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Aikuiset lapset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152400</xdr:rowOff>
        </xdr:from>
        <xdr:to>
          <xdr:col>35</xdr:col>
          <xdr:colOff>0</xdr:colOff>
          <xdr:row>12</xdr:row>
          <xdr:rowOff>28575</xdr:rowOff>
        </xdr:to>
        <xdr:sp macro="" textlink="">
          <xdr:nvSpPr>
            <xdr:cNvPr id="34835" name="Button 19" hidden="1">
              <a:extLst>
                <a:ext uri="{63B3BB69-23CF-44E3-9099-C40C66FF867C}">
                  <a14:compatExt spid="_x0000_s348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Maksimi  minimi keskim.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12</xdr:row>
          <xdr:rowOff>19050</xdr:rowOff>
        </xdr:to>
        <xdr:sp macro="" textlink="">
          <xdr:nvSpPr>
            <xdr:cNvPr id="34836" name="Button 20" hidden="1">
              <a:extLst>
                <a:ext uri="{63B3BB69-23CF-44E3-9099-C40C66FF867C}">
                  <a14:compatExt spid="_x0000_s348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PALUU PÄÄ-   IKKUNAAN</a:t>
              </a:r>
            </a:p>
          </xdr:txBody>
        </xdr:sp>
        <xdr:clientData fPrintsWithSheet="0"/>
      </xdr:twoCellAnchor>
    </mc:Choice>
    <mc:Fallback/>
  </mc:AlternateContent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0.04831</cdr:y>
    </cdr:to>
    <cdr:sp macro="" textlink="">
      <cdr:nvSpPr>
        <cdr:cNvPr id="29697" name="Teksti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91837" y="-41783"/>
          <a:ext cx="1666913" cy="19095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27432" bIns="18288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800" b="0" i="0" u="none" strike="noStrike" baseline="0">
              <a:solidFill>
                <a:srgbClr val="000000"/>
              </a:solidFill>
              <a:latin typeface="MS Sans Serif"/>
            </a:rPr>
            <a:t>KORKEASAAREN ELÄINTARHA</a:t>
          </a:r>
        </a:p>
      </cdr:txBody>
    </cdr:sp>
  </cdr:relSizeAnchor>
  <cdr:relSizeAnchor xmlns:cdr="http://schemas.openxmlformats.org/drawingml/2006/chartDrawing">
    <cdr:from>
      <cdr:x>0.4069</cdr:x>
      <cdr:y>0.27993</cdr:y>
    </cdr:from>
    <cdr:to>
      <cdr:x>0.9988</cdr:x>
      <cdr:y>0.32946</cdr:y>
    </cdr:to>
    <cdr:sp macro="" textlink="">
      <cdr:nvSpPr>
        <cdr:cNvPr id="29698" name="Teksti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01603" y="1109718"/>
          <a:ext cx="434118" cy="1957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wrap="none" lIns="18288" tIns="18288" rIns="18288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800" b="0" i="0" u="none" strike="noStrike" baseline="0">
              <a:solidFill>
                <a:srgbClr val="000000"/>
              </a:solidFill>
              <a:latin typeface="MS Sans Serif"/>
            </a:rPr>
            <a:t>KÄYNNIT TULOSUUNNITTAIN</a:t>
          </a:r>
        </a:p>
      </cdr:txBody>
    </cdr:sp>
  </cdr:relSizeAnchor>
  <cdr:relSizeAnchor xmlns:cdr="http://schemas.openxmlformats.org/drawingml/2006/chartDrawing">
    <cdr:from>
      <cdr:x>0.37666</cdr:x>
      <cdr:y>0</cdr:y>
    </cdr:from>
    <cdr:to>
      <cdr:x>0.51958</cdr:x>
      <cdr:y>0.06758</cdr:y>
    </cdr:to>
    <cdr:sp macro="" textlink="'N3'!$A$1">
      <cdr:nvSpPr>
        <cdr:cNvPr id="29699" name="Teksti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79426" y="-63000"/>
          <a:ext cx="104820" cy="26714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fld id="{3D0148BE-AF7F-45A0-A35B-48207A5415AB}" type="TxLink">
            <a:rPr lang="fi-FI"/>
            <a:pPr/>
            <a:t> </a:t>
          </a:fld>
          <a:endParaRPr lang="fi-FI"/>
        </a:p>
      </cdr:txBody>
    </cdr:sp>
  </cdr:relSizeAnchor>
</c:userShapes>
</file>

<file path=xl/drawings/drawing8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0.04831</cdr:y>
    </cdr:to>
    <cdr:sp macro="" textlink="">
      <cdr:nvSpPr>
        <cdr:cNvPr id="35841" name="Teksti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91837" y="-34068"/>
          <a:ext cx="1666913" cy="19095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27432" bIns="18288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800" b="0" i="0" u="none" strike="noStrike" baseline="0">
              <a:solidFill>
                <a:srgbClr val="000000"/>
              </a:solidFill>
              <a:latin typeface="MS Sans Serif"/>
            </a:rPr>
            <a:t>KORKEASAAREN ELÄINTARHA</a:t>
          </a:r>
        </a:p>
      </cdr:txBody>
    </cdr:sp>
  </cdr:relSizeAnchor>
  <cdr:relSizeAnchor xmlns:cdr="http://schemas.openxmlformats.org/drawingml/2006/chartDrawing">
    <cdr:from>
      <cdr:x>0.4069</cdr:x>
      <cdr:y>0.27749</cdr:y>
    </cdr:from>
    <cdr:to>
      <cdr:x>0.9988</cdr:x>
      <cdr:y>0.32702</cdr:y>
    </cdr:to>
    <cdr:sp macro="" textlink="">
      <cdr:nvSpPr>
        <cdr:cNvPr id="35842" name="Teksti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01603" y="1100074"/>
          <a:ext cx="434118" cy="19577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wrap="none" lIns="18288" tIns="18288" rIns="18288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800" b="0" i="0" u="none" strike="noStrike" baseline="0">
              <a:solidFill>
                <a:srgbClr val="000000"/>
              </a:solidFill>
              <a:latin typeface="MS Sans Serif"/>
            </a:rPr>
            <a:t>KÄYNNIT TULOSUUNNITTAIN</a:t>
          </a:r>
        </a:p>
      </cdr:txBody>
    </cdr:sp>
  </cdr:relSizeAnchor>
  <cdr:relSizeAnchor xmlns:cdr="http://schemas.openxmlformats.org/drawingml/2006/chartDrawing">
    <cdr:from>
      <cdr:x>0.37666</cdr:x>
      <cdr:y>0</cdr:y>
    </cdr:from>
    <cdr:to>
      <cdr:x>0.51958</cdr:x>
      <cdr:y>0.06758</cdr:y>
    </cdr:to>
    <cdr:sp macro="" textlink="Yht3!$A$1">
      <cdr:nvSpPr>
        <cdr:cNvPr id="35843" name="Teksti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79426" y="-60107"/>
          <a:ext cx="104820" cy="26714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fld id="{2515ED56-A648-4E72-AE29-49BE6A924922}" type="TxLink">
            <a:rPr lang="fi-FI"/>
            <a:pPr/>
            <a:t> </a:t>
          </a:fld>
          <a:endParaRPr lang="fi-FI"/>
        </a:p>
      </cdr:txBody>
    </cdr:sp>
  </cdr:relSizeAnchor>
</c:userShapes>
</file>

<file path=xl/drawings/drawing81.xml><?xml version="1.0" encoding="utf-8"?>
<c:userShapes xmlns:c="http://schemas.openxmlformats.org/drawingml/2006/chart">
  <cdr:relSizeAnchor xmlns:cdr="http://schemas.openxmlformats.org/drawingml/2006/chartDrawing">
    <cdr:from>
      <cdr:x>0.19328</cdr:x>
      <cdr:y>0</cdr:y>
    </cdr:from>
    <cdr:to>
      <cdr:x>0.2159</cdr:x>
      <cdr:y>0.08014</cdr:y>
    </cdr:to>
    <cdr:sp macro="" textlink="">
      <cdr:nvSpPr>
        <cdr:cNvPr id="36865" name="Teksti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44931" y="-5721"/>
          <a:ext cx="16592" cy="20458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wrap="none" lIns="18288" tIns="18288" rIns="18288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600" b="0" i="0" u="none" strike="noStrike" baseline="0">
              <a:solidFill>
                <a:srgbClr val="000000"/>
              </a:solidFill>
              <a:latin typeface="MS Sans Serif"/>
            </a:rPr>
            <a:t>KORKEASAAREN ELÄINTARHA</a:t>
          </a:r>
        </a:p>
      </cdr:txBody>
    </cdr:sp>
  </cdr:relSizeAnchor>
  <cdr:relSizeAnchor xmlns:cdr="http://schemas.openxmlformats.org/drawingml/2006/chartDrawing">
    <cdr:from>
      <cdr:x>0.26833</cdr:x>
      <cdr:y>0.11468</cdr:y>
    </cdr:from>
    <cdr:to>
      <cdr:x>0.41125</cdr:x>
      <cdr:y>0.21914</cdr:y>
    </cdr:to>
    <cdr:sp macro="" textlink="Yht3!$A$1">
      <cdr:nvSpPr>
        <cdr:cNvPr id="36866" name="Teksti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99973" y="295931"/>
          <a:ext cx="104821" cy="26663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fld id="{3EA6BBAE-613A-4468-9FBE-8AA3D5AB7594}" type="TxLink">
            <a:rPr lang="fi-FI"/>
            <a:pPr/>
            <a:t> </a:t>
          </a:fld>
          <a:endParaRPr lang="fi-FI"/>
        </a:p>
      </cdr:txBody>
    </cdr:sp>
  </cdr:relSizeAnchor>
  <cdr:relSizeAnchor xmlns:cdr="http://schemas.openxmlformats.org/drawingml/2006/chartDrawing">
    <cdr:from>
      <cdr:x>0.25114</cdr:x>
      <cdr:y>0</cdr:y>
    </cdr:from>
    <cdr:to>
      <cdr:x>0.65641</cdr:x>
      <cdr:y>0.0734</cdr:y>
    </cdr:to>
    <cdr:sp macro="" textlink="">
      <cdr:nvSpPr>
        <cdr:cNvPr id="36867" name="Teksti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87369" y="-13708"/>
          <a:ext cx="297230" cy="18738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wrap="none" lIns="9144" tIns="18288" rIns="9144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500" b="0" i="0" u="none" strike="noStrike" baseline="0">
              <a:solidFill>
                <a:srgbClr val="000000"/>
              </a:solidFill>
              <a:latin typeface="Small Fonts"/>
            </a:rPr>
            <a:t>KUUKAUDEN PÄIVITTÄISET MAKSIMI-, MINIMI- JA KESKIMÄÄRÄISET KÄVIJÄMÄÄRÄT</a:t>
          </a:r>
        </a:p>
      </cdr:txBody>
    </cdr:sp>
  </cdr:relSizeAnchor>
</c:userShapes>
</file>

<file path=xl/drawings/drawing82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0</xdr:colOff>
      <xdr:row>11</xdr:row>
      <xdr:rowOff>19050</xdr:rowOff>
    </xdr:from>
    <xdr:to>
      <xdr:col>36</xdr:col>
      <xdr:colOff>0</xdr:colOff>
      <xdr:row>35</xdr:row>
      <xdr:rowOff>0</xdr:rowOff>
    </xdr:to>
    <xdr:graphicFrame macro="">
      <xdr:nvGraphicFramePr>
        <xdr:cNvPr id="5019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36</xdr:col>
      <xdr:colOff>0</xdr:colOff>
      <xdr:row>27</xdr:row>
      <xdr:rowOff>66675</xdr:rowOff>
    </xdr:from>
    <xdr:to>
      <xdr:col>36</xdr:col>
      <xdr:colOff>0</xdr:colOff>
      <xdr:row>40</xdr:row>
      <xdr:rowOff>57150</xdr:rowOff>
    </xdr:to>
    <xdr:graphicFrame macro="">
      <xdr:nvGraphicFramePr>
        <xdr:cNvPr id="50198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  <xdr:twoCellAnchor>
    <xdr:from>
      <xdr:col>36</xdr:col>
      <xdr:colOff>0</xdr:colOff>
      <xdr:row>41</xdr:row>
      <xdr:rowOff>0</xdr:rowOff>
    </xdr:from>
    <xdr:to>
      <xdr:col>36</xdr:col>
      <xdr:colOff>0</xdr:colOff>
      <xdr:row>46</xdr:row>
      <xdr:rowOff>142875</xdr:rowOff>
    </xdr:to>
    <xdr:graphicFrame macro="">
      <xdr:nvGraphicFramePr>
        <xdr:cNvPr id="50199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9525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50177" name="Button 1" hidden="1">
              <a:extLst>
                <a:ext uri="{63B3BB69-23CF-44E3-9099-C40C66FF867C}">
                  <a14:compatExt spid="_x0000_s501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Tammi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50178" name="Button 2" hidden="1">
              <a:extLst>
                <a:ext uri="{63B3BB69-23CF-44E3-9099-C40C66FF867C}">
                  <a14:compatExt spid="_x0000_s501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Tammi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50179" name="Button 3" hidden="1">
              <a:extLst>
                <a:ext uri="{63B3BB69-23CF-44E3-9099-C40C66FF867C}">
                  <a14:compatExt spid="_x0000_s501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Maalis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50180" name="Button 4" hidden="1">
              <a:extLst>
                <a:ext uri="{63B3BB69-23CF-44E3-9099-C40C66FF867C}">
                  <a14:compatExt spid="_x0000_s501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Huhti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50181" name="Button 5" hidden="1">
              <a:extLst>
                <a:ext uri="{63B3BB69-23CF-44E3-9099-C40C66FF867C}">
                  <a14:compatExt spid="_x0000_s501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Touko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50182" name="Button 6" hidden="1">
              <a:extLst>
                <a:ext uri="{63B3BB69-23CF-44E3-9099-C40C66FF867C}">
                  <a14:compatExt spid="_x0000_s501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Kesä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9525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50183" name="Button 7" hidden="1">
              <a:extLst>
                <a:ext uri="{63B3BB69-23CF-44E3-9099-C40C66FF867C}">
                  <a14:compatExt spid="_x0000_s501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Helmi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50184" name="Button 8" hidden="1">
              <a:extLst>
                <a:ext uri="{63B3BB69-23CF-44E3-9099-C40C66FF867C}">
                  <a14:compatExt spid="_x0000_s501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Heinä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50185" name="Button 9" hidden="1">
              <a:extLst>
                <a:ext uri="{63B3BB69-23CF-44E3-9099-C40C66FF867C}">
                  <a14:compatExt spid="_x0000_s501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Syys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50186" name="Button 10" hidden="1">
              <a:extLst>
                <a:ext uri="{63B3BB69-23CF-44E3-9099-C40C66FF867C}">
                  <a14:compatExt spid="_x0000_s501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Loka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50187" name="Button 11" hidden="1">
              <a:extLst>
                <a:ext uri="{63B3BB69-23CF-44E3-9099-C40C66FF867C}">
                  <a14:compatExt spid="_x0000_s501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Marras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50188" name="Button 12" hidden="1">
              <a:extLst>
                <a:ext uri="{63B3BB69-23CF-44E3-9099-C40C66FF867C}">
                  <a14:compatExt spid="_x0000_s501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Joulu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0</xdr:rowOff>
        </xdr:from>
        <xdr:to>
          <xdr:col>35</xdr:col>
          <xdr:colOff>0</xdr:colOff>
          <xdr:row>6</xdr:row>
          <xdr:rowOff>0</xdr:rowOff>
        </xdr:to>
        <xdr:sp macro="" textlink="">
          <xdr:nvSpPr>
            <xdr:cNvPr id="50189" name="Button 13" hidden="1">
              <a:extLst>
                <a:ext uri="{63B3BB69-23CF-44E3-9099-C40C66FF867C}">
                  <a14:compatExt spid="_x0000_s501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Elo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5</xdr:row>
          <xdr:rowOff>123825</xdr:rowOff>
        </xdr:to>
        <xdr:sp macro="" textlink="">
          <xdr:nvSpPr>
            <xdr:cNvPr id="50190" name="Button 14" hidden="1">
              <a:extLst>
                <a:ext uri="{63B3BB69-23CF-44E3-9099-C40C66FF867C}">
                  <a14:compatExt spid="_x0000_s501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Taulukko-yhteenveto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142875</xdr:rowOff>
        </xdr:from>
        <xdr:to>
          <xdr:col>35</xdr:col>
          <xdr:colOff>0</xdr:colOff>
          <xdr:row>12</xdr:row>
          <xdr:rowOff>19050</xdr:rowOff>
        </xdr:to>
        <xdr:sp macro="" textlink="">
          <xdr:nvSpPr>
            <xdr:cNvPr id="50191" name="Button 15" hidden="1">
              <a:extLst>
                <a:ext uri="{63B3BB69-23CF-44E3-9099-C40C66FF867C}">
                  <a14:compatExt spid="_x0000_s501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Yhteen-sä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152400</xdr:rowOff>
        </xdr:from>
        <xdr:to>
          <xdr:col>35</xdr:col>
          <xdr:colOff>0</xdr:colOff>
          <xdr:row>12</xdr:row>
          <xdr:rowOff>0</xdr:rowOff>
        </xdr:to>
        <xdr:sp macro="" textlink="">
          <xdr:nvSpPr>
            <xdr:cNvPr id="50192" name="Button 16" hidden="1">
              <a:extLst>
                <a:ext uri="{63B3BB69-23CF-44E3-9099-C40C66FF867C}">
                  <a14:compatExt spid="_x0000_s501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Vertailu edellis-vuoteen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142875</xdr:rowOff>
        </xdr:from>
        <xdr:to>
          <xdr:col>35</xdr:col>
          <xdr:colOff>0</xdr:colOff>
          <xdr:row>12</xdr:row>
          <xdr:rowOff>0</xdr:rowOff>
        </xdr:to>
        <xdr:sp macro="" textlink="">
          <xdr:nvSpPr>
            <xdr:cNvPr id="50193" name="Button 17" hidden="1">
              <a:extLst>
                <a:ext uri="{63B3BB69-23CF-44E3-9099-C40C66FF867C}">
                  <a14:compatExt spid="_x0000_s501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Käynnit tulosuun-nittain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152400</xdr:rowOff>
        </xdr:from>
        <xdr:to>
          <xdr:col>35</xdr:col>
          <xdr:colOff>0</xdr:colOff>
          <xdr:row>12</xdr:row>
          <xdr:rowOff>19050</xdr:rowOff>
        </xdr:to>
        <xdr:sp macro="" textlink="">
          <xdr:nvSpPr>
            <xdr:cNvPr id="50194" name="Button 18" hidden="1">
              <a:extLst>
                <a:ext uri="{63B3BB69-23CF-44E3-9099-C40C66FF867C}">
                  <a14:compatExt spid="_x0000_s501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Aikuiset lapset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152400</xdr:rowOff>
        </xdr:from>
        <xdr:to>
          <xdr:col>35</xdr:col>
          <xdr:colOff>0</xdr:colOff>
          <xdr:row>12</xdr:row>
          <xdr:rowOff>28575</xdr:rowOff>
        </xdr:to>
        <xdr:sp macro="" textlink="">
          <xdr:nvSpPr>
            <xdr:cNvPr id="50195" name="Button 19" hidden="1">
              <a:extLst>
                <a:ext uri="{63B3BB69-23CF-44E3-9099-C40C66FF867C}">
                  <a14:compatExt spid="_x0000_s501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Maksimi  minimi keskim.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12</xdr:row>
          <xdr:rowOff>19050</xdr:rowOff>
        </xdr:to>
        <xdr:sp macro="" textlink="">
          <xdr:nvSpPr>
            <xdr:cNvPr id="50196" name="Button 20" hidden="1">
              <a:extLst>
                <a:ext uri="{63B3BB69-23CF-44E3-9099-C40C66FF867C}">
                  <a14:compatExt spid="_x0000_s501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PALUU PÄÄ-   IKKUNAAN</a:t>
              </a:r>
            </a:p>
          </xdr:txBody>
        </xdr:sp>
        <xdr:clientData fPrintsWithSheet="0"/>
      </xdr:twoCellAnchor>
    </mc:Choice>
    <mc:Fallback/>
  </mc:AlternateContent>
</xdr:wsDr>
</file>

<file path=xl/drawings/drawing83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0.04831</cdr:y>
    </cdr:to>
    <cdr:sp macro="" textlink="">
      <cdr:nvSpPr>
        <cdr:cNvPr id="51201" name="Teksti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91837" y="-33103"/>
          <a:ext cx="1666913" cy="19095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27432" bIns="18288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800" b="0" i="0" u="none" strike="noStrike" baseline="0">
              <a:solidFill>
                <a:srgbClr val="000000"/>
              </a:solidFill>
              <a:latin typeface="MS Sans Serif"/>
            </a:rPr>
            <a:t>KORKEASAAREN ELÄINTARHA</a:t>
          </a:r>
        </a:p>
      </cdr:txBody>
    </cdr:sp>
  </cdr:relSizeAnchor>
  <cdr:relSizeAnchor xmlns:cdr="http://schemas.openxmlformats.org/drawingml/2006/chartDrawing">
    <cdr:from>
      <cdr:x>0.4069</cdr:x>
      <cdr:y>0.27823</cdr:y>
    </cdr:from>
    <cdr:to>
      <cdr:x>0.9988</cdr:x>
      <cdr:y>0.32775</cdr:y>
    </cdr:to>
    <cdr:sp macro="" textlink="">
      <cdr:nvSpPr>
        <cdr:cNvPr id="51202" name="Teksti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01603" y="1102967"/>
          <a:ext cx="434118" cy="1957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wrap="none" lIns="18288" tIns="18288" rIns="18288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800" b="0" i="0" u="none" strike="noStrike" baseline="0">
              <a:solidFill>
                <a:srgbClr val="000000"/>
              </a:solidFill>
              <a:latin typeface="MS Sans Serif"/>
            </a:rPr>
            <a:t>KÄYNNIT TULOSUUNNITTAIN</a:t>
          </a:r>
        </a:p>
      </cdr:txBody>
    </cdr:sp>
  </cdr:relSizeAnchor>
  <cdr:relSizeAnchor xmlns:cdr="http://schemas.openxmlformats.org/drawingml/2006/chartDrawing">
    <cdr:from>
      <cdr:x>0.37666</cdr:x>
      <cdr:y>0</cdr:y>
    </cdr:from>
    <cdr:to>
      <cdr:x>0.51958</cdr:x>
      <cdr:y>0.06758</cdr:y>
    </cdr:to>
    <cdr:sp macro="" textlink="Yht4!$A$1">
      <cdr:nvSpPr>
        <cdr:cNvPr id="51203" name="Teksti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79426" y="-63000"/>
          <a:ext cx="104820" cy="26714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fld id="{4B4A990E-99A7-4AA0-8DD3-403E5B7E16ED}" type="TxLink">
            <a:rPr lang="fi-FI"/>
            <a:pPr/>
            <a:t> </a:t>
          </a:fld>
          <a:endParaRPr lang="fi-FI"/>
        </a:p>
      </cdr:txBody>
    </cdr:sp>
  </cdr:relSizeAnchor>
</c:userShapes>
</file>

<file path=xl/drawings/drawing84.xml><?xml version="1.0" encoding="utf-8"?>
<c:userShapes xmlns:c="http://schemas.openxmlformats.org/drawingml/2006/chart">
  <cdr:relSizeAnchor xmlns:cdr="http://schemas.openxmlformats.org/drawingml/2006/chartDrawing">
    <cdr:from>
      <cdr:x>0.19176</cdr:x>
      <cdr:y>0</cdr:y>
    </cdr:from>
    <cdr:to>
      <cdr:x>0.21177</cdr:x>
      <cdr:y>0.08014</cdr:y>
    </cdr:to>
    <cdr:sp macro="" textlink="">
      <cdr:nvSpPr>
        <cdr:cNvPr id="52225" name="Teksti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43814" y="-5721"/>
          <a:ext cx="14678" cy="20458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wrap="none" lIns="18288" tIns="18288" rIns="18288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600" b="0" i="0" u="none" strike="noStrike" baseline="0">
              <a:solidFill>
                <a:srgbClr val="000000"/>
              </a:solidFill>
              <a:latin typeface="MS Sans Serif"/>
            </a:rPr>
            <a:t>KORKEASAAREN ELÄINTARHA</a:t>
          </a:r>
        </a:p>
      </cdr:txBody>
    </cdr:sp>
  </cdr:relSizeAnchor>
  <cdr:relSizeAnchor xmlns:cdr="http://schemas.openxmlformats.org/drawingml/2006/chartDrawing">
    <cdr:from>
      <cdr:x>0.25745</cdr:x>
      <cdr:y>0.11468</cdr:y>
    </cdr:from>
    <cdr:to>
      <cdr:x>0.40037</cdr:x>
      <cdr:y>0.21914</cdr:y>
    </cdr:to>
    <cdr:sp macro="" textlink="Yht4!$A$1">
      <cdr:nvSpPr>
        <cdr:cNvPr id="52226" name="Teksti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91996" y="295931"/>
          <a:ext cx="104820" cy="26663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fld id="{9839286C-5E80-423F-AE36-233ADADC0BAC}" type="TxLink">
            <a:rPr lang="fi-FI"/>
            <a:pPr/>
            <a:t> </a:t>
          </a:fld>
          <a:endParaRPr lang="fi-FI"/>
        </a:p>
      </cdr:txBody>
    </cdr:sp>
  </cdr:relSizeAnchor>
  <cdr:relSizeAnchor xmlns:cdr="http://schemas.openxmlformats.org/drawingml/2006/chartDrawing">
    <cdr:from>
      <cdr:x>0.24244</cdr:x>
      <cdr:y>0</cdr:y>
    </cdr:from>
    <cdr:to>
      <cdr:x>0.65097</cdr:x>
      <cdr:y>0.07413</cdr:y>
    </cdr:to>
    <cdr:sp macro="" textlink="">
      <cdr:nvSpPr>
        <cdr:cNvPr id="52227" name="Teksti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80988" y="-15551"/>
          <a:ext cx="299623" cy="1892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wrap="none" lIns="9144" tIns="18288" rIns="9144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500" b="0" i="0" u="none" strike="noStrike" baseline="0">
              <a:solidFill>
                <a:srgbClr val="000000"/>
              </a:solidFill>
              <a:latin typeface="Small Fonts"/>
            </a:rPr>
            <a:t>KUUKAUDEN PÄIVITTÄISET MAKSIMI-, MINIMI- JA KESKIMÄÄRÄISET KÄVIJÄMÄÄRÄT</a:t>
          </a:r>
        </a:p>
      </cdr:txBody>
    </cdr:sp>
  </cdr:relSizeAnchor>
</c:userShapes>
</file>

<file path=xl/drawings/drawing85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0</xdr:colOff>
      <xdr:row>11</xdr:row>
      <xdr:rowOff>19050</xdr:rowOff>
    </xdr:from>
    <xdr:to>
      <xdr:col>36</xdr:col>
      <xdr:colOff>0</xdr:colOff>
      <xdr:row>35</xdr:row>
      <xdr:rowOff>0</xdr:rowOff>
    </xdr:to>
    <xdr:graphicFrame macro="">
      <xdr:nvGraphicFramePr>
        <xdr:cNvPr id="53269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36</xdr:col>
      <xdr:colOff>0</xdr:colOff>
      <xdr:row>27</xdr:row>
      <xdr:rowOff>66675</xdr:rowOff>
    </xdr:from>
    <xdr:to>
      <xdr:col>36</xdr:col>
      <xdr:colOff>0</xdr:colOff>
      <xdr:row>40</xdr:row>
      <xdr:rowOff>57150</xdr:rowOff>
    </xdr:to>
    <xdr:graphicFrame macro="">
      <xdr:nvGraphicFramePr>
        <xdr:cNvPr id="53270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  <xdr:twoCellAnchor>
    <xdr:from>
      <xdr:col>36</xdr:col>
      <xdr:colOff>0</xdr:colOff>
      <xdr:row>41</xdr:row>
      <xdr:rowOff>0</xdr:rowOff>
    </xdr:from>
    <xdr:to>
      <xdr:col>36</xdr:col>
      <xdr:colOff>0</xdr:colOff>
      <xdr:row>46</xdr:row>
      <xdr:rowOff>142875</xdr:rowOff>
    </xdr:to>
    <xdr:graphicFrame macro="">
      <xdr:nvGraphicFramePr>
        <xdr:cNvPr id="53271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9525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53249" name="Button 1" hidden="1">
              <a:extLst>
                <a:ext uri="{63B3BB69-23CF-44E3-9099-C40C66FF867C}">
                  <a14:compatExt spid="_x0000_s532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Tammi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53250" name="Button 2" hidden="1">
              <a:extLst>
                <a:ext uri="{63B3BB69-23CF-44E3-9099-C40C66FF867C}">
                  <a14:compatExt spid="_x0000_s532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Tammi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53251" name="Button 3" hidden="1">
              <a:extLst>
                <a:ext uri="{63B3BB69-23CF-44E3-9099-C40C66FF867C}">
                  <a14:compatExt spid="_x0000_s532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Maalis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53252" name="Button 4" hidden="1">
              <a:extLst>
                <a:ext uri="{63B3BB69-23CF-44E3-9099-C40C66FF867C}">
                  <a14:compatExt spid="_x0000_s532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Huhti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53253" name="Button 5" hidden="1">
              <a:extLst>
                <a:ext uri="{63B3BB69-23CF-44E3-9099-C40C66FF867C}">
                  <a14:compatExt spid="_x0000_s532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Touko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53254" name="Button 6" hidden="1">
              <a:extLst>
                <a:ext uri="{63B3BB69-23CF-44E3-9099-C40C66FF867C}">
                  <a14:compatExt spid="_x0000_s532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Kesä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9525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53255" name="Button 7" hidden="1">
              <a:extLst>
                <a:ext uri="{63B3BB69-23CF-44E3-9099-C40C66FF867C}">
                  <a14:compatExt spid="_x0000_s532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Helmi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53256" name="Button 8" hidden="1">
              <a:extLst>
                <a:ext uri="{63B3BB69-23CF-44E3-9099-C40C66FF867C}">
                  <a14:compatExt spid="_x0000_s532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Heinä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53257" name="Button 9" hidden="1">
              <a:extLst>
                <a:ext uri="{63B3BB69-23CF-44E3-9099-C40C66FF867C}">
                  <a14:compatExt spid="_x0000_s532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Syys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53258" name="Button 10" hidden="1">
              <a:extLst>
                <a:ext uri="{63B3BB69-23CF-44E3-9099-C40C66FF867C}">
                  <a14:compatExt spid="_x0000_s532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Loka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53259" name="Button 11" hidden="1">
              <a:extLst>
                <a:ext uri="{63B3BB69-23CF-44E3-9099-C40C66FF867C}">
                  <a14:compatExt spid="_x0000_s532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Marras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53260" name="Button 12" hidden="1">
              <a:extLst>
                <a:ext uri="{63B3BB69-23CF-44E3-9099-C40C66FF867C}">
                  <a14:compatExt spid="_x0000_s532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Joulu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0</xdr:rowOff>
        </xdr:from>
        <xdr:to>
          <xdr:col>35</xdr:col>
          <xdr:colOff>0</xdr:colOff>
          <xdr:row>6</xdr:row>
          <xdr:rowOff>0</xdr:rowOff>
        </xdr:to>
        <xdr:sp macro="" textlink="">
          <xdr:nvSpPr>
            <xdr:cNvPr id="53261" name="Button 13" hidden="1">
              <a:extLst>
                <a:ext uri="{63B3BB69-23CF-44E3-9099-C40C66FF867C}">
                  <a14:compatExt spid="_x0000_s532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Elo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5</xdr:row>
          <xdr:rowOff>123825</xdr:rowOff>
        </xdr:to>
        <xdr:sp macro="" textlink="">
          <xdr:nvSpPr>
            <xdr:cNvPr id="53262" name="Button 14" hidden="1">
              <a:extLst>
                <a:ext uri="{63B3BB69-23CF-44E3-9099-C40C66FF867C}">
                  <a14:compatExt spid="_x0000_s532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Taulukko-yhteenveto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142875</xdr:rowOff>
        </xdr:from>
        <xdr:to>
          <xdr:col>35</xdr:col>
          <xdr:colOff>0</xdr:colOff>
          <xdr:row>12</xdr:row>
          <xdr:rowOff>19050</xdr:rowOff>
        </xdr:to>
        <xdr:sp macro="" textlink="">
          <xdr:nvSpPr>
            <xdr:cNvPr id="53263" name="Button 15" hidden="1">
              <a:extLst>
                <a:ext uri="{63B3BB69-23CF-44E3-9099-C40C66FF867C}">
                  <a14:compatExt spid="_x0000_s532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Yhteen-sä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152400</xdr:rowOff>
        </xdr:from>
        <xdr:to>
          <xdr:col>35</xdr:col>
          <xdr:colOff>0</xdr:colOff>
          <xdr:row>12</xdr:row>
          <xdr:rowOff>0</xdr:rowOff>
        </xdr:to>
        <xdr:sp macro="" textlink="">
          <xdr:nvSpPr>
            <xdr:cNvPr id="53264" name="Button 16" hidden="1">
              <a:extLst>
                <a:ext uri="{63B3BB69-23CF-44E3-9099-C40C66FF867C}">
                  <a14:compatExt spid="_x0000_s532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Vertailu edellis-vuoteen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142875</xdr:rowOff>
        </xdr:from>
        <xdr:to>
          <xdr:col>35</xdr:col>
          <xdr:colOff>0</xdr:colOff>
          <xdr:row>12</xdr:row>
          <xdr:rowOff>0</xdr:rowOff>
        </xdr:to>
        <xdr:sp macro="" textlink="">
          <xdr:nvSpPr>
            <xdr:cNvPr id="53265" name="Button 17" hidden="1">
              <a:extLst>
                <a:ext uri="{63B3BB69-23CF-44E3-9099-C40C66FF867C}">
                  <a14:compatExt spid="_x0000_s532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Käynnit tulosuun-nittain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152400</xdr:rowOff>
        </xdr:from>
        <xdr:to>
          <xdr:col>35</xdr:col>
          <xdr:colOff>0</xdr:colOff>
          <xdr:row>12</xdr:row>
          <xdr:rowOff>19050</xdr:rowOff>
        </xdr:to>
        <xdr:sp macro="" textlink="">
          <xdr:nvSpPr>
            <xdr:cNvPr id="53266" name="Button 18" hidden="1">
              <a:extLst>
                <a:ext uri="{63B3BB69-23CF-44E3-9099-C40C66FF867C}">
                  <a14:compatExt spid="_x0000_s532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Aikuiset lapset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152400</xdr:rowOff>
        </xdr:from>
        <xdr:to>
          <xdr:col>35</xdr:col>
          <xdr:colOff>0</xdr:colOff>
          <xdr:row>12</xdr:row>
          <xdr:rowOff>28575</xdr:rowOff>
        </xdr:to>
        <xdr:sp macro="" textlink="">
          <xdr:nvSpPr>
            <xdr:cNvPr id="53267" name="Button 19" hidden="1">
              <a:extLst>
                <a:ext uri="{63B3BB69-23CF-44E3-9099-C40C66FF867C}">
                  <a14:compatExt spid="_x0000_s532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Maksimi  minimi keskim.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12</xdr:row>
          <xdr:rowOff>19050</xdr:rowOff>
        </xdr:to>
        <xdr:sp macro="" textlink="">
          <xdr:nvSpPr>
            <xdr:cNvPr id="53268" name="Button 20" hidden="1">
              <a:extLst>
                <a:ext uri="{63B3BB69-23CF-44E3-9099-C40C66FF867C}">
                  <a14:compatExt spid="_x0000_s532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PALUU PÄÄ-   IKKUNAAN</a:t>
              </a:r>
            </a:p>
          </xdr:txBody>
        </xdr:sp>
        <xdr:clientData fPrintsWithSheet="0"/>
      </xdr:twoCellAnchor>
    </mc:Choice>
    <mc:Fallback/>
  </mc:AlternateContent>
</xdr:wsDr>
</file>

<file path=xl/drawings/drawing8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0.04831</cdr:y>
    </cdr:to>
    <cdr:sp macro="" textlink="">
      <cdr:nvSpPr>
        <cdr:cNvPr id="54273" name="Teksti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91837" y="-33103"/>
          <a:ext cx="1666913" cy="19095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27432" bIns="18288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800" b="0" i="0" u="none" strike="noStrike" baseline="0">
              <a:solidFill>
                <a:srgbClr val="000000"/>
              </a:solidFill>
              <a:latin typeface="MS Sans Serif"/>
            </a:rPr>
            <a:t>KORKEASAAREN ELÄINTARHA</a:t>
          </a:r>
        </a:p>
      </cdr:txBody>
    </cdr:sp>
  </cdr:relSizeAnchor>
  <cdr:relSizeAnchor xmlns:cdr="http://schemas.openxmlformats.org/drawingml/2006/chartDrawing">
    <cdr:from>
      <cdr:x>0.4069</cdr:x>
      <cdr:y>0.27823</cdr:y>
    </cdr:from>
    <cdr:to>
      <cdr:x>0.9988</cdr:x>
      <cdr:y>0.32775</cdr:y>
    </cdr:to>
    <cdr:sp macro="" textlink="">
      <cdr:nvSpPr>
        <cdr:cNvPr id="54274" name="Teksti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01603" y="1102967"/>
          <a:ext cx="434118" cy="1957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wrap="none" lIns="18288" tIns="18288" rIns="18288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800" b="0" i="0" u="none" strike="noStrike" baseline="0">
              <a:solidFill>
                <a:srgbClr val="000000"/>
              </a:solidFill>
              <a:latin typeface="MS Sans Serif"/>
            </a:rPr>
            <a:t>KÄYNNIT TULOSUUNNITTAIN</a:t>
          </a:r>
        </a:p>
      </cdr:txBody>
    </cdr:sp>
  </cdr:relSizeAnchor>
  <cdr:relSizeAnchor xmlns:cdr="http://schemas.openxmlformats.org/drawingml/2006/chartDrawing">
    <cdr:from>
      <cdr:x>0.37666</cdr:x>
      <cdr:y>0</cdr:y>
    </cdr:from>
    <cdr:to>
      <cdr:x>0.51958</cdr:x>
      <cdr:y>0.06758</cdr:y>
    </cdr:to>
    <cdr:sp macro="" textlink="Yht5!$A$1">
      <cdr:nvSpPr>
        <cdr:cNvPr id="54275" name="Teksti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79426" y="-63000"/>
          <a:ext cx="104820" cy="26714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fld id="{EAD3A458-37CE-496D-8A31-3CF76F921A9E}" type="TxLink">
            <a:rPr lang="fi-FI"/>
            <a:pPr/>
            <a:t> </a:t>
          </a:fld>
          <a:endParaRPr lang="fi-FI"/>
        </a:p>
      </cdr:txBody>
    </cdr:sp>
  </cdr:relSizeAnchor>
</c:userShapes>
</file>

<file path=xl/drawings/drawing87.xml><?xml version="1.0" encoding="utf-8"?>
<c:userShapes xmlns:c="http://schemas.openxmlformats.org/drawingml/2006/chart">
  <cdr:relSizeAnchor xmlns:cdr="http://schemas.openxmlformats.org/drawingml/2006/chartDrawing">
    <cdr:from>
      <cdr:x>0.19154</cdr:x>
      <cdr:y>0</cdr:y>
    </cdr:from>
    <cdr:to>
      <cdr:x>0.21177</cdr:x>
      <cdr:y>0.0917</cdr:y>
    </cdr:to>
    <cdr:sp macro="" textlink="">
      <cdr:nvSpPr>
        <cdr:cNvPr id="55297" name="Teksti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43654" y="-16780"/>
          <a:ext cx="14838" cy="23407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wrap="none" lIns="18288" tIns="18288" rIns="18288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600" b="0" i="0" u="none" strike="noStrike" baseline="0">
              <a:solidFill>
                <a:srgbClr val="000000"/>
              </a:solidFill>
              <a:latin typeface="MS Sans Serif"/>
            </a:rPr>
            <a:t>KORKEASAAREN ELÄINTARHA</a:t>
          </a:r>
        </a:p>
      </cdr:txBody>
    </cdr:sp>
  </cdr:relSizeAnchor>
  <cdr:relSizeAnchor xmlns:cdr="http://schemas.openxmlformats.org/drawingml/2006/chartDrawing">
    <cdr:from>
      <cdr:x>0.25745</cdr:x>
      <cdr:y>0.12166</cdr:y>
    </cdr:from>
    <cdr:to>
      <cdr:x>0.40037</cdr:x>
      <cdr:y>0.22612</cdr:y>
    </cdr:to>
    <cdr:sp macro="" textlink="Yht5!$A$1">
      <cdr:nvSpPr>
        <cdr:cNvPr id="55298" name="Teksti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91996" y="313747"/>
          <a:ext cx="104820" cy="26663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fld id="{49B5CD3B-1677-4409-AB54-27A295722C58}" type="TxLink">
            <a:rPr lang="fi-FI"/>
            <a:pPr/>
            <a:t> </a:t>
          </a:fld>
          <a:endParaRPr lang="fi-FI"/>
        </a:p>
      </cdr:txBody>
    </cdr:sp>
  </cdr:relSizeAnchor>
  <cdr:relSizeAnchor xmlns:cdr="http://schemas.openxmlformats.org/drawingml/2006/chartDrawing">
    <cdr:from>
      <cdr:x>0.24244</cdr:x>
      <cdr:y>0</cdr:y>
    </cdr:from>
    <cdr:to>
      <cdr:x>0.65097</cdr:x>
      <cdr:y>0.08664</cdr:y>
    </cdr:to>
    <cdr:sp macro="" textlink="">
      <cdr:nvSpPr>
        <cdr:cNvPr id="55299" name="Teksti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80988" y="-28453"/>
          <a:ext cx="299623" cy="22117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wrap="none" lIns="9144" tIns="18288" rIns="9144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500" b="0" i="0" u="none" strike="noStrike" baseline="0">
              <a:solidFill>
                <a:srgbClr val="000000"/>
              </a:solidFill>
              <a:latin typeface="Small Fonts"/>
            </a:rPr>
            <a:t>KUUKAUDEN PÄIVITTÄISET MAKSIMI-, MINIMI- JA KESKIMÄÄRÄISET KÄVIJÄMÄÄRÄT</a:t>
          </a:r>
        </a:p>
      </cdr:txBody>
    </cdr:sp>
  </cdr:relSizeAnchor>
</c:userShapes>
</file>

<file path=xl/drawings/drawing88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0</xdr:colOff>
      <xdr:row>11</xdr:row>
      <xdr:rowOff>19050</xdr:rowOff>
    </xdr:from>
    <xdr:to>
      <xdr:col>36</xdr:col>
      <xdr:colOff>0</xdr:colOff>
      <xdr:row>35</xdr:row>
      <xdr:rowOff>0</xdr:rowOff>
    </xdr:to>
    <xdr:graphicFrame macro="">
      <xdr:nvGraphicFramePr>
        <xdr:cNvPr id="105493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36</xdr:col>
      <xdr:colOff>0</xdr:colOff>
      <xdr:row>27</xdr:row>
      <xdr:rowOff>66675</xdr:rowOff>
    </xdr:from>
    <xdr:to>
      <xdr:col>36</xdr:col>
      <xdr:colOff>0</xdr:colOff>
      <xdr:row>40</xdr:row>
      <xdr:rowOff>57150</xdr:rowOff>
    </xdr:to>
    <xdr:graphicFrame macro="">
      <xdr:nvGraphicFramePr>
        <xdr:cNvPr id="105494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  <xdr:twoCellAnchor>
    <xdr:from>
      <xdr:col>36</xdr:col>
      <xdr:colOff>0</xdr:colOff>
      <xdr:row>41</xdr:row>
      <xdr:rowOff>0</xdr:rowOff>
    </xdr:from>
    <xdr:to>
      <xdr:col>36</xdr:col>
      <xdr:colOff>0</xdr:colOff>
      <xdr:row>46</xdr:row>
      <xdr:rowOff>142875</xdr:rowOff>
    </xdr:to>
    <xdr:graphicFrame macro="">
      <xdr:nvGraphicFramePr>
        <xdr:cNvPr id="10549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9525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105473" name="Button 1" hidden="1">
              <a:extLst>
                <a:ext uri="{63B3BB69-23CF-44E3-9099-C40C66FF867C}">
                  <a14:compatExt spid="_x0000_s1054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Tammi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105474" name="Button 2" hidden="1">
              <a:extLst>
                <a:ext uri="{63B3BB69-23CF-44E3-9099-C40C66FF867C}">
                  <a14:compatExt spid="_x0000_s1054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Tammi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105475" name="Button 3" hidden="1">
              <a:extLst>
                <a:ext uri="{63B3BB69-23CF-44E3-9099-C40C66FF867C}">
                  <a14:compatExt spid="_x0000_s1054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Maalis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105476" name="Button 4" hidden="1">
              <a:extLst>
                <a:ext uri="{63B3BB69-23CF-44E3-9099-C40C66FF867C}">
                  <a14:compatExt spid="_x0000_s1054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Huhti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105477" name="Button 5" hidden="1">
              <a:extLst>
                <a:ext uri="{63B3BB69-23CF-44E3-9099-C40C66FF867C}">
                  <a14:compatExt spid="_x0000_s1054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Touko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105478" name="Button 6" hidden="1">
              <a:extLst>
                <a:ext uri="{63B3BB69-23CF-44E3-9099-C40C66FF867C}">
                  <a14:compatExt spid="_x0000_s1054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Kesä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9525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105479" name="Button 7" hidden="1">
              <a:extLst>
                <a:ext uri="{63B3BB69-23CF-44E3-9099-C40C66FF867C}">
                  <a14:compatExt spid="_x0000_s1054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Helmi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105480" name="Button 8" hidden="1">
              <a:extLst>
                <a:ext uri="{63B3BB69-23CF-44E3-9099-C40C66FF867C}">
                  <a14:compatExt spid="_x0000_s1054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Heinä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105481" name="Button 9" hidden="1">
              <a:extLst>
                <a:ext uri="{63B3BB69-23CF-44E3-9099-C40C66FF867C}">
                  <a14:compatExt spid="_x0000_s1054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Syys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105482" name="Button 10" hidden="1">
              <a:extLst>
                <a:ext uri="{63B3BB69-23CF-44E3-9099-C40C66FF867C}">
                  <a14:compatExt spid="_x0000_s1054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Loka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105483" name="Button 11" hidden="1">
              <a:extLst>
                <a:ext uri="{63B3BB69-23CF-44E3-9099-C40C66FF867C}">
                  <a14:compatExt spid="_x0000_s1054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Marras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105484" name="Button 12" hidden="1">
              <a:extLst>
                <a:ext uri="{63B3BB69-23CF-44E3-9099-C40C66FF867C}">
                  <a14:compatExt spid="_x0000_s1054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Joulu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0</xdr:rowOff>
        </xdr:from>
        <xdr:to>
          <xdr:col>35</xdr:col>
          <xdr:colOff>0</xdr:colOff>
          <xdr:row>6</xdr:row>
          <xdr:rowOff>0</xdr:rowOff>
        </xdr:to>
        <xdr:sp macro="" textlink="">
          <xdr:nvSpPr>
            <xdr:cNvPr id="105485" name="Button 13" hidden="1">
              <a:extLst>
                <a:ext uri="{63B3BB69-23CF-44E3-9099-C40C66FF867C}">
                  <a14:compatExt spid="_x0000_s1054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Elo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5</xdr:row>
          <xdr:rowOff>123825</xdr:rowOff>
        </xdr:to>
        <xdr:sp macro="" textlink="">
          <xdr:nvSpPr>
            <xdr:cNvPr id="105486" name="Button 14" hidden="1">
              <a:extLst>
                <a:ext uri="{63B3BB69-23CF-44E3-9099-C40C66FF867C}">
                  <a14:compatExt spid="_x0000_s1054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Taulukko-yhteenveto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142875</xdr:rowOff>
        </xdr:from>
        <xdr:to>
          <xdr:col>35</xdr:col>
          <xdr:colOff>0</xdr:colOff>
          <xdr:row>12</xdr:row>
          <xdr:rowOff>19050</xdr:rowOff>
        </xdr:to>
        <xdr:sp macro="" textlink="">
          <xdr:nvSpPr>
            <xdr:cNvPr id="105487" name="Button 15" hidden="1">
              <a:extLst>
                <a:ext uri="{63B3BB69-23CF-44E3-9099-C40C66FF867C}">
                  <a14:compatExt spid="_x0000_s1054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Yhteen-sä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152400</xdr:rowOff>
        </xdr:from>
        <xdr:to>
          <xdr:col>35</xdr:col>
          <xdr:colOff>0</xdr:colOff>
          <xdr:row>12</xdr:row>
          <xdr:rowOff>0</xdr:rowOff>
        </xdr:to>
        <xdr:sp macro="" textlink="">
          <xdr:nvSpPr>
            <xdr:cNvPr id="105488" name="Button 16" hidden="1">
              <a:extLst>
                <a:ext uri="{63B3BB69-23CF-44E3-9099-C40C66FF867C}">
                  <a14:compatExt spid="_x0000_s1054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Vertailu edellis-vuoteen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142875</xdr:rowOff>
        </xdr:from>
        <xdr:to>
          <xdr:col>35</xdr:col>
          <xdr:colOff>0</xdr:colOff>
          <xdr:row>12</xdr:row>
          <xdr:rowOff>0</xdr:rowOff>
        </xdr:to>
        <xdr:sp macro="" textlink="">
          <xdr:nvSpPr>
            <xdr:cNvPr id="105489" name="Button 17" hidden="1">
              <a:extLst>
                <a:ext uri="{63B3BB69-23CF-44E3-9099-C40C66FF867C}">
                  <a14:compatExt spid="_x0000_s1054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Käynnit tulosuun-nittain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152400</xdr:rowOff>
        </xdr:from>
        <xdr:to>
          <xdr:col>35</xdr:col>
          <xdr:colOff>0</xdr:colOff>
          <xdr:row>12</xdr:row>
          <xdr:rowOff>19050</xdr:rowOff>
        </xdr:to>
        <xdr:sp macro="" textlink="">
          <xdr:nvSpPr>
            <xdr:cNvPr id="105490" name="Button 18" hidden="1">
              <a:extLst>
                <a:ext uri="{63B3BB69-23CF-44E3-9099-C40C66FF867C}">
                  <a14:compatExt spid="_x0000_s1054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Aikuiset lapset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152400</xdr:rowOff>
        </xdr:from>
        <xdr:to>
          <xdr:col>35</xdr:col>
          <xdr:colOff>0</xdr:colOff>
          <xdr:row>12</xdr:row>
          <xdr:rowOff>28575</xdr:rowOff>
        </xdr:to>
        <xdr:sp macro="" textlink="">
          <xdr:nvSpPr>
            <xdr:cNvPr id="105491" name="Button 19" hidden="1">
              <a:extLst>
                <a:ext uri="{63B3BB69-23CF-44E3-9099-C40C66FF867C}">
                  <a14:compatExt spid="_x0000_s1054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Maksimi  minimi keskim.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12</xdr:row>
          <xdr:rowOff>19050</xdr:rowOff>
        </xdr:to>
        <xdr:sp macro="" textlink="">
          <xdr:nvSpPr>
            <xdr:cNvPr id="105492" name="Button 20" hidden="1">
              <a:extLst>
                <a:ext uri="{63B3BB69-23CF-44E3-9099-C40C66FF867C}">
                  <a14:compatExt spid="_x0000_s1054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PALUU PÄÄ-   IKKUNAAN</a:t>
              </a:r>
            </a:p>
          </xdr:txBody>
        </xdr:sp>
        <xdr:clientData fPrintsWithSheet="0"/>
      </xdr:twoCellAnchor>
    </mc:Choice>
    <mc:Fallback/>
  </mc:AlternateContent>
</xdr:wsDr>
</file>

<file path=xl/drawings/drawing89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0.04831</cdr:y>
    </cdr:to>
    <cdr:sp macro="" textlink="">
      <cdr:nvSpPr>
        <cdr:cNvPr id="106497" name="Teksti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91837" y="-33103"/>
          <a:ext cx="1666913" cy="19095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27432" bIns="18288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800" b="0" i="0" u="none" strike="noStrike" baseline="0">
              <a:solidFill>
                <a:srgbClr val="000000"/>
              </a:solidFill>
              <a:latin typeface="MS Sans Serif"/>
            </a:rPr>
            <a:t>KORKEASAAREN ELÄINTARHA</a:t>
          </a:r>
        </a:p>
      </cdr:txBody>
    </cdr:sp>
  </cdr:relSizeAnchor>
  <cdr:relSizeAnchor xmlns:cdr="http://schemas.openxmlformats.org/drawingml/2006/chartDrawing">
    <cdr:from>
      <cdr:x>0.4069</cdr:x>
      <cdr:y>0.27823</cdr:y>
    </cdr:from>
    <cdr:to>
      <cdr:x>0.9988</cdr:x>
      <cdr:y>0.32775</cdr:y>
    </cdr:to>
    <cdr:sp macro="" textlink="">
      <cdr:nvSpPr>
        <cdr:cNvPr id="106498" name="Teksti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01603" y="1102967"/>
          <a:ext cx="434118" cy="1957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wrap="none" lIns="18288" tIns="18288" rIns="18288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800" b="0" i="0" u="none" strike="noStrike" baseline="0">
              <a:solidFill>
                <a:srgbClr val="000000"/>
              </a:solidFill>
              <a:latin typeface="MS Sans Serif"/>
            </a:rPr>
            <a:t>KÄYNNIT TULOSUUNNITTAIN</a:t>
          </a:r>
        </a:p>
      </cdr:txBody>
    </cdr:sp>
  </cdr:relSizeAnchor>
  <cdr:relSizeAnchor xmlns:cdr="http://schemas.openxmlformats.org/drawingml/2006/chartDrawing">
    <cdr:from>
      <cdr:x>0.37666</cdr:x>
      <cdr:y>0</cdr:y>
    </cdr:from>
    <cdr:to>
      <cdr:x>0.51958</cdr:x>
      <cdr:y>0.06758</cdr:y>
    </cdr:to>
    <cdr:sp macro="" textlink="Yht6!$A$1">
      <cdr:nvSpPr>
        <cdr:cNvPr id="106499" name="Teksti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79426" y="-63000"/>
          <a:ext cx="104820" cy="26714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fld id="{F832E2E1-CFB1-4F5D-9F99-7E015D856328}" type="TxLink">
            <a:rPr lang="fi-FI"/>
            <a:pPr/>
            <a:t> </a:t>
          </a:fld>
          <a:endParaRPr lang="fi-FI"/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0.19545</cdr:x>
      <cdr:y>0</cdr:y>
    </cdr:from>
    <cdr:to>
      <cdr:x>0.2246</cdr:x>
      <cdr:y>0.08038</cdr:y>
    </cdr:to>
    <cdr:sp macro="" textlink="">
      <cdr:nvSpPr>
        <cdr:cNvPr id="30721" name="Teksti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46526" y="-6336"/>
          <a:ext cx="21379" cy="20519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wrap="none" lIns="18288" tIns="18288" rIns="18288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600" b="0" i="0" u="none" strike="noStrike" baseline="0">
              <a:solidFill>
                <a:srgbClr val="000000"/>
              </a:solidFill>
              <a:latin typeface="MS Sans Serif"/>
            </a:rPr>
            <a:t>KORKEASAAREN ELÄINTARHA</a:t>
          </a:r>
        </a:p>
      </cdr:txBody>
    </cdr:sp>
  </cdr:relSizeAnchor>
  <cdr:relSizeAnchor xmlns:cdr="http://schemas.openxmlformats.org/drawingml/2006/chartDrawing">
    <cdr:from>
      <cdr:x>0.2953</cdr:x>
      <cdr:y>0.09952</cdr:y>
    </cdr:from>
    <cdr:to>
      <cdr:x>0.43822</cdr:x>
      <cdr:y>0.20397</cdr:y>
    </cdr:to>
    <cdr:sp macro="" textlink="'N3'!$A$1">
      <cdr:nvSpPr>
        <cdr:cNvPr id="30722" name="Teksti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19757" y="257226"/>
          <a:ext cx="104820" cy="26663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fld id="{6D020145-D7CF-4B31-8005-1C5653DEF435}" type="TxLink">
            <a:rPr lang="fi-FI"/>
            <a:pPr/>
            <a:t> </a:t>
          </a:fld>
          <a:endParaRPr lang="fi-FI"/>
        </a:p>
      </cdr:txBody>
    </cdr:sp>
  </cdr:relSizeAnchor>
  <cdr:relSizeAnchor xmlns:cdr="http://schemas.openxmlformats.org/drawingml/2006/chartDrawing">
    <cdr:from>
      <cdr:x>0.26876</cdr:x>
      <cdr:y>0</cdr:y>
    </cdr:from>
    <cdr:to>
      <cdr:x>0.6675</cdr:x>
      <cdr:y>0.07389</cdr:y>
    </cdr:to>
    <cdr:sp macro="" textlink="">
      <cdr:nvSpPr>
        <cdr:cNvPr id="30723" name="Teksti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00292" y="-14937"/>
          <a:ext cx="292444" cy="18861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wrap="none" lIns="9144" tIns="18288" rIns="9144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500" b="0" i="0" u="none" strike="noStrike" baseline="0">
              <a:solidFill>
                <a:srgbClr val="000000"/>
              </a:solidFill>
              <a:latin typeface="Small Fonts"/>
            </a:rPr>
            <a:t>KUUKAUDEN PÄIVITTÄISET MAKSIMI-, MINIMI- JA KESKIMÄÄRÄISET KÄVIJÄMÄÄRÄT</a:t>
          </a:r>
        </a:p>
      </cdr:txBody>
    </cdr:sp>
  </cdr:relSizeAnchor>
</c:userShapes>
</file>

<file path=xl/drawings/drawing90.xml><?xml version="1.0" encoding="utf-8"?>
<c:userShapes xmlns:c="http://schemas.openxmlformats.org/drawingml/2006/chart">
  <cdr:relSizeAnchor xmlns:cdr="http://schemas.openxmlformats.org/drawingml/2006/chartDrawing">
    <cdr:from>
      <cdr:x>0.1948</cdr:x>
      <cdr:y>0</cdr:y>
    </cdr:from>
    <cdr:to>
      <cdr:x>0.22025</cdr:x>
      <cdr:y>0.07485</cdr:y>
    </cdr:to>
    <cdr:sp macro="" textlink="">
      <cdr:nvSpPr>
        <cdr:cNvPr id="107521" name="Teksti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46048" y="-2035"/>
          <a:ext cx="18666" cy="19106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wrap="none" lIns="18288" tIns="18288" rIns="18288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600" b="0" i="0" u="none" strike="noStrike" baseline="0">
              <a:solidFill>
                <a:srgbClr val="000000"/>
              </a:solidFill>
              <a:latin typeface="MS Sans Serif"/>
            </a:rPr>
            <a:t>KORKEASAAREN ELÄINTARHA</a:t>
          </a:r>
        </a:p>
      </cdr:txBody>
    </cdr:sp>
  </cdr:relSizeAnchor>
  <cdr:relSizeAnchor xmlns:cdr="http://schemas.openxmlformats.org/drawingml/2006/chartDrawing">
    <cdr:from>
      <cdr:x>0.26942</cdr:x>
      <cdr:y>0.11011</cdr:y>
    </cdr:from>
    <cdr:to>
      <cdr:x>0.41233</cdr:x>
      <cdr:y>0.21456</cdr:y>
    </cdr:to>
    <cdr:sp macro="" textlink="Yht6!$A$1">
      <cdr:nvSpPr>
        <cdr:cNvPr id="107522" name="Teksti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00771" y="284258"/>
          <a:ext cx="104820" cy="26663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fld id="{E3F5F0BE-D66A-4614-8264-F412D42F28A0}" type="TxLink">
            <a:rPr lang="fi-FI"/>
            <a:pPr/>
            <a:t> </a:t>
          </a:fld>
          <a:endParaRPr lang="fi-FI"/>
        </a:p>
      </cdr:txBody>
    </cdr:sp>
  </cdr:relSizeAnchor>
  <cdr:relSizeAnchor xmlns:cdr="http://schemas.openxmlformats.org/drawingml/2006/chartDrawing">
    <cdr:from>
      <cdr:x>0.25963</cdr:x>
      <cdr:y>0</cdr:y>
    </cdr:from>
    <cdr:to>
      <cdr:x>0.66206</cdr:x>
      <cdr:y>0.06859</cdr:y>
    </cdr:to>
    <cdr:sp macro="" textlink="">
      <cdr:nvSpPr>
        <cdr:cNvPr id="107523" name="Teksti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93592" y="-10636"/>
          <a:ext cx="295156" cy="17509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wrap="none" lIns="9144" tIns="18288" rIns="9144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500" b="0" i="0" u="none" strike="noStrike" baseline="0">
              <a:solidFill>
                <a:srgbClr val="000000"/>
              </a:solidFill>
              <a:latin typeface="Small Fonts"/>
            </a:rPr>
            <a:t>KUUKAUDEN PÄIVITTÄISET MAKSIMI-, MINIMI- JA KESKIMÄÄRÄISET KÄVIJÄMÄÄRÄT</a:t>
          </a:r>
        </a:p>
      </cdr:txBody>
    </cdr:sp>
  </cdr:relSizeAnchor>
</c:userShapes>
</file>

<file path=xl/drawings/drawing91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0</xdr:colOff>
      <xdr:row>11</xdr:row>
      <xdr:rowOff>19050</xdr:rowOff>
    </xdr:from>
    <xdr:to>
      <xdr:col>36</xdr:col>
      <xdr:colOff>0</xdr:colOff>
      <xdr:row>35</xdr:row>
      <xdr:rowOff>0</xdr:rowOff>
    </xdr:to>
    <xdr:graphicFrame macro="">
      <xdr:nvGraphicFramePr>
        <xdr:cNvPr id="108565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36</xdr:col>
      <xdr:colOff>0</xdr:colOff>
      <xdr:row>27</xdr:row>
      <xdr:rowOff>66675</xdr:rowOff>
    </xdr:from>
    <xdr:to>
      <xdr:col>36</xdr:col>
      <xdr:colOff>0</xdr:colOff>
      <xdr:row>40</xdr:row>
      <xdr:rowOff>57150</xdr:rowOff>
    </xdr:to>
    <xdr:graphicFrame macro="">
      <xdr:nvGraphicFramePr>
        <xdr:cNvPr id="108566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  <xdr:twoCellAnchor>
    <xdr:from>
      <xdr:col>36</xdr:col>
      <xdr:colOff>0</xdr:colOff>
      <xdr:row>41</xdr:row>
      <xdr:rowOff>0</xdr:rowOff>
    </xdr:from>
    <xdr:to>
      <xdr:col>36</xdr:col>
      <xdr:colOff>0</xdr:colOff>
      <xdr:row>46</xdr:row>
      <xdr:rowOff>142875</xdr:rowOff>
    </xdr:to>
    <xdr:graphicFrame macro="">
      <xdr:nvGraphicFramePr>
        <xdr:cNvPr id="108567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9525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108545" name="Button 1" hidden="1">
              <a:extLst>
                <a:ext uri="{63B3BB69-23CF-44E3-9099-C40C66FF867C}">
                  <a14:compatExt spid="_x0000_s1085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Tammi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108546" name="Button 2" hidden="1">
              <a:extLst>
                <a:ext uri="{63B3BB69-23CF-44E3-9099-C40C66FF867C}">
                  <a14:compatExt spid="_x0000_s1085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Tammi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108547" name="Button 3" hidden="1">
              <a:extLst>
                <a:ext uri="{63B3BB69-23CF-44E3-9099-C40C66FF867C}">
                  <a14:compatExt spid="_x0000_s1085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Maalis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108548" name="Button 4" hidden="1">
              <a:extLst>
                <a:ext uri="{63B3BB69-23CF-44E3-9099-C40C66FF867C}">
                  <a14:compatExt spid="_x0000_s1085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Huhti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108549" name="Button 5" hidden="1">
              <a:extLst>
                <a:ext uri="{63B3BB69-23CF-44E3-9099-C40C66FF867C}">
                  <a14:compatExt spid="_x0000_s1085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Touko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108550" name="Button 6" hidden="1">
              <a:extLst>
                <a:ext uri="{63B3BB69-23CF-44E3-9099-C40C66FF867C}">
                  <a14:compatExt spid="_x0000_s1085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Kesä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9525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108551" name="Button 7" hidden="1">
              <a:extLst>
                <a:ext uri="{63B3BB69-23CF-44E3-9099-C40C66FF867C}">
                  <a14:compatExt spid="_x0000_s1085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Helmi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108552" name="Button 8" hidden="1">
              <a:extLst>
                <a:ext uri="{63B3BB69-23CF-44E3-9099-C40C66FF867C}">
                  <a14:compatExt spid="_x0000_s1085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Heinä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108553" name="Button 9" hidden="1">
              <a:extLst>
                <a:ext uri="{63B3BB69-23CF-44E3-9099-C40C66FF867C}">
                  <a14:compatExt spid="_x0000_s1085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Syys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108554" name="Button 10" hidden="1">
              <a:extLst>
                <a:ext uri="{63B3BB69-23CF-44E3-9099-C40C66FF867C}">
                  <a14:compatExt spid="_x0000_s1085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Loka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108555" name="Button 11" hidden="1">
              <a:extLst>
                <a:ext uri="{63B3BB69-23CF-44E3-9099-C40C66FF867C}">
                  <a14:compatExt spid="_x0000_s1085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Marras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108556" name="Button 12" hidden="1">
              <a:extLst>
                <a:ext uri="{63B3BB69-23CF-44E3-9099-C40C66FF867C}">
                  <a14:compatExt spid="_x0000_s1085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Joulu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0</xdr:rowOff>
        </xdr:from>
        <xdr:to>
          <xdr:col>35</xdr:col>
          <xdr:colOff>0</xdr:colOff>
          <xdr:row>6</xdr:row>
          <xdr:rowOff>0</xdr:rowOff>
        </xdr:to>
        <xdr:sp macro="" textlink="">
          <xdr:nvSpPr>
            <xdr:cNvPr id="108557" name="Button 13" hidden="1">
              <a:extLst>
                <a:ext uri="{63B3BB69-23CF-44E3-9099-C40C66FF867C}">
                  <a14:compatExt spid="_x0000_s1085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Elo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5</xdr:row>
          <xdr:rowOff>123825</xdr:rowOff>
        </xdr:to>
        <xdr:sp macro="" textlink="">
          <xdr:nvSpPr>
            <xdr:cNvPr id="108558" name="Button 14" hidden="1">
              <a:extLst>
                <a:ext uri="{63B3BB69-23CF-44E3-9099-C40C66FF867C}">
                  <a14:compatExt spid="_x0000_s1085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Taulukko-yhteenveto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142875</xdr:rowOff>
        </xdr:from>
        <xdr:to>
          <xdr:col>35</xdr:col>
          <xdr:colOff>0</xdr:colOff>
          <xdr:row>12</xdr:row>
          <xdr:rowOff>19050</xdr:rowOff>
        </xdr:to>
        <xdr:sp macro="" textlink="">
          <xdr:nvSpPr>
            <xdr:cNvPr id="108559" name="Button 15" hidden="1">
              <a:extLst>
                <a:ext uri="{63B3BB69-23CF-44E3-9099-C40C66FF867C}">
                  <a14:compatExt spid="_x0000_s1085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Yhteen-sä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152400</xdr:rowOff>
        </xdr:from>
        <xdr:to>
          <xdr:col>35</xdr:col>
          <xdr:colOff>0</xdr:colOff>
          <xdr:row>12</xdr:row>
          <xdr:rowOff>0</xdr:rowOff>
        </xdr:to>
        <xdr:sp macro="" textlink="">
          <xdr:nvSpPr>
            <xdr:cNvPr id="108560" name="Button 16" hidden="1">
              <a:extLst>
                <a:ext uri="{63B3BB69-23CF-44E3-9099-C40C66FF867C}">
                  <a14:compatExt spid="_x0000_s1085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Vertailu edellis-vuoteen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142875</xdr:rowOff>
        </xdr:from>
        <xdr:to>
          <xdr:col>35</xdr:col>
          <xdr:colOff>0</xdr:colOff>
          <xdr:row>12</xdr:row>
          <xdr:rowOff>0</xdr:rowOff>
        </xdr:to>
        <xdr:sp macro="" textlink="">
          <xdr:nvSpPr>
            <xdr:cNvPr id="108561" name="Button 17" hidden="1">
              <a:extLst>
                <a:ext uri="{63B3BB69-23CF-44E3-9099-C40C66FF867C}">
                  <a14:compatExt spid="_x0000_s1085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Käynnit tulosuun-nittain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152400</xdr:rowOff>
        </xdr:from>
        <xdr:to>
          <xdr:col>35</xdr:col>
          <xdr:colOff>0</xdr:colOff>
          <xdr:row>12</xdr:row>
          <xdr:rowOff>19050</xdr:rowOff>
        </xdr:to>
        <xdr:sp macro="" textlink="">
          <xdr:nvSpPr>
            <xdr:cNvPr id="108562" name="Button 18" hidden="1">
              <a:extLst>
                <a:ext uri="{63B3BB69-23CF-44E3-9099-C40C66FF867C}">
                  <a14:compatExt spid="_x0000_s1085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Aikuiset lapset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152400</xdr:rowOff>
        </xdr:from>
        <xdr:to>
          <xdr:col>35</xdr:col>
          <xdr:colOff>0</xdr:colOff>
          <xdr:row>12</xdr:row>
          <xdr:rowOff>28575</xdr:rowOff>
        </xdr:to>
        <xdr:sp macro="" textlink="">
          <xdr:nvSpPr>
            <xdr:cNvPr id="108563" name="Button 19" hidden="1">
              <a:extLst>
                <a:ext uri="{63B3BB69-23CF-44E3-9099-C40C66FF867C}">
                  <a14:compatExt spid="_x0000_s1085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Maksimi  minimi keskim.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12</xdr:row>
          <xdr:rowOff>19050</xdr:rowOff>
        </xdr:to>
        <xdr:sp macro="" textlink="">
          <xdr:nvSpPr>
            <xdr:cNvPr id="108564" name="Button 20" hidden="1">
              <a:extLst>
                <a:ext uri="{63B3BB69-23CF-44E3-9099-C40C66FF867C}">
                  <a14:compatExt spid="_x0000_s1085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PALUU PÄÄ-   IKKUNAAN</a:t>
              </a:r>
            </a:p>
          </xdr:txBody>
        </xdr:sp>
        <xdr:clientData fPrintsWithSheet="0"/>
      </xdr:twoCellAnchor>
    </mc:Choice>
    <mc:Fallback/>
  </mc:AlternateContent>
</xdr:wsDr>
</file>

<file path=xl/drawings/drawing9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0.04831</cdr:y>
    </cdr:to>
    <cdr:sp macro="" textlink="">
      <cdr:nvSpPr>
        <cdr:cNvPr id="109569" name="Teksti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91837" y="-31175"/>
          <a:ext cx="1666913" cy="19095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27432" bIns="18288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800" b="0" i="0" u="none" strike="noStrike" baseline="0">
              <a:solidFill>
                <a:srgbClr val="000000"/>
              </a:solidFill>
              <a:latin typeface="MS Sans Serif"/>
            </a:rPr>
            <a:t>KORKEASAAREN ELÄINTARHA</a:t>
          </a:r>
        </a:p>
      </cdr:txBody>
    </cdr:sp>
  </cdr:relSizeAnchor>
  <cdr:relSizeAnchor xmlns:cdr="http://schemas.openxmlformats.org/drawingml/2006/chartDrawing">
    <cdr:from>
      <cdr:x>0.4069</cdr:x>
      <cdr:y>0.27823</cdr:y>
    </cdr:from>
    <cdr:to>
      <cdr:x>0.9988</cdr:x>
      <cdr:y>0.32775</cdr:y>
    </cdr:to>
    <cdr:sp macro="" textlink="">
      <cdr:nvSpPr>
        <cdr:cNvPr id="109570" name="Teksti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01603" y="1102967"/>
          <a:ext cx="434118" cy="1957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wrap="none" lIns="18288" tIns="18288" rIns="18288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800" b="0" i="0" u="none" strike="noStrike" baseline="0">
              <a:solidFill>
                <a:srgbClr val="000000"/>
              </a:solidFill>
              <a:latin typeface="MS Sans Serif"/>
            </a:rPr>
            <a:t>KÄYNNIT TULOSUUNNITTAIN</a:t>
          </a:r>
        </a:p>
      </cdr:txBody>
    </cdr:sp>
  </cdr:relSizeAnchor>
  <cdr:relSizeAnchor xmlns:cdr="http://schemas.openxmlformats.org/drawingml/2006/chartDrawing">
    <cdr:from>
      <cdr:x>0.37666</cdr:x>
      <cdr:y>0</cdr:y>
    </cdr:from>
    <cdr:to>
      <cdr:x>0.51958</cdr:x>
      <cdr:y>0.06758</cdr:y>
    </cdr:to>
    <cdr:sp macro="" textlink="Yht7!$A$1">
      <cdr:nvSpPr>
        <cdr:cNvPr id="109571" name="Teksti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79426" y="-63000"/>
          <a:ext cx="104820" cy="26714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fld id="{EB67FDF5-5A23-453D-A6E5-728B6BE551D6}" type="TxLink">
            <a:rPr lang="fi-FI"/>
            <a:pPr/>
            <a:t> </a:t>
          </a:fld>
          <a:endParaRPr lang="fi-FI"/>
        </a:p>
      </cdr:txBody>
    </cdr:sp>
  </cdr:relSizeAnchor>
</c:userShapes>
</file>

<file path=xl/drawings/drawing93.xml><?xml version="1.0" encoding="utf-8"?>
<c:userShapes xmlns:c="http://schemas.openxmlformats.org/drawingml/2006/chart">
  <cdr:relSizeAnchor xmlns:cdr="http://schemas.openxmlformats.org/drawingml/2006/chartDrawing">
    <cdr:from>
      <cdr:x>0.19502</cdr:x>
      <cdr:y>0</cdr:y>
    </cdr:from>
    <cdr:to>
      <cdr:x>0.22025</cdr:x>
      <cdr:y>0.07485</cdr:y>
    </cdr:to>
    <cdr:sp macro="" textlink="">
      <cdr:nvSpPr>
        <cdr:cNvPr id="110593" name="Teksti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46207" y="-2035"/>
          <a:ext cx="18507" cy="19106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wrap="none" lIns="18288" tIns="18288" rIns="18288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600" b="0" i="0" u="none" strike="noStrike" baseline="0">
              <a:solidFill>
                <a:srgbClr val="000000"/>
              </a:solidFill>
              <a:latin typeface="MS Sans Serif"/>
            </a:rPr>
            <a:t>KORKEASAAREN ELÄINTARHA</a:t>
          </a:r>
        </a:p>
      </cdr:txBody>
    </cdr:sp>
  </cdr:relSizeAnchor>
  <cdr:relSizeAnchor xmlns:cdr="http://schemas.openxmlformats.org/drawingml/2006/chartDrawing">
    <cdr:from>
      <cdr:x>0.26942</cdr:x>
      <cdr:y>0.11011</cdr:y>
    </cdr:from>
    <cdr:to>
      <cdr:x>0.41233</cdr:x>
      <cdr:y>0.21456</cdr:y>
    </cdr:to>
    <cdr:sp macro="" textlink="Yht7!$A$1">
      <cdr:nvSpPr>
        <cdr:cNvPr id="110594" name="Teksti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00771" y="284258"/>
          <a:ext cx="104820" cy="26663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fld id="{05F945AE-CF5A-4E80-B93A-39D4DEAF5089}" type="TxLink">
            <a:rPr lang="fi-FI"/>
            <a:pPr/>
            <a:t> </a:t>
          </a:fld>
          <a:endParaRPr lang="fi-FI"/>
        </a:p>
      </cdr:txBody>
    </cdr:sp>
  </cdr:relSizeAnchor>
  <cdr:relSizeAnchor xmlns:cdr="http://schemas.openxmlformats.org/drawingml/2006/chartDrawing">
    <cdr:from>
      <cdr:x>0.25963</cdr:x>
      <cdr:y>0</cdr:y>
    </cdr:from>
    <cdr:to>
      <cdr:x>0.66206</cdr:x>
      <cdr:y>0.06859</cdr:y>
    </cdr:to>
    <cdr:sp macro="" textlink="">
      <cdr:nvSpPr>
        <cdr:cNvPr id="110595" name="Teksti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93592" y="-10636"/>
          <a:ext cx="295156" cy="17509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wrap="none" lIns="9144" tIns="18288" rIns="9144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500" b="0" i="0" u="none" strike="noStrike" baseline="0">
              <a:solidFill>
                <a:srgbClr val="000000"/>
              </a:solidFill>
              <a:latin typeface="Small Fonts"/>
            </a:rPr>
            <a:t>KUUKAUDEN PÄIVITTÄISET MAKSIMI-, MINIMI- JA KESKIMÄÄRÄISET KÄVIJÄMÄÄRÄT</a:t>
          </a:r>
        </a:p>
      </cdr:txBody>
    </cdr:sp>
  </cdr:relSizeAnchor>
</c:userShapes>
</file>

<file path=xl/drawings/drawing94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0</xdr:colOff>
      <xdr:row>11</xdr:row>
      <xdr:rowOff>19050</xdr:rowOff>
    </xdr:from>
    <xdr:to>
      <xdr:col>36</xdr:col>
      <xdr:colOff>0</xdr:colOff>
      <xdr:row>35</xdr:row>
      <xdr:rowOff>0</xdr:rowOff>
    </xdr:to>
    <xdr:graphicFrame macro="">
      <xdr:nvGraphicFramePr>
        <xdr:cNvPr id="11163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36</xdr:col>
      <xdr:colOff>0</xdr:colOff>
      <xdr:row>27</xdr:row>
      <xdr:rowOff>66675</xdr:rowOff>
    </xdr:from>
    <xdr:to>
      <xdr:col>36</xdr:col>
      <xdr:colOff>0</xdr:colOff>
      <xdr:row>40</xdr:row>
      <xdr:rowOff>57150</xdr:rowOff>
    </xdr:to>
    <xdr:graphicFrame macro="">
      <xdr:nvGraphicFramePr>
        <xdr:cNvPr id="111638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  <xdr:twoCellAnchor>
    <xdr:from>
      <xdr:col>36</xdr:col>
      <xdr:colOff>0</xdr:colOff>
      <xdr:row>41</xdr:row>
      <xdr:rowOff>0</xdr:rowOff>
    </xdr:from>
    <xdr:to>
      <xdr:col>36</xdr:col>
      <xdr:colOff>0</xdr:colOff>
      <xdr:row>46</xdr:row>
      <xdr:rowOff>142875</xdr:rowOff>
    </xdr:to>
    <xdr:graphicFrame macro="">
      <xdr:nvGraphicFramePr>
        <xdr:cNvPr id="111639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9525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111617" name="Button 1" hidden="1">
              <a:extLst>
                <a:ext uri="{63B3BB69-23CF-44E3-9099-C40C66FF867C}">
                  <a14:compatExt spid="_x0000_s1116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Tammi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111618" name="Button 2" hidden="1">
              <a:extLst>
                <a:ext uri="{63B3BB69-23CF-44E3-9099-C40C66FF867C}">
                  <a14:compatExt spid="_x0000_s1116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Tammi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111619" name="Button 3" hidden="1">
              <a:extLst>
                <a:ext uri="{63B3BB69-23CF-44E3-9099-C40C66FF867C}">
                  <a14:compatExt spid="_x0000_s1116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Maalis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111620" name="Button 4" hidden="1">
              <a:extLst>
                <a:ext uri="{63B3BB69-23CF-44E3-9099-C40C66FF867C}">
                  <a14:compatExt spid="_x0000_s1116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Huhti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111621" name="Button 5" hidden="1">
              <a:extLst>
                <a:ext uri="{63B3BB69-23CF-44E3-9099-C40C66FF867C}">
                  <a14:compatExt spid="_x0000_s1116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Touko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111622" name="Button 6" hidden="1">
              <a:extLst>
                <a:ext uri="{63B3BB69-23CF-44E3-9099-C40C66FF867C}">
                  <a14:compatExt spid="_x0000_s1116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Kesä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9525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111623" name="Button 7" hidden="1">
              <a:extLst>
                <a:ext uri="{63B3BB69-23CF-44E3-9099-C40C66FF867C}">
                  <a14:compatExt spid="_x0000_s1116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Helmi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111624" name="Button 8" hidden="1">
              <a:extLst>
                <a:ext uri="{63B3BB69-23CF-44E3-9099-C40C66FF867C}">
                  <a14:compatExt spid="_x0000_s1116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Heinä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111625" name="Button 9" hidden="1">
              <a:extLst>
                <a:ext uri="{63B3BB69-23CF-44E3-9099-C40C66FF867C}">
                  <a14:compatExt spid="_x0000_s1116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Syys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111626" name="Button 10" hidden="1">
              <a:extLst>
                <a:ext uri="{63B3BB69-23CF-44E3-9099-C40C66FF867C}">
                  <a14:compatExt spid="_x0000_s1116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Loka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111627" name="Button 11" hidden="1">
              <a:extLst>
                <a:ext uri="{63B3BB69-23CF-44E3-9099-C40C66FF867C}">
                  <a14:compatExt spid="_x0000_s1116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Marras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111628" name="Button 12" hidden="1">
              <a:extLst>
                <a:ext uri="{63B3BB69-23CF-44E3-9099-C40C66FF867C}">
                  <a14:compatExt spid="_x0000_s1116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Joulu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0</xdr:rowOff>
        </xdr:from>
        <xdr:to>
          <xdr:col>35</xdr:col>
          <xdr:colOff>0</xdr:colOff>
          <xdr:row>6</xdr:row>
          <xdr:rowOff>0</xdr:rowOff>
        </xdr:to>
        <xdr:sp macro="" textlink="">
          <xdr:nvSpPr>
            <xdr:cNvPr id="111629" name="Button 13" hidden="1">
              <a:extLst>
                <a:ext uri="{63B3BB69-23CF-44E3-9099-C40C66FF867C}">
                  <a14:compatExt spid="_x0000_s1116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Elo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5</xdr:row>
          <xdr:rowOff>123825</xdr:rowOff>
        </xdr:to>
        <xdr:sp macro="" textlink="">
          <xdr:nvSpPr>
            <xdr:cNvPr id="111630" name="Button 14" hidden="1">
              <a:extLst>
                <a:ext uri="{63B3BB69-23CF-44E3-9099-C40C66FF867C}">
                  <a14:compatExt spid="_x0000_s1116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Taulukko-yhteenveto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142875</xdr:rowOff>
        </xdr:from>
        <xdr:to>
          <xdr:col>35</xdr:col>
          <xdr:colOff>0</xdr:colOff>
          <xdr:row>12</xdr:row>
          <xdr:rowOff>19050</xdr:rowOff>
        </xdr:to>
        <xdr:sp macro="" textlink="">
          <xdr:nvSpPr>
            <xdr:cNvPr id="111631" name="Button 15" hidden="1">
              <a:extLst>
                <a:ext uri="{63B3BB69-23CF-44E3-9099-C40C66FF867C}">
                  <a14:compatExt spid="_x0000_s1116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Yhteen-sä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152400</xdr:rowOff>
        </xdr:from>
        <xdr:to>
          <xdr:col>35</xdr:col>
          <xdr:colOff>0</xdr:colOff>
          <xdr:row>12</xdr:row>
          <xdr:rowOff>0</xdr:rowOff>
        </xdr:to>
        <xdr:sp macro="" textlink="">
          <xdr:nvSpPr>
            <xdr:cNvPr id="111632" name="Button 16" hidden="1">
              <a:extLst>
                <a:ext uri="{63B3BB69-23CF-44E3-9099-C40C66FF867C}">
                  <a14:compatExt spid="_x0000_s1116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Vertailu edellis-vuoteen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142875</xdr:rowOff>
        </xdr:from>
        <xdr:to>
          <xdr:col>35</xdr:col>
          <xdr:colOff>0</xdr:colOff>
          <xdr:row>12</xdr:row>
          <xdr:rowOff>0</xdr:rowOff>
        </xdr:to>
        <xdr:sp macro="" textlink="">
          <xdr:nvSpPr>
            <xdr:cNvPr id="111633" name="Button 17" hidden="1">
              <a:extLst>
                <a:ext uri="{63B3BB69-23CF-44E3-9099-C40C66FF867C}">
                  <a14:compatExt spid="_x0000_s1116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Käynnit tulosuun-nittain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152400</xdr:rowOff>
        </xdr:from>
        <xdr:to>
          <xdr:col>35</xdr:col>
          <xdr:colOff>0</xdr:colOff>
          <xdr:row>12</xdr:row>
          <xdr:rowOff>19050</xdr:rowOff>
        </xdr:to>
        <xdr:sp macro="" textlink="">
          <xdr:nvSpPr>
            <xdr:cNvPr id="111634" name="Button 18" hidden="1">
              <a:extLst>
                <a:ext uri="{63B3BB69-23CF-44E3-9099-C40C66FF867C}">
                  <a14:compatExt spid="_x0000_s1116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Aikuiset lapset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152400</xdr:rowOff>
        </xdr:from>
        <xdr:to>
          <xdr:col>35</xdr:col>
          <xdr:colOff>0</xdr:colOff>
          <xdr:row>12</xdr:row>
          <xdr:rowOff>28575</xdr:rowOff>
        </xdr:to>
        <xdr:sp macro="" textlink="">
          <xdr:nvSpPr>
            <xdr:cNvPr id="111635" name="Button 19" hidden="1">
              <a:extLst>
                <a:ext uri="{63B3BB69-23CF-44E3-9099-C40C66FF867C}">
                  <a14:compatExt spid="_x0000_s1116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Maksimi  minimi keskim.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12</xdr:row>
          <xdr:rowOff>19050</xdr:rowOff>
        </xdr:to>
        <xdr:sp macro="" textlink="">
          <xdr:nvSpPr>
            <xdr:cNvPr id="111636" name="Button 20" hidden="1">
              <a:extLst>
                <a:ext uri="{63B3BB69-23CF-44E3-9099-C40C66FF867C}">
                  <a14:compatExt spid="_x0000_s1116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PALUU PÄÄ-   IKKUNAAN</a:t>
              </a:r>
            </a:p>
          </xdr:txBody>
        </xdr:sp>
        <xdr:clientData fPrintsWithSheet="0"/>
      </xdr:twoCellAnchor>
    </mc:Choice>
    <mc:Fallback/>
  </mc:AlternateContent>
</xdr:wsDr>
</file>

<file path=xl/drawings/drawing95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0.04831</cdr:y>
    </cdr:to>
    <cdr:sp macro="" textlink="">
      <cdr:nvSpPr>
        <cdr:cNvPr id="112641" name="Teksti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91837" y="-31175"/>
          <a:ext cx="1666913" cy="19095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27432" bIns="18288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800" b="0" i="0" u="none" strike="noStrike" baseline="0">
              <a:solidFill>
                <a:srgbClr val="000000"/>
              </a:solidFill>
              <a:latin typeface="MS Sans Serif"/>
            </a:rPr>
            <a:t>KORKEASAAREN ELÄINTARHA</a:t>
          </a:r>
        </a:p>
      </cdr:txBody>
    </cdr:sp>
  </cdr:relSizeAnchor>
  <cdr:relSizeAnchor xmlns:cdr="http://schemas.openxmlformats.org/drawingml/2006/chartDrawing">
    <cdr:from>
      <cdr:x>0.4069</cdr:x>
      <cdr:y>0.27823</cdr:y>
    </cdr:from>
    <cdr:to>
      <cdr:x>0.9988</cdr:x>
      <cdr:y>0.32775</cdr:y>
    </cdr:to>
    <cdr:sp macro="" textlink="">
      <cdr:nvSpPr>
        <cdr:cNvPr id="112642" name="Teksti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01603" y="1102967"/>
          <a:ext cx="434118" cy="1957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wrap="none" lIns="18288" tIns="18288" rIns="18288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800" b="0" i="0" u="none" strike="noStrike" baseline="0">
              <a:solidFill>
                <a:srgbClr val="000000"/>
              </a:solidFill>
              <a:latin typeface="MS Sans Serif"/>
            </a:rPr>
            <a:t>KÄYNNIT TULOSUUNNITTAIN</a:t>
          </a:r>
        </a:p>
      </cdr:txBody>
    </cdr:sp>
  </cdr:relSizeAnchor>
  <cdr:relSizeAnchor xmlns:cdr="http://schemas.openxmlformats.org/drawingml/2006/chartDrawing">
    <cdr:from>
      <cdr:x>0.37666</cdr:x>
      <cdr:y>0</cdr:y>
    </cdr:from>
    <cdr:to>
      <cdr:x>0.51958</cdr:x>
      <cdr:y>0.06758</cdr:y>
    </cdr:to>
    <cdr:sp macro="" textlink="Yht8!$A$1">
      <cdr:nvSpPr>
        <cdr:cNvPr id="112643" name="Teksti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79426" y="-61071"/>
          <a:ext cx="104820" cy="26714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fld id="{2C37C864-4C8A-43A6-AC5E-C772CC023C35}" type="TxLink">
            <a:rPr lang="fi-FI"/>
            <a:pPr/>
            <a:t> </a:t>
          </a:fld>
          <a:endParaRPr lang="fi-FI"/>
        </a:p>
      </cdr:txBody>
    </cdr:sp>
  </cdr:relSizeAnchor>
</c:userShapes>
</file>

<file path=xl/drawings/drawing96.xml><?xml version="1.0" encoding="utf-8"?>
<c:userShapes xmlns:c="http://schemas.openxmlformats.org/drawingml/2006/chart">
  <cdr:relSizeAnchor xmlns:cdr="http://schemas.openxmlformats.org/drawingml/2006/chartDrawing">
    <cdr:from>
      <cdr:x>0.19328</cdr:x>
      <cdr:y>0</cdr:y>
    </cdr:from>
    <cdr:to>
      <cdr:x>0.21612</cdr:x>
      <cdr:y>0.08087</cdr:y>
    </cdr:to>
    <cdr:sp macro="" textlink="">
      <cdr:nvSpPr>
        <cdr:cNvPr id="113665" name="Teksti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44931" y="-7564"/>
          <a:ext cx="16752" cy="2064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wrap="none" lIns="18288" tIns="18288" rIns="18288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600" b="0" i="0" u="none" strike="noStrike" baseline="0">
              <a:solidFill>
                <a:srgbClr val="000000"/>
              </a:solidFill>
              <a:latin typeface="MS Sans Serif"/>
            </a:rPr>
            <a:t>KORKEASAAREN ELÄINTARHA</a:t>
          </a:r>
        </a:p>
      </cdr:txBody>
    </cdr:sp>
  </cdr:relSizeAnchor>
  <cdr:relSizeAnchor xmlns:cdr="http://schemas.openxmlformats.org/drawingml/2006/chartDrawing">
    <cdr:from>
      <cdr:x>0.27094</cdr:x>
      <cdr:y>0.11902</cdr:y>
    </cdr:from>
    <cdr:to>
      <cdr:x>0.41386</cdr:x>
      <cdr:y>0.22347</cdr:y>
    </cdr:to>
    <cdr:sp macro="" textlink="Yht8!$A$1">
      <cdr:nvSpPr>
        <cdr:cNvPr id="113666" name="Teksti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01888" y="306989"/>
          <a:ext cx="104820" cy="26663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fld id="{0AE13106-7C9D-4267-AAD9-59BB72A5BF5F}" type="TxLink">
            <a:rPr lang="fi-FI"/>
            <a:pPr/>
            <a:t> </a:t>
          </a:fld>
          <a:endParaRPr lang="fi-FI"/>
        </a:p>
      </cdr:txBody>
    </cdr:sp>
  </cdr:relSizeAnchor>
  <cdr:relSizeAnchor xmlns:cdr="http://schemas.openxmlformats.org/drawingml/2006/chartDrawing">
    <cdr:from>
      <cdr:x>0.25114</cdr:x>
      <cdr:y>0</cdr:y>
    </cdr:from>
    <cdr:to>
      <cdr:x>0.65641</cdr:x>
      <cdr:y>0.07509</cdr:y>
    </cdr:to>
    <cdr:sp macro="" textlink="">
      <cdr:nvSpPr>
        <cdr:cNvPr id="113667" name="Teksti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87369" y="-18009"/>
          <a:ext cx="297230" cy="19168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wrap="none" lIns="9144" tIns="18288" rIns="9144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500" b="0" i="0" u="none" strike="noStrike" baseline="0">
              <a:solidFill>
                <a:srgbClr val="000000"/>
              </a:solidFill>
              <a:latin typeface="Small Fonts"/>
            </a:rPr>
            <a:t>KUUKAUDEN PÄIVITTÄISET MAKSIMI-, MINIMI- JA KESKIMÄÄRÄISET KÄVIJÄMÄÄRÄT</a:t>
          </a:r>
        </a:p>
      </cdr:txBody>
    </cdr:sp>
  </cdr:relSizeAnchor>
</c:userShapes>
</file>

<file path=xl/drawings/drawing97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0</xdr:colOff>
      <xdr:row>11</xdr:row>
      <xdr:rowOff>19050</xdr:rowOff>
    </xdr:from>
    <xdr:to>
      <xdr:col>36</xdr:col>
      <xdr:colOff>0</xdr:colOff>
      <xdr:row>35</xdr:row>
      <xdr:rowOff>0</xdr:rowOff>
    </xdr:to>
    <xdr:graphicFrame macro="">
      <xdr:nvGraphicFramePr>
        <xdr:cNvPr id="114709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36</xdr:col>
      <xdr:colOff>0</xdr:colOff>
      <xdr:row>27</xdr:row>
      <xdr:rowOff>66675</xdr:rowOff>
    </xdr:from>
    <xdr:to>
      <xdr:col>36</xdr:col>
      <xdr:colOff>0</xdr:colOff>
      <xdr:row>40</xdr:row>
      <xdr:rowOff>57150</xdr:rowOff>
    </xdr:to>
    <xdr:graphicFrame macro="">
      <xdr:nvGraphicFramePr>
        <xdr:cNvPr id="114710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  <xdr:twoCellAnchor>
    <xdr:from>
      <xdr:col>36</xdr:col>
      <xdr:colOff>0</xdr:colOff>
      <xdr:row>41</xdr:row>
      <xdr:rowOff>0</xdr:rowOff>
    </xdr:from>
    <xdr:to>
      <xdr:col>36</xdr:col>
      <xdr:colOff>0</xdr:colOff>
      <xdr:row>46</xdr:row>
      <xdr:rowOff>142875</xdr:rowOff>
    </xdr:to>
    <xdr:graphicFrame macro="">
      <xdr:nvGraphicFramePr>
        <xdr:cNvPr id="114711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9525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114689" name="Button 1" hidden="1">
              <a:extLst>
                <a:ext uri="{63B3BB69-23CF-44E3-9099-C40C66FF867C}">
                  <a14:compatExt spid="_x0000_s1146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Tammi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114690" name="Button 2" hidden="1">
              <a:extLst>
                <a:ext uri="{63B3BB69-23CF-44E3-9099-C40C66FF867C}">
                  <a14:compatExt spid="_x0000_s1146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Tammi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114691" name="Button 3" hidden="1">
              <a:extLst>
                <a:ext uri="{63B3BB69-23CF-44E3-9099-C40C66FF867C}">
                  <a14:compatExt spid="_x0000_s1146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Maalis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114692" name="Button 4" hidden="1">
              <a:extLst>
                <a:ext uri="{63B3BB69-23CF-44E3-9099-C40C66FF867C}">
                  <a14:compatExt spid="_x0000_s1146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Huhti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114693" name="Button 5" hidden="1">
              <a:extLst>
                <a:ext uri="{63B3BB69-23CF-44E3-9099-C40C66FF867C}">
                  <a14:compatExt spid="_x0000_s1146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Touko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114694" name="Button 6" hidden="1">
              <a:extLst>
                <a:ext uri="{63B3BB69-23CF-44E3-9099-C40C66FF867C}">
                  <a14:compatExt spid="_x0000_s1146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Kesä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9525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114695" name="Button 7" hidden="1">
              <a:extLst>
                <a:ext uri="{63B3BB69-23CF-44E3-9099-C40C66FF867C}">
                  <a14:compatExt spid="_x0000_s1146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Helmi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114696" name="Button 8" hidden="1">
              <a:extLst>
                <a:ext uri="{63B3BB69-23CF-44E3-9099-C40C66FF867C}">
                  <a14:compatExt spid="_x0000_s1146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Heinä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114697" name="Button 9" hidden="1">
              <a:extLst>
                <a:ext uri="{63B3BB69-23CF-44E3-9099-C40C66FF867C}">
                  <a14:compatExt spid="_x0000_s1146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Syys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114698" name="Button 10" hidden="1">
              <a:extLst>
                <a:ext uri="{63B3BB69-23CF-44E3-9099-C40C66FF867C}">
                  <a14:compatExt spid="_x0000_s1146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Loka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114699" name="Button 11" hidden="1">
              <a:extLst>
                <a:ext uri="{63B3BB69-23CF-44E3-9099-C40C66FF867C}">
                  <a14:compatExt spid="_x0000_s1146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Marras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114700" name="Button 12" hidden="1">
              <a:extLst>
                <a:ext uri="{63B3BB69-23CF-44E3-9099-C40C66FF867C}">
                  <a14:compatExt spid="_x0000_s1147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Joulu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0</xdr:rowOff>
        </xdr:from>
        <xdr:to>
          <xdr:col>35</xdr:col>
          <xdr:colOff>0</xdr:colOff>
          <xdr:row>6</xdr:row>
          <xdr:rowOff>0</xdr:rowOff>
        </xdr:to>
        <xdr:sp macro="" textlink="">
          <xdr:nvSpPr>
            <xdr:cNvPr id="114701" name="Button 13" hidden="1">
              <a:extLst>
                <a:ext uri="{63B3BB69-23CF-44E3-9099-C40C66FF867C}">
                  <a14:compatExt spid="_x0000_s1147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Elo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5</xdr:row>
          <xdr:rowOff>123825</xdr:rowOff>
        </xdr:to>
        <xdr:sp macro="" textlink="">
          <xdr:nvSpPr>
            <xdr:cNvPr id="114702" name="Button 14" hidden="1">
              <a:extLst>
                <a:ext uri="{63B3BB69-23CF-44E3-9099-C40C66FF867C}">
                  <a14:compatExt spid="_x0000_s1147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Taulukko-yhteenveto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142875</xdr:rowOff>
        </xdr:from>
        <xdr:to>
          <xdr:col>35</xdr:col>
          <xdr:colOff>0</xdr:colOff>
          <xdr:row>12</xdr:row>
          <xdr:rowOff>19050</xdr:rowOff>
        </xdr:to>
        <xdr:sp macro="" textlink="">
          <xdr:nvSpPr>
            <xdr:cNvPr id="114703" name="Button 15" hidden="1">
              <a:extLst>
                <a:ext uri="{63B3BB69-23CF-44E3-9099-C40C66FF867C}">
                  <a14:compatExt spid="_x0000_s1147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Yhteen-sä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152400</xdr:rowOff>
        </xdr:from>
        <xdr:to>
          <xdr:col>35</xdr:col>
          <xdr:colOff>0</xdr:colOff>
          <xdr:row>12</xdr:row>
          <xdr:rowOff>0</xdr:rowOff>
        </xdr:to>
        <xdr:sp macro="" textlink="">
          <xdr:nvSpPr>
            <xdr:cNvPr id="114704" name="Button 16" hidden="1">
              <a:extLst>
                <a:ext uri="{63B3BB69-23CF-44E3-9099-C40C66FF867C}">
                  <a14:compatExt spid="_x0000_s1147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Vertailu edellis-vuoteen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142875</xdr:rowOff>
        </xdr:from>
        <xdr:to>
          <xdr:col>35</xdr:col>
          <xdr:colOff>0</xdr:colOff>
          <xdr:row>12</xdr:row>
          <xdr:rowOff>0</xdr:rowOff>
        </xdr:to>
        <xdr:sp macro="" textlink="">
          <xdr:nvSpPr>
            <xdr:cNvPr id="114705" name="Button 17" hidden="1">
              <a:extLst>
                <a:ext uri="{63B3BB69-23CF-44E3-9099-C40C66FF867C}">
                  <a14:compatExt spid="_x0000_s1147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Käynnit tulosuun-nittain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152400</xdr:rowOff>
        </xdr:from>
        <xdr:to>
          <xdr:col>35</xdr:col>
          <xdr:colOff>0</xdr:colOff>
          <xdr:row>12</xdr:row>
          <xdr:rowOff>19050</xdr:rowOff>
        </xdr:to>
        <xdr:sp macro="" textlink="">
          <xdr:nvSpPr>
            <xdr:cNvPr id="114706" name="Button 18" hidden="1">
              <a:extLst>
                <a:ext uri="{63B3BB69-23CF-44E3-9099-C40C66FF867C}">
                  <a14:compatExt spid="_x0000_s1147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Aikuiset lapset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152400</xdr:rowOff>
        </xdr:from>
        <xdr:to>
          <xdr:col>35</xdr:col>
          <xdr:colOff>0</xdr:colOff>
          <xdr:row>12</xdr:row>
          <xdr:rowOff>28575</xdr:rowOff>
        </xdr:to>
        <xdr:sp macro="" textlink="">
          <xdr:nvSpPr>
            <xdr:cNvPr id="114707" name="Button 19" hidden="1">
              <a:extLst>
                <a:ext uri="{63B3BB69-23CF-44E3-9099-C40C66FF867C}">
                  <a14:compatExt spid="_x0000_s1147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Maksimi  minimi keskim.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12</xdr:row>
          <xdr:rowOff>19050</xdr:rowOff>
        </xdr:to>
        <xdr:sp macro="" textlink="">
          <xdr:nvSpPr>
            <xdr:cNvPr id="114708" name="Button 20" hidden="1">
              <a:extLst>
                <a:ext uri="{63B3BB69-23CF-44E3-9099-C40C66FF867C}">
                  <a14:compatExt spid="_x0000_s1147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PALUU PÄÄ-   IKKUNAAN</a:t>
              </a:r>
            </a:p>
          </xdr:txBody>
        </xdr:sp>
        <xdr:clientData fPrintsWithSheet="0"/>
      </xdr:twoCellAnchor>
    </mc:Choice>
    <mc:Fallback/>
  </mc:AlternateContent>
</xdr:wsDr>
</file>

<file path=xl/drawings/drawing9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0.04831</cdr:y>
    </cdr:to>
    <cdr:sp macro="" textlink="">
      <cdr:nvSpPr>
        <cdr:cNvPr id="115713" name="Teksti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91837" y="-31175"/>
          <a:ext cx="1666913" cy="19095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27432" bIns="18288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800" b="0" i="0" u="none" strike="noStrike" baseline="0">
              <a:solidFill>
                <a:srgbClr val="000000"/>
              </a:solidFill>
              <a:latin typeface="MS Sans Serif"/>
            </a:rPr>
            <a:t>KORKEASAAREN ELÄINTARHA</a:t>
          </a:r>
        </a:p>
      </cdr:txBody>
    </cdr:sp>
  </cdr:relSizeAnchor>
  <cdr:relSizeAnchor xmlns:cdr="http://schemas.openxmlformats.org/drawingml/2006/chartDrawing">
    <cdr:from>
      <cdr:x>0.4069</cdr:x>
      <cdr:y>0.27823</cdr:y>
    </cdr:from>
    <cdr:to>
      <cdr:x>0.9988</cdr:x>
      <cdr:y>0.32775</cdr:y>
    </cdr:to>
    <cdr:sp macro="" textlink="">
      <cdr:nvSpPr>
        <cdr:cNvPr id="115714" name="Teksti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01603" y="1102967"/>
          <a:ext cx="434118" cy="1957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wrap="none" lIns="18288" tIns="18288" rIns="18288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800" b="0" i="0" u="none" strike="noStrike" baseline="0">
              <a:solidFill>
                <a:srgbClr val="000000"/>
              </a:solidFill>
              <a:latin typeface="MS Sans Serif"/>
            </a:rPr>
            <a:t>KÄYNNIT TULOSUUNNITTAIN</a:t>
          </a:r>
        </a:p>
      </cdr:txBody>
    </cdr:sp>
  </cdr:relSizeAnchor>
  <cdr:relSizeAnchor xmlns:cdr="http://schemas.openxmlformats.org/drawingml/2006/chartDrawing">
    <cdr:from>
      <cdr:x>0.37666</cdr:x>
      <cdr:y>0</cdr:y>
    </cdr:from>
    <cdr:to>
      <cdr:x>0.51958</cdr:x>
      <cdr:y>0.06758</cdr:y>
    </cdr:to>
    <cdr:sp macro="" textlink="Yht9!$A$1">
      <cdr:nvSpPr>
        <cdr:cNvPr id="115715" name="Teksti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79426" y="-61071"/>
          <a:ext cx="104820" cy="26714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fld id="{9628CB69-53EC-4368-A8E7-653640742021}" type="TxLink">
            <a:rPr lang="fi-FI"/>
            <a:pPr/>
            <a:t> </a:t>
          </a:fld>
          <a:endParaRPr lang="fi-FI"/>
        </a:p>
      </cdr:txBody>
    </cdr:sp>
  </cdr:relSizeAnchor>
</c:userShapes>
</file>

<file path=xl/drawings/drawing99.xml><?xml version="1.0" encoding="utf-8"?>
<c:userShapes xmlns:c="http://schemas.openxmlformats.org/drawingml/2006/chart">
  <cdr:relSizeAnchor xmlns:cdr="http://schemas.openxmlformats.org/drawingml/2006/chartDrawing">
    <cdr:from>
      <cdr:x>0.1948</cdr:x>
      <cdr:y>0</cdr:y>
    </cdr:from>
    <cdr:to>
      <cdr:x>0.22025</cdr:x>
      <cdr:y>0.07509</cdr:y>
    </cdr:to>
    <cdr:sp macro="" textlink="">
      <cdr:nvSpPr>
        <cdr:cNvPr id="116737" name="Teksti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46048" y="-2650"/>
          <a:ext cx="18666" cy="19168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wrap="none" lIns="18288" tIns="18288" rIns="18288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600" b="0" i="0" u="none" strike="noStrike" baseline="0">
              <a:solidFill>
                <a:srgbClr val="000000"/>
              </a:solidFill>
              <a:latin typeface="MS Sans Serif"/>
            </a:rPr>
            <a:t>KORKEASAAREN ELÄINTARHA</a:t>
          </a:r>
        </a:p>
      </cdr:txBody>
    </cdr:sp>
  </cdr:relSizeAnchor>
  <cdr:relSizeAnchor xmlns:cdr="http://schemas.openxmlformats.org/drawingml/2006/chartDrawing">
    <cdr:from>
      <cdr:x>0.26942</cdr:x>
      <cdr:y>0.11035</cdr:y>
    </cdr:from>
    <cdr:to>
      <cdr:x>0.41233</cdr:x>
      <cdr:y>0.2148</cdr:y>
    </cdr:to>
    <cdr:sp macro="" textlink="Yht9!$A$1">
      <cdr:nvSpPr>
        <cdr:cNvPr id="116738" name="Teksti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00771" y="284872"/>
          <a:ext cx="104820" cy="26663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fld id="{5643202B-220D-44BF-B577-B505D2C33AB1}" type="TxLink">
            <a:rPr lang="fi-FI"/>
            <a:pPr/>
            <a:t> </a:t>
          </a:fld>
          <a:endParaRPr lang="fi-FI"/>
        </a:p>
      </cdr:txBody>
    </cdr:sp>
  </cdr:relSizeAnchor>
  <cdr:relSizeAnchor xmlns:cdr="http://schemas.openxmlformats.org/drawingml/2006/chartDrawing">
    <cdr:from>
      <cdr:x>0.25963</cdr:x>
      <cdr:y>0</cdr:y>
    </cdr:from>
    <cdr:to>
      <cdr:x>0.66206</cdr:x>
      <cdr:y>0.06835</cdr:y>
    </cdr:to>
    <cdr:sp macro="" textlink="">
      <cdr:nvSpPr>
        <cdr:cNvPr id="116739" name="Teksti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93592" y="-10022"/>
          <a:ext cx="295156" cy="17447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wrap="none" lIns="9144" tIns="18288" rIns="9144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500" b="0" i="0" u="none" strike="noStrike" baseline="0">
              <a:solidFill>
                <a:srgbClr val="000000"/>
              </a:solidFill>
              <a:latin typeface="Small Fonts"/>
            </a:rPr>
            <a:t>KUUKAUDEN PÄIVITTÄISET MAKSIMI-, MINIMI- JA KESKIMÄÄRÄISET KÄVIJÄMÄÄRÄT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ILARI/PROJEKTI/KTMAKRO.XL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TMAKRO"/>
    </sheetNames>
    <definedNames>
      <definedName name="GRAFIIKKA1" refersTo="='KTMAKRO'!$N$1"/>
      <definedName name="Grafiikka2" refersTo="='KTMAKRO'!$O$1"/>
      <definedName name="Grafiikka4" refersTo="='KTMAKRO'!$R$1"/>
      <definedName name="Grafiikka5" refersTo="#VIITTAUS!"/>
      <definedName name="HELMI" refersTo="='KTMAKRO'!$B$1"/>
      <definedName name="KESÄ" refersTo="='KTMAKRO'!$F$1:$F$3"/>
      <definedName name="MAALIS" refersTo="='KTMAKRO'!$C$1"/>
      <definedName name="Perusikkuna" refersTo="='KTMAKRO'!$T$1"/>
      <definedName name="TAMMI" refersTo="='KTMAKRO'!$A$1"/>
      <definedName name="Yhteenveto" refersTo="='KTMAKRO'!$M$3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44.xml"/><Relationship Id="rId13" Type="http://schemas.openxmlformats.org/officeDocument/2006/relationships/ctrlProp" Target="../ctrlProps/ctrlProp149.xml"/><Relationship Id="rId18" Type="http://schemas.openxmlformats.org/officeDocument/2006/relationships/ctrlProp" Target="../ctrlProps/ctrlProp154.xml"/><Relationship Id="rId3" Type="http://schemas.openxmlformats.org/officeDocument/2006/relationships/vmlDrawing" Target="../drawings/vmlDrawing8.vml"/><Relationship Id="rId21" Type="http://schemas.openxmlformats.org/officeDocument/2006/relationships/ctrlProp" Target="../ctrlProps/ctrlProp157.xml"/><Relationship Id="rId7" Type="http://schemas.openxmlformats.org/officeDocument/2006/relationships/ctrlProp" Target="../ctrlProps/ctrlProp143.xml"/><Relationship Id="rId12" Type="http://schemas.openxmlformats.org/officeDocument/2006/relationships/ctrlProp" Target="../ctrlProps/ctrlProp148.xml"/><Relationship Id="rId17" Type="http://schemas.openxmlformats.org/officeDocument/2006/relationships/ctrlProp" Target="../ctrlProps/ctrlProp153.xml"/><Relationship Id="rId2" Type="http://schemas.openxmlformats.org/officeDocument/2006/relationships/drawing" Target="../drawings/drawing25.xml"/><Relationship Id="rId16" Type="http://schemas.openxmlformats.org/officeDocument/2006/relationships/ctrlProp" Target="../ctrlProps/ctrlProp152.xml"/><Relationship Id="rId20" Type="http://schemas.openxmlformats.org/officeDocument/2006/relationships/ctrlProp" Target="../ctrlProps/ctrlProp156.xml"/><Relationship Id="rId1" Type="http://schemas.openxmlformats.org/officeDocument/2006/relationships/printerSettings" Target="../printerSettings/printerSettings12.bin"/><Relationship Id="rId6" Type="http://schemas.openxmlformats.org/officeDocument/2006/relationships/ctrlProp" Target="../ctrlProps/ctrlProp142.xml"/><Relationship Id="rId11" Type="http://schemas.openxmlformats.org/officeDocument/2006/relationships/ctrlProp" Target="../ctrlProps/ctrlProp147.xml"/><Relationship Id="rId5" Type="http://schemas.openxmlformats.org/officeDocument/2006/relationships/ctrlProp" Target="../ctrlProps/ctrlProp141.xml"/><Relationship Id="rId15" Type="http://schemas.openxmlformats.org/officeDocument/2006/relationships/ctrlProp" Target="../ctrlProps/ctrlProp151.xml"/><Relationship Id="rId23" Type="http://schemas.openxmlformats.org/officeDocument/2006/relationships/ctrlProp" Target="../ctrlProps/ctrlProp159.xml"/><Relationship Id="rId10" Type="http://schemas.openxmlformats.org/officeDocument/2006/relationships/ctrlProp" Target="../ctrlProps/ctrlProp146.xml"/><Relationship Id="rId19" Type="http://schemas.openxmlformats.org/officeDocument/2006/relationships/ctrlProp" Target="../ctrlProps/ctrlProp155.xml"/><Relationship Id="rId4" Type="http://schemas.openxmlformats.org/officeDocument/2006/relationships/ctrlProp" Target="../ctrlProps/ctrlProp140.xml"/><Relationship Id="rId9" Type="http://schemas.openxmlformats.org/officeDocument/2006/relationships/ctrlProp" Target="../ctrlProps/ctrlProp145.xml"/><Relationship Id="rId14" Type="http://schemas.openxmlformats.org/officeDocument/2006/relationships/ctrlProp" Target="../ctrlProps/ctrlProp150.xml"/><Relationship Id="rId22" Type="http://schemas.openxmlformats.org/officeDocument/2006/relationships/ctrlProp" Target="../ctrlProps/ctrlProp158.xm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64.xml"/><Relationship Id="rId13" Type="http://schemas.openxmlformats.org/officeDocument/2006/relationships/ctrlProp" Target="../ctrlProps/ctrlProp169.xml"/><Relationship Id="rId18" Type="http://schemas.openxmlformats.org/officeDocument/2006/relationships/ctrlProp" Target="../ctrlProps/ctrlProp174.xml"/><Relationship Id="rId3" Type="http://schemas.openxmlformats.org/officeDocument/2006/relationships/vmlDrawing" Target="../drawings/vmlDrawing9.vml"/><Relationship Id="rId21" Type="http://schemas.openxmlformats.org/officeDocument/2006/relationships/ctrlProp" Target="../ctrlProps/ctrlProp177.xml"/><Relationship Id="rId7" Type="http://schemas.openxmlformats.org/officeDocument/2006/relationships/ctrlProp" Target="../ctrlProps/ctrlProp163.xml"/><Relationship Id="rId12" Type="http://schemas.openxmlformats.org/officeDocument/2006/relationships/ctrlProp" Target="../ctrlProps/ctrlProp168.xml"/><Relationship Id="rId17" Type="http://schemas.openxmlformats.org/officeDocument/2006/relationships/ctrlProp" Target="../ctrlProps/ctrlProp173.xml"/><Relationship Id="rId2" Type="http://schemas.openxmlformats.org/officeDocument/2006/relationships/drawing" Target="../drawings/drawing28.xml"/><Relationship Id="rId16" Type="http://schemas.openxmlformats.org/officeDocument/2006/relationships/ctrlProp" Target="../ctrlProps/ctrlProp172.xml"/><Relationship Id="rId20" Type="http://schemas.openxmlformats.org/officeDocument/2006/relationships/ctrlProp" Target="../ctrlProps/ctrlProp176.xml"/><Relationship Id="rId1" Type="http://schemas.openxmlformats.org/officeDocument/2006/relationships/printerSettings" Target="../printerSettings/printerSettings13.bin"/><Relationship Id="rId6" Type="http://schemas.openxmlformats.org/officeDocument/2006/relationships/ctrlProp" Target="../ctrlProps/ctrlProp162.xml"/><Relationship Id="rId11" Type="http://schemas.openxmlformats.org/officeDocument/2006/relationships/ctrlProp" Target="../ctrlProps/ctrlProp167.xml"/><Relationship Id="rId5" Type="http://schemas.openxmlformats.org/officeDocument/2006/relationships/ctrlProp" Target="../ctrlProps/ctrlProp161.xml"/><Relationship Id="rId15" Type="http://schemas.openxmlformats.org/officeDocument/2006/relationships/ctrlProp" Target="../ctrlProps/ctrlProp171.xml"/><Relationship Id="rId23" Type="http://schemas.openxmlformats.org/officeDocument/2006/relationships/ctrlProp" Target="../ctrlProps/ctrlProp179.xml"/><Relationship Id="rId10" Type="http://schemas.openxmlformats.org/officeDocument/2006/relationships/ctrlProp" Target="../ctrlProps/ctrlProp166.xml"/><Relationship Id="rId19" Type="http://schemas.openxmlformats.org/officeDocument/2006/relationships/ctrlProp" Target="../ctrlProps/ctrlProp175.xml"/><Relationship Id="rId4" Type="http://schemas.openxmlformats.org/officeDocument/2006/relationships/ctrlProp" Target="../ctrlProps/ctrlProp160.xml"/><Relationship Id="rId9" Type="http://schemas.openxmlformats.org/officeDocument/2006/relationships/ctrlProp" Target="../ctrlProps/ctrlProp165.xml"/><Relationship Id="rId14" Type="http://schemas.openxmlformats.org/officeDocument/2006/relationships/ctrlProp" Target="../ctrlProps/ctrlProp170.xml"/><Relationship Id="rId22" Type="http://schemas.openxmlformats.org/officeDocument/2006/relationships/ctrlProp" Target="../ctrlProps/ctrlProp178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84.xml"/><Relationship Id="rId13" Type="http://schemas.openxmlformats.org/officeDocument/2006/relationships/ctrlProp" Target="../ctrlProps/ctrlProp189.xml"/><Relationship Id="rId18" Type="http://schemas.openxmlformats.org/officeDocument/2006/relationships/ctrlProp" Target="../ctrlProps/ctrlProp194.xml"/><Relationship Id="rId3" Type="http://schemas.openxmlformats.org/officeDocument/2006/relationships/vmlDrawing" Target="../drawings/vmlDrawing10.vml"/><Relationship Id="rId21" Type="http://schemas.openxmlformats.org/officeDocument/2006/relationships/ctrlProp" Target="../ctrlProps/ctrlProp197.xml"/><Relationship Id="rId7" Type="http://schemas.openxmlformats.org/officeDocument/2006/relationships/ctrlProp" Target="../ctrlProps/ctrlProp183.xml"/><Relationship Id="rId12" Type="http://schemas.openxmlformats.org/officeDocument/2006/relationships/ctrlProp" Target="../ctrlProps/ctrlProp188.xml"/><Relationship Id="rId17" Type="http://schemas.openxmlformats.org/officeDocument/2006/relationships/ctrlProp" Target="../ctrlProps/ctrlProp193.xml"/><Relationship Id="rId2" Type="http://schemas.openxmlformats.org/officeDocument/2006/relationships/drawing" Target="../drawings/drawing31.xml"/><Relationship Id="rId16" Type="http://schemas.openxmlformats.org/officeDocument/2006/relationships/ctrlProp" Target="../ctrlProps/ctrlProp192.xml"/><Relationship Id="rId20" Type="http://schemas.openxmlformats.org/officeDocument/2006/relationships/ctrlProp" Target="../ctrlProps/ctrlProp196.xml"/><Relationship Id="rId1" Type="http://schemas.openxmlformats.org/officeDocument/2006/relationships/printerSettings" Target="../printerSettings/printerSettings14.bin"/><Relationship Id="rId6" Type="http://schemas.openxmlformats.org/officeDocument/2006/relationships/ctrlProp" Target="../ctrlProps/ctrlProp182.xml"/><Relationship Id="rId11" Type="http://schemas.openxmlformats.org/officeDocument/2006/relationships/ctrlProp" Target="../ctrlProps/ctrlProp187.xml"/><Relationship Id="rId5" Type="http://schemas.openxmlformats.org/officeDocument/2006/relationships/ctrlProp" Target="../ctrlProps/ctrlProp181.xml"/><Relationship Id="rId15" Type="http://schemas.openxmlformats.org/officeDocument/2006/relationships/ctrlProp" Target="../ctrlProps/ctrlProp191.xml"/><Relationship Id="rId23" Type="http://schemas.openxmlformats.org/officeDocument/2006/relationships/ctrlProp" Target="../ctrlProps/ctrlProp199.xml"/><Relationship Id="rId10" Type="http://schemas.openxmlformats.org/officeDocument/2006/relationships/ctrlProp" Target="../ctrlProps/ctrlProp186.xml"/><Relationship Id="rId19" Type="http://schemas.openxmlformats.org/officeDocument/2006/relationships/ctrlProp" Target="../ctrlProps/ctrlProp195.xml"/><Relationship Id="rId4" Type="http://schemas.openxmlformats.org/officeDocument/2006/relationships/ctrlProp" Target="../ctrlProps/ctrlProp180.xml"/><Relationship Id="rId9" Type="http://schemas.openxmlformats.org/officeDocument/2006/relationships/ctrlProp" Target="../ctrlProps/ctrlProp185.xml"/><Relationship Id="rId14" Type="http://schemas.openxmlformats.org/officeDocument/2006/relationships/ctrlProp" Target="../ctrlProps/ctrlProp190.xml"/><Relationship Id="rId22" Type="http://schemas.openxmlformats.org/officeDocument/2006/relationships/ctrlProp" Target="../ctrlProps/ctrlProp198.x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04.xml"/><Relationship Id="rId13" Type="http://schemas.openxmlformats.org/officeDocument/2006/relationships/ctrlProp" Target="../ctrlProps/ctrlProp209.xml"/><Relationship Id="rId18" Type="http://schemas.openxmlformats.org/officeDocument/2006/relationships/ctrlProp" Target="../ctrlProps/ctrlProp214.xml"/><Relationship Id="rId3" Type="http://schemas.openxmlformats.org/officeDocument/2006/relationships/vmlDrawing" Target="../drawings/vmlDrawing11.vml"/><Relationship Id="rId21" Type="http://schemas.openxmlformats.org/officeDocument/2006/relationships/ctrlProp" Target="../ctrlProps/ctrlProp217.xml"/><Relationship Id="rId7" Type="http://schemas.openxmlformats.org/officeDocument/2006/relationships/ctrlProp" Target="../ctrlProps/ctrlProp203.xml"/><Relationship Id="rId12" Type="http://schemas.openxmlformats.org/officeDocument/2006/relationships/ctrlProp" Target="../ctrlProps/ctrlProp208.xml"/><Relationship Id="rId17" Type="http://schemas.openxmlformats.org/officeDocument/2006/relationships/ctrlProp" Target="../ctrlProps/ctrlProp213.xml"/><Relationship Id="rId2" Type="http://schemas.openxmlformats.org/officeDocument/2006/relationships/drawing" Target="../drawings/drawing34.xml"/><Relationship Id="rId16" Type="http://schemas.openxmlformats.org/officeDocument/2006/relationships/ctrlProp" Target="../ctrlProps/ctrlProp212.xml"/><Relationship Id="rId20" Type="http://schemas.openxmlformats.org/officeDocument/2006/relationships/ctrlProp" Target="../ctrlProps/ctrlProp216.xml"/><Relationship Id="rId1" Type="http://schemas.openxmlformats.org/officeDocument/2006/relationships/printerSettings" Target="../printerSettings/printerSettings15.bin"/><Relationship Id="rId6" Type="http://schemas.openxmlformats.org/officeDocument/2006/relationships/ctrlProp" Target="../ctrlProps/ctrlProp202.xml"/><Relationship Id="rId11" Type="http://schemas.openxmlformats.org/officeDocument/2006/relationships/ctrlProp" Target="../ctrlProps/ctrlProp207.xml"/><Relationship Id="rId5" Type="http://schemas.openxmlformats.org/officeDocument/2006/relationships/ctrlProp" Target="../ctrlProps/ctrlProp201.xml"/><Relationship Id="rId15" Type="http://schemas.openxmlformats.org/officeDocument/2006/relationships/ctrlProp" Target="../ctrlProps/ctrlProp211.xml"/><Relationship Id="rId23" Type="http://schemas.openxmlformats.org/officeDocument/2006/relationships/ctrlProp" Target="../ctrlProps/ctrlProp219.xml"/><Relationship Id="rId10" Type="http://schemas.openxmlformats.org/officeDocument/2006/relationships/ctrlProp" Target="../ctrlProps/ctrlProp206.xml"/><Relationship Id="rId19" Type="http://schemas.openxmlformats.org/officeDocument/2006/relationships/ctrlProp" Target="../ctrlProps/ctrlProp215.xml"/><Relationship Id="rId4" Type="http://schemas.openxmlformats.org/officeDocument/2006/relationships/ctrlProp" Target="../ctrlProps/ctrlProp200.xml"/><Relationship Id="rId9" Type="http://schemas.openxmlformats.org/officeDocument/2006/relationships/ctrlProp" Target="../ctrlProps/ctrlProp205.xml"/><Relationship Id="rId14" Type="http://schemas.openxmlformats.org/officeDocument/2006/relationships/ctrlProp" Target="../ctrlProps/ctrlProp210.xml"/><Relationship Id="rId22" Type="http://schemas.openxmlformats.org/officeDocument/2006/relationships/ctrlProp" Target="../ctrlProps/ctrlProp218.xm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24.xml"/><Relationship Id="rId13" Type="http://schemas.openxmlformats.org/officeDocument/2006/relationships/ctrlProp" Target="../ctrlProps/ctrlProp229.xml"/><Relationship Id="rId18" Type="http://schemas.openxmlformats.org/officeDocument/2006/relationships/ctrlProp" Target="../ctrlProps/ctrlProp234.xml"/><Relationship Id="rId3" Type="http://schemas.openxmlformats.org/officeDocument/2006/relationships/vmlDrawing" Target="../drawings/vmlDrawing12.vml"/><Relationship Id="rId21" Type="http://schemas.openxmlformats.org/officeDocument/2006/relationships/ctrlProp" Target="../ctrlProps/ctrlProp237.xml"/><Relationship Id="rId7" Type="http://schemas.openxmlformats.org/officeDocument/2006/relationships/ctrlProp" Target="../ctrlProps/ctrlProp223.xml"/><Relationship Id="rId12" Type="http://schemas.openxmlformats.org/officeDocument/2006/relationships/ctrlProp" Target="../ctrlProps/ctrlProp228.xml"/><Relationship Id="rId17" Type="http://schemas.openxmlformats.org/officeDocument/2006/relationships/ctrlProp" Target="../ctrlProps/ctrlProp233.xml"/><Relationship Id="rId2" Type="http://schemas.openxmlformats.org/officeDocument/2006/relationships/drawing" Target="../drawings/drawing37.xml"/><Relationship Id="rId16" Type="http://schemas.openxmlformats.org/officeDocument/2006/relationships/ctrlProp" Target="../ctrlProps/ctrlProp232.xml"/><Relationship Id="rId20" Type="http://schemas.openxmlformats.org/officeDocument/2006/relationships/ctrlProp" Target="../ctrlProps/ctrlProp236.xml"/><Relationship Id="rId1" Type="http://schemas.openxmlformats.org/officeDocument/2006/relationships/printerSettings" Target="../printerSettings/printerSettings16.bin"/><Relationship Id="rId6" Type="http://schemas.openxmlformats.org/officeDocument/2006/relationships/ctrlProp" Target="../ctrlProps/ctrlProp222.xml"/><Relationship Id="rId11" Type="http://schemas.openxmlformats.org/officeDocument/2006/relationships/ctrlProp" Target="../ctrlProps/ctrlProp227.xml"/><Relationship Id="rId5" Type="http://schemas.openxmlformats.org/officeDocument/2006/relationships/ctrlProp" Target="../ctrlProps/ctrlProp221.xml"/><Relationship Id="rId15" Type="http://schemas.openxmlformats.org/officeDocument/2006/relationships/ctrlProp" Target="../ctrlProps/ctrlProp231.xml"/><Relationship Id="rId23" Type="http://schemas.openxmlformats.org/officeDocument/2006/relationships/ctrlProp" Target="../ctrlProps/ctrlProp239.xml"/><Relationship Id="rId10" Type="http://schemas.openxmlformats.org/officeDocument/2006/relationships/ctrlProp" Target="../ctrlProps/ctrlProp226.xml"/><Relationship Id="rId19" Type="http://schemas.openxmlformats.org/officeDocument/2006/relationships/ctrlProp" Target="../ctrlProps/ctrlProp235.xml"/><Relationship Id="rId4" Type="http://schemas.openxmlformats.org/officeDocument/2006/relationships/ctrlProp" Target="../ctrlProps/ctrlProp220.xml"/><Relationship Id="rId9" Type="http://schemas.openxmlformats.org/officeDocument/2006/relationships/ctrlProp" Target="../ctrlProps/ctrlProp225.xml"/><Relationship Id="rId14" Type="http://schemas.openxmlformats.org/officeDocument/2006/relationships/ctrlProp" Target="../ctrlProps/ctrlProp230.xml"/><Relationship Id="rId22" Type="http://schemas.openxmlformats.org/officeDocument/2006/relationships/ctrlProp" Target="../ctrlProps/ctrlProp238.xm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44.xml"/><Relationship Id="rId13" Type="http://schemas.openxmlformats.org/officeDocument/2006/relationships/ctrlProp" Target="../ctrlProps/ctrlProp249.xml"/><Relationship Id="rId18" Type="http://schemas.openxmlformats.org/officeDocument/2006/relationships/ctrlProp" Target="../ctrlProps/ctrlProp254.xml"/><Relationship Id="rId3" Type="http://schemas.openxmlformats.org/officeDocument/2006/relationships/vmlDrawing" Target="../drawings/vmlDrawing13.vml"/><Relationship Id="rId21" Type="http://schemas.openxmlformats.org/officeDocument/2006/relationships/ctrlProp" Target="../ctrlProps/ctrlProp257.xml"/><Relationship Id="rId7" Type="http://schemas.openxmlformats.org/officeDocument/2006/relationships/ctrlProp" Target="../ctrlProps/ctrlProp243.xml"/><Relationship Id="rId12" Type="http://schemas.openxmlformats.org/officeDocument/2006/relationships/ctrlProp" Target="../ctrlProps/ctrlProp248.xml"/><Relationship Id="rId17" Type="http://schemas.openxmlformats.org/officeDocument/2006/relationships/ctrlProp" Target="../ctrlProps/ctrlProp253.xml"/><Relationship Id="rId2" Type="http://schemas.openxmlformats.org/officeDocument/2006/relationships/drawing" Target="../drawings/drawing40.xml"/><Relationship Id="rId16" Type="http://schemas.openxmlformats.org/officeDocument/2006/relationships/ctrlProp" Target="../ctrlProps/ctrlProp252.xml"/><Relationship Id="rId20" Type="http://schemas.openxmlformats.org/officeDocument/2006/relationships/ctrlProp" Target="../ctrlProps/ctrlProp256.xml"/><Relationship Id="rId1" Type="http://schemas.openxmlformats.org/officeDocument/2006/relationships/printerSettings" Target="../printerSettings/printerSettings17.bin"/><Relationship Id="rId6" Type="http://schemas.openxmlformats.org/officeDocument/2006/relationships/ctrlProp" Target="../ctrlProps/ctrlProp242.xml"/><Relationship Id="rId11" Type="http://schemas.openxmlformats.org/officeDocument/2006/relationships/ctrlProp" Target="../ctrlProps/ctrlProp247.xml"/><Relationship Id="rId5" Type="http://schemas.openxmlformats.org/officeDocument/2006/relationships/ctrlProp" Target="../ctrlProps/ctrlProp241.xml"/><Relationship Id="rId15" Type="http://schemas.openxmlformats.org/officeDocument/2006/relationships/ctrlProp" Target="../ctrlProps/ctrlProp251.xml"/><Relationship Id="rId23" Type="http://schemas.openxmlformats.org/officeDocument/2006/relationships/ctrlProp" Target="../ctrlProps/ctrlProp259.xml"/><Relationship Id="rId10" Type="http://schemas.openxmlformats.org/officeDocument/2006/relationships/ctrlProp" Target="../ctrlProps/ctrlProp246.xml"/><Relationship Id="rId19" Type="http://schemas.openxmlformats.org/officeDocument/2006/relationships/ctrlProp" Target="../ctrlProps/ctrlProp255.xml"/><Relationship Id="rId4" Type="http://schemas.openxmlformats.org/officeDocument/2006/relationships/ctrlProp" Target="../ctrlProps/ctrlProp240.xml"/><Relationship Id="rId9" Type="http://schemas.openxmlformats.org/officeDocument/2006/relationships/ctrlProp" Target="../ctrlProps/ctrlProp245.xml"/><Relationship Id="rId14" Type="http://schemas.openxmlformats.org/officeDocument/2006/relationships/ctrlProp" Target="../ctrlProps/ctrlProp250.xml"/><Relationship Id="rId22" Type="http://schemas.openxmlformats.org/officeDocument/2006/relationships/ctrlProp" Target="../ctrlProps/ctrlProp258.xm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64.xml"/><Relationship Id="rId13" Type="http://schemas.openxmlformats.org/officeDocument/2006/relationships/ctrlProp" Target="../ctrlProps/ctrlProp269.xml"/><Relationship Id="rId18" Type="http://schemas.openxmlformats.org/officeDocument/2006/relationships/ctrlProp" Target="../ctrlProps/ctrlProp274.xml"/><Relationship Id="rId3" Type="http://schemas.openxmlformats.org/officeDocument/2006/relationships/vmlDrawing" Target="../drawings/vmlDrawing14.vml"/><Relationship Id="rId21" Type="http://schemas.openxmlformats.org/officeDocument/2006/relationships/ctrlProp" Target="../ctrlProps/ctrlProp277.xml"/><Relationship Id="rId7" Type="http://schemas.openxmlformats.org/officeDocument/2006/relationships/ctrlProp" Target="../ctrlProps/ctrlProp263.xml"/><Relationship Id="rId12" Type="http://schemas.openxmlformats.org/officeDocument/2006/relationships/ctrlProp" Target="../ctrlProps/ctrlProp268.xml"/><Relationship Id="rId17" Type="http://schemas.openxmlformats.org/officeDocument/2006/relationships/ctrlProp" Target="../ctrlProps/ctrlProp273.xml"/><Relationship Id="rId2" Type="http://schemas.openxmlformats.org/officeDocument/2006/relationships/drawing" Target="../drawings/drawing43.xml"/><Relationship Id="rId16" Type="http://schemas.openxmlformats.org/officeDocument/2006/relationships/ctrlProp" Target="../ctrlProps/ctrlProp272.xml"/><Relationship Id="rId20" Type="http://schemas.openxmlformats.org/officeDocument/2006/relationships/ctrlProp" Target="../ctrlProps/ctrlProp276.xml"/><Relationship Id="rId1" Type="http://schemas.openxmlformats.org/officeDocument/2006/relationships/printerSettings" Target="../printerSettings/printerSettings18.bin"/><Relationship Id="rId6" Type="http://schemas.openxmlformats.org/officeDocument/2006/relationships/ctrlProp" Target="../ctrlProps/ctrlProp262.xml"/><Relationship Id="rId11" Type="http://schemas.openxmlformats.org/officeDocument/2006/relationships/ctrlProp" Target="../ctrlProps/ctrlProp267.xml"/><Relationship Id="rId5" Type="http://schemas.openxmlformats.org/officeDocument/2006/relationships/ctrlProp" Target="../ctrlProps/ctrlProp261.xml"/><Relationship Id="rId15" Type="http://schemas.openxmlformats.org/officeDocument/2006/relationships/ctrlProp" Target="../ctrlProps/ctrlProp271.xml"/><Relationship Id="rId23" Type="http://schemas.openxmlformats.org/officeDocument/2006/relationships/ctrlProp" Target="../ctrlProps/ctrlProp279.xml"/><Relationship Id="rId10" Type="http://schemas.openxmlformats.org/officeDocument/2006/relationships/ctrlProp" Target="../ctrlProps/ctrlProp266.xml"/><Relationship Id="rId19" Type="http://schemas.openxmlformats.org/officeDocument/2006/relationships/ctrlProp" Target="../ctrlProps/ctrlProp275.xml"/><Relationship Id="rId4" Type="http://schemas.openxmlformats.org/officeDocument/2006/relationships/ctrlProp" Target="../ctrlProps/ctrlProp260.xml"/><Relationship Id="rId9" Type="http://schemas.openxmlformats.org/officeDocument/2006/relationships/ctrlProp" Target="../ctrlProps/ctrlProp265.xml"/><Relationship Id="rId14" Type="http://schemas.openxmlformats.org/officeDocument/2006/relationships/ctrlProp" Target="../ctrlProps/ctrlProp270.xml"/><Relationship Id="rId22" Type="http://schemas.openxmlformats.org/officeDocument/2006/relationships/ctrlProp" Target="../ctrlProps/ctrlProp278.xm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4.xml"/><Relationship Id="rId13" Type="http://schemas.openxmlformats.org/officeDocument/2006/relationships/ctrlProp" Target="../ctrlProps/ctrlProp289.xml"/><Relationship Id="rId18" Type="http://schemas.openxmlformats.org/officeDocument/2006/relationships/ctrlProp" Target="../ctrlProps/ctrlProp294.xml"/><Relationship Id="rId3" Type="http://schemas.openxmlformats.org/officeDocument/2006/relationships/vmlDrawing" Target="../drawings/vmlDrawing15.vml"/><Relationship Id="rId21" Type="http://schemas.openxmlformats.org/officeDocument/2006/relationships/ctrlProp" Target="../ctrlProps/ctrlProp297.xml"/><Relationship Id="rId7" Type="http://schemas.openxmlformats.org/officeDocument/2006/relationships/ctrlProp" Target="../ctrlProps/ctrlProp283.xml"/><Relationship Id="rId12" Type="http://schemas.openxmlformats.org/officeDocument/2006/relationships/ctrlProp" Target="../ctrlProps/ctrlProp288.xml"/><Relationship Id="rId17" Type="http://schemas.openxmlformats.org/officeDocument/2006/relationships/ctrlProp" Target="../ctrlProps/ctrlProp293.xml"/><Relationship Id="rId2" Type="http://schemas.openxmlformats.org/officeDocument/2006/relationships/drawing" Target="../drawings/drawing46.xml"/><Relationship Id="rId16" Type="http://schemas.openxmlformats.org/officeDocument/2006/relationships/ctrlProp" Target="../ctrlProps/ctrlProp292.xml"/><Relationship Id="rId20" Type="http://schemas.openxmlformats.org/officeDocument/2006/relationships/ctrlProp" Target="../ctrlProps/ctrlProp296.xml"/><Relationship Id="rId1" Type="http://schemas.openxmlformats.org/officeDocument/2006/relationships/printerSettings" Target="../printerSettings/printerSettings19.bin"/><Relationship Id="rId6" Type="http://schemas.openxmlformats.org/officeDocument/2006/relationships/ctrlProp" Target="../ctrlProps/ctrlProp282.xml"/><Relationship Id="rId11" Type="http://schemas.openxmlformats.org/officeDocument/2006/relationships/ctrlProp" Target="../ctrlProps/ctrlProp287.xml"/><Relationship Id="rId5" Type="http://schemas.openxmlformats.org/officeDocument/2006/relationships/ctrlProp" Target="../ctrlProps/ctrlProp281.xml"/><Relationship Id="rId15" Type="http://schemas.openxmlformats.org/officeDocument/2006/relationships/ctrlProp" Target="../ctrlProps/ctrlProp291.xml"/><Relationship Id="rId23" Type="http://schemas.openxmlformats.org/officeDocument/2006/relationships/ctrlProp" Target="../ctrlProps/ctrlProp299.xml"/><Relationship Id="rId10" Type="http://schemas.openxmlformats.org/officeDocument/2006/relationships/ctrlProp" Target="../ctrlProps/ctrlProp286.xml"/><Relationship Id="rId19" Type="http://schemas.openxmlformats.org/officeDocument/2006/relationships/ctrlProp" Target="../ctrlProps/ctrlProp295.xml"/><Relationship Id="rId4" Type="http://schemas.openxmlformats.org/officeDocument/2006/relationships/ctrlProp" Target="../ctrlProps/ctrlProp280.xml"/><Relationship Id="rId9" Type="http://schemas.openxmlformats.org/officeDocument/2006/relationships/ctrlProp" Target="../ctrlProps/ctrlProp285.xml"/><Relationship Id="rId14" Type="http://schemas.openxmlformats.org/officeDocument/2006/relationships/ctrlProp" Target="../ctrlProps/ctrlProp290.xml"/><Relationship Id="rId22" Type="http://schemas.openxmlformats.org/officeDocument/2006/relationships/ctrlProp" Target="../ctrlProps/ctrlProp298.xml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04.xml"/><Relationship Id="rId13" Type="http://schemas.openxmlformats.org/officeDocument/2006/relationships/ctrlProp" Target="../ctrlProps/ctrlProp309.xml"/><Relationship Id="rId18" Type="http://schemas.openxmlformats.org/officeDocument/2006/relationships/ctrlProp" Target="../ctrlProps/ctrlProp314.xml"/><Relationship Id="rId3" Type="http://schemas.openxmlformats.org/officeDocument/2006/relationships/vmlDrawing" Target="../drawings/vmlDrawing16.vml"/><Relationship Id="rId21" Type="http://schemas.openxmlformats.org/officeDocument/2006/relationships/ctrlProp" Target="../ctrlProps/ctrlProp317.xml"/><Relationship Id="rId7" Type="http://schemas.openxmlformats.org/officeDocument/2006/relationships/ctrlProp" Target="../ctrlProps/ctrlProp303.xml"/><Relationship Id="rId12" Type="http://schemas.openxmlformats.org/officeDocument/2006/relationships/ctrlProp" Target="../ctrlProps/ctrlProp308.xml"/><Relationship Id="rId17" Type="http://schemas.openxmlformats.org/officeDocument/2006/relationships/ctrlProp" Target="../ctrlProps/ctrlProp313.xml"/><Relationship Id="rId2" Type="http://schemas.openxmlformats.org/officeDocument/2006/relationships/drawing" Target="../drawings/drawing49.xml"/><Relationship Id="rId16" Type="http://schemas.openxmlformats.org/officeDocument/2006/relationships/ctrlProp" Target="../ctrlProps/ctrlProp312.xml"/><Relationship Id="rId20" Type="http://schemas.openxmlformats.org/officeDocument/2006/relationships/ctrlProp" Target="../ctrlProps/ctrlProp316.xml"/><Relationship Id="rId1" Type="http://schemas.openxmlformats.org/officeDocument/2006/relationships/printerSettings" Target="../printerSettings/printerSettings20.bin"/><Relationship Id="rId6" Type="http://schemas.openxmlformats.org/officeDocument/2006/relationships/ctrlProp" Target="../ctrlProps/ctrlProp302.xml"/><Relationship Id="rId11" Type="http://schemas.openxmlformats.org/officeDocument/2006/relationships/ctrlProp" Target="../ctrlProps/ctrlProp307.xml"/><Relationship Id="rId5" Type="http://schemas.openxmlformats.org/officeDocument/2006/relationships/ctrlProp" Target="../ctrlProps/ctrlProp301.xml"/><Relationship Id="rId15" Type="http://schemas.openxmlformats.org/officeDocument/2006/relationships/ctrlProp" Target="../ctrlProps/ctrlProp311.xml"/><Relationship Id="rId23" Type="http://schemas.openxmlformats.org/officeDocument/2006/relationships/ctrlProp" Target="../ctrlProps/ctrlProp319.xml"/><Relationship Id="rId10" Type="http://schemas.openxmlformats.org/officeDocument/2006/relationships/ctrlProp" Target="../ctrlProps/ctrlProp306.xml"/><Relationship Id="rId19" Type="http://schemas.openxmlformats.org/officeDocument/2006/relationships/ctrlProp" Target="../ctrlProps/ctrlProp315.xml"/><Relationship Id="rId4" Type="http://schemas.openxmlformats.org/officeDocument/2006/relationships/ctrlProp" Target="../ctrlProps/ctrlProp300.xml"/><Relationship Id="rId9" Type="http://schemas.openxmlformats.org/officeDocument/2006/relationships/ctrlProp" Target="../ctrlProps/ctrlProp305.xml"/><Relationship Id="rId14" Type="http://schemas.openxmlformats.org/officeDocument/2006/relationships/ctrlProp" Target="../ctrlProps/ctrlProp310.xml"/><Relationship Id="rId22" Type="http://schemas.openxmlformats.org/officeDocument/2006/relationships/ctrlProp" Target="../ctrlProps/ctrlProp318.xml"/></Relationships>
</file>

<file path=xl/worksheets/_rels/sheet19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24.xml"/><Relationship Id="rId13" Type="http://schemas.openxmlformats.org/officeDocument/2006/relationships/ctrlProp" Target="../ctrlProps/ctrlProp329.xml"/><Relationship Id="rId18" Type="http://schemas.openxmlformats.org/officeDocument/2006/relationships/ctrlProp" Target="../ctrlProps/ctrlProp334.xml"/><Relationship Id="rId3" Type="http://schemas.openxmlformats.org/officeDocument/2006/relationships/vmlDrawing" Target="../drawings/vmlDrawing17.vml"/><Relationship Id="rId21" Type="http://schemas.openxmlformats.org/officeDocument/2006/relationships/ctrlProp" Target="../ctrlProps/ctrlProp337.xml"/><Relationship Id="rId7" Type="http://schemas.openxmlformats.org/officeDocument/2006/relationships/ctrlProp" Target="../ctrlProps/ctrlProp323.xml"/><Relationship Id="rId12" Type="http://schemas.openxmlformats.org/officeDocument/2006/relationships/ctrlProp" Target="../ctrlProps/ctrlProp328.xml"/><Relationship Id="rId17" Type="http://schemas.openxmlformats.org/officeDocument/2006/relationships/ctrlProp" Target="../ctrlProps/ctrlProp333.xml"/><Relationship Id="rId2" Type="http://schemas.openxmlformats.org/officeDocument/2006/relationships/drawing" Target="../drawings/drawing52.xml"/><Relationship Id="rId16" Type="http://schemas.openxmlformats.org/officeDocument/2006/relationships/ctrlProp" Target="../ctrlProps/ctrlProp332.xml"/><Relationship Id="rId20" Type="http://schemas.openxmlformats.org/officeDocument/2006/relationships/ctrlProp" Target="../ctrlProps/ctrlProp336.xml"/><Relationship Id="rId1" Type="http://schemas.openxmlformats.org/officeDocument/2006/relationships/printerSettings" Target="../printerSettings/printerSettings21.bin"/><Relationship Id="rId6" Type="http://schemas.openxmlformats.org/officeDocument/2006/relationships/ctrlProp" Target="../ctrlProps/ctrlProp322.xml"/><Relationship Id="rId11" Type="http://schemas.openxmlformats.org/officeDocument/2006/relationships/ctrlProp" Target="../ctrlProps/ctrlProp327.xml"/><Relationship Id="rId5" Type="http://schemas.openxmlformats.org/officeDocument/2006/relationships/ctrlProp" Target="../ctrlProps/ctrlProp321.xml"/><Relationship Id="rId15" Type="http://schemas.openxmlformats.org/officeDocument/2006/relationships/ctrlProp" Target="../ctrlProps/ctrlProp331.xml"/><Relationship Id="rId23" Type="http://schemas.openxmlformats.org/officeDocument/2006/relationships/ctrlProp" Target="../ctrlProps/ctrlProp339.xml"/><Relationship Id="rId10" Type="http://schemas.openxmlformats.org/officeDocument/2006/relationships/ctrlProp" Target="../ctrlProps/ctrlProp326.xml"/><Relationship Id="rId19" Type="http://schemas.openxmlformats.org/officeDocument/2006/relationships/ctrlProp" Target="../ctrlProps/ctrlProp335.xml"/><Relationship Id="rId4" Type="http://schemas.openxmlformats.org/officeDocument/2006/relationships/ctrlProp" Target="../ctrlProps/ctrlProp320.xml"/><Relationship Id="rId9" Type="http://schemas.openxmlformats.org/officeDocument/2006/relationships/ctrlProp" Target="../ctrlProps/ctrlProp325.xml"/><Relationship Id="rId14" Type="http://schemas.openxmlformats.org/officeDocument/2006/relationships/ctrlProp" Target="../ctrlProps/ctrlProp330.xml"/><Relationship Id="rId22" Type="http://schemas.openxmlformats.org/officeDocument/2006/relationships/ctrlProp" Target="../ctrlProps/ctrlProp338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printerSettings" Target="../printerSettings/printerSettings3.bin"/><Relationship Id="rId1" Type="http://schemas.openxmlformats.org/officeDocument/2006/relationships/printerSettings" Target="../printerSettings/printerSettings2.bin"/><Relationship Id="rId4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44.xml"/><Relationship Id="rId13" Type="http://schemas.openxmlformats.org/officeDocument/2006/relationships/ctrlProp" Target="../ctrlProps/ctrlProp349.xml"/><Relationship Id="rId18" Type="http://schemas.openxmlformats.org/officeDocument/2006/relationships/ctrlProp" Target="../ctrlProps/ctrlProp354.xml"/><Relationship Id="rId3" Type="http://schemas.openxmlformats.org/officeDocument/2006/relationships/vmlDrawing" Target="../drawings/vmlDrawing18.vml"/><Relationship Id="rId21" Type="http://schemas.openxmlformats.org/officeDocument/2006/relationships/ctrlProp" Target="../ctrlProps/ctrlProp357.xml"/><Relationship Id="rId7" Type="http://schemas.openxmlformats.org/officeDocument/2006/relationships/ctrlProp" Target="../ctrlProps/ctrlProp343.xml"/><Relationship Id="rId12" Type="http://schemas.openxmlformats.org/officeDocument/2006/relationships/ctrlProp" Target="../ctrlProps/ctrlProp348.xml"/><Relationship Id="rId17" Type="http://schemas.openxmlformats.org/officeDocument/2006/relationships/ctrlProp" Target="../ctrlProps/ctrlProp353.xml"/><Relationship Id="rId2" Type="http://schemas.openxmlformats.org/officeDocument/2006/relationships/drawing" Target="../drawings/drawing55.xml"/><Relationship Id="rId16" Type="http://schemas.openxmlformats.org/officeDocument/2006/relationships/ctrlProp" Target="../ctrlProps/ctrlProp352.xml"/><Relationship Id="rId20" Type="http://schemas.openxmlformats.org/officeDocument/2006/relationships/ctrlProp" Target="../ctrlProps/ctrlProp356.xml"/><Relationship Id="rId1" Type="http://schemas.openxmlformats.org/officeDocument/2006/relationships/printerSettings" Target="../printerSettings/printerSettings22.bin"/><Relationship Id="rId6" Type="http://schemas.openxmlformats.org/officeDocument/2006/relationships/ctrlProp" Target="../ctrlProps/ctrlProp342.xml"/><Relationship Id="rId11" Type="http://schemas.openxmlformats.org/officeDocument/2006/relationships/ctrlProp" Target="../ctrlProps/ctrlProp347.xml"/><Relationship Id="rId5" Type="http://schemas.openxmlformats.org/officeDocument/2006/relationships/ctrlProp" Target="../ctrlProps/ctrlProp341.xml"/><Relationship Id="rId15" Type="http://schemas.openxmlformats.org/officeDocument/2006/relationships/ctrlProp" Target="../ctrlProps/ctrlProp351.xml"/><Relationship Id="rId23" Type="http://schemas.openxmlformats.org/officeDocument/2006/relationships/ctrlProp" Target="../ctrlProps/ctrlProp359.xml"/><Relationship Id="rId10" Type="http://schemas.openxmlformats.org/officeDocument/2006/relationships/ctrlProp" Target="../ctrlProps/ctrlProp346.xml"/><Relationship Id="rId19" Type="http://schemas.openxmlformats.org/officeDocument/2006/relationships/ctrlProp" Target="../ctrlProps/ctrlProp355.xml"/><Relationship Id="rId4" Type="http://schemas.openxmlformats.org/officeDocument/2006/relationships/ctrlProp" Target="../ctrlProps/ctrlProp340.xml"/><Relationship Id="rId9" Type="http://schemas.openxmlformats.org/officeDocument/2006/relationships/ctrlProp" Target="../ctrlProps/ctrlProp345.xml"/><Relationship Id="rId14" Type="http://schemas.openxmlformats.org/officeDocument/2006/relationships/ctrlProp" Target="../ctrlProps/ctrlProp350.xml"/><Relationship Id="rId22" Type="http://schemas.openxmlformats.org/officeDocument/2006/relationships/ctrlProp" Target="../ctrlProps/ctrlProp358.xml"/></Relationships>
</file>

<file path=xl/worksheets/_rels/sheet2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64.xml"/><Relationship Id="rId13" Type="http://schemas.openxmlformats.org/officeDocument/2006/relationships/ctrlProp" Target="../ctrlProps/ctrlProp369.xml"/><Relationship Id="rId18" Type="http://schemas.openxmlformats.org/officeDocument/2006/relationships/ctrlProp" Target="../ctrlProps/ctrlProp374.xml"/><Relationship Id="rId3" Type="http://schemas.openxmlformats.org/officeDocument/2006/relationships/vmlDrawing" Target="../drawings/vmlDrawing19.vml"/><Relationship Id="rId21" Type="http://schemas.openxmlformats.org/officeDocument/2006/relationships/ctrlProp" Target="../ctrlProps/ctrlProp377.xml"/><Relationship Id="rId7" Type="http://schemas.openxmlformats.org/officeDocument/2006/relationships/ctrlProp" Target="../ctrlProps/ctrlProp363.xml"/><Relationship Id="rId12" Type="http://schemas.openxmlformats.org/officeDocument/2006/relationships/ctrlProp" Target="../ctrlProps/ctrlProp368.xml"/><Relationship Id="rId17" Type="http://schemas.openxmlformats.org/officeDocument/2006/relationships/ctrlProp" Target="../ctrlProps/ctrlProp373.xml"/><Relationship Id="rId2" Type="http://schemas.openxmlformats.org/officeDocument/2006/relationships/drawing" Target="../drawings/drawing58.xml"/><Relationship Id="rId16" Type="http://schemas.openxmlformats.org/officeDocument/2006/relationships/ctrlProp" Target="../ctrlProps/ctrlProp372.xml"/><Relationship Id="rId20" Type="http://schemas.openxmlformats.org/officeDocument/2006/relationships/ctrlProp" Target="../ctrlProps/ctrlProp376.xml"/><Relationship Id="rId1" Type="http://schemas.openxmlformats.org/officeDocument/2006/relationships/printerSettings" Target="../printerSettings/printerSettings23.bin"/><Relationship Id="rId6" Type="http://schemas.openxmlformats.org/officeDocument/2006/relationships/ctrlProp" Target="../ctrlProps/ctrlProp362.xml"/><Relationship Id="rId11" Type="http://schemas.openxmlformats.org/officeDocument/2006/relationships/ctrlProp" Target="../ctrlProps/ctrlProp367.xml"/><Relationship Id="rId5" Type="http://schemas.openxmlformats.org/officeDocument/2006/relationships/ctrlProp" Target="../ctrlProps/ctrlProp361.xml"/><Relationship Id="rId15" Type="http://schemas.openxmlformats.org/officeDocument/2006/relationships/ctrlProp" Target="../ctrlProps/ctrlProp371.xml"/><Relationship Id="rId23" Type="http://schemas.openxmlformats.org/officeDocument/2006/relationships/ctrlProp" Target="../ctrlProps/ctrlProp379.xml"/><Relationship Id="rId10" Type="http://schemas.openxmlformats.org/officeDocument/2006/relationships/ctrlProp" Target="../ctrlProps/ctrlProp366.xml"/><Relationship Id="rId19" Type="http://schemas.openxmlformats.org/officeDocument/2006/relationships/ctrlProp" Target="../ctrlProps/ctrlProp375.xml"/><Relationship Id="rId4" Type="http://schemas.openxmlformats.org/officeDocument/2006/relationships/ctrlProp" Target="../ctrlProps/ctrlProp360.xml"/><Relationship Id="rId9" Type="http://schemas.openxmlformats.org/officeDocument/2006/relationships/ctrlProp" Target="../ctrlProps/ctrlProp365.xml"/><Relationship Id="rId14" Type="http://schemas.openxmlformats.org/officeDocument/2006/relationships/ctrlProp" Target="../ctrlProps/ctrlProp370.xml"/><Relationship Id="rId22" Type="http://schemas.openxmlformats.org/officeDocument/2006/relationships/ctrlProp" Target="../ctrlProps/ctrlProp378.xml"/></Relationships>
</file>

<file path=xl/worksheets/_rels/sheet2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84.xml"/><Relationship Id="rId13" Type="http://schemas.openxmlformats.org/officeDocument/2006/relationships/ctrlProp" Target="../ctrlProps/ctrlProp389.xml"/><Relationship Id="rId18" Type="http://schemas.openxmlformats.org/officeDocument/2006/relationships/ctrlProp" Target="../ctrlProps/ctrlProp394.xml"/><Relationship Id="rId3" Type="http://schemas.openxmlformats.org/officeDocument/2006/relationships/vmlDrawing" Target="../drawings/vmlDrawing20.vml"/><Relationship Id="rId21" Type="http://schemas.openxmlformats.org/officeDocument/2006/relationships/ctrlProp" Target="../ctrlProps/ctrlProp397.xml"/><Relationship Id="rId7" Type="http://schemas.openxmlformats.org/officeDocument/2006/relationships/ctrlProp" Target="../ctrlProps/ctrlProp383.xml"/><Relationship Id="rId12" Type="http://schemas.openxmlformats.org/officeDocument/2006/relationships/ctrlProp" Target="../ctrlProps/ctrlProp388.xml"/><Relationship Id="rId17" Type="http://schemas.openxmlformats.org/officeDocument/2006/relationships/ctrlProp" Target="../ctrlProps/ctrlProp393.xml"/><Relationship Id="rId2" Type="http://schemas.openxmlformats.org/officeDocument/2006/relationships/drawing" Target="../drawings/drawing61.xml"/><Relationship Id="rId16" Type="http://schemas.openxmlformats.org/officeDocument/2006/relationships/ctrlProp" Target="../ctrlProps/ctrlProp392.xml"/><Relationship Id="rId20" Type="http://schemas.openxmlformats.org/officeDocument/2006/relationships/ctrlProp" Target="../ctrlProps/ctrlProp396.xml"/><Relationship Id="rId1" Type="http://schemas.openxmlformats.org/officeDocument/2006/relationships/printerSettings" Target="../printerSettings/printerSettings24.bin"/><Relationship Id="rId6" Type="http://schemas.openxmlformats.org/officeDocument/2006/relationships/ctrlProp" Target="../ctrlProps/ctrlProp382.xml"/><Relationship Id="rId11" Type="http://schemas.openxmlformats.org/officeDocument/2006/relationships/ctrlProp" Target="../ctrlProps/ctrlProp387.xml"/><Relationship Id="rId5" Type="http://schemas.openxmlformats.org/officeDocument/2006/relationships/ctrlProp" Target="../ctrlProps/ctrlProp381.xml"/><Relationship Id="rId15" Type="http://schemas.openxmlformats.org/officeDocument/2006/relationships/ctrlProp" Target="../ctrlProps/ctrlProp391.xml"/><Relationship Id="rId23" Type="http://schemas.openxmlformats.org/officeDocument/2006/relationships/ctrlProp" Target="../ctrlProps/ctrlProp399.xml"/><Relationship Id="rId10" Type="http://schemas.openxmlformats.org/officeDocument/2006/relationships/ctrlProp" Target="../ctrlProps/ctrlProp386.xml"/><Relationship Id="rId19" Type="http://schemas.openxmlformats.org/officeDocument/2006/relationships/ctrlProp" Target="../ctrlProps/ctrlProp395.xml"/><Relationship Id="rId4" Type="http://schemas.openxmlformats.org/officeDocument/2006/relationships/ctrlProp" Target="../ctrlProps/ctrlProp380.xml"/><Relationship Id="rId9" Type="http://schemas.openxmlformats.org/officeDocument/2006/relationships/ctrlProp" Target="../ctrlProps/ctrlProp385.xml"/><Relationship Id="rId14" Type="http://schemas.openxmlformats.org/officeDocument/2006/relationships/ctrlProp" Target="../ctrlProps/ctrlProp390.xml"/><Relationship Id="rId22" Type="http://schemas.openxmlformats.org/officeDocument/2006/relationships/ctrlProp" Target="../ctrlProps/ctrlProp398.xml"/></Relationships>
</file>

<file path=xl/worksheets/_rels/sheet2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04.xml"/><Relationship Id="rId13" Type="http://schemas.openxmlformats.org/officeDocument/2006/relationships/ctrlProp" Target="../ctrlProps/ctrlProp409.xml"/><Relationship Id="rId18" Type="http://schemas.openxmlformats.org/officeDocument/2006/relationships/ctrlProp" Target="../ctrlProps/ctrlProp414.xml"/><Relationship Id="rId3" Type="http://schemas.openxmlformats.org/officeDocument/2006/relationships/vmlDrawing" Target="../drawings/vmlDrawing21.vml"/><Relationship Id="rId21" Type="http://schemas.openxmlformats.org/officeDocument/2006/relationships/ctrlProp" Target="../ctrlProps/ctrlProp417.xml"/><Relationship Id="rId7" Type="http://schemas.openxmlformats.org/officeDocument/2006/relationships/ctrlProp" Target="../ctrlProps/ctrlProp403.xml"/><Relationship Id="rId12" Type="http://schemas.openxmlformats.org/officeDocument/2006/relationships/ctrlProp" Target="../ctrlProps/ctrlProp408.xml"/><Relationship Id="rId17" Type="http://schemas.openxmlformats.org/officeDocument/2006/relationships/ctrlProp" Target="../ctrlProps/ctrlProp413.xml"/><Relationship Id="rId2" Type="http://schemas.openxmlformats.org/officeDocument/2006/relationships/drawing" Target="../drawings/drawing64.xml"/><Relationship Id="rId16" Type="http://schemas.openxmlformats.org/officeDocument/2006/relationships/ctrlProp" Target="../ctrlProps/ctrlProp412.xml"/><Relationship Id="rId20" Type="http://schemas.openxmlformats.org/officeDocument/2006/relationships/ctrlProp" Target="../ctrlProps/ctrlProp416.xml"/><Relationship Id="rId1" Type="http://schemas.openxmlformats.org/officeDocument/2006/relationships/printerSettings" Target="../printerSettings/printerSettings25.bin"/><Relationship Id="rId6" Type="http://schemas.openxmlformats.org/officeDocument/2006/relationships/ctrlProp" Target="../ctrlProps/ctrlProp402.xml"/><Relationship Id="rId11" Type="http://schemas.openxmlformats.org/officeDocument/2006/relationships/ctrlProp" Target="../ctrlProps/ctrlProp407.xml"/><Relationship Id="rId5" Type="http://schemas.openxmlformats.org/officeDocument/2006/relationships/ctrlProp" Target="../ctrlProps/ctrlProp401.xml"/><Relationship Id="rId15" Type="http://schemas.openxmlformats.org/officeDocument/2006/relationships/ctrlProp" Target="../ctrlProps/ctrlProp411.xml"/><Relationship Id="rId23" Type="http://schemas.openxmlformats.org/officeDocument/2006/relationships/ctrlProp" Target="../ctrlProps/ctrlProp419.xml"/><Relationship Id="rId10" Type="http://schemas.openxmlformats.org/officeDocument/2006/relationships/ctrlProp" Target="../ctrlProps/ctrlProp406.xml"/><Relationship Id="rId19" Type="http://schemas.openxmlformats.org/officeDocument/2006/relationships/ctrlProp" Target="../ctrlProps/ctrlProp415.xml"/><Relationship Id="rId4" Type="http://schemas.openxmlformats.org/officeDocument/2006/relationships/ctrlProp" Target="../ctrlProps/ctrlProp400.xml"/><Relationship Id="rId9" Type="http://schemas.openxmlformats.org/officeDocument/2006/relationships/ctrlProp" Target="../ctrlProps/ctrlProp405.xml"/><Relationship Id="rId14" Type="http://schemas.openxmlformats.org/officeDocument/2006/relationships/ctrlProp" Target="../ctrlProps/ctrlProp410.xml"/><Relationship Id="rId22" Type="http://schemas.openxmlformats.org/officeDocument/2006/relationships/ctrlProp" Target="../ctrlProps/ctrlProp418.xml"/></Relationships>
</file>

<file path=xl/worksheets/_rels/sheet2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24.xml"/><Relationship Id="rId13" Type="http://schemas.openxmlformats.org/officeDocument/2006/relationships/ctrlProp" Target="../ctrlProps/ctrlProp429.xml"/><Relationship Id="rId18" Type="http://schemas.openxmlformats.org/officeDocument/2006/relationships/ctrlProp" Target="../ctrlProps/ctrlProp434.xml"/><Relationship Id="rId3" Type="http://schemas.openxmlformats.org/officeDocument/2006/relationships/vmlDrawing" Target="../drawings/vmlDrawing22.vml"/><Relationship Id="rId21" Type="http://schemas.openxmlformats.org/officeDocument/2006/relationships/ctrlProp" Target="../ctrlProps/ctrlProp437.xml"/><Relationship Id="rId7" Type="http://schemas.openxmlformats.org/officeDocument/2006/relationships/ctrlProp" Target="../ctrlProps/ctrlProp423.xml"/><Relationship Id="rId12" Type="http://schemas.openxmlformats.org/officeDocument/2006/relationships/ctrlProp" Target="../ctrlProps/ctrlProp428.xml"/><Relationship Id="rId17" Type="http://schemas.openxmlformats.org/officeDocument/2006/relationships/ctrlProp" Target="../ctrlProps/ctrlProp433.xml"/><Relationship Id="rId2" Type="http://schemas.openxmlformats.org/officeDocument/2006/relationships/drawing" Target="../drawings/drawing67.xml"/><Relationship Id="rId16" Type="http://schemas.openxmlformats.org/officeDocument/2006/relationships/ctrlProp" Target="../ctrlProps/ctrlProp432.xml"/><Relationship Id="rId20" Type="http://schemas.openxmlformats.org/officeDocument/2006/relationships/ctrlProp" Target="../ctrlProps/ctrlProp436.xml"/><Relationship Id="rId1" Type="http://schemas.openxmlformats.org/officeDocument/2006/relationships/printerSettings" Target="../printerSettings/printerSettings26.bin"/><Relationship Id="rId6" Type="http://schemas.openxmlformats.org/officeDocument/2006/relationships/ctrlProp" Target="../ctrlProps/ctrlProp422.xml"/><Relationship Id="rId11" Type="http://schemas.openxmlformats.org/officeDocument/2006/relationships/ctrlProp" Target="../ctrlProps/ctrlProp427.xml"/><Relationship Id="rId5" Type="http://schemas.openxmlformats.org/officeDocument/2006/relationships/ctrlProp" Target="../ctrlProps/ctrlProp421.xml"/><Relationship Id="rId15" Type="http://schemas.openxmlformats.org/officeDocument/2006/relationships/ctrlProp" Target="../ctrlProps/ctrlProp431.xml"/><Relationship Id="rId23" Type="http://schemas.openxmlformats.org/officeDocument/2006/relationships/ctrlProp" Target="../ctrlProps/ctrlProp439.xml"/><Relationship Id="rId10" Type="http://schemas.openxmlformats.org/officeDocument/2006/relationships/ctrlProp" Target="../ctrlProps/ctrlProp426.xml"/><Relationship Id="rId19" Type="http://schemas.openxmlformats.org/officeDocument/2006/relationships/ctrlProp" Target="../ctrlProps/ctrlProp435.xml"/><Relationship Id="rId4" Type="http://schemas.openxmlformats.org/officeDocument/2006/relationships/ctrlProp" Target="../ctrlProps/ctrlProp420.xml"/><Relationship Id="rId9" Type="http://schemas.openxmlformats.org/officeDocument/2006/relationships/ctrlProp" Target="../ctrlProps/ctrlProp425.xml"/><Relationship Id="rId14" Type="http://schemas.openxmlformats.org/officeDocument/2006/relationships/ctrlProp" Target="../ctrlProps/ctrlProp430.xml"/><Relationship Id="rId22" Type="http://schemas.openxmlformats.org/officeDocument/2006/relationships/ctrlProp" Target="../ctrlProps/ctrlProp438.xml"/></Relationships>
</file>

<file path=xl/worksheets/_rels/sheet2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44.xml"/><Relationship Id="rId13" Type="http://schemas.openxmlformats.org/officeDocument/2006/relationships/ctrlProp" Target="../ctrlProps/ctrlProp449.xml"/><Relationship Id="rId18" Type="http://schemas.openxmlformats.org/officeDocument/2006/relationships/ctrlProp" Target="../ctrlProps/ctrlProp454.xml"/><Relationship Id="rId3" Type="http://schemas.openxmlformats.org/officeDocument/2006/relationships/vmlDrawing" Target="../drawings/vmlDrawing23.vml"/><Relationship Id="rId21" Type="http://schemas.openxmlformats.org/officeDocument/2006/relationships/ctrlProp" Target="../ctrlProps/ctrlProp457.xml"/><Relationship Id="rId7" Type="http://schemas.openxmlformats.org/officeDocument/2006/relationships/ctrlProp" Target="../ctrlProps/ctrlProp443.xml"/><Relationship Id="rId12" Type="http://schemas.openxmlformats.org/officeDocument/2006/relationships/ctrlProp" Target="../ctrlProps/ctrlProp448.xml"/><Relationship Id="rId17" Type="http://schemas.openxmlformats.org/officeDocument/2006/relationships/ctrlProp" Target="../ctrlProps/ctrlProp453.xml"/><Relationship Id="rId2" Type="http://schemas.openxmlformats.org/officeDocument/2006/relationships/drawing" Target="../drawings/drawing70.xml"/><Relationship Id="rId16" Type="http://schemas.openxmlformats.org/officeDocument/2006/relationships/ctrlProp" Target="../ctrlProps/ctrlProp452.xml"/><Relationship Id="rId20" Type="http://schemas.openxmlformats.org/officeDocument/2006/relationships/ctrlProp" Target="../ctrlProps/ctrlProp456.xml"/><Relationship Id="rId1" Type="http://schemas.openxmlformats.org/officeDocument/2006/relationships/printerSettings" Target="../printerSettings/printerSettings27.bin"/><Relationship Id="rId6" Type="http://schemas.openxmlformats.org/officeDocument/2006/relationships/ctrlProp" Target="../ctrlProps/ctrlProp442.xml"/><Relationship Id="rId11" Type="http://schemas.openxmlformats.org/officeDocument/2006/relationships/ctrlProp" Target="../ctrlProps/ctrlProp447.xml"/><Relationship Id="rId5" Type="http://schemas.openxmlformats.org/officeDocument/2006/relationships/ctrlProp" Target="../ctrlProps/ctrlProp441.xml"/><Relationship Id="rId15" Type="http://schemas.openxmlformats.org/officeDocument/2006/relationships/ctrlProp" Target="../ctrlProps/ctrlProp451.xml"/><Relationship Id="rId23" Type="http://schemas.openxmlformats.org/officeDocument/2006/relationships/ctrlProp" Target="../ctrlProps/ctrlProp459.xml"/><Relationship Id="rId10" Type="http://schemas.openxmlformats.org/officeDocument/2006/relationships/ctrlProp" Target="../ctrlProps/ctrlProp446.xml"/><Relationship Id="rId19" Type="http://schemas.openxmlformats.org/officeDocument/2006/relationships/ctrlProp" Target="../ctrlProps/ctrlProp455.xml"/><Relationship Id="rId4" Type="http://schemas.openxmlformats.org/officeDocument/2006/relationships/ctrlProp" Target="../ctrlProps/ctrlProp440.xml"/><Relationship Id="rId9" Type="http://schemas.openxmlformats.org/officeDocument/2006/relationships/ctrlProp" Target="../ctrlProps/ctrlProp445.xml"/><Relationship Id="rId14" Type="http://schemas.openxmlformats.org/officeDocument/2006/relationships/ctrlProp" Target="../ctrlProps/ctrlProp450.xml"/><Relationship Id="rId22" Type="http://schemas.openxmlformats.org/officeDocument/2006/relationships/ctrlProp" Target="../ctrlProps/ctrlProp458.xml"/></Relationships>
</file>

<file path=xl/worksheets/_rels/sheet2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64.xml"/><Relationship Id="rId13" Type="http://schemas.openxmlformats.org/officeDocument/2006/relationships/ctrlProp" Target="../ctrlProps/ctrlProp469.xml"/><Relationship Id="rId18" Type="http://schemas.openxmlformats.org/officeDocument/2006/relationships/ctrlProp" Target="../ctrlProps/ctrlProp474.xml"/><Relationship Id="rId3" Type="http://schemas.openxmlformats.org/officeDocument/2006/relationships/vmlDrawing" Target="../drawings/vmlDrawing24.vml"/><Relationship Id="rId21" Type="http://schemas.openxmlformats.org/officeDocument/2006/relationships/ctrlProp" Target="../ctrlProps/ctrlProp477.xml"/><Relationship Id="rId7" Type="http://schemas.openxmlformats.org/officeDocument/2006/relationships/ctrlProp" Target="../ctrlProps/ctrlProp463.xml"/><Relationship Id="rId12" Type="http://schemas.openxmlformats.org/officeDocument/2006/relationships/ctrlProp" Target="../ctrlProps/ctrlProp468.xml"/><Relationship Id="rId17" Type="http://schemas.openxmlformats.org/officeDocument/2006/relationships/ctrlProp" Target="../ctrlProps/ctrlProp473.xml"/><Relationship Id="rId2" Type="http://schemas.openxmlformats.org/officeDocument/2006/relationships/drawing" Target="../drawings/drawing73.xml"/><Relationship Id="rId16" Type="http://schemas.openxmlformats.org/officeDocument/2006/relationships/ctrlProp" Target="../ctrlProps/ctrlProp472.xml"/><Relationship Id="rId20" Type="http://schemas.openxmlformats.org/officeDocument/2006/relationships/ctrlProp" Target="../ctrlProps/ctrlProp476.xml"/><Relationship Id="rId1" Type="http://schemas.openxmlformats.org/officeDocument/2006/relationships/printerSettings" Target="../printerSettings/printerSettings28.bin"/><Relationship Id="rId6" Type="http://schemas.openxmlformats.org/officeDocument/2006/relationships/ctrlProp" Target="../ctrlProps/ctrlProp462.xml"/><Relationship Id="rId11" Type="http://schemas.openxmlformats.org/officeDocument/2006/relationships/ctrlProp" Target="../ctrlProps/ctrlProp467.xml"/><Relationship Id="rId5" Type="http://schemas.openxmlformats.org/officeDocument/2006/relationships/ctrlProp" Target="../ctrlProps/ctrlProp461.xml"/><Relationship Id="rId15" Type="http://schemas.openxmlformats.org/officeDocument/2006/relationships/ctrlProp" Target="../ctrlProps/ctrlProp471.xml"/><Relationship Id="rId23" Type="http://schemas.openxmlformats.org/officeDocument/2006/relationships/ctrlProp" Target="../ctrlProps/ctrlProp479.xml"/><Relationship Id="rId10" Type="http://schemas.openxmlformats.org/officeDocument/2006/relationships/ctrlProp" Target="../ctrlProps/ctrlProp466.xml"/><Relationship Id="rId19" Type="http://schemas.openxmlformats.org/officeDocument/2006/relationships/ctrlProp" Target="../ctrlProps/ctrlProp475.xml"/><Relationship Id="rId4" Type="http://schemas.openxmlformats.org/officeDocument/2006/relationships/ctrlProp" Target="../ctrlProps/ctrlProp460.xml"/><Relationship Id="rId9" Type="http://schemas.openxmlformats.org/officeDocument/2006/relationships/ctrlProp" Target="../ctrlProps/ctrlProp465.xml"/><Relationship Id="rId14" Type="http://schemas.openxmlformats.org/officeDocument/2006/relationships/ctrlProp" Target="../ctrlProps/ctrlProp470.xml"/><Relationship Id="rId22" Type="http://schemas.openxmlformats.org/officeDocument/2006/relationships/ctrlProp" Target="../ctrlProps/ctrlProp478.xml"/></Relationships>
</file>

<file path=xl/worksheets/_rels/sheet2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84.xml"/><Relationship Id="rId13" Type="http://schemas.openxmlformats.org/officeDocument/2006/relationships/ctrlProp" Target="../ctrlProps/ctrlProp489.xml"/><Relationship Id="rId18" Type="http://schemas.openxmlformats.org/officeDocument/2006/relationships/ctrlProp" Target="../ctrlProps/ctrlProp494.xml"/><Relationship Id="rId3" Type="http://schemas.openxmlformats.org/officeDocument/2006/relationships/vmlDrawing" Target="../drawings/vmlDrawing25.vml"/><Relationship Id="rId21" Type="http://schemas.openxmlformats.org/officeDocument/2006/relationships/ctrlProp" Target="../ctrlProps/ctrlProp497.xml"/><Relationship Id="rId7" Type="http://schemas.openxmlformats.org/officeDocument/2006/relationships/ctrlProp" Target="../ctrlProps/ctrlProp483.xml"/><Relationship Id="rId12" Type="http://schemas.openxmlformats.org/officeDocument/2006/relationships/ctrlProp" Target="../ctrlProps/ctrlProp488.xml"/><Relationship Id="rId17" Type="http://schemas.openxmlformats.org/officeDocument/2006/relationships/ctrlProp" Target="../ctrlProps/ctrlProp493.xml"/><Relationship Id="rId2" Type="http://schemas.openxmlformats.org/officeDocument/2006/relationships/drawing" Target="../drawings/drawing76.xml"/><Relationship Id="rId16" Type="http://schemas.openxmlformats.org/officeDocument/2006/relationships/ctrlProp" Target="../ctrlProps/ctrlProp492.xml"/><Relationship Id="rId20" Type="http://schemas.openxmlformats.org/officeDocument/2006/relationships/ctrlProp" Target="../ctrlProps/ctrlProp496.xml"/><Relationship Id="rId1" Type="http://schemas.openxmlformats.org/officeDocument/2006/relationships/printerSettings" Target="../printerSettings/printerSettings29.bin"/><Relationship Id="rId6" Type="http://schemas.openxmlformats.org/officeDocument/2006/relationships/ctrlProp" Target="../ctrlProps/ctrlProp482.xml"/><Relationship Id="rId11" Type="http://schemas.openxmlformats.org/officeDocument/2006/relationships/ctrlProp" Target="../ctrlProps/ctrlProp487.xml"/><Relationship Id="rId5" Type="http://schemas.openxmlformats.org/officeDocument/2006/relationships/ctrlProp" Target="../ctrlProps/ctrlProp481.xml"/><Relationship Id="rId15" Type="http://schemas.openxmlformats.org/officeDocument/2006/relationships/ctrlProp" Target="../ctrlProps/ctrlProp491.xml"/><Relationship Id="rId23" Type="http://schemas.openxmlformats.org/officeDocument/2006/relationships/ctrlProp" Target="../ctrlProps/ctrlProp499.xml"/><Relationship Id="rId10" Type="http://schemas.openxmlformats.org/officeDocument/2006/relationships/ctrlProp" Target="../ctrlProps/ctrlProp486.xml"/><Relationship Id="rId19" Type="http://schemas.openxmlformats.org/officeDocument/2006/relationships/ctrlProp" Target="../ctrlProps/ctrlProp495.xml"/><Relationship Id="rId4" Type="http://schemas.openxmlformats.org/officeDocument/2006/relationships/ctrlProp" Target="../ctrlProps/ctrlProp480.xml"/><Relationship Id="rId9" Type="http://schemas.openxmlformats.org/officeDocument/2006/relationships/ctrlProp" Target="../ctrlProps/ctrlProp485.xml"/><Relationship Id="rId14" Type="http://schemas.openxmlformats.org/officeDocument/2006/relationships/ctrlProp" Target="../ctrlProps/ctrlProp490.xml"/><Relationship Id="rId22" Type="http://schemas.openxmlformats.org/officeDocument/2006/relationships/ctrlProp" Target="../ctrlProps/ctrlProp498.xml"/></Relationships>
</file>

<file path=xl/worksheets/_rels/sheet2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04.xml"/><Relationship Id="rId13" Type="http://schemas.openxmlformats.org/officeDocument/2006/relationships/ctrlProp" Target="../ctrlProps/ctrlProp509.xml"/><Relationship Id="rId18" Type="http://schemas.openxmlformats.org/officeDocument/2006/relationships/ctrlProp" Target="../ctrlProps/ctrlProp514.xml"/><Relationship Id="rId3" Type="http://schemas.openxmlformats.org/officeDocument/2006/relationships/vmlDrawing" Target="../drawings/vmlDrawing26.vml"/><Relationship Id="rId21" Type="http://schemas.openxmlformats.org/officeDocument/2006/relationships/ctrlProp" Target="../ctrlProps/ctrlProp517.xml"/><Relationship Id="rId7" Type="http://schemas.openxmlformats.org/officeDocument/2006/relationships/ctrlProp" Target="../ctrlProps/ctrlProp503.xml"/><Relationship Id="rId12" Type="http://schemas.openxmlformats.org/officeDocument/2006/relationships/ctrlProp" Target="../ctrlProps/ctrlProp508.xml"/><Relationship Id="rId17" Type="http://schemas.openxmlformats.org/officeDocument/2006/relationships/ctrlProp" Target="../ctrlProps/ctrlProp513.xml"/><Relationship Id="rId2" Type="http://schemas.openxmlformats.org/officeDocument/2006/relationships/drawing" Target="../drawings/drawing79.xml"/><Relationship Id="rId16" Type="http://schemas.openxmlformats.org/officeDocument/2006/relationships/ctrlProp" Target="../ctrlProps/ctrlProp512.xml"/><Relationship Id="rId20" Type="http://schemas.openxmlformats.org/officeDocument/2006/relationships/ctrlProp" Target="../ctrlProps/ctrlProp516.xml"/><Relationship Id="rId1" Type="http://schemas.openxmlformats.org/officeDocument/2006/relationships/printerSettings" Target="../printerSettings/printerSettings30.bin"/><Relationship Id="rId6" Type="http://schemas.openxmlformats.org/officeDocument/2006/relationships/ctrlProp" Target="../ctrlProps/ctrlProp502.xml"/><Relationship Id="rId11" Type="http://schemas.openxmlformats.org/officeDocument/2006/relationships/ctrlProp" Target="../ctrlProps/ctrlProp507.xml"/><Relationship Id="rId5" Type="http://schemas.openxmlformats.org/officeDocument/2006/relationships/ctrlProp" Target="../ctrlProps/ctrlProp501.xml"/><Relationship Id="rId15" Type="http://schemas.openxmlformats.org/officeDocument/2006/relationships/ctrlProp" Target="../ctrlProps/ctrlProp511.xml"/><Relationship Id="rId23" Type="http://schemas.openxmlformats.org/officeDocument/2006/relationships/ctrlProp" Target="../ctrlProps/ctrlProp519.xml"/><Relationship Id="rId10" Type="http://schemas.openxmlformats.org/officeDocument/2006/relationships/ctrlProp" Target="../ctrlProps/ctrlProp506.xml"/><Relationship Id="rId19" Type="http://schemas.openxmlformats.org/officeDocument/2006/relationships/ctrlProp" Target="../ctrlProps/ctrlProp515.xml"/><Relationship Id="rId4" Type="http://schemas.openxmlformats.org/officeDocument/2006/relationships/ctrlProp" Target="../ctrlProps/ctrlProp500.xml"/><Relationship Id="rId9" Type="http://schemas.openxmlformats.org/officeDocument/2006/relationships/ctrlProp" Target="../ctrlProps/ctrlProp505.xml"/><Relationship Id="rId14" Type="http://schemas.openxmlformats.org/officeDocument/2006/relationships/ctrlProp" Target="../ctrlProps/ctrlProp510.xml"/><Relationship Id="rId22" Type="http://schemas.openxmlformats.org/officeDocument/2006/relationships/ctrlProp" Target="../ctrlProps/ctrlProp518.xml"/></Relationships>
</file>

<file path=xl/worksheets/_rels/sheet29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24.xml"/><Relationship Id="rId13" Type="http://schemas.openxmlformats.org/officeDocument/2006/relationships/ctrlProp" Target="../ctrlProps/ctrlProp529.xml"/><Relationship Id="rId18" Type="http://schemas.openxmlformats.org/officeDocument/2006/relationships/ctrlProp" Target="../ctrlProps/ctrlProp534.xml"/><Relationship Id="rId3" Type="http://schemas.openxmlformats.org/officeDocument/2006/relationships/vmlDrawing" Target="../drawings/vmlDrawing27.vml"/><Relationship Id="rId21" Type="http://schemas.openxmlformats.org/officeDocument/2006/relationships/ctrlProp" Target="../ctrlProps/ctrlProp537.xml"/><Relationship Id="rId7" Type="http://schemas.openxmlformats.org/officeDocument/2006/relationships/ctrlProp" Target="../ctrlProps/ctrlProp523.xml"/><Relationship Id="rId12" Type="http://schemas.openxmlformats.org/officeDocument/2006/relationships/ctrlProp" Target="../ctrlProps/ctrlProp528.xml"/><Relationship Id="rId17" Type="http://schemas.openxmlformats.org/officeDocument/2006/relationships/ctrlProp" Target="../ctrlProps/ctrlProp533.xml"/><Relationship Id="rId2" Type="http://schemas.openxmlformats.org/officeDocument/2006/relationships/drawing" Target="../drawings/drawing82.xml"/><Relationship Id="rId16" Type="http://schemas.openxmlformats.org/officeDocument/2006/relationships/ctrlProp" Target="../ctrlProps/ctrlProp532.xml"/><Relationship Id="rId20" Type="http://schemas.openxmlformats.org/officeDocument/2006/relationships/ctrlProp" Target="../ctrlProps/ctrlProp536.xml"/><Relationship Id="rId1" Type="http://schemas.openxmlformats.org/officeDocument/2006/relationships/printerSettings" Target="../printerSettings/printerSettings31.bin"/><Relationship Id="rId6" Type="http://schemas.openxmlformats.org/officeDocument/2006/relationships/ctrlProp" Target="../ctrlProps/ctrlProp522.xml"/><Relationship Id="rId11" Type="http://schemas.openxmlformats.org/officeDocument/2006/relationships/ctrlProp" Target="../ctrlProps/ctrlProp527.xml"/><Relationship Id="rId5" Type="http://schemas.openxmlformats.org/officeDocument/2006/relationships/ctrlProp" Target="../ctrlProps/ctrlProp521.xml"/><Relationship Id="rId15" Type="http://schemas.openxmlformats.org/officeDocument/2006/relationships/ctrlProp" Target="../ctrlProps/ctrlProp531.xml"/><Relationship Id="rId23" Type="http://schemas.openxmlformats.org/officeDocument/2006/relationships/ctrlProp" Target="../ctrlProps/ctrlProp539.xml"/><Relationship Id="rId10" Type="http://schemas.openxmlformats.org/officeDocument/2006/relationships/ctrlProp" Target="../ctrlProps/ctrlProp526.xml"/><Relationship Id="rId19" Type="http://schemas.openxmlformats.org/officeDocument/2006/relationships/ctrlProp" Target="../ctrlProps/ctrlProp535.xml"/><Relationship Id="rId4" Type="http://schemas.openxmlformats.org/officeDocument/2006/relationships/ctrlProp" Target="../ctrlProps/ctrlProp520.xml"/><Relationship Id="rId9" Type="http://schemas.openxmlformats.org/officeDocument/2006/relationships/ctrlProp" Target="../ctrlProps/ctrlProp525.xml"/><Relationship Id="rId14" Type="http://schemas.openxmlformats.org/officeDocument/2006/relationships/ctrlProp" Target="../ctrlProps/ctrlProp530.xml"/><Relationship Id="rId22" Type="http://schemas.openxmlformats.org/officeDocument/2006/relationships/ctrlProp" Target="../ctrlProps/ctrlProp538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" Type="http://schemas.openxmlformats.org/officeDocument/2006/relationships/drawing" Target="../drawings/drawing4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5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/Relationships>
</file>

<file path=xl/worksheets/_rels/sheet30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44.xml"/><Relationship Id="rId13" Type="http://schemas.openxmlformats.org/officeDocument/2006/relationships/ctrlProp" Target="../ctrlProps/ctrlProp549.xml"/><Relationship Id="rId18" Type="http://schemas.openxmlformats.org/officeDocument/2006/relationships/ctrlProp" Target="../ctrlProps/ctrlProp554.xml"/><Relationship Id="rId3" Type="http://schemas.openxmlformats.org/officeDocument/2006/relationships/vmlDrawing" Target="../drawings/vmlDrawing28.vml"/><Relationship Id="rId21" Type="http://schemas.openxmlformats.org/officeDocument/2006/relationships/ctrlProp" Target="../ctrlProps/ctrlProp557.xml"/><Relationship Id="rId7" Type="http://schemas.openxmlformats.org/officeDocument/2006/relationships/ctrlProp" Target="../ctrlProps/ctrlProp543.xml"/><Relationship Id="rId12" Type="http://schemas.openxmlformats.org/officeDocument/2006/relationships/ctrlProp" Target="../ctrlProps/ctrlProp548.xml"/><Relationship Id="rId17" Type="http://schemas.openxmlformats.org/officeDocument/2006/relationships/ctrlProp" Target="../ctrlProps/ctrlProp553.xml"/><Relationship Id="rId2" Type="http://schemas.openxmlformats.org/officeDocument/2006/relationships/drawing" Target="../drawings/drawing85.xml"/><Relationship Id="rId16" Type="http://schemas.openxmlformats.org/officeDocument/2006/relationships/ctrlProp" Target="../ctrlProps/ctrlProp552.xml"/><Relationship Id="rId20" Type="http://schemas.openxmlformats.org/officeDocument/2006/relationships/ctrlProp" Target="../ctrlProps/ctrlProp556.xml"/><Relationship Id="rId1" Type="http://schemas.openxmlformats.org/officeDocument/2006/relationships/printerSettings" Target="../printerSettings/printerSettings32.bin"/><Relationship Id="rId6" Type="http://schemas.openxmlformats.org/officeDocument/2006/relationships/ctrlProp" Target="../ctrlProps/ctrlProp542.xml"/><Relationship Id="rId11" Type="http://schemas.openxmlformats.org/officeDocument/2006/relationships/ctrlProp" Target="../ctrlProps/ctrlProp547.xml"/><Relationship Id="rId5" Type="http://schemas.openxmlformats.org/officeDocument/2006/relationships/ctrlProp" Target="../ctrlProps/ctrlProp541.xml"/><Relationship Id="rId15" Type="http://schemas.openxmlformats.org/officeDocument/2006/relationships/ctrlProp" Target="../ctrlProps/ctrlProp551.xml"/><Relationship Id="rId23" Type="http://schemas.openxmlformats.org/officeDocument/2006/relationships/ctrlProp" Target="../ctrlProps/ctrlProp559.xml"/><Relationship Id="rId10" Type="http://schemas.openxmlformats.org/officeDocument/2006/relationships/ctrlProp" Target="../ctrlProps/ctrlProp546.xml"/><Relationship Id="rId19" Type="http://schemas.openxmlformats.org/officeDocument/2006/relationships/ctrlProp" Target="../ctrlProps/ctrlProp555.xml"/><Relationship Id="rId4" Type="http://schemas.openxmlformats.org/officeDocument/2006/relationships/ctrlProp" Target="../ctrlProps/ctrlProp540.xml"/><Relationship Id="rId9" Type="http://schemas.openxmlformats.org/officeDocument/2006/relationships/ctrlProp" Target="../ctrlProps/ctrlProp545.xml"/><Relationship Id="rId14" Type="http://schemas.openxmlformats.org/officeDocument/2006/relationships/ctrlProp" Target="../ctrlProps/ctrlProp550.xml"/><Relationship Id="rId22" Type="http://schemas.openxmlformats.org/officeDocument/2006/relationships/ctrlProp" Target="../ctrlProps/ctrlProp558.xml"/></Relationships>
</file>

<file path=xl/worksheets/_rels/sheet3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64.xml"/><Relationship Id="rId13" Type="http://schemas.openxmlformats.org/officeDocument/2006/relationships/ctrlProp" Target="../ctrlProps/ctrlProp569.xml"/><Relationship Id="rId18" Type="http://schemas.openxmlformats.org/officeDocument/2006/relationships/ctrlProp" Target="../ctrlProps/ctrlProp574.xml"/><Relationship Id="rId3" Type="http://schemas.openxmlformats.org/officeDocument/2006/relationships/vmlDrawing" Target="../drawings/vmlDrawing29.vml"/><Relationship Id="rId21" Type="http://schemas.openxmlformats.org/officeDocument/2006/relationships/ctrlProp" Target="../ctrlProps/ctrlProp577.xml"/><Relationship Id="rId7" Type="http://schemas.openxmlformats.org/officeDocument/2006/relationships/ctrlProp" Target="../ctrlProps/ctrlProp563.xml"/><Relationship Id="rId12" Type="http://schemas.openxmlformats.org/officeDocument/2006/relationships/ctrlProp" Target="../ctrlProps/ctrlProp568.xml"/><Relationship Id="rId17" Type="http://schemas.openxmlformats.org/officeDocument/2006/relationships/ctrlProp" Target="../ctrlProps/ctrlProp573.xml"/><Relationship Id="rId2" Type="http://schemas.openxmlformats.org/officeDocument/2006/relationships/drawing" Target="../drawings/drawing88.xml"/><Relationship Id="rId16" Type="http://schemas.openxmlformats.org/officeDocument/2006/relationships/ctrlProp" Target="../ctrlProps/ctrlProp572.xml"/><Relationship Id="rId20" Type="http://schemas.openxmlformats.org/officeDocument/2006/relationships/ctrlProp" Target="../ctrlProps/ctrlProp576.xml"/><Relationship Id="rId1" Type="http://schemas.openxmlformats.org/officeDocument/2006/relationships/printerSettings" Target="../printerSettings/printerSettings33.bin"/><Relationship Id="rId6" Type="http://schemas.openxmlformats.org/officeDocument/2006/relationships/ctrlProp" Target="../ctrlProps/ctrlProp562.xml"/><Relationship Id="rId11" Type="http://schemas.openxmlformats.org/officeDocument/2006/relationships/ctrlProp" Target="../ctrlProps/ctrlProp567.xml"/><Relationship Id="rId5" Type="http://schemas.openxmlformats.org/officeDocument/2006/relationships/ctrlProp" Target="../ctrlProps/ctrlProp561.xml"/><Relationship Id="rId15" Type="http://schemas.openxmlformats.org/officeDocument/2006/relationships/ctrlProp" Target="../ctrlProps/ctrlProp571.xml"/><Relationship Id="rId23" Type="http://schemas.openxmlformats.org/officeDocument/2006/relationships/ctrlProp" Target="../ctrlProps/ctrlProp579.xml"/><Relationship Id="rId10" Type="http://schemas.openxmlformats.org/officeDocument/2006/relationships/ctrlProp" Target="../ctrlProps/ctrlProp566.xml"/><Relationship Id="rId19" Type="http://schemas.openxmlformats.org/officeDocument/2006/relationships/ctrlProp" Target="../ctrlProps/ctrlProp575.xml"/><Relationship Id="rId4" Type="http://schemas.openxmlformats.org/officeDocument/2006/relationships/ctrlProp" Target="../ctrlProps/ctrlProp560.xml"/><Relationship Id="rId9" Type="http://schemas.openxmlformats.org/officeDocument/2006/relationships/ctrlProp" Target="../ctrlProps/ctrlProp565.xml"/><Relationship Id="rId14" Type="http://schemas.openxmlformats.org/officeDocument/2006/relationships/ctrlProp" Target="../ctrlProps/ctrlProp570.xml"/><Relationship Id="rId22" Type="http://schemas.openxmlformats.org/officeDocument/2006/relationships/ctrlProp" Target="../ctrlProps/ctrlProp578.xml"/></Relationships>
</file>

<file path=xl/worksheets/_rels/sheet3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84.xml"/><Relationship Id="rId13" Type="http://schemas.openxmlformats.org/officeDocument/2006/relationships/ctrlProp" Target="../ctrlProps/ctrlProp589.xml"/><Relationship Id="rId18" Type="http://schemas.openxmlformats.org/officeDocument/2006/relationships/ctrlProp" Target="../ctrlProps/ctrlProp594.xml"/><Relationship Id="rId3" Type="http://schemas.openxmlformats.org/officeDocument/2006/relationships/vmlDrawing" Target="../drawings/vmlDrawing30.vml"/><Relationship Id="rId21" Type="http://schemas.openxmlformats.org/officeDocument/2006/relationships/ctrlProp" Target="../ctrlProps/ctrlProp597.xml"/><Relationship Id="rId7" Type="http://schemas.openxmlformats.org/officeDocument/2006/relationships/ctrlProp" Target="../ctrlProps/ctrlProp583.xml"/><Relationship Id="rId12" Type="http://schemas.openxmlformats.org/officeDocument/2006/relationships/ctrlProp" Target="../ctrlProps/ctrlProp588.xml"/><Relationship Id="rId17" Type="http://schemas.openxmlformats.org/officeDocument/2006/relationships/ctrlProp" Target="../ctrlProps/ctrlProp593.xml"/><Relationship Id="rId2" Type="http://schemas.openxmlformats.org/officeDocument/2006/relationships/drawing" Target="../drawings/drawing91.xml"/><Relationship Id="rId16" Type="http://schemas.openxmlformats.org/officeDocument/2006/relationships/ctrlProp" Target="../ctrlProps/ctrlProp592.xml"/><Relationship Id="rId20" Type="http://schemas.openxmlformats.org/officeDocument/2006/relationships/ctrlProp" Target="../ctrlProps/ctrlProp596.xml"/><Relationship Id="rId1" Type="http://schemas.openxmlformats.org/officeDocument/2006/relationships/printerSettings" Target="../printerSettings/printerSettings34.bin"/><Relationship Id="rId6" Type="http://schemas.openxmlformats.org/officeDocument/2006/relationships/ctrlProp" Target="../ctrlProps/ctrlProp582.xml"/><Relationship Id="rId11" Type="http://schemas.openxmlformats.org/officeDocument/2006/relationships/ctrlProp" Target="../ctrlProps/ctrlProp587.xml"/><Relationship Id="rId5" Type="http://schemas.openxmlformats.org/officeDocument/2006/relationships/ctrlProp" Target="../ctrlProps/ctrlProp581.xml"/><Relationship Id="rId15" Type="http://schemas.openxmlformats.org/officeDocument/2006/relationships/ctrlProp" Target="../ctrlProps/ctrlProp591.xml"/><Relationship Id="rId23" Type="http://schemas.openxmlformats.org/officeDocument/2006/relationships/ctrlProp" Target="../ctrlProps/ctrlProp599.xml"/><Relationship Id="rId10" Type="http://schemas.openxmlformats.org/officeDocument/2006/relationships/ctrlProp" Target="../ctrlProps/ctrlProp586.xml"/><Relationship Id="rId19" Type="http://schemas.openxmlformats.org/officeDocument/2006/relationships/ctrlProp" Target="../ctrlProps/ctrlProp595.xml"/><Relationship Id="rId4" Type="http://schemas.openxmlformats.org/officeDocument/2006/relationships/ctrlProp" Target="../ctrlProps/ctrlProp580.xml"/><Relationship Id="rId9" Type="http://schemas.openxmlformats.org/officeDocument/2006/relationships/ctrlProp" Target="../ctrlProps/ctrlProp585.xml"/><Relationship Id="rId14" Type="http://schemas.openxmlformats.org/officeDocument/2006/relationships/ctrlProp" Target="../ctrlProps/ctrlProp590.xml"/><Relationship Id="rId22" Type="http://schemas.openxmlformats.org/officeDocument/2006/relationships/ctrlProp" Target="../ctrlProps/ctrlProp598.xml"/></Relationships>
</file>

<file path=xl/worksheets/_rels/sheet3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04.xml"/><Relationship Id="rId13" Type="http://schemas.openxmlformats.org/officeDocument/2006/relationships/ctrlProp" Target="../ctrlProps/ctrlProp609.xml"/><Relationship Id="rId18" Type="http://schemas.openxmlformats.org/officeDocument/2006/relationships/ctrlProp" Target="../ctrlProps/ctrlProp614.xml"/><Relationship Id="rId3" Type="http://schemas.openxmlformats.org/officeDocument/2006/relationships/vmlDrawing" Target="../drawings/vmlDrawing31.vml"/><Relationship Id="rId21" Type="http://schemas.openxmlformats.org/officeDocument/2006/relationships/ctrlProp" Target="../ctrlProps/ctrlProp617.xml"/><Relationship Id="rId7" Type="http://schemas.openxmlformats.org/officeDocument/2006/relationships/ctrlProp" Target="../ctrlProps/ctrlProp603.xml"/><Relationship Id="rId12" Type="http://schemas.openxmlformats.org/officeDocument/2006/relationships/ctrlProp" Target="../ctrlProps/ctrlProp608.xml"/><Relationship Id="rId17" Type="http://schemas.openxmlformats.org/officeDocument/2006/relationships/ctrlProp" Target="../ctrlProps/ctrlProp613.xml"/><Relationship Id="rId2" Type="http://schemas.openxmlformats.org/officeDocument/2006/relationships/drawing" Target="../drawings/drawing94.xml"/><Relationship Id="rId16" Type="http://schemas.openxmlformats.org/officeDocument/2006/relationships/ctrlProp" Target="../ctrlProps/ctrlProp612.xml"/><Relationship Id="rId20" Type="http://schemas.openxmlformats.org/officeDocument/2006/relationships/ctrlProp" Target="../ctrlProps/ctrlProp616.xml"/><Relationship Id="rId1" Type="http://schemas.openxmlformats.org/officeDocument/2006/relationships/printerSettings" Target="../printerSettings/printerSettings35.bin"/><Relationship Id="rId6" Type="http://schemas.openxmlformats.org/officeDocument/2006/relationships/ctrlProp" Target="../ctrlProps/ctrlProp602.xml"/><Relationship Id="rId11" Type="http://schemas.openxmlformats.org/officeDocument/2006/relationships/ctrlProp" Target="../ctrlProps/ctrlProp607.xml"/><Relationship Id="rId5" Type="http://schemas.openxmlformats.org/officeDocument/2006/relationships/ctrlProp" Target="../ctrlProps/ctrlProp601.xml"/><Relationship Id="rId15" Type="http://schemas.openxmlformats.org/officeDocument/2006/relationships/ctrlProp" Target="../ctrlProps/ctrlProp611.xml"/><Relationship Id="rId23" Type="http://schemas.openxmlformats.org/officeDocument/2006/relationships/ctrlProp" Target="../ctrlProps/ctrlProp619.xml"/><Relationship Id="rId10" Type="http://schemas.openxmlformats.org/officeDocument/2006/relationships/ctrlProp" Target="../ctrlProps/ctrlProp606.xml"/><Relationship Id="rId19" Type="http://schemas.openxmlformats.org/officeDocument/2006/relationships/ctrlProp" Target="../ctrlProps/ctrlProp615.xml"/><Relationship Id="rId4" Type="http://schemas.openxmlformats.org/officeDocument/2006/relationships/ctrlProp" Target="../ctrlProps/ctrlProp600.xml"/><Relationship Id="rId9" Type="http://schemas.openxmlformats.org/officeDocument/2006/relationships/ctrlProp" Target="../ctrlProps/ctrlProp605.xml"/><Relationship Id="rId14" Type="http://schemas.openxmlformats.org/officeDocument/2006/relationships/ctrlProp" Target="../ctrlProps/ctrlProp610.xml"/><Relationship Id="rId22" Type="http://schemas.openxmlformats.org/officeDocument/2006/relationships/ctrlProp" Target="../ctrlProps/ctrlProp618.xml"/></Relationships>
</file>

<file path=xl/worksheets/_rels/sheet3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24.xml"/><Relationship Id="rId13" Type="http://schemas.openxmlformats.org/officeDocument/2006/relationships/ctrlProp" Target="../ctrlProps/ctrlProp629.xml"/><Relationship Id="rId18" Type="http://schemas.openxmlformats.org/officeDocument/2006/relationships/ctrlProp" Target="../ctrlProps/ctrlProp634.xml"/><Relationship Id="rId3" Type="http://schemas.openxmlformats.org/officeDocument/2006/relationships/vmlDrawing" Target="../drawings/vmlDrawing32.vml"/><Relationship Id="rId21" Type="http://schemas.openxmlformats.org/officeDocument/2006/relationships/ctrlProp" Target="../ctrlProps/ctrlProp637.xml"/><Relationship Id="rId7" Type="http://schemas.openxmlformats.org/officeDocument/2006/relationships/ctrlProp" Target="../ctrlProps/ctrlProp623.xml"/><Relationship Id="rId12" Type="http://schemas.openxmlformats.org/officeDocument/2006/relationships/ctrlProp" Target="../ctrlProps/ctrlProp628.xml"/><Relationship Id="rId17" Type="http://schemas.openxmlformats.org/officeDocument/2006/relationships/ctrlProp" Target="../ctrlProps/ctrlProp633.xml"/><Relationship Id="rId2" Type="http://schemas.openxmlformats.org/officeDocument/2006/relationships/drawing" Target="../drawings/drawing97.xml"/><Relationship Id="rId16" Type="http://schemas.openxmlformats.org/officeDocument/2006/relationships/ctrlProp" Target="../ctrlProps/ctrlProp632.xml"/><Relationship Id="rId20" Type="http://schemas.openxmlformats.org/officeDocument/2006/relationships/ctrlProp" Target="../ctrlProps/ctrlProp636.xml"/><Relationship Id="rId1" Type="http://schemas.openxmlformats.org/officeDocument/2006/relationships/printerSettings" Target="../printerSettings/printerSettings36.bin"/><Relationship Id="rId6" Type="http://schemas.openxmlformats.org/officeDocument/2006/relationships/ctrlProp" Target="../ctrlProps/ctrlProp622.xml"/><Relationship Id="rId11" Type="http://schemas.openxmlformats.org/officeDocument/2006/relationships/ctrlProp" Target="../ctrlProps/ctrlProp627.xml"/><Relationship Id="rId5" Type="http://schemas.openxmlformats.org/officeDocument/2006/relationships/ctrlProp" Target="../ctrlProps/ctrlProp621.xml"/><Relationship Id="rId15" Type="http://schemas.openxmlformats.org/officeDocument/2006/relationships/ctrlProp" Target="../ctrlProps/ctrlProp631.xml"/><Relationship Id="rId23" Type="http://schemas.openxmlformats.org/officeDocument/2006/relationships/ctrlProp" Target="../ctrlProps/ctrlProp639.xml"/><Relationship Id="rId10" Type="http://schemas.openxmlformats.org/officeDocument/2006/relationships/ctrlProp" Target="../ctrlProps/ctrlProp626.xml"/><Relationship Id="rId19" Type="http://schemas.openxmlformats.org/officeDocument/2006/relationships/ctrlProp" Target="../ctrlProps/ctrlProp635.xml"/><Relationship Id="rId4" Type="http://schemas.openxmlformats.org/officeDocument/2006/relationships/ctrlProp" Target="../ctrlProps/ctrlProp620.xml"/><Relationship Id="rId9" Type="http://schemas.openxmlformats.org/officeDocument/2006/relationships/ctrlProp" Target="../ctrlProps/ctrlProp625.xml"/><Relationship Id="rId14" Type="http://schemas.openxmlformats.org/officeDocument/2006/relationships/ctrlProp" Target="../ctrlProps/ctrlProp630.xml"/><Relationship Id="rId22" Type="http://schemas.openxmlformats.org/officeDocument/2006/relationships/ctrlProp" Target="../ctrlProps/ctrlProp638.xml"/></Relationships>
</file>

<file path=xl/worksheets/_rels/sheet3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44.xml"/><Relationship Id="rId13" Type="http://schemas.openxmlformats.org/officeDocument/2006/relationships/ctrlProp" Target="../ctrlProps/ctrlProp649.xml"/><Relationship Id="rId18" Type="http://schemas.openxmlformats.org/officeDocument/2006/relationships/ctrlProp" Target="../ctrlProps/ctrlProp654.xml"/><Relationship Id="rId3" Type="http://schemas.openxmlformats.org/officeDocument/2006/relationships/vmlDrawing" Target="../drawings/vmlDrawing33.vml"/><Relationship Id="rId21" Type="http://schemas.openxmlformats.org/officeDocument/2006/relationships/ctrlProp" Target="../ctrlProps/ctrlProp657.xml"/><Relationship Id="rId7" Type="http://schemas.openxmlformats.org/officeDocument/2006/relationships/ctrlProp" Target="../ctrlProps/ctrlProp643.xml"/><Relationship Id="rId12" Type="http://schemas.openxmlformats.org/officeDocument/2006/relationships/ctrlProp" Target="../ctrlProps/ctrlProp648.xml"/><Relationship Id="rId17" Type="http://schemas.openxmlformats.org/officeDocument/2006/relationships/ctrlProp" Target="../ctrlProps/ctrlProp653.xml"/><Relationship Id="rId2" Type="http://schemas.openxmlformats.org/officeDocument/2006/relationships/drawing" Target="../drawings/drawing100.xml"/><Relationship Id="rId16" Type="http://schemas.openxmlformats.org/officeDocument/2006/relationships/ctrlProp" Target="../ctrlProps/ctrlProp652.xml"/><Relationship Id="rId20" Type="http://schemas.openxmlformats.org/officeDocument/2006/relationships/ctrlProp" Target="../ctrlProps/ctrlProp656.xml"/><Relationship Id="rId1" Type="http://schemas.openxmlformats.org/officeDocument/2006/relationships/printerSettings" Target="../printerSettings/printerSettings37.bin"/><Relationship Id="rId6" Type="http://schemas.openxmlformats.org/officeDocument/2006/relationships/ctrlProp" Target="../ctrlProps/ctrlProp642.xml"/><Relationship Id="rId11" Type="http://schemas.openxmlformats.org/officeDocument/2006/relationships/ctrlProp" Target="../ctrlProps/ctrlProp647.xml"/><Relationship Id="rId5" Type="http://schemas.openxmlformats.org/officeDocument/2006/relationships/ctrlProp" Target="../ctrlProps/ctrlProp641.xml"/><Relationship Id="rId15" Type="http://schemas.openxmlformats.org/officeDocument/2006/relationships/ctrlProp" Target="../ctrlProps/ctrlProp651.xml"/><Relationship Id="rId23" Type="http://schemas.openxmlformats.org/officeDocument/2006/relationships/ctrlProp" Target="../ctrlProps/ctrlProp659.xml"/><Relationship Id="rId10" Type="http://schemas.openxmlformats.org/officeDocument/2006/relationships/ctrlProp" Target="../ctrlProps/ctrlProp646.xml"/><Relationship Id="rId19" Type="http://schemas.openxmlformats.org/officeDocument/2006/relationships/ctrlProp" Target="../ctrlProps/ctrlProp655.xml"/><Relationship Id="rId4" Type="http://schemas.openxmlformats.org/officeDocument/2006/relationships/ctrlProp" Target="../ctrlProps/ctrlProp640.xml"/><Relationship Id="rId9" Type="http://schemas.openxmlformats.org/officeDocument/2006/relationships/ctrlProp" Target="../ctrlProps/ctrlProp645.xml"/><Relationship Id="rId14" Type="http://schemas.openxmlformats.org/officeDocument/2006/relationships/ctrlProp" Target="../ctrlProps/ctrlProp650.xml"/><Relationship Id="rId22" Type="http://schemas.openxmlformats.org/officeDocument/2006/relationships/ctrlProp" Target="../ctrlProps/ctrlProp658.xml"/></Relationships>
</file>

<file path=xl/worksheets/_rels/sheet3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64.xml"/><Relationship Id="rId3" Type="http://schemas.openxmlformats.org/officeDocument/2006/relationships/vmlDrawing" Target="../drawings/vmlDrawing34.vml"/><Relationship Id="rId7" Type="http://schemas.openxmlformats.org/officeDocument/2006/relationships/ctrlProp" Target="../ctrlProps/ctrlProp663.xml"/><Relationship Id="rId12" Type="http://schemas.openxmlformats.org/officeDocument/2006/relationships/ctrlProp" Target="../ctrlProps/ctrlProp668.xml"/><Relationship Id="rId2" Type="http://schemas.openxmlformats.org/officeDocument/2006/relationships/drawing" Target="../drawings/drawing103.xml"/><Relationship Id="rId1" Type="http://schemas.openxmlformats.org/officeDocument/2006/relationships/printerSettings" Target="../printerSettings/printerSettings38.bin"/><Relationship Id="rId6" Type="http://schemas.openxmlformats.org/officeDocument/2006/relationships/ctrlProp" Target="../ctrlProps/ctrlProp662.xml"/><Relationship Id="rId11" Type="http://schemas.openxmlformats.org/officeDocument/2006/relationships/ctrlProp" Target="../ctrlProps/ctrlProp667.xml"/><Relationship Id="rId5" Type="http://schemas.openxmlformats.org/officeDocument/2006/relationships/ctrlProp" Target="../ctrlProps/ctrlProp661.xml"/><Relationship Id="rId10" Type="http://schemas.openxmlformats.org/officeDocument/2006/relationships/ctrlProp" Target="../ctrlProps/ctrlProp666.xml"/><Relationship Id="rId4" Type="http://schemas.openxmlformats.org/officeDocument/2006/relationships/ctrlProp" Target="../ctrlProps/ctrlProp660.xml"/><Relationship Id="rId9" Type="http://schemas.openxmlformats.org/officeDocument/2006/relationships/ctrlProp" Target="../ctrlProps/ctrlProp665.xml"/></Relationships>
</file>

<file path=xl/worksheets/_rels/sheet3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73.xml"/><Relationship Id="rId13" Type="http://schemas.openxmlformats.org/officeDocument/2006/relationships/ctrlProp" Target="../ctrlProps/ctrlProp678.xml"/><Relationship Id="rId18" Type="http://schemas.openxmlformats.org/officeDocument/2006/relationships/ctrlProp" Target="../ctrlProps/ctrlProp683.xml"/><Relationship Id="rId3" Type="http://schemas.openxmlformats.org/officeDocument/2006/relationships/vmlDrawing" Target="../drawings/vmlDrawing35.vml"/><Relationship Id="rId21" Type="http://schemas.openxmlformats.org/officeDocument/2006/relationships/ctrlProp" Target="../ctrlProps/ctrlProp686.xml"/><Relationship Id="rId7" Type="http://schemas.openxmlformats.org/officeDocument/2006/relationships/ctrlProp" Target="../ctrlProps/ctrlProp672.xml"/><Relationship Id="rId12" Type="http://schemas.openxmlformats.org/officeDocument/2006/relationships/ctrlProp" Target="../ctrlProps/ctrlProp677.xml"/><Relationship Id="rId17" Type="http://schemas.openxmlformats.org/officeDocument/2006/relationships/ctrlProp" Target="../ctrlProps/ctrlProp682.xml"/><Relationship Id="rId2" Type="http://schemas.openxmlformats.org/officeDocument/2006/relationships/drawing" Target="../drawings/drawing106.xml"/><Relationship Id="rId16" Type="http://schemas.openxmlformats.org/officeDocument/2006/relationships/ctrlProp" Target="../ctrlProps/ctrlProp681.xml"/><Relationship Id="rId20" Type="http://schemas.openxmlformats.org/officeDocument/2006/relationships/ctrlProp" Target="../ctrlProps/ctrlProp685.xml"/><Relationship Id="rId1" Type="http://schemas.openxmlformats.org/officeDocument/2006/relationships/printerSettings" Target="../printerSettings/printerSettings39.bin"/><Relationship Id="rId6" Type="http://schemas.openxmlformats.org/officeDocument/2006/relationships/ctrlProp" Target="../ctrlProps/ctrlProp671.xml"/><Relationship Id="rId11" Type="http://schemas.openxmlformats.org/officeDocument/2006/relationships/ctrlProp" Target="../ctrlProps/ctrlProp676.xml"/><Relationship Id="rId5" Type="http://schemas.openxmlformats.org/officeDocument/2006/relationships/ctrlProp" Target="../ctrlProps/ctrlProp670.xml"/><Relationship Id="rId15" Type="http://schemas.openxmlformats.org/officeDocument/2006/relationships/ctrlProp" Target="../ctrlProps/ctrlProp680.xml"/><Relationship Id="rId23" Type="http://schemas.openxmlformats.org/officeDocument/2006/relationships/ctrlProp" Target="../ctrlProps/ctrlProp688.xml"/><Relationship Id="rId10" Type="http://schemas.openxmlformats.org/officeDocument/2006/relationships/ctrlProp" Target="../ctrlProps/ctrlProp675.xml"/><Relationship Id="rId19" Type="http://schemas.openxmlformats.org/officeDocument/2006/relationships/ctrlProp" Target="../ctrlProps/ctrlProp684.xml"/><Relationship Id="rId4" Type="http://schemas.openxmlformats.org/officeDocument/2006/relationships/ctrlProp" Target="../ctrlProps/ctrlProp669.xml"/><Relationship Id="rId9" Type="http://schemas.openxmlformats.org/officeDocument/2006/relationships/ctrlProp" Target="../ctrlProps/ctrlProp674.xml"/><Relationship Id="rId14" Type="http://schemas.openxmlformats.org/officeDocument/2006/relationships/ctrlProp" Target="../ctrlProps/ctrlProp679.xml"/><Relationship Id="rId22" Type="http://schemas.openxmlformats.org/officeDocument/2006/relationships/ctrlProp" Target="../ctrlProps/ctrlProp687.x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5.xml"/><Relationship Id="rId13" Type="http://schemas.openxmlformats.org/officeDocument/2006/relationships/ctrlProp" Target="../ctrlProps/ctrlProp30.xml"/><Relationship Id="rId18" Type="http://schemas.openxmlformats.org/officeDocument/2006/relationships/ctrlProp" Target="../ctrlProps/ctrlProp35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38.xml"/><Relationship Id="rId7" Type="http://schemas.openxmlformats.org/officeDocument/2006/relationships/ctrlProp" Target="../ctrlProps/ctrlProp24.xml"/><Relationship Id="rId12" Type="http://schemas.openxmlformats.org/officeDocument/2006/relationships/ctrlProp" Target="../ctrlProps/ctrlProp29.xml"/><Relationship Id="rId17" Type="http://schemas.openxmlformats.org/officeDocument/2006/relationships/ctrlProp" Target="../ctrlProps/ctrlProp34.xml"/><Relationship Id="rId2" Type="http://schemas.openxmlformats.org/officeDocument/2006/relationships/drawing" Target="../drawings/drawing7.xml"/><Relationship Id="rId16" Type="http://schemas.openxmlformats.org/officeDocument/2006/relationships/ctrlProp" Target="../ctrlProps/ctrlProp33.xml"/><Relationship Id="rId20" Type="http://schemas.openxmlformats.org/officeDocument/2006/relationships/ctrlProp" Target="../ctrlProps/ctrlProp37.xml"/><Relationship Id="rId1" Type="http://schemas.openxmlformats.org/officeDocument/2006/relationships/printerSettings" Target="../printerSettings/printerSettings6.bin"/><Relationship Id="rId6" Type="http://schemas.openxmlformats.org/officeDocument/2006/relationships/ctrlProp" Target="../ctrlProps/ctrlProp23.xml"/><Relationship Id="rId11" Type="http://schemas.openxmlformats.org/officeDocument/2006/relationships/ctrlProp" Target="../ctrlProps/ctrlProp28.xml"/><Relationship Id="rId5" Type="http://schemas.openxmlformats.org/officeDocument/2006/relationships/ctrlProp" Target="../ctrlProps/ctrlProp22.xml"/><Relationship Id="rId15" Type="http://schemas.openxmlformats.org/officeDocument/2006/relationships/ctrlProp" Target="../ctrlProps/ctrlProp32.xml"/><Relationship Id="rId10" Type="http://schemas.openxmlformats.org/officeDocument/2006/relationships/ctrlProp" Target="../ctrlProps/ctrlProp27.xml"/><Relationship Id="rId19" Type="http://schemas.openxmlformats.org/officeDocument/2006/relationships/ctrlProp" Target="../ctrlProps/ctrlProp36.xml"/><Relationship Id="rId4" Type="http://schemas.openxmlformats.org/officeDocument/2006/relationships/ctrlProp" Target="../ctrlProps/ctrlProp21.xml"/><Relationship Id="rId9" Type="http://schemas.openxmlformats.org/officeDocument/2006/relationships/ctrlProp" Target="../ctrlProps/ctrlProp26.xml"/><Relationship Id="rId14" Type="http://schemas.openxmlformats.org/officeDocument/2006/relationships/ctrlProp" Target="../ctrlProps/ctrlProp31.xml"/><Relationship Id="rId22" Type="http://schemas.openxmlformats.org/officeDocument/2006/relationships/ctrlProp" Target="../ctrlProps/ctrlProp39.xm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9.xml"/><Relationship Id="rId1" Type="http://schemas.openxmlformats.org/officeDocument/2006/relationships/printerSettings" Target="../printerSettings/printerSettings45.bin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0.xml"/><Relationship Id="rId1" Type="http://schemas.openxmlformats.org/officeDocument/2006/relationships/printerSettings" Target="../printerSettings/printerSettings46.bin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1.xml"/><Relationship Id="rId1" Type="http://schemas.openxmlformats.org/officeDocument/2006/relationships/printerSettings" Target="../printerSettings/printerSettings47.bin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2.xml"/><Relationship Id="rId1" Type="http://schemas.openxmlformats.org/officeDocument/2006/relationships/printerSettings" Target="../printerSettings/printerSettings48.bin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3.xml"/><Relationship Id="rId1" Type="http://schemas.openxmlformats.org/officeDocument/2006/relationships/printerSettings" Target="../printerSettings/printerSettings49.bin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4.xml"/><Relationship Id="rId1" Type="http://schemas.openxmlformats.org/officeDocument/2006/relationships/printerSettings" Target="../printerSettings/printerSettings50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4.xml"/><Relationship Id="rId13" Type="http://schemas.openxmlformats.org/officeDocument/2006/relationships/ctrlProp" Target="../ctrlProps/ctrlProp49.xml"/><Relationship Id="rId18" Type="http://schemas.openxmlformats.org/officeDocument/2006/relationships/ctrlProp" Target="../ctrlProps/ctrlProp54.xml"/><Relationship Id="rId3" Type="http://schemas.openxmlformats.org/officeDocument/2006/relationships/vmlDrawing" Target="../drawings/vmlDrawing3.vml"/><Relationship Id="rId21" Type="http://schemas.openxmlformats.org/officeDocument/2006/relationships/ctrlProp" Target="../ctrlProps/ctrlProp57.xml"/><Relationship Id="rId7" Type="http://schemas.openxmlformats.org/officeDocument/2006/relationships/ctrlProp" Target="../ctrlProps/ctrlProp43.xml"/><Relationship Id="rId12" Type="http://schemas.openxmlformats.org/officeDocument/2006/relationships/ctrlProp" Target="../ctrlProps/ctrlProp48.xml"/><Relationship Id="rId17" Type="http://schemas.openxmlformats.org/officeDocument/2006/relationships/ctrlProp" Target="../ctrlProps/ctrlProp53.xml"/><Relationship Id="rId2" Type="http://schemas.openxmlformats.org/officeDocument/2006/relationships/drawing" Target="../drawings/drawing10.xml"/><Relationship Id="rId16" Type="http://schemas.openxmlformats.org/officeDocument/2006/relationships/ctrlProp" Target="../ctrlProps/ctrlProp52.xml"/><Relationship Id="rId20" Type="http://schemas.openxmlformats.org/officeDocument/2006/relationships/ctrlProp" Target="../ctrlProps/ctrlProp56.xml"/><Relationship Id="rId1" Type="http://schemas.openxmlformats.org/officeDocument/2006/relationships/printerSettings" Target="../printerSettings/printerSettings7.bin"/><Relationship Id="rId6" Type="http://schemas.openxmlformats.org/officeDocument/2006/relationships/ctrlProp" Target="../ctrlProps/ctrlProp42.xml"/><Relationship Id="rId11" Type="http://schemas.openxmlformats.org/officeDocument/2006/relationships/ctrlProp" Target="../ctrlProps/ctrlProp47.xml"/><Relationship Id="rId5" Type="http://schemas.openxmlformats.org/officeDocument/2006/relationships/ctrlProp" Target="../ctrlProps/ctrlProp41.xml"/><Relationship Id="rId15" Type="http://schemas.openxmlformats.org/officeDocument/2006/relationships/ctrlProp" Target="../ctrlProps/ctrlProp51.xml"/><Relationship Id="rId23" Type="http://schemas.openxmlformats.org/officeDocument/2006/relationships/ctrlProp" Target="../ctrlProps/ctrlProp59.xml"/><Relationship Id="rId10" Type="http://schemas.openxmlformats.org/officeDocument/2006/relationships/ctrlProp" Target="../ctrlProps/ctrlProp46.xml"/><Relationship Id="rId19" Type="http://schemas.openxmlformats.org/officeDocument/2006/relationships/ctrlProp" Target="../ctrlProps/ctrlProp55.xml"/><Relationship Id="rId4" Type="http://schemas.openxmlformats.org/officeDocument/2006/relationships/ctrlProp" Target="../ctrlProps/ctrlProp40.xml"/><Relationship Id="rId9" Type="http://schemas.openxmlformats.org/officeDocument/2006/relationships/ctrlProp" Target="../ctrlProps/ctrlProp45.xml"/><Relationship Id="rId14" Type="http://schemas.openxmlformats.org/officeDocument/2006/relationships/ctrlProp" Target="../ctrlProps/ctrlProp50.xml"/><Relationship Id="rId22" Type="http://schemas.openxmlformats.org/officeDocument/2006/relationships/ctrlProp" Target="../ctrlProps/ctrlProp58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4.xml"/><Relationship Id="rId13" Type="http://schemas.openxmlformats.org/officeDocument/2006/relationships/ctrlProp" Target="../ctrlProps/ctrlProp69.xml"/><Relationship Id="rId18" Type="http://schemas.openxmlformats.org/officeDocument/2006/relationships/ctrlProp" Target="../ctrlProps/ctrlProp74.xml"/><Relationship Id="rId3" Type="http://schemas.openxmlformats.org/officeDocument/2006/relationships/vmlDrawing" Target="../drawings/vmlDrawing4.vml"/><Relationship Id="rId21" Type="http://schemas.openxmlformats.org/officeDocument/2006/relationships/ctrlProp" Target="../ctrlProps/ctrlProp77.xml"/><Relationship Id="rId7" Type="http://schemas.openxmlformats.org/officeDocument/2006/relationships/ctrlProp" Target="../ctrlProps/ctrlProp63.xml"/><Relationship Id="rId12" Type="http://schemas.openxmlformats.org/officeDocument/2006/relationships/ctrlProp" Target="../ctrlProps/ctrlProp68.xml"/><Relationship Id="rId17" Type="http://schemas.openxmlformats.org/officeDocument/2006/relationships/ctrlProp" Target="../ctrlProps/ctrlProp73.xml"/><Relationship Id="rId2" Type="http://schemas.openxmlformats.org/officeDocument/2006/relationships/drawing" Target="../drawings/drawing13.xml"/><Relationship Id="rId16" Type="http://schemas.openxmlformats.org/officeDocument/2006/relationships/ctrlProp" Target="../ctrlProps/ctrlProp72.xml"/><Relationship Id="rId20" Type="http://schemas.openxmlformats.org/officeDocument/2006/relationships/ctrlProp" Target="../ctrlProps/ctrlProp76.xml"/><Relationship Id="rId1" Type="http://schemas.openxmlformats.org/officeDocument/2006/relationships/printerSettings" Target="../printerSettings/printerSettings8.bin"/><Relationship Id="rId6" Type="http://schemas.openxmlformats.org/officeDocument/2006/relationships/ctrlProp" Target="../ctrlProps/ctrlProp62.xml"/><Relationship Id="rId11" Type="http://schemas.openxmlformats.org/officeDocument/2006/relationships/ctrlProp" Target="../ctrlProps/ctrlProp67.xml"/><Relationship Id="rId5" Type="http://schemas.openxmlformats.org/officeDocument/2006/relationships/ctrlProp" Target="../ctrlProps/ctrlProp61.xml"/><Relationship Id="rId15" Type="http://schemas.openxmlformats.org/officeDocument/2006/relationships/ctrlProp" Target="../ctrlProps/ctrlProp71.xml"/><Relationship Id="rId23" Type="http://schemas.openxmlformats.org/officeDocument/2006/relationships/ctrlProp" Target="../ctrlProps/ctrlProp79.xml"/><Relationship Id="rId10" Type="http://schemas.openxmlformats.org/officeDocument/2006/relationships/ctrlProp" Target="../ctrlProps/ctrlProp66.xml"/><Relationship Id="rId19" Type="http://schemas.openxmlformats.org/officeDocument/2006/relationships/ctrlProp" Target="../ctrlProps/ctrlProp75.xml"/><Relationship Id="rId4" Type="http://schemas.openxmlformats.org/officeDocument/2006/relationships/ctrlProp" Target="../ctrlProps/ctrlProp60.xml"/><Relationship Id="rId9" Type="http://schemas.openxmlformats.org/officeDocument/2006/relationships/ctrlProp" Target="../ctrlProps/ctrlProp65.xml"/><Relationship Id="rId14" Type="http://schemas.openxmlformats.org/officeDocument/2006/relationships/ctrlProp" Target="../ctrlProps/ctrlProp70.xml"/><Relationship Id="rId22" Type="http://schemas.openxmlformats.org/officeDocument/2006/relationships/ctrlProp" Target="../ctrlProps/ctrlProp78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4.xml"/><Relationship Id="rId13" Type="http://schemas.openxmlformats.org/officeDocument/2006/relationships/ctrlProp" Target="../ctrlProps/ctrlProp89.xml"/><Relationship Id="rId18" Type="http://schemas.openxmlformats.org/officeDocument/2006/relationships/ctrlProp" Target="../ctrlProps/ctrlProp94.xml"/><Relationship Id="rId3" Type="http://schemas.openxmlformats.org/officeDocument/2006/relationships/vmlDrawing" Target="../drawings/vmlDrawing5.vml"/><Relationship Id="rId21" Type="http://schemas.openxmlformats.org/officeDocument/2006/relationships/ctrlProp" Target="../ctrlProps/ctrlProp97.xml"/><Relationship Id="rId7" Type="http://schemas.openxmlformats.org/officeDocument/2006/relationships/ctrlProp" Target="../ctrlProps/ctrlProp83.xml"/><Relationship Id="rId12" Type="http://schemas.openxmlformats.org/officeDocument/2006/relationships/ctrlProp" Target="../ctrlProps/ctrlProp88.xml"/><Relationship Id="rId17" Type="http://schemas.openxmlformats.org/officeDocument/2006/relationships/ctrlProp" Target="../ctrlProps/ctrlProp93.xml"/><Relationship Id="rId2" Type="http://schemas.openxmlformats.org/officeDocument/2006/relationships/drawing" Target="../drawings/drawing16.xml"/><Relationship Id="rId16" Type="http://schemas.openxmlformats.org/officeDocument/2006/relationships/ctrlProp" Target="../ctrlProps/ctrlProp92.xml"/><Relationship Id="rId20" Type="http://schemas.openxmlformats.org/officeDocument/2006/relationships/ctrlProp" Target="../ctrlProps/ctrlProp96.xml"/><Relationship Id="rId1" Type="http://schemas.openxmlformats.org/officeDocument/2006/relationships/printerSettings" Target="../printerSettings/printerSettings9.bin"/><Relationship Id="rId6" Type="http://schemas.openxmlformats.org/officeDocument/2006/relationships/ctrlProp" Target="../ctrlProps/ctrlProp82.xml"/><Relationship Id="rId11" Type="http://schemas.openxmlformats.org/officeDocument/2006/relationships/ctrlProp" Target="../ctrlProps/ctrlProp87.xml"/><Relationship Id="rId5" Type="http://schemas.openxmlformats.org/officeDocument/2006/relationships/ctrlProp" Target="../ctrlProps/ctrlProp81.xml"/><Relationship Id="rId15" Type="http://schemas.openxmlformats.org/officeDocument/2006/relationships/ctrlProp" Target="../ctrlProps/ctrlProp91.xml"/><Relationship Id="rId23" Type="http://schemas.openxmlformats.org/officeDocument/2006/relationships/ctrlProp" Target="../ctrlProps/ctrlProp99.xml"/><Relationship Id="rId10" Type="http://schemas.openxmlformats.org/officeDocument/2006/relationships/ctrlProp" Target="../ctrlProps/ctrlProp86.xml"/><Relationship Id="rId19" Type="http://schemas.openxmlformats.org/officeDocument/2006/relationships/ctrlProp" Target="../ctrlProps/ctrlProp95.xml"/><Relationship Id="rId4" Type="http://schemas.openxmlformats.org/officeDocument/2006/relationships/ctrlProp" Target="../ctrlProps/ctrlProp80.xml"/><Relationship Id="rId9" Type="http://schemas.openxmlformats.org/officeDocument/2006/relationships/ctrlProp" Target="../ctrlProps/ctrlProp85.xml"/><Relationship Id="rId14" Type="http://schemas.openxmlformats.org/officeDocument/2006/relationships/ctrlProp" Target="../ctrlProps/ctrlProp90.xml"/><Relationship Id="rId22" Type="http://schemas.openxmlformats.org/officeDocument/2006/relationships/ctrlProp" Target="../ctrlProps/ctrlProp98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04.xml"/><Relationship Id="rId13" Type="http://schemas.openxmlformats.org/officeDocument/2006/relationships/ctrlProp" Target="../ctrlProps/ctrlProp109.xml"/><Relationship Id="rId18" Type="http://schemas.openxmlformats.org/officeDocument/2006/relationships/ctrlProp" Target="../ctrlProps/ctrlProp114.xml"/><Relationship Id="rId3" Type="http://schemas.openxmlformats.org/officeDocument/2006/relationships/vmlDrawing" Target="../drawings/vmlDrawing6.vml"/><Relationship Id="rId21" Type="http://schemas.openxmlformats.org/officeDocument/2006/relationships/ctrlProp" Target="../ctrlProps/ctrlProp117.xml"/><Relationship Id="rId7" Type="http://schemas.openxmlformats.org/officeDocument/2006/relationships/ctrlProp" Target="../ctrlProps/ctrlProp103.xml"/><Relationship Id="rId12" Type="http://schemas.openxmlformats.org/officeDocument/2006/relationships/ctrlProp" Target="../ctrlProps/ctrlProp108.xml"/><Relationship Id="rId17" Type="http://schemas.openxmlformats.org/officeDocument/2006/relationships/ctrlProp" Target="../ctrlProps/ctrlProp113.xml"/><Relationship Id="rId2" Type="http://schemas.openxmlformats.org/officeDocument/2006/relationships/drawing" Target="../drawings/drawing19.xml"/><Relationship Id="rId16" Type="http://schemas.openxmlformats.org/officeDocument/2006/relationships/ctrlProp" Target="../ctrlProps/ctrlProp112.xml"/><Relationship Id="rId20" Type="http://schemas.openxmlformats.org/officeDocument/2006/relationships/ctrlProp" Target="../ctrlProps/ctrlProp116.xml"/><Relationship Id="rId1" Type="http://schemas.openxmlformats.org/officeDocument/2006/relationships/printerSettings" Target="../printerSettings/printerSettings10.bin"/><Relationship Id="rId6" Type="http://schemas.openxmlformats.org/officeDocument/2006/relationships/ctrlProp" Target="../ctrlProps/ctrlProp102.xml"/><Relationship Id="rId11" Type="http://schemas.openxmlformats.org/officeDocument/2006/relationships/ctrlProp" Target="../ctrlProps/ctrlProp107.xml"/><Relationship Id="rId5" Type="http://schemas.openxmlformats.org/officeDocument/2006/relationships/ctrlProp" Target="../ctrlProps/ctrlProp101.xml"/><Relationship Id="rId15" Type="http://schemas.openxmlformats.org/officeDocument/2006/relationships/ctrlProp" Target="../ctrlProps/ctrlProp111.xml"/><Relationship Id="rId23" Type="http://schemas.openxmlformats.org/officeDocument/2006/relationships/ctrlProp" Target="../ctrlProps/ctrlProp119.xml"/><Relationship Id="rId10" Type="http://schemas.openxmlformats.org/officeDocument/2006/relationships/ctrlProp" Target="../ctrlProps/ctrlProp106.xml"/><Relationship Id="rId19" Type="http://schemas.openxmlformats.org/officeDocument/2006/relationships/ctrlProp" Target="../ctrlProps/ctrlProp115.xml"/><Relationship Id="rId4" Type="http://schemas.openxmlformats.org/officeDocument/2006/relationships/ctrlProp" Target="../ctrlProps/ctrlProp100.xml"/><Relationship Id="rId9" Type="http://schemas.openxmlformats.org/officeDocument/2006/relationships/ctrlProp" Target="../ctrlProps/ctrlProp105.xml"/><Relationship Id="rId14" Type="http://schemas.openxmlformats.org/officeDocument/2006/relationships/ctrlProp" Target="../ctrlProps/ctrlProp110.xml"/><Relationship Id="rId22" Type="http://schemas.openxmlformats.org/officeDocument/2006/relationships/ctrlProp" Target="../ctrlProps/ctrlProp118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24.xml"/><Relationship Id="rId13" Type="http://schemas.openxmlformats.org/officeDocument/2006/relationships/ctrlProp" Target="../ctrlProps/ctrlProp129.xml"/><Relationship Id="rId18" Type="http://schemas.openxmlformats.org/officeDocument/2006/relationships/ctrlProp" Target="../ctrlProps/ctrlProp134.xml"/><Relationship Id="rId3" Type="http://schemas.openxmlformats.org/officeDocument/2006/relationships/vmlDrawing" Target="../drawings/vmlDrawing7.vml"/><Relationship Id="rId21" Type="http://schemas.openxmlformats.org/officeDocument/2006/relationships/ctrlProp" Target="../ctrlProps/ctrlProp137.xml"/><Relationship Id="rId7" Type="http://schemas.openxmlformats.org/officeDocument/2006/relationships/ctrlProp" Target="../ctrlProps/ctrlProp123.xml"/><Relationship Id="rId12" Type="http://schemas.openxmlformats.org/officeDocument/2006/relationships/ctrlProp" Target="../ctrlProps/ctrlProp128.xml"/><Relationship Id="rId17" Type="http://schemas.openxmlformats.org/officeDocument/2006/relationships/ctrlProp" Target="../ctrlProps/ctrlProp133.xml"/><Relationship Id="rId2" Type="http://schemas.openxmlformats.org/officeDocument/2006/relationships/drawing" Target="../drawings/drawing22.xml"/><Relationship Id="rId16" Type="http://schemas.openxmlformats.org/officeDocument/2006/relationships/ctrlProp" Target="../ctrlProps/ctrlProp132.xml"/><Relationship Id="rId20" Type="http://schemas.openxmlformats.org/officeDocument/2006/relationships/ctrlProp" Target="../ctrlProps/ctrlProp136.xml"/><Relationship Id="rId1" Type="http://schemas.openxmlformats.org/officeDocument/2006/relationships/printerSettings" Target="../printerSettings/printerSettings11.bin"/><Relationship Id="rId6" Type="http://schemas.openxmlformats.org/officeDocument/2006/relationships/ctrlProp" Target="../ctrlProps/ctrlProp122.xml"/><Relationship Id="rId11" Type="http://schemas.openxmlformats.org/officeDocument/2006/relationships/ctrlProp" Target="../ctrlProps/ctrlProp127.xml"/><Relationship Id="rId5" Type="http://schemas.openxmlformats.org/officeDocument/2006/relationships/ctrlProp" Target="../ctrlProps/ctrlProp121.xml"/><Relationship Id="rId15" Type="http://schemas.openxmlformats.org/officeDocument/2006/relationships/ctrlProp" Target="../ctrlProps/ctrlProp131.xml"/><Relationship Id="rId23" Type="http://schemas.openxmlformats.org/officeDocument/2006/relationships/ctrlProp" Target="../ctrlProps/ctrlProp139.xml"/><Relationship Id="rId10" Type="http://schemas.openxmlformats.org/officeDocument/2006/relationships/ctrlProp" Target="../ctrlProps/ctrlProp126.xml"/><Relationship Id="rId19" Type="http://schemas.openxmlformats.org/officeDocument/2006/relationships/ctrlProp" Target="../ctrlProps/ctrlProp135.xml"/><Relationship Id="rId4" Type="http://schemas.openxmlformats.org/officeDocument/2006/relationships/ctrlProp" Target="../ctrlProps/ctrlProp120.xml"/><Relationship Id="rId9" Type="http://schemas.openxmlformats.org/officeDocument/2006/relationships/ctrlProp" Target="../ctrlProps/ctrlProp125.xml"/><Relationship Id="rId14" Type="http://schemas.openxmlformats.org/officeDocument/2006/relationships/ctrlProp" Target="../ctrlProps/ctrlProp130.xml"/><Relationship Id="rId22" Type="http://schemas.openxmlformats.org/officeDocument/2006/relationships/ctrlProp" Target="../ctrlProps/ctrlProp13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46"/>
  <sheetViews>
    <sheetView workbookViewId="0"/>
  </sheetViews>
  <sheetFormatPr defaultRowHeight="12" x14ac:dyDescent="0.15"/>
  <cols>
    <col min="1" max="1" width="4.875" customWidth="1"/>
    <col min="2" max="2" width="13.875" customWidth="1"/>
    <col min="7" max="7" width="35.875" customWidth="1"/>
  </cols>
  <sheetData>
    <row r="2" spans="2:7" ht="18.75" x14ac:dyDescent="0.25">
      <c r="B2" s="129" t="s">
        <v>43</v>
      </c>
    </row>
    <row r="3" spans="2:7" ht="11.25" customHeight="1" x14ac:dyDescent="0.25">
      <c r="B3" s="128"/>
    </row>
    <row r="4" spans="2:7" ht="15" x14ac:dyDescent="0.2">
      <c r="B4" s="164" t="s">
        <v>83</v>
      </c>
    </row>
    <row r="5" spans="2:7" ht="12" customHeight="1" x14ac:dyDescent="0.2">
      <c r="B5" s="164"/>
    </row>
    <row r="6" spans="2:7" ht="15" x14ac:dyDescent="0.2">
      <c r="B6" s="165" t="s">
        <v>145</v>
      </c>
    </row>
    <row r="7" spans="2:7" ht="15" x14ac:dyDescent="0.2">
      <c r="B7" s="165" t="s">
        <v>68</v>
      </c>
    </row>
    <row r="8" spans="2:7" ht="15" x14ac:dyDescent="0.2">
      <c r="B8" s="165" t="s">
        <v>82</v>
      </c>
    </row>
    <row r="9" spans="2:7" ht="15" x14ac:dyDescent="0.2">
      <c r="B9" s="164"/>
    </row>
    <row r="10" spans="2:7" ht="15" x14ac:dyDescent="0.2">
      <c r="B10" s="164" t="s">
        <v>69</v>
      </c>
    </row>
    <row r="12" spans="2:7" x14ac:dyDescent="0.15">
      <c r="B12" t="s">
        <v>84</v>
      </c>
    </row>
    <row r="14" spans="2:7" x14ac:dyDescent="0.15">
      <c r="B14" s="125" t="s">
        <v>52</v>
      </c>
      <c r="C14" s="125" t="s">
        <v>53</v>
      </c>
      <c r="D14" s="125"/>
      <c r="E14" s="125"/>
      <c r="F14" s="125"/>
      <c r="G14" s="125"/>
    </row>
    <row r="16" spans="2:7" x14ac:dyDescent="0.15">
      <c r="B16" s="125" t="s">
        <v>44</v>
      </c>
      <c r="C16" s="125" t="s">
        <v>45</v>
      </c>
      <c r="D16" s="125"/>
      <c r="E16" s="125"/>
      <c r="F16" s="125"/>
      <c r="G16" s="125"/>
    </row>
    <row r="17" spans="2:7" x14ac:dyDescent="0.15">
      <c r="B17" s="125" t="s">
        <v>47</v>
      </c>
      <c r="C17" s="125"/>
      <c r="D17" s="125"/>
      <c r="E17" s="125"/>
      <c r="F17" s="125"/>
      <c r="G17" s="125"/>
    </row>
    <row r="18" spans="2:7" x14ac:dyDescent="0.15">
      <c r="B18" s="125" t="s">
        <v>46</v>
      </c>
      <c r="C18" s="125" t="s">
        <v>48</v>
      </c>
      <c r="D18" s="125"/>
      <c r="E18" s="125"/>
      <c r="F18" s="125"/>
      <c r="G18" s="125"/>
    </row>
    <row r="21" spans="2:7" x14ac:dyDescent="0.15">
      <c r="B21" s="125" t="s">
        <v>49</v>
      </c>
      <c r="C21" s="125" t="s">
        <v>50</v>
      </c>
      <c r="D21" s="125"/>
      <c r="E21" s="125"/>
      <c r="F21" s="125"/>
      <c r="G21" s="125"/>
    </row>
    <row r="22" spans="2:7" x14ac:dyDescent="0.15">
      <c r="B22" s="125" t="s">
        <v>47</v>
      </c>
      <c r="C22" s="125"/>
      <c r="D22" s="125"/>
      <c r="E22" s="125"/>
      <c r="F22" s="125"/>
      <c r="G22" s="125"/>
    </row>
    <row r="23" spans="2:7" x14ac:dyDescent="0.15">
      <c r="B23" s="125" t="s">
        <v>46</v>
      </c>
      <c r="C23" s="125" t="s">
        <v>51</v>
      </c>
      <c r="D23" s="125"/>
      <c r="E23" s="125"/>
      <c r="F23" s="125"/>
      <c r="G23" s="125"/>
    </row>
    <row r="26" spans="2:7" x14ac:dyDescent="0.15">
      <c r="B26" s="125" t="s">
        <v>54</v>
      </c>
      <c r="C26" s="125" t="s">
        <v>55</v>
      </c>
      <c r="D26" s="125"/>
      <c r="E26" s="125"/>
      <c r="F26" s="125"/>
      <c r="G26" s="125"/>
    </row>
    <row r="27" spans="2:7" x14ac:dyDescent="0.15">
      <c r="B27" s="125" t="s">
        <v>47</v>
      </c>
      <c r="C27" s="125"/>
      <c r="D27" s="125"/>
      <c r="E27" s="125"/>
      <c r="F27" s="125"/>
      <c r="G27" s="125"/>
    </row>
    <row r="28" spans="2:7" x14ac:dyDescent="0.15">
      <c r="B28" s="125" t="s">
        <v>56</v>
      </c>
      <c r="C28" s="125" t="s">
        <v>57</v>
      </c>
      <c r="D28" s="125"/>
      <c r="E28" s="125"/>
      <c r="F28" s="125"/>
      <c r="G28" s="125"/>
    </row>
    <row r="30" spans="2:7" x14ac:dyDescent="0.15">
      <c r="B30" s="125" t="s">
        <v>58</v>
      </c>
      <c r="C30" s="125" t="s">
        <v>59</v>
      </c>
      <c r="D30" s="125"/>
      <c r="E30" s="125"/>
      <c r="F30" s="125"/>
      <c r="G30" s="125"/>
    </row>
    <row r="32" spans="2:7" x14ac:dyDescent="0.15">
      <c r="B32" s="125" t="s">
        <v>60</v>
      </c>
      <c r="C32" s="125" t="s">
        <v>61</v>
      </c>
      <c r="D32" s="125"/>
      <c r="E32" s="125"/>
      <c r="F32" s="125"/>
      <c r="G32" s="125"/>
    </row>
    <row r="33" spans="2:10" x14ac:dyDescent="0.15">
      <c r="B33" s="126"/>
      <c r="C33" s="126"/>
      <c r="D33" s="126"/>
      <c r="E33" s="126"/>
      <c r="F33" s="126"/>
      <c r="G33" s="126"/>
    </row>
    <row r="34" spans="2:10" x14ac:dyDescent="0.15">
      <c r="B34" s="125" t="s">
        <v>117</v>
      </c>
      <c r="C34" s="125" t="s">
        <v>118</v>
      </c>
      <c r="D34" s="125"/>
      <c r="E34" s="125"/>
      <c r="F34" s="125"/>
      <c r="G34" s="125"/>
    </row>
    <row r="35" spans="2:10" x14ac:dyDescent="0.15">
      <c r="B35" s="126"/>
      <c r="C35" s="126"/>
      <c r="D35" s="126"/>
      <c r="E35" s="126"/>
      <c r="F35" s="126"/>
      <c r="G35" s="126"/>
    </row>
    <row r="36" spans="2:10" x14ac:dyDescent="0.15">
      <c r="B36" s="125" t="s">
        <v>126</v>
      </c>
      <c r="C36" s="125" t="s">
        <v>127</v>
      </c>
      <c r="D36" s="125"/>
      <c r="E36" s="125"/>
      <c r="F36" s="125"/>
      <c r="G36" s="125"/>
    </row>
    <row r="37" spans="2:10" x14ac:dyDescent="0.15">
      <c r="B37" s="125" t="s">
        <v>128</v>
      </c>
      <c r="C37" s="125" t="s">
        <v>129</v>
      </c>
      <c r="D37" s="125"/>
      <c r="E37" s="125"/>
      <c r="F37" s="125"/>
      <c r="G37" s="125"/>
    </row>
    <row r="38" spans="2:10" x14ac:dyDescent="0.15">
      <c r="B38" s="125" t="s">
        <v>130</v>
      </c>
      <c r="C38" s="125" t="s">
        <v>131</v>
      </c>
      <c r="D38" s="125"/>
      <c r="E38" s="125"/>
      <c r="F38" s="125"/>
      <c r="G38" s="125"/>
    </row>
    <row r="39" spans="2:10" x14ac:dyDescent="0.15">
      <c r="B39" s="125" t="s">
        <v>132</v>
      </c>
      <c r="C39" s="125" t="s">
        <v>133</v>
      </c>
      <c r="D39" s="125"/>
      <c r="E39" s="125"/>
      <c r="F39" s="125"/>
      <c r="G39" s="125"/>
    </row>
    <row r="40" spans="2:10" x14ac:dyDescent="0.15">
      <c r="B40" s="125" t="s">
        <v>137</v>
      </c>
      <c r="C40" s="125" t="s">
        <v>138</v>
      </c>
      <c r="D40" s="125"/>
      <c r="E40" s="125"/>
      <c r="F40" s="125"/>
      <c r="G40" s="125"/>
    </row>
    <row r="42" spans="2:10" x14ac:dyDescent="0.15">
      <c r="B42" s="127" t="s">
        <v>62</v>
      </c>
      <c r="C42" s="127"/>
      <c r="D42" s="127"/>
      <c r="E42" s="127"/>
      <c r="F42" s="127"/>
      <c r="G42" s="127"/>
      <c r="H42" s="127"/>
      <c r="I42" s="127"/>
      <c r="J42" s="127"/>
    </row>
    <row r="43" spans="2:10" x14ac:dyDescent="0.15">
      <c r="B43" s="127" t="s">
        <v>64</v>
      </c>
      <c r="C43" s="127"/>
      <c r="D43" s="127"/>
      <c r="E43" s="127"/>
      <c r="F43" s="127"/>
      <c r="G43" s="127"/>
      <c r="H43" s="127"/>
      <c r="I43" s="127"/>
      <c r="J43" s="127"/>
    </row>
    <row r="44" spans="2:10" x14ac:dyDescent="0.15">
      <c r="B44" s="127" t="s">
        <v>65</v>
      </c>
      <c r="C44" s="127"/>
      <c r="D44" s="127"/>
      <c r="E44" s="127"/>
      <c r="F44" s="127"/>
      <c r="G44" s="127"/>
      <c r="H44" s="127"/>
      <c r="I44" s="127"/>
      <c r="J44" s="127"/>
    </row>
    <row r="45" spans="2:10" x14ac:dyDescent="0.15">
      <c r="B45" s="127" t="s">
        <v>67</v>
      </c>
      <c r="C45" s="127"/>
      <c r="D45" s="127"/>
      <c r="E45" s="127"/>
      <c r="F45" s="127"/>
      <c r="G45" s="127"/>
      <c r="H45" s="127"/>
      <c r="I45" s="127"/>
      <c r="J45" s="127"/>
    </row>
    <row r="46" spans="2:10" x14ac:dyDescent="0.15">
      <c r="B46" s="127" t="s">
        <v>66</v>
      </c>
      <c r="C46" s="127"/>
      <c r="D46" s="127"/>
      <c r="E46" s="127"/>
      <c r="F46" s="127"/>
      <c r="G46" s="127"/>
      <c r="H46" s="127"/>
      <c r="I46" s="127"/>
      <c r="J46" s="127"/>
    </row>
  </sheetData>
  <sheetProtection sheet="1" objects="1" scenarios="1"/>
  <phoneticPr fontId="4" type="noConversion"/>
  <pageMargins left="0.75" right="0.75" top="1" bottom="1" header="0.4921259845" footer="0.4921259845"/>
  <pageSetup paperSize="9" orientation="portrait" horizont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/>
  <dimension ref="A1:AJ42"/>
  <sheetViews>
    <sheetView showGridLines="0" zoomScale="80" zoomScaleNormal="80" workbookViewId="0"/>
  </sheetViews>
  <sheetFormatPr defaultColWidth="9.75" defaultRowHeight="12.75" x14ac:dyDescent="0.2"/>
  <cols>
    <col min="1" max="1" width="3.75" style="1" customWidth="1"/>
    <col min="2" max="2" width="2.75" style="1" customWidth="1"/>
    <col min="3" max="4" width="6.125" style="1" customWidth="1"/>
    <col min="5" max="5" width="4" style="1" customWidth="1"/>
    <col min="6" max="6" width="4.5" style="1" customWidth="1"/>
    <col min="7" max="10" width="6.125" style="1" customWidth="1"/>
    <col min="11" max="11" width="5.875" style="1" customWidth="1"/>
    <col min="12" max="13" width="6.125" style="1" customWidth="1"/>
    <col min="14" max="14" width="5.25" style="1" customWidth="1"/>
    <col min="15" max="15" width="4.5" style="1" customWidth="1"/>
    <col min="16" max="16" width="6.125" style="1" customWidth="1"/>
    <col min="17" max="17" width="5.5" style="1" customWidth="1"/>
    <col min="18" max="19" width="6.125" style="1" customWidth="1"/>
    <col min="20" max="20" width="5.875" style="1" customWidth="1"/>
    <col min="21" max="22" width="6.125" style="1" customWidth="1"/>
    <col min="23" max="23" width="4.375" style="1" customWidth="1"/>
    <col min="24" max="24" width="4.25" style="1" customWidth="1"/>
    <col min="25" max="29" width="6.125" style="1" customWidth="1"/>
    <col min="30" max="36" width="15.625" style="1" customWidth="1"/>
  </cols>
  <sheetData>
    <row r="1" spans="1:36" ht="30" customHeight="1" x14ac:dyDescent="0.35">
      <c r="A1" s="22"/>
      <c r="B1" s="4"/>
      <c r="C1" s="105" t="s">
        <v>15</v>
      </c>
      <c r="D1" s="106"/>
      <c r="E1" s="106"/>
      <c r="F1" s="106"/>
      <c r="G1" s="106"/>
      <c r="H1" s="106"/>
      <c r="I1" s="106"/>
      <c r="J1" s="106"/>
      <c r="K1" s="106"/>
      <c r="L1" s="105" t="str">
        <f>Kalenteri!$H$1</f>
        <v>KÄVIJÄTILASTO 2013</v>
      </c>
      <c r="M1" s="107"/>
      <c r="N1" s="107"/>
      <c r="O1" s="107"/>
      <c r="P1" s="106"/>
      <c r="Q1" s="106"/>
      <c r="R1" s="105" t="s">
        <v>78</v>
      </c>
      <c r="S1" s="108"/>
      <c r="T1" s="106"/>
      <c r="U1" s="109"/>
      <c r="V1" s="105" t="s">
        <v>20</v>
      </c>
      <c r="W1" s="109"/>
      <c r="X1" s="106"/>
      <c r="Y1" s="106"/>
      <c r="Z1" s="106"/>
      <c r="AA1" s="106"/>
      <c r="AB1" s="106"/>
      <c r="AC1" s="106"/>
      <c r="AD1" s="110"/>
      <c r="AE1" s="4"/>
      <c r="AF1" s="4"/>
      <c r="AG1" s="4"/>
      <c r="AH1" s="4"/>
      <c r="AI1" s="4"/>
      <c r="AJ1" s="4"/>
    </row>
    <row r="2" spans="1:36" ht="30" customHeight="1" x14ac:dyDescent="0.3">
      <c r="A2" s="3"/>
      <c r="B2" s="4"/>
      <c r="C2" s="72"/>
      <c r="D2" s="73"/>
      <c r="E2" s="74" t="s">
        <v>1</v>
      </c>
      <c r="F2" s="75"/>
      <c r="G2" s="75"/>
      <c r="H2" s="75"/>
      <c r="I2" s="75"/>
      <c r="J2" s="75"/>
      <c r="K2" s="76"/>
      <c r="L2" s="72"/>
      <c r="M2" s="77"/>
      <c r="N2" s="73"/>
      <c r="O2" s="74" t="s">
        <v>2</v>
      </c>
      <c r="P2" s="75"/>
      <c r="Q2" s="75"/>
      <c r="R2" s="75"/>
      <c r="S2" s="75"/>
      <c r="T2" s="76"/>
      <c r="U2" s="72"/>
      <c r="V2" s="75"/>
      <c r="W2" s="73"/>
      <c r="X2" s="74" t="s">
        <v>3</v>
      </c>
      <c r="Y2" s="75"/>
      <c r="Z2" s="75"/>
      <c r="AA2" s="75"/>
      <c r="AB2" s="75"/>
      <c r="AC2" s="76"/>
      <c r="AD2" s="13"/>
      <c r="AE2" s="35"/>
      <c r="AF2" s="69"/>
      <c r="AG2" s="69"/>
      <c r="AH2" s="69"/>
      <c r="AI2" s="69"/>
      <c r="AJ2" s="69"/>
    </row>
    <row r="3" spans="1:36" x14ac:dyDescent="0.2">
      <c r="A3" s="4"/>
      <c r="B3" s="4"/>
      <c r="C3" s="24" t="s">
        <v>4</v>
      </c>
      <c r="D3" s="25"/>
      <c r="E3" s="25"/>
      <c r="F3" s="26"/>
      <c r="G3" s="24" t="s">
        <v>5</v>
      </c>
      <c r="H3" s="26"/>
      <c r="I3" s="25" t="s">
        <v>6</v>
      </c>
      <c r="J3" s="25"/>
      <c r="K3" s="27"/>
      <c r="L3" s="24" t="s">
        <v>4</v>
      </c>
      <c r="M3" s="25"/>
      <c r="N3" s="25"/>
      <c r="O3" s="26"/>
      <c r="P3" s="24" t="s">
        <v>5</v>
      </c>
      <c r="Q3" s="26"/>
      <c r="R3" s="25" t="s">
        <v>6</v>
      </c>
      <c r="S3" s="25"/>
      <c r="T3" s="27"/>
      <c r="U3" s="24" t="s">
        <v>4</v>
      </c>
      <c r="V3" s="25"/>
      <c r="W3" s="25"/>
      <c r="X3" s="26"/>
      <c r="Y3" s="24" t="s">
        <v>5</v>
      </c>
      <c r="Z3" s="26"/>
      <c r="AA3" s="25" t="s">
        <v>6</v>
      </c>
      <c r="AB3" s="25"/>
      <c r="AC3" s="27"/>
      <c r="AD3" s="36" t="s">
        <v>7</v>
      </c>
      <c r="AE3" s="38"/>
      <c r="AF3" s="70"/>
      <c r="AG3" s="70"/>
      <c r="AH3" s="70"/>
      <c r="AI3" s="70"/>
      <c r="AJ3"/>
    </row>
    <row r="4" spans="1:36" x14ac:dyDescent="0.2">
      <c r="A4" s="6"/>
      <c r="B4" s="4"/>
      <c r="C4" s="7" t="s">
        <v>8</v>
      </c>
      <c r="D4" s="8" t="s">
        <v>9</v>
      </c>
      <c r="E4" s="8" t="s">
        <v>10</v>
      </c>
      <c r="F4" s="9" t="s">
        <v>11</v>
      </c>
      <c r="G4" s="7" t="s">
        <v>8</v>
      </c>
      <c r="H4" s="9" t="s">
        <v>9</v>
      </c>
      <c r="I4" s="8" t="s">
        <v>8</v>
      </c>
      <c r="J4" s="8" t="s">
        <v>9</v>
      </c>
      <c r="K4" s="14" t="s">
        <v>0</v>
      </c>
      <c r="L4" s="7" t="s">
        <v>8</v>
      </c>
      <c r="M4" s="8" t="s">
        <v>9</v>
      </c>
      <c r="N4" s="8" t="s">
        <v>10</v>
      </c>
      <c r="O4" s="9" t="s">
        <v>11</v>
      </c>
      <c r="P4" s="7" t="s">
        <v>8</v>
      </c>
      <c r="Q4" s="9" t="s">
        <v>9</v>
      </c>
      <c r="R4" s="8" t="s">
        <v>8</v>
      </c>
      <c r="S4" s="8" t="s">
        <v>9</v>
      </c>
      <c r="T4" s="14" t="s">
        <v>0</v>
      </c>
      <c r="U4" s="7" t="s">
        <v>8</v>
      </c>
      <c r="V4" s="8" t="s">
        <v>9</v>
      </c>
      <c r="W4" s="8" t="s">
        <v>10</v>
      </c>
      <c r="X4" s="9" t="s">
        <v>11</v>
      </c>
      <c r="Y4" s="7" t="s">
        <v>8</v>
      </c>
      <c r="Z4" s="9" t="s">
        <v>9</v>
      </c>
      <c r="AA4" s="8" t="s">
        <v>8</v>
      </c>
      <c r="AB4" s="8" t="s">
        <v>9</v>
      </c>
      <c r="AC4" s="14" t="s">
        <v>0</v>
      </c>
      <c r="AD4" s="28"/>
      <c r="AE4" s="23"/>
      <c r="AF4" s="23"/>
      <c r="AG4" s="23"/>
      <c r="AH4" s="23"/>
      <c r="AI4" s="23"/>
      <c r="AJ4"/>
    </row>
    <row r="5" spans="1:36" x14ac:dyDescent="0.2">
      <c r="A5" s="5">
        <f>DAY(Kalenteri!A244)</f>
        <v>1</v>
      </c>
      <c r="B5" s="3" t="str">
        <f>IF(Kalenteri!B244=1,"su",IF(Kalenteri!B244=2,"ma",IF(Kalenteri!B244=3,"ti",IF(Kalenteri!B244=4,"ke",IF(Kalenteri!B244=5,"to",IF(Kalenteri!B244=6,"pe",IF(Kalenteri!B244=7,"la",)))))))</f>
        <v>su</v>
      </c>
      <c r="C5" s="78">
        <v>274</v>
      </c>
      <c r="D5" s="15">
        <v>90</v>
      </c>
      <c r="E5" s="15">
        <v>1</v>
      </c>
      <c r="F5" s="16">
        <v>14</v>
      </c>
      <c r="G5" s="78">
        <v>3</v>
      </c>
      <c r="H5" s="16">
        <v>85</v>
      </c>
      <c r="I5" s="78">
        <v>4</v>
      </c>
      <c r="J5" s="16">
        <v>6</v>
      </c>
      <c r="K5" s="32">
        <f t="shared" ref="K5:K36" si="0">SUM(C5:J5)</f>
        <v>477</v>
      </c>
      <c r="L5" s="15">
        <f>78+20</f>
        <v>98</v>
      </c>
      <c r="M5" s="15">
        <v>18</v>
      </c>
      <c r="N5" s="15">
        <v>0</v>
      </c>
      <c r="O5" s="16">
        <v>0</v>
      </c>
      <c r="P5" s="15">
        <v>0</v>
      </c>
      <c r="Q5" s="16">
        <v>18</v>
      </c>
      <c r="R5" s="29">
        <v>4</v>
      </c>
      <c r="S5" s="29">
        <v>6</v>
      </c>
      <c r="T5" s="32">
        <f t="shared" ref="T5:T36" si="1">SUM(L5:S5)</f>
        <v>144</v>
      </c>
      <c r="U5" s="15"/>
      <c r="V5" s="15"/>
      <c r="W5" s="15"/>
      <c r="X5" s="16"/>
      <c r="Y5" s="15"/>
      <c r="Z5" s="16"/>
      <c r="AA5" s="29"/>
      <c r="AB5" s="29"/>
      <c r="AC5" s="32">
        <f t="shared" ref="AC5:AC36" si="2">SUM(U5:AB5)</f>
        <v>0</v>
      </c>
      <c r="AD5" s="17">
        <f t="shared" ref="AD5:AD36" si="3">SUM(K5,T5,AC5)</f>
        <v>621</v>
      </c>
      <c r="AE5" s="39"/>
      <c r="AF5" s="39"/>
      <c r="AG5" s="39"/>
      <c r="AH5" s="39"/>
      <c r="AI5" s="39"/>
      <c r="AJ5"/>
    </row>
    <row r="6" spans="1:36" x14ac:dyDescent="0.2">
      <c r="A6" s="5">
        <f>DAY(Kalenteri!A245)</f>
        <v>2</v>
      </c>
      <c r="B6" s="3" t="str">
        <f>IF(Kalenteri!B245=1,"su",IF(Kalenteri!B245=2,"ma",IF(Kalenteri!B245=3,"ti",IF(Kalenteri!B245=4,"ke",IF(Kalenteri!B245=5,"to",IF(Kalenteri!B245=6,"pe",IF(Kalenteri!B245=7,"la",)))))))</f>
        <v>ma</v>
      </c>
      <c r="C6" s="18">
        <v>108</v>
      </c>
      <c r="D6" s="10">
        <v>6</v>
      </c>
      <c r="E6" s="10"/>
      <c r="F6" s="11">
        <v>1</v>
      </c>
      <c r="G6" s="18">
        <v>3</v>
      </c>
      <c r="H6" s="11">
        <v>49</v>
      </c>
      <c r="I6" s="18"/>
      <c r="J6" s="11"/>
      <c r="K6" s="33">
        <f t="shared" si="0"/>
        <v>167</v>
      </c>
      <c r="L6" s="10">
        <f>28+16</f>
        <v>44</v>
      </c>
      <c r="M6" s="10">
        <v>2</v>
      </c>
      <c r="N6" s="10">
        <v>0</v>
      </c>
      <c r="O6" s="11">
        <v>0</v>
      </c>
      <c r="P6" s="10">
        <v>0</v>
      </c>
      <c r="Q6" s="11">
        <v>7</v>
      </c>
      <c r="R6" s="30">
        <v>0</v>
      </c>
      <c r="S6" s="30">
        <v>0</v>
      </c>
      <c r="T6" s="33">
        <f t="shared" si="1"/>
        <v>53</v>
      </c>
      <c r="U6" s="10"/>
      <c r="V6" s="10"/>
      <c r="W6" s="10"/>
      <c r="X6" s="11"/>
      <c r="Y6" s="10"/>
      <c r="Z6" s="11"/>
      <c r="AA6" s="30"/>
      <c r="AB6" s="30"/>
      <c r="AC6" s="33">
        <f t="shared" si="2"/>
        <v>0</v>
      </c>
      <c r="AD6" s="12">
        <f t="shared" si="3"/>
        <v>220</v>
      </c>
      <c r="AE6" s="39"/>
      <c r="AF6" s="39"/>
      <c r="AG6" s="39"/>
      <c r="AH6" s="39"/>
      <c r="AI6" s="39"/>
      <c r="AJ6"/>
    </row>
    <row r="7" spans="1:36" x14ac:dyDescent="0.2">
      <c r="A7" s="5">
        <f>DAY(Kalenteri!A246)</f>
        <v>3</v>
      </c>
      <c r="B7" s="3" t="str">
        <f>IF(Kalenteri!B246=1,"su",IF(Kalenteri!B246=2,"ma",IF(Kalenteri!B246=3,"ti",IF(Kalenteri!B246=4,"ke",IF(Kalenteri!B246=5,"to",IF(Kalenteri!B246=6,"pe",IF(Kalenteri!B246=7,"la",)))))))</f>
        <v>ti</v>
      </c>
      <c r="C7" s="18">
        <v>276</v>
      </c>
      <c r="D7" s="10">
        <v>14</v>
      </c>
      <c r="E7" s="10"/>
      <c r="F7" s="11">
        <v>10</v>
      </c>
      <c r="G7" s="18">
        <v>2</v>
      </c>
      <c r="H7" s="11">
        <v>98</v>
      </c>
      <c r="I7" s="18"/>
      <c r="J7" s="11"/>
      <c r="K7" s="33">
        <f t="shared" si="0"/>
        <v>400</v>
      </c>
      <c r="L7" s="10">
        <v>101</v>
      </c>
      <c r="M7" s="10">
        <v>5</v>
      </c>
      <c r="N7" s="10">
        <v>0</v>
      </c>
      <c r="O7" s="11">
        <v>0</v>
      </c>
      <c r="P7" s="10">
        <v>0</v>
      </c>
      <c r="Q7" s="11">
        <v>22</v>
      </c>
      <c r="R7" s="30">
        <v>4</v>
      </c>
      <c r="S7" s="30">
        <v>6</v>
      </c>
      <c r="T7" s="33">
        <f t="shared" si="1"/>
        <v>138</v>
      </c>
      <c r="U7" s="10"/>
      <c r="V7" s="10"/>
      <c r="W7" s="10"/>
      <c r="X7" s="11"/>
      <c r="Y7" s="10"/>
      <c r="Z7" s="11"/>
      <c r="AA7" s="30"/>
      <c r="AB7" s="30"/>
      <c r="AC7" s="33">
        <f t="shared" si="2"/>
        <v>0</v>
      </c>
      <c r="AD7" s="12">
        <f t="shared" si="3"/>
        <v>538</v>
      </c>
      <c r="AE7" s="39"/>
      <c r="AF7" s="39"/>
      <c r="AG7" s="39"/>
      <c r="AH7" s="39"/>
      <c r="AI7" s="39"/>
      <c r="AJ7"/>
    </row>
    <row r="8" spans="1:36" x14ac:dyDescent="0.2">
      <c r="A8" s="5">
        <f>DAY(Kalenteri!A247)</f>
        <v>4</v>
      </c>
      <c r="B8" s="3" t="str">
        <f>IF(Kalenteri!B247=1,"su",IF(Kalenteri!B247=2,"ma",IF(Kalenteri!B247=3,"ti",IF(Kalenteri!B247=4,"ke",IF(Kalenteri!B247=5,"to",IF(Kalenteri!B247=6,"pe",IF(Kalenteri!B247=7,"la",)))))))</f>
        <v>ke</v>
      </c>
      <c r="C8" s="18">
        <v>199</v>
      </c>
      <c r="D8" s="10">
        <v>16</v>
      </c>
      <c r="E8" s="10"/>
      <c r="F8" s="11">
        <v>4</v>
      </c>
      <c r="G8" s="18">
        <v>2</v>
      </c>
      <c r="H8" s="11">
        <v>60</v>
      </c>
      <c r="I8" s="18"/>
      <c r="J8" s="11"/>
      <c r="K8" s="33">
        <f t="shared" si="0"/>
        <v>281</v>
      </c>
      <c r="L8" s="10">
        <v>101</v>
      </c>
      <c r="M8" s="10">
        <v>11</v>
      </c>
      <c r="N8" s="10">
        <v>0</v>
      </c>
      <c r="O8" s="11">
        <v>0</v>
      </c>
      <c r="P8" s="10">
        <v>0</v>
      </c>
      <c r="Q8" s="11">
        <v>18</v>
      </c>
      <c r="R8" s="30">
        <v>0</v>
      </c>
      <c r="S8" s="30">
        <v>0</v>
      </c>
      <c r="T8" s="33">
        <f t="shared" si="1"/>
        <v>130</v>
      </c>
      <c r="U8" s="10"/>
      <c r="V8" s="10"/>
      <c r="W8" s="10"/>
      <c r="X8" s="11"/>
      <c r="Y8" s="10"/>
      <c r="Z8" s="11"/>
      <c r="AA8" s="30"/>
      <c r="AB8" s="30"/>
      <c r="AC8" s="33">
        <f t="shared" si="2"/>
        <v>0</v>
      </c>
      <c r="AD8" s="12">
        <f t="shared" si="3"/>
        <v>411</v>
      </c>
      <c r="AE8" s="39"/>
      <c r="AF8" s="39"/>
      <c r="AG8" s="39"/>
      <c r="AH8" s="39"/>
      <c r="AI8" s="39"/>
      <c r="AJ8"/>
    </row>
    <row r="9" spans="1:36" x14ac:dyDescent="0.2">
      <c r="A9" s="5">
        <f>DAY(Kalenteri!A248)</f>
        <v>5</v>
      </c>
      <c r="B9" s="3" t="str">
        <f>IF(Kalenteri!B248=1,"su",IF(Kalenteri!B248=2,"ma",IF(Kalenteri!B248=3,"ti",IF(Kalenteri!B248=4,"ke",IF(Kalenteri!B248=5,"to",IF(Kalenteri!B248=6,"pe",IF(Kalenteri!B248=7,"la",)))))))</f>
        <v>to</v>
      </c>
      <c r="C9" s="18">
        <v>256</v>
      </c>
      <c r="D9" s="10">
        <v>19</v>
      </c>
      <c r="E9" s="10">
        <v>4</v>
      </c>
      <c r="F9" s="11">
        <v>10</v>
      </c>
      <c r="G9" s="18">
        <v>17</v>
      </c>
      <c r="H9" s="11">
        <v>87</v>
      </c>
      <c r="I9" s="18"/>
      <c r="J9" s="11"/>
      <c r="K9" s="33">
        <f t="shared" si="0"/>
        <v>393</v>
      </c>
      <c r="L9" s="10">
        <f>86+21</f>
        <v>107</v>
      </c>
      <c r="M9" s="10">
        <v>4</v>
      </c>
      <c r="N9" s="10">
        <v>0</v>
      </c>
      <c r="O9" s="11">
        <v>0</v>
      </c>
      <c r="P9" s="10">
        <v>6</v>
      </c>
      <c r="Q9" s="11">
        <v>82</v>
      </c>
      <c r="R9" s="30">
        <v>0</v>
      </c>
      <c r="S9" s="30">
        <v>0</v>
      </c>
      <c r="T9" s="33">
        <f t="shared" si="1"/>
        <v>199</v>
      </c>
      <c r="U9" s="10"/>
      <c r="V9" s="10"/>
      <c r="W9" s="10"/>
      <c r="X9" s="11"/>
      <c r="Y9" s="10"/>
      <c r="Z9" s="11"/>
      <c r="AA9" s="30"/>
      <c r="AB9" s="30"/>
      <c r="AC9" s="33">
        <f t="shared" si="2"/>
        <v>0</v>
      </c>
      <c r="AD9" s="12">
        <f t="shared" si="3"/>
        <v>592</v>
      </c>
      <c r="AE9" s="39"/>
      <c r="AF9" s="39"/>
      <c r="AG9" s="39"/>
      <c r="AH9" s="39"/>
      <c r="AI9" s="39"/>
      <c r="AJ9"/>
    </row>
    <row r="10" spans="1:36" x14ac:dyDescent="0.2">
      <c r="A10" s="5">
        <f>DAY(Kalenteri!A249)</f>
        <v>6</v>
      </c>
      <c r="B10" s="3" t="str">
        <f>IF(Kalenteri!B249=1,"su",IF(Kalenteri!B249=2,"ma",IF(Kalenteri!B249=3,"ti",IF(Kalenteri!B249=4,"ke",IF(Kalenteri!B249=5,"to",IF(Kalenteri!B249=6,"pe",IF(Kalenteri!B249=7,"la",)))))))</f>
        <v>pe</v>
      </c>
      <c r="C10" s="18">
        <v>2749</v>
      </c>
      <c r="D10" s="10">
        <v>800</v>
      </c>
      <c r="E10" s="10"/>
      <c r="F10" s="11">
        <v>142</v>
      </c>
      <c r="G10" s="18">
        <v>226</v>
      </c>
      <c r="H10" s="11">
        <v>446</v>
      </c>
      <c r="I10" s="18"/>
      <c r="J10" s="11"/>
      <c r="K10" s="33">
        <f t="shared" si="0"/>
        <v>4363</v>
      </c>
      <c r="L10" s="10">
        <v>525</v>
      </c>
      <c r="M10" s="10">
        <v>124</v>
      </c>
      <c r="N10" s="10">
        <v>0</v>
      </c>
      <c r="O10" s="11">
        <v>0</v>
      </c>
      <c r="P10" s="10">
        <v>0</v>
      </c>
      <c r="Q10" s="11">
        <v>81</v>
      </c>
      <c r="R10" s="30">
        <v>0</v>
      </c>
      <c r="S10" s="30">
        <v>0</v>
      </c>
      <c r="T10" s="33">
        <f t="shared" si="1"/>
        <v>730</v>
      </c>
      <c r="U10" s="10">
        <v>214</v>
      </c>
      <c r="V10" s="10">
        <v>64</v>
      </c>
      <c r="W10" s="10">
        <v>0</v>
      </c>
      <c r="X10" s="11">
        <v>0</v>
      </c>
      <c r="Y10" s="10">
        <v>0</v>
      </c>
      <c r="Z10" s="11">
        <v>50</v>
      </c>
      <c r="AA10" s="30"/>
      <c r="AB10" s="30"/>
      <c r="AC10" s="33">
        <f t="shared" si="2"/>
        <v>328</v>
      </c>
      <c r="AD10" s="12">
        <f t="shared" si="3"/>
        <v>5421</v>
      </c>
      <c r="AE10" s="39"/>
      <c r="AF10" s="39"/>
      <c r="AG10" s="39"/>
      <c r="AH10" s="39"/>
      <c r="AI10" s="39"/>
      <c r="AJ10"/>
    </row>
    <row r="11" spans="1:36" x14ac:dyDescent="0.2">
      <c r="A11" s="5">
        <f>DAY(Kalenteri!A250)</f>
        <v>7</v>
      </c>
      <c r="B11" s="3" t="str">
        <f>IF(Kalenteri!B250=1,"su",IF(Kalenteri!B250=2,"ma",IF(Kalenteri!B250=3,"ti",IF(Kalenteri!B250=4,"ke",IF(Kalenteri!B250=5,"to",IF(Kalenteri!B250=6,"pe",IF(Kalenteri!B250=7,"la",)))))))</f>
        <v>la</v>
      </c>
      <c r="C11" s="18">
        <v>1387</v>
      </c>
      <c r="D11" s="10">
        <v>338</v>
      </c>
      <c r="E11" s="10">
        <v>3</v>
      </c>
      <c r="F11" s="11">
        <v>26</v>
      </c>
      <c r="G11" s="18">
        <v>13</v>
      </c>
      <c r="H11" s="11">
        <v>497</v>
      </c>
      <c r="I11" s="18">
        <v>54</v>
      </c>
      <c r="J11" s="11">
        <v>81</v>
      </c>
      <c r="K11" s="33">
        <f t="shared" si="0"/>
        <v>2399</v>
      </c>
      <c r="L11" s="10">
        <f>381+87</f>
        <v>468</v>
      </c>
      <c r="M11" s="10">
        <v>78</v>
      </c>
      <c r="N11" s="10">
        <v>0</v>
      </c>
      <c r="O11" s="11">
        <v>0</v>
      </c>
      <c r="P11" s="10">
        <v>7</v>
      </c>
      <c r="Q11" s="11">
        <v>144</v>
      </c>
      <c r="R11" s="30">
        <v>24</v>
      </c>
      <c r="S11" s="30">
        <v>36</v>
      </c>
      <c r="T11" s="33">
        <f t="shared" si="1"/>
        <v>757</v>
      </c>
      <c r="U11" s="10"/>
      <c r="V11" s="10"/>
      <c r="W11" s="10"/>
      <c r="X11" s="11"/>
      <c r="Y11" s="10"/>
      <c r="Z11" s="11"/>
      <c r="AA11" s="30"/>
      <c r="AB11" s="30"/>
      <c r="AC11" s="33">
        <f t="shared" si="2"/>
        <v>0</v>
      </c>
      <c r="AD11" s="12">
        <f t="shared" si="3"/>
        <v>3156</v>
      </c>
      <c r="AE11" s="39"/>
      <c r="AF11" s="39"/>
      <c r="AG11" s="39"/>
      <c r="AH11" s="39"/>
      <c r="AI11" s="39"/>
      <c r="AJ11"/>
    </row>
    <row r="12" spans="1:36" x14ac:dyDescent="0.2">
      <c r="A12" s="5">
        <f>DAY(Kalenteri!A251)</f>
        <v>8</v>
      </c>
      <c r="B12" s="3" t="str">
        <f>IF(Kalenteri!B251=1,"su",IF(Kalenteri!B251=2,"ma",IF(Kalenteri!B251=3,"ti",IF(Kalenteri!B251=4,"ke",IF(Kalenteri!B251=5,"to",IF(Kalenteri!B251=6,"pe",IF(Kalenteri!B251=7,"la",)))))))</f>
        <v>su</v>
      </c>
      <c r="C12" s="18">
        <v>1355</v>
      </c>
      <c r="D12" s="10">
        <v>300</v>
      </c>
      <c r="E12" s="10"/>
      <c r="F12" s="11">
        <v>25</v>
      </c>
      <c r="G12" s="18">
        <v>8</v>
      </c>
      <c r="H12" s="11">
        <v>454</v>
      </c>
      <c r="I12" s="18">
        <v>42</v>
      </c>
      <c r="J12" s="11">
        <v>63</v>
      </c>
      <c r="K12" s="33">
        <f t="shared" si="0"/>
        <v>2247</v>
      </c>
      <c r="L12" s="10">
        <v>344</v>
      </c>
      <c r="M12" s="10">
        <v>60</v>
      </c>
      <c r="N12" s="10">
        <v>0</v>
      </c>
      <c r="O12" s="11">
        <v>2</v>
      </c>
      <c r="P12" s="10">
        <v>0</v>
      </c>
      <c r="Q12" s="11">
        <v>110</v>
      </c>
      <c r="R12" s="30">
        <v>12</v>
      </c>
      <c r="S12" s="30">
        <v>18</v>
      </c>
      <c r="T12" s="33">
        <f t="shared" si="1"/>
        <v>546</v>
      </c>
      <c r="U12" s="10"/>
      <c r="V12" s="10"/>
      <c r="W12" s="10"/>
      <c r="X12" s="11"/>
      <c r="Y12" s="10"/>
      <c r="Z12" s="11"/>
      <c r="AA12" s="30"/>
      <c r="AB12" s="30"/>
      <c r="AC12" s="33">
        <f t="shared" si="2"/>
        <v>0</v>
      </c>
      <c r="AD12" s="12">
        <f t="shared" si="3"/>
        <v>2793</v>
      </c>
      <c r="AE12" s="39"/>
      <c r="AF12" s="39"/>
      <c r="AG12" s="39"/>
      <c r="AH12" s="39"/>
      <c r="AI12" s="39"/>
      <c r="AJ12"/>
    </row>
    <row r="13" spans="1:36" x14ac:dyDescent="0.2">
      <c r="A13" s="5">
        <f>DAY(Kalenteri!A252)</f>
        <v>9</v>
      </c>
      <c r="B13" s="3" t="str">
        <f>IF(Kalenteri!B252=1,"su",IF(Kalenteri!B252=2,"ma",IF(Kalenteri!B252=3,"ti",IF(Kalenteri!B252=4,"ke",IF(Kalenteri!B252=5,"to",IF(Kalenteri!B252=6,"pe",IF(Kalenteri!B252=7,"la",)))))))</f>
        <v>ma</v>
      </c>
      <c r="C13" s="18">
        <v>178</v>
      </c>
      <c r="D13" s="10">
        <v>17</v>
      </c>
      <c r="E13" s="10"/>
      <c r="F13" s="11">
        <v>3</v>
      </c>
      <c r="G13" s="18">
        <v>9</v>
      </c>
      <c r="H13" s="11">
        <v>122</v>
      </c>
      <c r="I13" s="18"/>
      <c r="J13" s="11"/>
      <c r="K13" s="33">
        <f t="shared" si="0"/>
        <v>329</v>
      </c>
      <c r="L13" s="10">
        <v>74</v>
      </c>
      <c r="M13" s="10">
        <v>5</v>
      </c>
      <c r="N13" s="10">
        <v>0</v>
      </c>
      <c r="O13" s="11">
        <v>0</v>
      </c>
      <c r="P13" s="10">
        <v>0</v>
      </c>
      <c r="Q13" s="11">
        <v>18</v>
      </c>
      <c r="R13" s="30">
        <v>2</v>
      </c>
      <c r="S13" s="30">
        <v>3</v>
      </c>
      <c r="T13" s="33">
        <f t="shared" si="1"/>
        <v>102</v>
      </c>
      <c r="U13" s="10"/>
      <c r="V13" s="10"/>
      <c r="W13" s="10"/>
      <c r="X13" s="11"/>
      <c r="Y13" s="10"/>
      <c r="Z13" s="11"/>
      <c r="AA13" s="30"/>
      <c r="AB13" s="30"/>
      <c r="AC13" s="33">
        <f t="shared" si="2"/>
        <v>0</v>
      </c>
      <c r="AD13" s="12">
        <f t="shared" si="3"/>
        <v>431</v>
      </c>
      <c r="AE13" s="39"/>
      <c r="AF13" s="39"/>
      <c r="AG13" s="39"/>
      <c r="AH13" s="39"/>
      <c r="AI13" s="39"/>
      <c r="AJ13"/>
    </row>
    <row r="14" spans="1:36" x14ac:dyDescent="0.2">
      <c r="A14" s="5">
        <f>DAY(Kalenteri!A253)</f>
        <v>10</v>
      </c>
      <c r="B14" s="3" t="str">
        <f>IF(Kalenteri!B253=1,"su",IF(Kalenteri!B253=2,"ma",IF(Kalenteri!B253=3,"ti",IF(Kalenteri!B253=4,"ke",IF(Kalenteri!B253=5,"to",IF(Kalenteri!B253=6,"pe",IF(Kalenteri!B253=7,"la",)))))))</f>
        <v>ti</v>
      </c>
      <c r="C14" s="18">
        <v>124</v>
      </c>
      <c r="D14" s="10">
        <v>9</v>
      </c>
      <c r="E14" s="10"/>
      <c r="F14" s="11"/>
      <c r="G14" s="18">
        <v>2</v>
      </c>
      <c r="H14" s="11">
        <v>48</v>
      </c>
      <c r="I14" s="18"/>
      <c r="J14" s="11"/>
      <c r="K14" s="33">
        <f t="shared" si="0"/>
        <v>183</v>
      </c>
      <c r="L14" s="10">
        <f>32+4</f>
        <v>36</v>
      </c>
      <c r="M14" s="10">
        <v>6</v>
      </c>
      <c r="N14" s="10">
        <v>0</v>
      </c>
      <c r="O14" s="11">
        <v>0</v>
      </c>
      <c r="P14" s="10">
        <v>0</v>
      </c>
      <c r="Q14" s="11">
        <v>7</v>
      </c>
      <c r="R14" s="30">
        <v>0</v>
      </c>
      <c r="S14" s="30">
        <v>0</v>
      </c>
      <c r="T14" s="33">
        <f t="shared" si="1"/>
        <v>49</v>
      </c>
      <c r="U14" s="10"/>
      <c r="V14" s="10"/>
      <c r="W14" s="10"/>
      <c r="X14" s="11"/>
      <c r="Y14" s="10"/>
      <c r="Z14" s="11"/>
      <c r="AA14" s="30"/>
      <c r="AB14" s="30"/>
      <c r="AC14" s="33">
        <f t="shared" si="2"/>
        <v>0</v>
      </c>
      <c r="AD14" s="12">
        <f t="shared" si="3"/>
        <v>232</v>
      </c>
      <c r="AE14" s="39"/>
      <c r="AF14" s="39"/>
      <c r="AG14" s="39"/>
      <c r="AH14" s="39"/>
      <c r="AI14" s="39"/>
      <c r="AJ14"/>
    </row>
    <row r="15" spans="1:36" x14ac:dyDescent="0.2">
      <c r="A15" s="5">
        <f>DAY(Kalenteri!A254)</f>
        <v>11</v>
      </c>
      <c r="B15" s="3" t="str">
        <f>IF(Kalenteri!B254=1,"su",IF(Kalenteri!B254=2,"ma",IF(Kalenteri!B254=3,"ti",IF(Kalenteri!B254=4,"ke",IF(Kalenteri!B254=5,"to",IF(Kalenteri!B254=6,"pe",IF(Kalenteri!B254=7,"la",)))))))</f>
        <v>ke</v>
      </c>
      <c r="C15" s="18">
        <v>115</v>
      </c>
      <c r="D15" s="10">
        <v>18</v>
      </c>
      <c r="E15" s="10">
        <v>1</v>
      </c>
      <c r="F15" s="11">
        <v>5</v>
      </c>
      <c r="G15" s="18">
        <v>28</v>
      </c>
      <c r="H15" s="11">
        <v>60</v>
      </c>
      <c r="I15" s="18">
        <v>2</v>
      </c>
      <c r="J15" s="11">
        <v>3</v>
      </c>
      <c r="K15" s="33">
        <f t="shared" si="0"/>
        <v>232</v>
      </c>
      <c r="L15" s="10">
        <v>51</v>
      </c>
      <c r="M15" s="10">
        <v>1</v>
      </c>
      <c r="N15" s="10">
        <v>0</v>
      </c>
      <c r="O15" s="11">
        <v>0</v>
      </c>
      <c r="P15" s="10">
        <v>0</v>
      </c>
      <c r="Q15" s="11">
        <v>19</v>
      </c>
      <c r="R15" s="30">
        <v>0</v>
      </c>
      <c r="S15" s="30">
        <v>0</v>
      </c>
      <c r="T15" s="33">
        <f t="shared" si="1"/>
        <v>71</v>
      </c>
      <c r="U15" s="10"/>
      <c r="V15" s="10"/>
      <c r="W15" s="10"/>
      <c r="X15" s="11"/>
      <c r="Y15" s="10"/>
      <c r="Z15" s="11"/>
      <c r="AA15" s="30"/>
      <c r="AB15" s="30"/>
      <c r="AC15" s="33">
        <f t="shared" si="2"/>
        <v>0</v>
      </c>
      <c r="AD15" s="12">
        <f t="shared" si="3"/>
        <v>303</v>
      </c>
      <c r="AE15" s="39"/>
      <c r="AF15" s="39"/>
      <c r="AG15" s="39"/>
      <c r="AH15" s="39"/>
      <c r="AI15" s="39"/>
      <c r="AJ15"/>
    </row>
    <row r="16" spans="1:36" x14ac:dyDescent="0.2">
      <c r="A16" s="5">
        <f>DAY(Kalenteri!A255)</f>
        <v>12</v>
      </c>
      <c r="B16" s="3" t="str">
        <f>IF(Kalenteri!B255=1,"su",IF(Kalenteri!B255=2,"ma",IF(Kalenteri!B255=3,"ti",IF(Kalenteri!B255=4,"ke",IF(Kalenteri!B255=5,"to",IF(Kalenteri!B255=6,"pe",IF(Kalenteri!B255=7,"la",)))))))</f>
        <v>to</v>
      </c>
      <c r="C16" s="18">
        <v>128</v>
      </c>
      <c r="D16" s="10">
        <v>7</v>
      </c>
      <c r="E16" s="10">
        <v>2</v>
      </c>
      <c r="F16" s="11">
        <v>3</v>
      </c>
      <c r="G16" s="18">
        <v>28</v>
      </c>
      <c r="H16" s="11">
        <v>157</v>
      </c>
      <c r="I16" s="18"/>
      <c r="J16" s="11"/>
      <c r="K16" s="33">
        <f t="shared" si="0"/>
        <v>325</v>
      </c>
      <c r="L16" s="10">
        <f>104+39</f>
        <v>143</v>
      </c>
      <c r="M16" s="10">
        <v>11</v>
      </c>
      <c r="N16" s="10">
        <v>0</v>
      </c>
      <c r="O16" s="11">
        <v>0</v>
      </c>
      <c r="P16" s="10">
        <v>3</v>
      </c>
      <c r="Q16" s="11">
        <v>35</v>
      </c>
      <c r="R16" s="30">
        <v>0</v>
      </c>
      <c r="S16" s="30">
        <v>0</v>
      </c>
      <c r="T16" s="33">
        <f t="shared" si="1"/>
        <v>192</v>
      </c>
      <c r="U16" s="10"/>
      <c r="V16" s="10"/>
      <c r="W16" s="10"/>
      <c r="X16" s="11"/>
      <c r="Y16" s="10"/>
      <c r="Z16" s="11"/>
      <c r="AA16" s="30"/>
      <c r="AB16" s="30"/>
      <c r="AC16" s="33">
        <f t="shared" si="2"/>
        <v>0</v>
      </c>
      <c r="AD16" s="12">
        <f t="shared" si="3"/>
        <v>517</v>
      </c>
      <c r="AE16" s="39"/>
      <c r="AF16" s="39"/>
      <c r="AG16" s="39"/>
      <c r="AH16" s="39"/>
      <c r="AI16" s="39"/>
      <c r="AJ16"/>
    </row>
    <row r="17" spans="1:36" x14ac:dyDescent="0.2">
      <c r="A17" s="5">
        <f>DAY(Kalenteri!A256)</f>
        <v>13</v>
      </c>
      <c r="B17" s="3" t="str">
        <f>IF(Kalenteri!B256=1,"su",IF(Kalenteri!B256=2,"ma",IF(Kalenteri!B256=3,"ti",IF(Kalenteri!B256=4,"ke",IF(Kalenteri!B256=5,"to",IF(Kalenteri!B256=6,"pe",IF(Kalenteri!B256=7,"la",)))))))</f>
        <v>pe</v>
      </c>
      <c r="C17" s="18">
        <v>3743</v>
      </c>
      <c r="D17" s="10">
        <v>1280</v>
      </c>
      <c r="E17" s="10"/>
      <c r="F17" s="11">
        <v>143</v>
      </c>
      <c r="G17" s="18">
        <v>362</v>
      </c>
      <c r="H17" s="11">
        <v>549</v>
      </c>
      <c r="I17" s="18"/>
      <c r="J17" s="11"/>
      <c r="K17" s="33">
        <f t="shared" si="0"/>
        <v>6077</v>
      </c>
      <c r="L17" s="10">
        <v>640</v>
      </c>
      <c r="M17" s="10">
        <v>180</v>
      </c>
      <c r="N17" s="10"/>
      <c r="O17" s="11">
        <v>4</v>
      </c>
      <c r="P17" s="10">
        <v>32</v>
      </c>
      <c r="Q17" s="11">
        <v>142</v>
      </c>
      <c r="R17" s="30"/>
      <c r="S17" s="30"/>
      <c r="T17" s="33">
        <f t="shared" si="1"/>
        <v>998</v>
      </c>
      <c r="U17" s="10">
        <v>264</v>
      </c>
      <c r="V17" s="10">
        <v>108</v>
      </c>
      <c r="W17" s="10"/>
      <c r="X17" s="11"/>
      <c r="Y17" s="10"/>
      <c r="Z17" s="11">
        <v>92</v>
      </c>
      <c r="AA17" s="30"/>
      <c r="AB17" s="30"/>
      <c r="AC17" s="33">
        <f t="shared" si="2"/>
        <v>464</v>
      </c>
      <c r="AD17" s="12">
        <f t="shared" si="3"/>
        <v>7539</v>
      </c>
      <c r="AE17" s="39"/>
      <c r="AF17" s="39"/>
      <c r="AG17" s="39"/>
      <c r="AH17" s="39"/>
      <c r="AI17" s="39"/>
      <c r="AJ17"/>
    </row>
    <row r="18" spans="1:36" x14ac:dyDescent="0.2">
      <c r="A18" s="5">
        <f>DAY(Kalenteri!A257)</f>
        <v>14</v>
      </c>
      <c r="B18" s="3" t="str">
        <f>IF(Kalenteri!B257=1,"su",IF(Kalenteri!B257=2,"ma",IF(Kalenteri!B257=3,"ti",IF(Kalenteri!B257=4,"ke",IF(Kalenteri!B257=5,"to",IF(Kalenteri!B257=6,"pe",IF(Kalenteri!B257=7,"la",)))))))</f>
        <v>la</v>
      </c>
      <c r="C18" s="18">
        <v>1267</v>
      </c>
      <c r="D18" s="10">
        <v>296</v>
      </c>
      <c r="E18" s="10"/>
      <c r="F18" s="11">
        <v>25</v>
      </c>
      <c r="G18" s="18">
        <v>28</v>
      </c>
      <c r="H18" s="11">
        <v>457</v>
      </c>
      <c r="I18" s="18">
        <v>50</v>
      </c>
      <c r="J18" s="11">
        <v>75</v>
      </c>
      <c r="K18" s="33">
        <f t="shared" si="0"/>
        <v>2198</v>
      </c>
      <c r="L18" s="10">
        <f>267+60</f>
        <v>327</v>
      </c>
      <c r="M18" s="10">
        <v>66</v>
      </c>
      <c r="N18" s="10"/>
      <c r="O18" s="11"/>
      <c r="P18" s="10"/>
      <c r="Q18" s="11">
        <v>80</v>
      </c>
      <c r="R18" s="30">
        <v>10</v>
      </c>
      <c r="S18" s="30">
        <v>15</v>
      </c>
      <c r="T18" s="33">
        <f t="shared" si="1"/>
        <v>498</v>
      </c>
      <c r="U18" s="10"/>
      <c r="V18" s="10"/>
      <c r="W18" s="10"/>
      <c r="X18" s="11"/>
      <c r="Y18" s="10"/>
      <c r="Z18" s="11"/>
      <c r="AA18" s="30"/>
      <c r="AB18" s="30"/>
      <c r="AC18" s="33">
        <f t="shared" si="2"/>
        <v>0</v>
      </c>
      <c r="AD18" s="12">
        <f t="shared" si="3"/>
        <v>2696</v>
      </c>
      <c r="AE18" s="39"/>
      <c r="AF18" s="39"/>
      <c r="AG18" s="39"/>
      <c r="AH18" s="39"/>
      <c r="AI18" s="39"/>
      <c r="AJ18"/>
    </row>
    <row r="19" spans="1:36" x14ac:dyDescent="0.2">
      <c r="A19" s="5">
        <f>DAY(Kalenteri!A258)</f>
        <v>15</v>
      </c>
      <c r="B19" s="3" t="str">
        <f>IF(Kalenteri!B258=1,"su",IF(Kalenteri!B258=2,"ma",IF(Kalenteri!B258=3,"ti",IF(Kalenteri!B258=4,"ke",IF(Kalenteri!B258=5,"to",IF(Kalenteri!B258=6,"pe",IF(Kalenteri!B258=7,"la",)))))))</f>
        <v>su</v>
      </c>
      <c r="C19" s="18">
        <v>725</v>
      </c>
      <c r="D19" s="10">
        <v>164</v>
      </c>
      <c r="E19" s="10"/>
      <c r="F19" s="11">
        <v>16</v>
      </c>
      <c r="G19" s="18">
        <v>13</v>
      </c>
      <c r="H19" s="11">
        <v>222</v>
      </c>
      <c r="I19" s="18">
        <v>22</v>
      </c>
      <c r="J19" s="11">
        <v>33</v>
      </c>
      <c r="K19" s="33">
        <f t="shared" si="0"/>
        <v>1195</v>
      </c>
      <c r="L19" s="10">
        <f>134+42</f>
        <v>176</v>
      </c>
      <c r="M19" s="10">
        <v>26</v>
      </c>
      <c r="N19" s="10"/>
      <c r="O19" s="11"/>
      <c r="P19" s="10"/>
      <c r="Q19" s="11">
        <v>31</v>
      </c>
      <c r="R19" s="30">
        <v>2</v>
      </c>
      <c r="S19" s="30">
        <v>3</v>
      </c>
      <c r="T19" s="33">
        <f t="shared" si="1"/>
        <v>238</v>
      </c>
      <c r="U19" s="10"/>
      <c r="V19" s="10"/>
      <c r="W19" s="10"/>
      <c r="X19" s="11"/>
      <c r="Y19" s="10"/>
      <c r="Z19" s="11"/>
      <c r="AA19" s="30"/>
      <c r="AB19" s="30"/>
      <c r="AC19" s="33">
        <f t="shared" si="2"/>
        <v>0</v>
      </c>
      <c r="AD19" s="12">
        <f t="shared" si="3"/>
        <v>1433</v>
      </c>
      <c r="AE19" s="39"/>
      <c r="AF19" s="39"/>
      <c r="AG19" s="39"/>
      <c r="AH19" s="39"/>
      <c r="AI19" s="39"/>
      <c r="AJ19"/>
    </row>
    <row r="20" spans="1:36" x14ac:dyDescent="0.2">
      <c r="A20" s="5">
        <f>DAY(Kalenteri!A259)</f>
        <v>16</v>
      </c>
      <c r="B20" s="3" t="str">
        <f>IF(Kalenteri!B259=1,"su",IF(Kalenteri!B259=2,"ma",IF(Kalenteri!B259=3,"ti",IF(Kalenteri!B259=4,"ke",IF(Kalenteri!B259=5,"to",IF(Kalenteri!B259=6,"pe",IF(Kalenteri!B259=7,"la",)))))))</f>
        <v>ma</v>
      </c>
      <c r="C20" s="18">
        <v>73</v>
      </c>
      <c r="D20" s="10">
        <v>7</v>
      </c>
      <c r="E20" s="10">
        <v>1</v>
      </c>
      <c r="F20" s="11">
        <v>6</v>
      </c>
      <c r="G20" s="18">
        <v>4</v>
      </c>
      <c r="H20" s="11">
        <v>43</v>
      </c>
      <c r="I20" s="18"/>
      <c r="J20" s="11"/>
      <c r="K20" s="33">
        <f t="shared" si="0"/>
        <v>134</v>
      </c>
      <c r="L20" s="10">
        <v>66</v>
      </c>
      <c r="M20" s="10">
        <v>20</v>
      </c>
      <c r="N20" s="10"/>
      <c r="O20" s="11"/>
      <c r="P20" s="10"/>
      <c r="Q20" s="11">
        <v>16</v>
      </c>
      <c r="R20" s="30"/>
      <c r="S20" s="30"/>
      <c r="T20" s="33">
        <f t="shared" si="1"/>
        <v>102</v>
      </c>
      <c r="U20" s="10"/>
      <c r="V20" s="10"/>
      <c r="W20" s="10"/>
      <c r="X20" s="11"/>
      <c r="Y20" s="10"/>
      <c r="Z20" s="11"/>
      <c r="AA20" s="30"/>
      <c r="AB20" s="30"/>
      <c r="AC20" s="33">
        <f t="shared" si="2"/>
        <v>0</v>
      </c>
      <c r="AD20" s="12">
        <f t="shared" si="3"/>
        <v>236</v>
      </c>
      <c r="AE20" s="39"/>
      <c r="AF20" s="39"/>
      <c r="AG20" s="39"/>
      <c r="AH20" s="39"/>
      <c r="AI20" s="39"/>
      <c r="AJ20"/>
    </row>
    <row r="21" spans="1:36" x14ac:dyDescent="0.2">
      <c r="A21" s="5">
        <f>DAY(Kalenteri!A260)</f>
        <v>17</v>
      </c>
      <c r="B21" s="3" t="str">
        <f>IF(Kalenteri!B260=1,"su",IF(Kalenteri!B260=2,"ma",IF(Kalenteri!B260=3,"ti",IF(Kalenteri!B260=4,"ke",IF(Kalenteri!B260=5,"to",IF(Kalenteri!B260=6,"pe",IF(Kalenteri!B260=7,"la",)))))))</f>
        <v>ti</v>
      </c>
      <c r="C21" s="18">
        <v>146</v>
      </c>
      <c r="D21" s="10">
        <v>9</v>
      </c>
      <c r="E21" s="10"/>
      <c r="F21" s="11">
        <v>5</v>
      </c>
      <c r="G21" s="18">
        <v>12</v>
      </c>
      <c r="H21" s="11">
        <v>49</v>
      </c>
      <c r="I21" s="18"/>
      <c r="J21" s="11"/>
      <c r="K21" s="33">
        <f t="shared" si="0"/>
        <v>221</v>
      </c>
      <c r="L21" s="10">
        <v>78</v>
      </c>
      <c r="M21" s="10">
        <v>5</v>
      </c>
      <c r="N21" s="10"/>
      <c r="O21" s="11"/>
      <c r="P21" s="10">
        <v>4</v>
      </c>
      <c r="Q21" s="11">
        <v>54</v>
      </c>
      <c r="R21" s="30"/>
      <c r="S21" s="30"/>
      <c r="T21" s="33">
        <f t="shared" si="1"/>
        <v>141</v>
      </c>
      <c r="U21" s="10"/>
      <c r="V21" s="10"/>
      <c r="W21" s="10"/>
      <c r="X21" s="11"/>
      <c r="Y21" s="10"/>
      <c r="Z21" s="11"/>
      <c r="AA21" s="30"/>
      <c r="AB21" s="30"/>
      <c r="AC21" s="33">
        <f t="shared" si="2"/>
        <v>0</v>
      </c>
      <c r="AD21" s="12">
        <f t="shared" si="3"/>
        <v>362</v>
      </c>
      <c r="AE21" s="39"/>
      <c r="AF21" s="39"/>
      <c r="AG21" s="39"/>
      <c r="AH21" s="39"/>
      <c r="AI21" s="39"/>
      <c r="AJ21"/>
    </row>
    <row r="22" spans="1:36" x14ac:dyDescent="0.2">
      <c r="A22" s="5">
        <f>DAY(Kalenteri!A261)</f>
        <v>18</v>
      </c>
      <c r="B22" s="3" t="str">
        <f>IF(Kalenteri!B261=1,"su",IF(Kalenteri!B261=2,"ma",IF(Kalenteri!B261=3,"ti",IF(Kalenteri!B261=4,"ke",IF(Kalenteri!B261=5,"to",IF(Kalenteri!B261=6,"pe",IF(Kalenteri!B261=7,"la",)))))))</f>
        <v>ke</v>
      </c>
      <c r="C22" s="18">
        <v>73</v>
      </c>
      <c r="D22" s="10">
        <v>17</v>
      </c>
      <c r="E22" s="10"/>
      <c r="F22" s="11"/>
      <c r="G22" s="18">
        <v>19</v>
      </c>
      <c r="H22" s="11">
        <v>250</v>
      </c>
      <c r="I22" s="18"/>
      <c r="J22" s="11"/>
      <c r="K22" s="33">
        <f t="shared" si="0"/>
        <v>359</v>
      </c>
      <c r="L22" s="10">
        <f>11+2</f>
        <v>13</v>
      </c>
      <c r="M22" s="10">
        <v>2</v>
      </c>
      <c r="N22" s="10"/>
      <c r="O22" s="11">
        <v>1</v>
      </c>
      <c r="P22" s="10"/>
      <c r="Q22" s="11"/>
      <c r="R22" s="30"/>
      <c r="S22" s="30"/>
      <c r="T22" s="33">
        <f t="shared" si="1"/>
        <v>16</v>
      </c>
      <c r="U22" s="10"/>
      <c r="V22" s="10"/>
      <c r="W22" s="10"/>
      <c r="X22" s="11"/>
      <c r="Y22" s="10"/>
      <c r="Z22" s="11"/>
      <c r="AA22" s="30"/>
      <c r="AB22" s="30"/>
      <c r="AC22" s="33">
        <f t="shared" si="2"/>
        <v>0</v>
      </c>
      <c r="AD22" s="12">
        <f t="shared" si="3"/>
        <v>375</v>
      </c>
      <c r="AE22" s="39"/>
      <c r="AF22" s="39"/>
      <c r="AG22" s="39"/>
      <c r="AH22" s="39"/>
      <c r="AI22" s="39"/>
      <c r="AJ22"/>
    </row>
    <row r="23" spans="1:36" x14ac:dyDescent="0.2">
      <c r="A23" s="5">
        <f>DAY(Kalenteri!A262)</f>
        <v>19</v>
      </c>
      <c r="B23" s="3" t="str">
        <f>IF(Kalenteri!B262=1,"su",IF(Kalenteri!B262=2,"ma",IF(Kalenteri!B262=3,"ti",IF(Kalenteri!B262=4,"ke",IF(Kalenteri!B262=5,"to",IF(Kalenteri!B262=6,"pe",IF(Kalenteri!B262=7,"la",)))))))</f>
        <v>to</v>
      </c>
      <c r="C23" s="18">
        <v>54</v>
      </c>
      <c r="D23" s="10">
        <v>6</v>
      </c>
      <c r="E23" s="10">
        <v>2</v>
      </c>
      <c r="F23" s="11">
        <v>3</v>
      </c>
      <c r="G23" s="18"/>
      <c r="H23" s="11">
        <v>12</v>
      </c>
      <c r="I23" s="18"/>
      <c r="J23" s="11"/>
      <c r="K23" s="33">
        <f t="shared" si="0"/>
        <v>77</v>
      </c>
      <c r="L23" s="10">
        <v>19</v>
      </c>
      <c r="M23" s="10"/>
      <c r="N23" s="10"/>
      <c r="O23" s="11"/>
      <c r="P23" s="10">
        <v>2</v>
      </c>
      <c r="Q23" s="11">
        <v>18</v>
      </c>
      <c r="R23" s="30"/>
      <c r="S23" s="30"/>
      <c r="T23" s="33">
        <f t="shared" si="1"/>
        <v>39</v>
      </c>
      <c r="U23" s="10"/>
      <c r="V23" s="10"/>
      <c r="W23" s="10"/>
      <c r="X23" s="11"/>
      <c r="Y23" s="10"/>
      <c r="Z23" s="11"/>
      <c r="AA23" s="30"/>
      <c r="AB23" s="30"/>
      <c r="AC23" s="33">
        <f t="shared" si="2"/>
        <v>0</v>
      </c>
      <c r="AD23" s="12">
        <f t="shared" si="3"/>
        <v>116</v>
      </c>
      <c r="AE23" s="39"/>
      <c r="AF23" s="39"/>
      <c r="AG23" s="39"/>
      <c r="AH23" s="39"/>
      <c r="AI23" s="39"/>
      <c r="AJ23"/>
    </row>
    <row r="24" spans="1:36" x14ac:dyDescent="0.2">
      <c r="A24" s="5">
        <f>DAY(Kalenteri!A263)</f>
        <v>20</v>
      </c>
      <c r="B24" s="3" t="str">
        <f>IF(Kalenteri!B263=1,"su",IF(Kalenteri!B263=2,"ma",IF(Kalenteri!B263=3,"ti",IF(Kalenteri!B263=4,"ke",IF(Kalenteri!B263=5,"to",IF(Kalenteri!B263=6,"pe",IF(Kalenteri!B263=7,"la",)))))))</f>
        <v>pe</v>
      </c>
      <c r="C24" s="18">
        <v>135</v>
      </c>
      <c r="D24" s="10">
        <v>27</v>
      </c>
      <c r="E24" s="10"/>
      <c r="F24" s="11">
        <v>7</v>
      </c>
      <c r="G24" s="18">
        <v>34</v>
      </c>
      <c r="H24" s="11">
        <v>54</v>
      </c>
      <c r="I24" s="18"/>
      <c r="J24" s="11"/>
      <c r="K24" s="33">
        <f t="shared" si="0"/>
        <v>257</v>
      </c>
      <c r="L24" s="10">
        <v>90</v>
      </c>
      <c r="M24" s="10">
        <v>2</v>
      </c>
      <c r="N24" s="10"/>
      <c r="O24" s="11"/>
      <c r="P24" s="10"/>
      <c r="Q24" s="11">
        <v>24</v>
      </c>
      <c r="R24" s="30">
        <v>2</v>
      </c>
      <c r="S24" s="30">
        <v>3</v>
      </c>
      <c r="T24" s="33">
        <f t="shared" si="1"/>
        <v>121</v>
      </c>
      <c r="U24" s="10"/>
      <c r="V24" s="10"/>
      <c r="W24" s="10"/>
      <c r="X24" s="11"/>
      <c r="Y24" s="10"/>
      <c r="Z24" s="11"/>
      <c r="AA24" s="30"/>
      <c r="AB24" s="30"/>
      <c r="AC24" s="33">
        <f t="shared" si="2"/>
        <v>0</v>
      </c>
      <c r="AD24" s="12">
        <f t="shared" si="3"/>
        <v>378</v>
      </c>
      <c r="AE24" s="39"/>
      <c r="AF24" s="39"/>
      <c r="AG24" s="39"/>
      <c r="AH24" s="39"/>
      <c r="AI24" s="39"/>
      <c r="AJ24" s="39"/>
    </row>
    <row r="25" spans="1:36" x14ac:dyDescent="0.2">
      <c r="A25" s="5">
        <f>DAY(Kalenteri!A264)</f>
        <v>21</v>
      </c>
      <c r="B25" s="3" t="str">
        <f>IF(Kalenteri!B264=1,"su",IF(Kalenteri!B264=2,"ma",IF(Kalenteri!B264=3,"ti",IF(Kalenteri!B264=4,"ke",IF(Kalenteri!B264=5,"to",IF(Kalenteri!B264=6,"pe",IF(Kalenteri!B264=7,"la",)))))))</f>
        <v>la</v>
      </c>
      <c r="C25" s="18">
        <v>615</v>
      </c>
      <c r="D25" s="10">
        <v>140</v>
      </c>
      <c r="E25" s="10"/>
      <c r="F25" s="11">
        <v>33</v>
      </c>
      <c r="G25" s="18">
        <v>15</v>
      </c>
      <c r="H25" s="11">
        <v>231</v>
      </c>
      <c r="I25" s="18">
        <v>24</v>
      </c>
      <c r="J25" s="11">
        <v>36</v>
      </c>
      <c r="K25" s="33">
        <f t="shared" si="0"/>
        <v>1094</v>
      </c>
      <c r="L25" s="10">
        <v>260</v>
      </c>
      <c r="M25" s="10">
        <v>45</v>
      </c>
      <c r="N25" s="10"/>
      <c r="O25" s="11"/>
      <c r="P25" s="10"/>
      <c r="Q25" s="11">
        <v>55</v>
      </c>
      <c r="R25" s="30">
        <v>4</v>
      </c>
      <c r="S25" s="30">
        <v>6</v>
      </c>
      <c r="T25" s="33">
        <f t="shared" si="1"/>
        <v>370</v>
      </c>
      <c r="U25" s="10"/>
      <c r="V25" s="10"/>
      <c r="W25" s="10"/>
      <c r="X25" s="11"/>
      <c r="Y25" s="10"/>
      <c r="Z25" s="11"/>
      <c r="AA25" s="30"/>
      <c r="AB25" s="30"/>
      <c r="AC25" s="33">
        <f t="shared" si="2"/>
        <v>0</v>
      </c>
      <c r="AD25" s="12">
        <f t="shared" si="3"/>
        <v>1464</v>
      </c>
      <c r="AE25" s="39"/>
      <c r="AF25" s="39"/>
      <c r="AG25" s="39"/>
      <c r="AH25" s="39"/>
      <c r="AI25" s="39"/>
      <c r="AJ25" s="39"/>
    </row>
    <row r="26" spans="1:36" x14ac:dyDescent="0.2">
      <c r="A26" s="5">
        <f>DAY(Kalenteri!A265)</f>
        <v>22</v>
      </c>
      <c r="B26" s="3" t="str">
        <f>IF(Kalenteri!B265=1,"su",IF(Kalenteri!B265=2,"ma",IF(Kalenteri!B265=3,"ti",IF(Kalenteri!B265=4,"ke",IF(Kalenteri!B265=5,"to",IF(Kalenteri!B265=6,"pe",IF(Kalenteri!B265=7,"la",)))))))</f>
        <v>su</v>
      </c>
      <c r="C26" s="18">
        <f>544+43+9+75</f>
        <v>671</v>
      </c>
      <c r="D26" s="10">
        <v>156</v>
      </c>
      <c r="E26" s="10"/>
      <c r="F26" s="11">
        <v>22</v>
      </c>
      <c r="G26" s="18">
        <v>7</v>
      </c>
      <c r="H26" s="11">
        <v>182</v>
      </c>
      <c r="I26" s="18">
        <v>14</v>
      </c>
      <c r="J26" s="11">
        <v>21</v>
      </c>
      <c r="K26" s="33">
        <f t="shared" si="0"/>
        <v>1073</v>
      </c>
      <c r="L26" s="10">
        <f>116+30</f>
        <v>146</v>
      </c>
      <c r="M26" s="10">
        <v>24</v>
      </c>
      <c r="N26" s="10"/>
      <c r="O26" s="11">
        <v>5</v>
      </c>
      <c r="P26" s="10">
        <v>4</v>
      </c>
      <c r="Q26" s="11">
        <v>34</v>
      </c>
      <c r="R26" s="30"/>
      <c r="S26" s="30"/>
      <c r="T26" s="33">
        <f t="shared" si="1"/>
        <v>213</v>
      </c>
      <c r="U26" s="10"/>
      <c r="V26" s="10"/>
      <c r="W26" s="10"/>
      <c r="X26" s="11"/>
      <c r="Y26" s="10"/>
      <c r="Z26" s="11"/>
      <c r="AA26" s="30"/>
      <c r="AB26" s="30"/>
      <c r="AC26" s="33">
        <f t="shared" si="2"/>
        <v>0</v>
      </c>
      <c r="AD26" s="12">
        <f t="shared" si="3"/>
        <v>1286</v>
      </c>
      <c r="AE26" s="39"/>
      <c r="AF26" s="39"/>
      <c r="AG26" s="39"/>
      <c r="AH26" s="39"/>
      <c r="AI26" s="39"/>
      <c r="AJ26" s="39"/>
    </row>
    <row r="27" spans="1:36" x14ac:dyDescent="0.2">
      <c r="A27" s="5">
        <f>DAY(Kalenteri!A266)</f>
        <v>23</v>
      </c>
      <c r="B27" s="3" t="str">
        <f>IF(Kalenteri!B266=1,"su",IF(Kalenteri!B266=2,"ma",IF(Kalenteri!B266=3,"ti",IF(Kalenteri!B266=4,"ke",IF(Kalenteri!B266=5,"to",IF(Kalenteri!B266=6,"pe",IF(Kalenteri!B266=7,"la",)))))))</f>
        <v>ma</v>
      </c>
      <c r="C27" s="18">
        <f>38+1+2</f>
        <v>41</v>
      </c>
      <c r="D27" s="10">
        <v>3</v>
      </c>
      <c r="E27" s="10"/>
      <c r="F27" s="11">
        <v>3</v>
      </c>
      <c r="G27" s="18">
        <v>3</v>
      </c>
      <c r="H27" s="11">
        <f>19+16</f>
        <v>35</v>
      </c>
      <c r="I27" s="18">
        <v>2</v>
      </c>
      <c r="J27" s="11">
        <v>3</v>
      </c>
      <c r="K27" s="33">
        <f t="shared" si="0"/>
        <v>90</v>
      </c>
      <c r="L27" s="10">
        <f>25+8</f>
        <v>33</v>
      </c>
      <c r="M27" s="10">
        <v>1</v>
      </c>
      <c r="N27" s="10"/>
      <c r="O27" s="11"/>
      <c r="P27" s="10"/>
      <c r="Q27" s="11">
        <v>10</v>
      </c>
      <c r="R27" s="30"/>
      <c r="S27" s="30"/>
      <c r="T27" s="33">
        <f t="shared" si="1"/>
        <v>44</v>
      </c>
      <c r="U27" s="10"/>
      <c r="V27" s="10"/>
      <c r="W27" s="10"/>
      <c r="X27" s="11"/>
      <c r="Y27" s="10"/>
      <c r="Z27" s="11"/>
      <c r="AA27" s="30"/>
      <c r="AB27" s="30"/>
      <c r="AC27" s="33">
        <f t="shared" si="2"/>
        <v>0</v>
      </c>
      <c r="AD27" s="12">
        <f t="shared" si="3"/>
        <v>134</v>
      </c>
      <c r="AE27" s="39"/>
      <c r="AF27" s="39"/>
      <c r="AG27" s="39"/>
      <c r="AH27" s="39"/>
      <c r="AI27" s="39"/>
      <c r="AJ27" s="39"/>
    </row>
    <row r="28" spans="1:36" x14ac:dyDescent="0.2">
      <c r="A28" s="5">
        <f>DAY(Kalenteri!A267)</f>
        <v>24</v>
      </c>
      <c r="B28" s="3" t="str">
        <f>IF(Kalenteri!B267=1,"su",IF(Kalenteri!B267=2,"ma",IF(Kalenteri!B267=3,"ti",IF(Kalenteri!B267=4,"ke",IF(Kalenteri!B267=5,"to",IF(Kalenteri!B267=6,"pe",IF(Kalenteri!B267=7,"la",)))))))</f>
        <v>ti</v>
      </c>
      <c r="C28" s="18">
        <f>56+11+1+8</f>
        <v>76</v>
      </c>
      <c r="D28" s="10">
        <v>19</v>
      </c>
      <c r="E28" s="10"/>
      <c r="F28" s="11">
        <f>1+2</f>
        <v>3</v>
      </c>
      <c r="G28" s="18">
        <f>2+6+1</f>
        <v>9</v>
      </c>
      <c r="H28" s="11">
        <f>28+16</f>
        <v>44</v>
      </c>
      <c r="I28" s="18"/>
      <c r="J28" s="11"/>
      <c r="K28" s="33">
        <f t="shared" si="0"/>
        <v>151</v>
      </c>
      <c r="L28" s="10">
        <v>33</v>
      </c>
      <c r="M28" s="10">
        <v>1</v>
      </c>
      <c r="N28" s="10"/>
      <c r="O28" s="11"/>
      <c r="P28" s="10">
        <v>1</v>
      </c>
      <c r="Q28" s="11">
        <v>21</v>
      </c>
      <c r="R28" s="30"/>
      <c r="S28" s="30"/>
      <c r="T28" s="33">
        <f t="shared" si="1"/>
        <v>56</v>
      </c>
      <c r="U28" s="10"/>
      <c r="V28" s="10"/>
      <c r="W28" s="10"/>
      <c r="X28" s="11"/>
      <c r="Y28" s="10"/>
      <c r="Z28" s="11"/>
      <c r="AA28" s="30"/>
      <c r="AB28" s="30"/>
      <c r="AC28" s="33">
        <f t="shared" si="2"/>
        <v>0</v>
      </c>
      <c r="AD28" s="12">
        <f t="shared" si="3"/>
        <v>207</v>
      </c>
      <c r="AE28" s="39"/>
      <c r="AF28" s="39"/>
      <c r="AG28" s="39"/>
      <c r="AH28" s="39"/>
      <c r="AI28" s="39"/>
      <c r="AJ28" s="39"/>
    </row>
    <row r="29" spans="1:36" x14ac:dyDescent="0.2">
      <c r="A29" s="5">
        <f>DAY(Kalenteri!A268)</f>
        <v>25</v>
      </c>
      <c r="B29" s="3" t="str">
        <f>IF(Kalenteri!B268=1,"su",IF(Kalenteri!B268=2,"ma",IF(Kalenteri!B268=3,"ti",IF(Kalenteri!B268=4,"ke",IF(Kalenteri!B268=5,"to",IF(Kalenteri!B268=6,"pe",IF(Kalenteri!B268=7,"la",)))))))</f>
        <v>ke</v>
      </c>
      <c r="C29" s="18">
        <f>68+9+2+5</f>
        <v>84</v>
      </c>
      <c r="D29" s="10">
        <v>6</v>
      </c>
      <c r="E29" s="10">
        <v>4</v>
      </c>
      <c r="F29" s="11">
        <f>1+1+1</f>
        <v>3</v>
      </c>
      <c r="G29" s="18">
        <f>7+83</f>
        <v>90</v>
      </c>
      <c r="H29" s="11">
        <f>32+645+57</f>
        <v>734</v>
      </c>
      <c r="I29" s="18"/>
      <c r="J29" s="11"/>
      <c r="K29" s="33">
        <f t="shared" si="0"/>
        <v>921</v>
      </c>
      <c r="L29" s="10">
        <v>34</v>
      </c>
      <c r="M29" s="10">
        <v>3</v>
      </c>
      <c r="N29" s="10"/>
      <c r="O29" s="11"/>
      <c r="P29" s="10">
        <v>79</v>
      </c>
      <c r="Q29" s="11">
        <v>758</v>
      </c>
      <c r="R29" s="30"/>
      <c r="S29" s="30"/>
      <c r="T29" s="33">
        <f t="shared" si="1"/>
        <v>874</v>
      </c>
      <c r="U29" s="10"/>
      <c r="V29" s="10"/>
      <c r="W29" s="10"/>
      <c r="X29" s="11"/>
      <c r="Y29" s="10"/>
      <c r="Z29" s="11"/>
      <c r="AA29" s="30"/>
      <c r="AB29" s="30"/>
      <c r="AC29" s="33">
        <f t="shared" si="2"/>
        <v>0</v>
      </c>
      <c r="AD29" s="12">
        <f t="shared" si="3"/>
        <v>1795</v>
      </c>
      <c r="AE29" s="39"/>
      <c r="AF29" s="39"/>
      <c r="AG29" s="39"/>
      <c r="AH29" s="39"/>
      <c r="AI29" s="39"/>
      <c r="AJ29" s="39"/>
    </row>
    <row r="30" spans="1:36" x14ac:dyDescent="0.2">
      <c r="A30" s="5">
        <f>DAY(Kalenteri!A269)</f>
        <v>26</v>
      </c>
      <c r="B30" s="3" t="str">
        <f>IF(Kalenteri!B269=1,"su",IF(Kalenteri!B269=2,"ma",IF(Kalenteri!B269=3,"ti",IF(Kalenteri!B269=4,"ke",IF(Kalenteri!B269=5,"to",IF(Kalenteri!B269=6,"pe",IF(Kalenteri!B269=7,"la",)))))))</f>
        <v>to</v>
      </c>
      <c r="C30" s="18">
        <f>54+6+25</f>
        <v>85</v>
      </c>
      <c r="D30" s="10">
        <v>13</v>
      </c>
      <c r="E30" s="10"/>
      <c r="F30" s="11">
        <f>1+4+3</f>
        <v>8</v>
      </c>
      <c r="G30" s="18">
        <v>5</v>
      </c>
      <c r="H30" s="11">
        <f>16+1</f>
        <v>17</v>
      </c>
      <c r="I30" s="18">
        <v>2</v>
      </c>
      <c r="J30" s="11">
        <v>3</v>
      </c>
      <c r="K30" s="33">
        <f t="shared" si="0"/>
        <v>133</v>
      </c>
      <c r="L30" s="10">
        <v>27</v>
      </c>
      <c r="M30" s="10">
        <v>15</v>
      </c>
      <c r="N30" s="10"/>
      <c r="O30" s="11"/>
      <c r="P30" s="10"/>
      <c r="Q30" s="11">
        <v>11</v>
      </c>
      <c r="R30" s="30"/>
      <c r="S30" s="30"/>
      <c r="T30" s="33">
        <f t="shared" si="1"/>
        <v>53</v>
      </c>
      <c r="U30" s="10"/>
      <c r="V30" s="10"/>
      <c r="W30" s="10"/>
      <c r="X30" s="11"/>
      <c r="Y30" s="10"/>
      <c r="Z30" s="11"/>
      <c r="AA30" s="30"/>
      <c r="AB30" s="30"/>
      <c r="AC30" s="33">
        <f t="shared" si="2"/>
        <v>0</v>
      </c>
      <c r="AD30" s="12">
        <f t="shared" si="3"/>
        <v>186</v>
      </c>
      <c r="AE30" s="39"/>
      <c r="AF30" s="39"/>
      <c r="AG30" s="39"/>
      <c r="AH30" s="39"/>
      <c r="AI30" s="39"/>
      <c r="AJ30" s="39"/>
    </row>
    <row r="31" spans="1:36" x14ac:dyDescent="0.2">
      <c r="A31" s="5">
        <f>DAY(Kalenteri!A270)</f>
        <v>27</v>
      </c>
      <c r="B31" s="3" t="str">
        <f>IF(Kalenteri!B270=1,"su",IF(Kalenteri!B270=2,"ma",IF(Kalenteri!B270=3,"ti",IF(Kalenteri!B270=4,"ke",IF(Kalenteri!B270=5,"to",IF(Kalenteri!B270=6,"pe",IF(Kalenteri!B270=7,"la",)))))))</f>
        <v>pe</v>
      </c>
      <c r="C31" s="18">
        <f>78+3+2+13</f>
        <v>96</v>
      </c>
      <c r="D31" s="10">
        <v>18</v>
      </c>
      <c r="E31" s="10">
        <v>2</v>
      </c>
      <c r="F31" s="11">
        <f>1+2+1</f>
        <v>4</v>
      </c>
      <c r="G31" s="18">
        <f>16+66</f>
        <v>82</v>
      </c>
      <c r="H31" s="11">
        <f>58+5+49</f>
        <v>112</v>
      </c>
      <c r="I31" s="18">
        <v>2</v>
      </c>
      <c r="J31" s="11">
        <v>3</v>
      </c>
      <c r="K31" s="33">
        <f t="shared" si="0"/>
        <v>319</v>
      </c>
      <c r="L31" s="10">
        <v>51</v>
      </c>
      <c r="M31" s="10">
        <v>15</v>
      </c>
      <c r="N31" s="10"/>
      <c r="O31" s="11"/>
      <c r="P31" s="10"/>
      <c r="Q31" s="11">
        <v>8</v>
      </c>
      <c r="R31" s="30">
        <v>2</v>
      </c>
      <c r="S31" s="30">
        <v>3</v>
      </c>
      <c r="T31" s="33">
        <f t="shared" si="1"/>
        <v>79</v>
      </c>
      <c r="U31" s="10"/>
      <c r="V31" s="10"/>
      <c r="W31" s="10"/>
      <c r="X31" s="11"/>
      <c r="Y31" s="10"/>
      <c r="Z31" s="11"/>
      <c r="AA31" s="30"/>
      <c r="AB31" s="30"/>
      <c r="AC31" s="33">
        <f t="shared" si="2"/>
        <v>0</v>
      </c>
      <c r="AD31" s="12">
        <f t="shared" si="3"/>
        <v>398</v>
      </c>
      <c r="AE31" s="39"/>
      <c r="AF31" s="39"/>
      <c r="AG31" s="39"/>
      <c r="AH31" s="39"/>
      <c r="AI31" s="39"/>
      <c r="AJ31" s="39"/>
    </row>
    <row r="32" spans="1:36" x14ac:dyDescent="0.2">
      <c r="A32" s="5">
        <f>DAY(Kalenteri!A271)</f>
        <v>28</v>
      </c>
      <c r="B32" s="3" t="str">
        <f>IF(Kalenteri!B271=1,"su",IF(Kalenteri!B271=2,"ma",IF(Kalenteri!B271=3,"ti",IF(Kalenteri!B271=4,"ke",IF(Kalenteri!B271=5,"to",IF(Kalenteri!B271=6,"pe",IF(Kalenteri!B271=7,"la",)))))))</f>
        <v>la</v>
      </c>
      <c r="C32" s="18">
        <f>446+47+6+70</f>
        <v>569</v>
      </c>
      <c r="D32" s="10">
        <v>134</v>
      </c>
      <c r="E32" s="10"/>
      <c r="F32" s="11">
        <f>9+2+6+4+6</f>
        <v>27</v>
      </c>
      <c r="G32" s="18">
        <f>21+4</f>
        <v>25</v>
      </c>
      <c r="H32" s="11">
        <f>151+4</f>
        <v>155</v>
      </c>
      <c r="I32" s="18">
        <v>12</v>
      </c>
      <c r="J32" s="11">
        <v>18</v>
      </c>
      <c r="K32" s="33">
        <f t="shared" si="0"/>
        <v>940</v>
      </c>
      <c r="L32" s="10">
        <v>164</v>
      </c>
      <c r="M32" s="10">
        <v>27</v>
      </c>
      <c r="N32" s="10"/>
      <c r="O32" s="11"/>
      <c r="P32" s="10"/>
      <c r="Q32" s="11">
        <v>21</v>
      </c>
      <c r="R32" s="30">
        <v>6</v>
      </c>
      <c r="S32" s="30">
        <v>9</v>
      </c>
      <c r="T32" s="33">
        <f t="shared" si="1"/>
        <v>227</v>
      </c>
      <c r="U32" s="10"/>
      <c r="V32" s="10"/>
      <c r="W32" s="10"/>
      <c r="X32" s="11"/>
      <c r="Y32" s="10"/>
      <c r="Z32" s="11"/>
      <c r="AA32" s="30"/>
      <c r="AB32" s="30"/>
      <c r="AC32" s="33">
        <f t="shared" si="2"/>
        <v>0</v>
      </c>
      <c r="AD32" s="12">
        <f t="shared" si="3"/>
        <v>1167</v>
      </c>
      <c r="AE32" s="39"/>
      <c r="AF32" s="39"/>
      <c r="AG32" s="39"/>
      <c r="AH32" s="39"/>
      <c r="AI32" s="39"/>
      <c r="AJ32" s="39"/>
    </row>
    <row r="33" spans="1:36" x14ac:dyDescent="0.2">
      <c r="A33" s="5">
        <f>DAY(Kalenteri!A272)</f>
        <v>29</v>
      </c>
      <c r="B33" s="3" t="str">
        <f>IF(Kalenteri!B272=1,"su",IF(Kalenteri!B272=2,"ma",IF(Kalenteri!B272=3,"ti",IF(Kalenteri!B272=4,"ke",IF(Kalenteri!B272=5,"to",IF(Kalenteri!B272=6,"pe",IF(Kalenteri!B272=7,"la",)))))))</f>
        <v>su</v>
      </c>
      <c r="C33" s="18">
        <f>379+20+5+57</f>
        <v>461</v>
      </c>
      <c r="D33" s="10">
        <v>92</v>
      </c>
      <c r="E33" s="10">
        <v>4</v>
      </c>
      <c r="F33" s="11">
        <f>10+4+9+5+3+2</f>
        <v>33</v>
      </c>
      <c r="G33" s="18">
        <f>8+1</f>
        <v>9</v>
      </c>
      <c r="H33" s="11">
        <v>133</v>
      </c>
      <c r="I33" s="18">
        <v>10</v>
      </c>
      <c r="J33" s="11">
        <v>15</v>
      </c>
      <c r="K33" s="33">
        <f t="shared" si="0"/>
        <v>757</v>
      </c>
      <c r="L33" s="10">
        <f>62+17</f>
        <v>79</v>
      </c>
      <c r="M33" s="10">
        <v>7</v>
      </c>
      <c r="N33" s="10"/>
      <c r="O33" s="11"/>
      <c r="P33" s="10"/>
      <c r="Q33" s="11">
        <v>8</v>
      </c>
      <c r="R33" s="30"/>
      <c r="S33" s="30"/>
      <c r="T33" s="33">
        <f t="shared" si="1"/>
        <v>94</v>
      </c>
      <c r="U33" s="10"/>
      <c r="V33" s="10"/>
      <c r="W33" s="10"/>
      <c r="X33" s="11"/>
      <c r="Y33" s="10"/>
      <c r="Z33" s="11"/>
      <c r="AA33" s="30"/>
      <c r="AB33" s="30"/>
      <c r="AC33" s="33">
        <f t="shared" si="2"/>
        <v>0</v>
      </c>
      <c r="AD33" s="12">
        <f t="shared" si="3"/>
        <v>851</v>
      </c>
      <c r="AE33" s="39"/>
      <c r="AF33" s="39"/>
      <c r="AG33" s="39"/>
      <c r="AH33" s="39"/>
      <c r="AI33" s="39"/>
      <c r="AJ33" s="39"/>
    </row>
    <row r="34" spans="1:36" x14ac:dyDescent="0.2">
      <c r="A34" s="5">
        <f>DAY(Kalenteri!A273)</f>
        <v>30</v>
      </c>
      <c r="B34" s="3" t="str">
        <f>IF(Kalenteri!B273=1,"su",IF(Kalenteri!B273=2,"ma",IF(Kalenteri!B273=3,"ti",IF(Kalenteri!B273=4,"ke",IF(Kalenteri!B273=5,"to",IF(Kalenteri!B273=6,"pe",IF(Kalenteri!B273=7,"la",)))))))</f>
        <v>ma</v>
      </c>
      <c r="C34" s="18">
        <f>20+4</f>
        <v>24</v>
      </c>
      <c r="D34" s="10">
        <v>5</v>
      </c>
      <c r="E34" s="10"/>
      <c r="F34" s="11">
        <f>1+1+1</f>
        <v>3</v>
      </c>
      <c r="G34" s="18">
        <v>2</v>
      </c>
      <c r="H34" s="11">
        <v>16</v>
      </c>
      <c r="I34" s="18"/>
      <c r="J34" s="11"/>
      <c r="K34" s="33">
        <f t="shared" si="0"/>
        <v>50</v>
      </c>
      <c r="L34" s="10">
        <v>12</v>
      </c>
      <c r="M34" s="10">
        <v>2</v>
      </c>
      <c r="N34" s="10"/>
      <c r="O34" s="11"/>
      <c r="P34" s="10"/>
      <c r="Q34" s="11">
        <v>4</v>
      </c>
      <c r="R34" s="30"/>
      <c r="S34" s="30"/>
      <c r="T34" s="33">
        <f t="shared" si="1"/>
        <v>18</v>
      </c>
      <c r="U34" s="10"/>
      <c r="V34" s="10"/>
      <c r="W34" s="10"/>
      <c r="X34" s="11"/>
      <c r="Y34" s="10"/>
      <c r="Z34" s="11"/>
      <c r="AA34" s="30"/>
      <c r="AB34" s="30"/>
      <c r="AC34" s="33">
        <f t="shared" si="2"/>
        <v>0</v>
      </c>
      <c r="AD34" s="12">
        <f t="shared" si="3"/>
        <v>68</v>
      </c>
      <c r="AE34" s="39"/>
      <c r="AF34" s="39"/>
      <c r="AG34" s="39"/>
      <c r="AH34" s="39"/>
      <c r="AI34" s="39"/>
      <c r="AJ34" s="39"/>
    </row>
    <row r="35" spans="1:36" x14ac:dyDescent="0.2">
      <c r="A35" s="5"/>
      <c r="B35" s="3"/>
      <c r="C35" s="79"/>
      <c r="D35" s="80"/>
      <c r="E35" s="80"/>
      <c r="F35" s="81"/>
      <c r="G35" s="79"/>
      <c r="H35" s="81"/>
      <c r="I35" s="79"/>
      <c r="J35" s="81"/>
      <c r="K35" s="34">
        <f t="shared" si="0"/>
        <v>0</v>
      </c>
      <c r="L35" s="20"/>
      <c r="M35" s="20"/>
      <c r="N35" s="20"/>
      <c r="O35" s="21"/>
      <c r="P35" s="20"/>
      <c r="Q35" s="21"/>
      <c r="R35" s="31"/>
      <c r="S35" s="31"/>
      <c r="T35" s="34">
        <f t="shared" si="1"/>
        <v>0</v>
      </c>
      <c r="U35" s="20"/>
      <c r="V35" s="20"/>
      <c r="W35" s="20"/>
      <c r="X35" s="21"/>
      <c r="Y35" s="20"/>
      <c r="Z35" s="21"/>
      <c r="AA35" s="31"/>
      <c r="AB35" s="31"/>
      <c r="AC35" s="34">
        <f t="shared" si="2"/>
        <v>0</v>
      </c>
      <c r="AD35" s="19">
        <f t="shared" si="3"/>
        <v>0</v>
      </c>
      <c r="AE35" s="39"/>
      <c r="AF35" s="39"/>
      <c r="AG35" s="39"/>
      <c r="AH35" s="39"/>
      <c r="AI35" s="39"/>
      <c r="AJ35" s="39"/>
    </row>
    <row r="36" spans="1:36" x14ac:dyDescent="0.2">
      <c r="A36" s="6"/>
      <c r="B36"/>
      <c r="C36" s="82">
        <f t="shared" ref="C36:J36" si="4">SUM(C5:C35)</f>
        <v>16087</v>
      </c>
      <c r="D36" s="83">
        <f t="shared" si="4"/>
        <v>4026</v>
      </c>
      <c r="E36" s="83">
        <f t="shared" si="4"/>
        <v>24</v>
      </c>
      <c r="F36" s="84">
        <f t="shared" si="4"/>
        <v>587</v>
      </c>
      <c r="G36" s="83">
        <f t="shared" si="4"/>
        <v>1060</v>
      </c>
      <c r="H36" s="84">
        <f t="shared" si="4"/>
        <v>5458</v>
      </c>
      <c r="I36" s="83">
        <f t="shared" si="4"/>
        <v>240</v>
      </c>
      <c r="J36" s="84">
        <f t="shared" si="4"/>
        <v>360</v>
      </c>
      <c r="K36" s="85">
        <f t="shared" si="0"/>
        <v>27842</v>
      </c>
      <c r="L36" s="83">
        <f t="shared" ref="L36:S36" si="5">SUM(L5:L35)</f>
        <v>4340</v>
      </c>
      <c r="M36" s="83">
        <f t="shared" si="5"/>
        <v>766</v>
      </c>
      <c r="N36" s="83">
        <f t="shared" si="5"/>
        <v>0</v>
      </c>
      <c r="O36" s="84">
        <f t="shared" si="5"/>
        <v>12</v>
      </c>
      <c r="P36" s="83">
        <f t="shared" si="5"/>
        <v>138</v>
      </c>
      <c r="Q36" s="84">
        <f t="shared" si="5"/>
        <v>1856</v>
      </c>
      <c r="R36" s="86">
        <f t="shared" si="5"/>
        <v>72</v>
      </c>
      <c r="S36" s="86">
        <f t="shared" si="5"/>
        <v>108</v>
      </c>
      <c r="T36" s="85">
        <f t="shared" si="1"/>
        <v>7292</v>
      </c>
      <c r="U36" s="83">
        <f t="shared" ref="U36:AB36" si="6">SUM(U5:U35)</f>
        <v>478</v>
      </c>
      <c r="V36" s="83">
        <f t="shared" si="6"/>
        <v>172</v>
      </c>
      <c r="W36" s="83">
        <f t="shared" si="6"/>
        <v>0</v>
      </c>
      <c r="X36" s="84">
        <f t="shared" si="6"/>
        <v>0</v>
      </c>
      <c r="Y36" s="83">
        <f t="shared" si="6"/>
        <v>0</v>
      </c>
      <c r="Z36" s="84">
        <f t="shared" si="6"/>
        <v>142</v>
      </c>
      <c r="AA36" s="86">
        <f t="shared" si="6"/>
        <v>0</v>
      </c>
      <c r="AB36" s="86">
        <f t="shared" si="6"/>
        <v>0</v>
      </c>
      <c r="AC36" s="85">
        <f t="shared" si="2"/>
        <v>792</v>
      </c>
      <c r="AD36" s="87">
        <f t="shared" si="3"/>
        <v>35926</v>
      </c>
      <c r="AE36" s="66"/>
      <c r="AF36" s="66"/>
      <c r="AG36" s="66"/>
      <c r="AH36" s="66"/>
      <c r="AI36" s="66"/>
      <c r="AJ36" s="66"/>
    </row>
    <row r="37" spans="1:36" ht="8.1" customHeight="1" thickBot="1" x14ac:dyDescent="0.25">
      <c r="A37" s="6"/>
      <c r="B37"/>
      <c r="C37" s="2"/>
      <c r="D37" s="5"/>
      <c r="E37" s="5"/>
      <c r="F37" s="2"/>
      <c r="G37" s="2"/>
      <c r="H37" s="2"/>
      <c r="I37" s="5"/>
      <c r="J37" s="2"/>
      <c r="K37" s="2"/>
      <c r="L37" s="5"/>
      <c r="M37" s="2"/>
      <c r="N37" s="5"/>
      <c r="O37" s="5"/>
      <c r="P37" s="2"/>
      <c r="Q37" s="5"/>
      <c r="R37" s="42"/>
      <c r="S37" s="42"/>
      <c r="T37" s="2"/>
      <c r="U37" s="2"/>
      <c r="V37" s="2"/>
      <c r="W37" s="2"/>
      <c r="X37" s="5"/>
      <c r="Y37" s="2"/>
      <c r="Z37" s="2"/>
      <c r="AA37" s="39"/>
      <c r="AB37" s="39"/>
      <c r="AC37" s="5"/>
      <c r="AD37" s="40"/>
      <c r="AE37" s="40"/>
      <c r="AF37" s="40"/>
      <c r="AG37" s="40"/>
      <c r="AH37" s="40"/>
      <c r="AI37" s="40"/>
      <c r="AJ37" s="40"/>
    </row>
    <row r="38" spans="1:36" ht="24.95" customHeight="1" thickTop="1" x14ac:dyDescent="0.3">
      <c r="A38" s="6"/>
      <c r="B38"/>
      <c r="C38" s="171" t="str">
        <f>Kalenteri!E38</f>
        <v>Lippujen hinnat:</v>
      </c>
      <c r="D38" s="5"/>
      <c r="E38" s="5"/>
      <c r="F38" s="2"/>
      <c r="G38" s="2"/>
      <c r="H38" s="2"/>
      <c r="I38" s="5"/>
      <c r="J38" s="2"/>
      <c r="K38" s="2"/>
      <c r="L38" s="5"/>
      <c r="M38" s="2"/>
      <c r="N38" s="5"/>
      <c r="O38" s="5"/>
      <c r="P38" s="2"/>
      <c r="Q38"/>
      <c r="R38"/>
      <c r="S38"/>
      <c r="T38"/>
      <c r="U38" s="49" t="s">
        <v>71</v>
      </c>
      <c r="V38" s="50"/>
      <c r="W38" s="43"/>
      <c r="X38" s="44"/>
      <c r="Y38" s="43"/>
      <c r="Z38" s="43"/>
      <c r="AA38" s="44"/>
      <c r="AB38" s="44"/>
      <c r="AC38" s="47"/>
      <c r="AD38" s="45">
        <f>AD36</f>
        <v>35926</v>
      </c>
      <c r="AE38" s="41"/>
      <c r="AF38" s="41"/>
      <c r="AG38" s="41"/>
      <c r="AH38" s="41"/>
      <c r="AI38" s="41"/>
      <c r="AJ38" s="41"/>
    </row>
    <row r="39" spans="1:36" ht="24.95" customHeight="1" x14ac:dyDescent="0.3">
      <c r="A39" s="6"/>
      <c r="B39"/>
      <c r="C39" s="193" t="str">
        <f>Kalenteri!E39</f>
        <v>Mustikkamaan kautta: 1.9.-30.4. aik. 10 €, lapset 5 €, kimppalippu 30 €    1.5.-30.8. aik. 12 €, lapset 6 €, kimppalippu 36 €</v>
      </c>
      <c r="D39" s="89"/>
      <c r="E39" s="89"/>
      <c r="F39" s="90"/>
      <c r="G39" s="102"/>
      <c r="H39" s="174"/>
      <c r="I39" s="89"/>
      <c r="J39" s="90"/>
      <c r="K39" s="90"/>
      <c r="L39" s="89"/>
      <c r="M39" s="90"/>
      <c r="N39" s="89"/>
      <c r="O39" s="89"/>
      <c r="P39" s="89"/>
      <c r="Q39" s="104"/>
      <c r="R39" s="103"/>
      <c r="S39"/>
      <c r="T39"/>
      <c r="U39" s="62" t="s">
        <v>13</v>
      </c>
      <c r="V39" s="52"/>
      <c r="W39" s="53"/>
      <c r="X39" s="54"/>
      <c r="Y39" s="53"/>
      <c r="Z39" s="53"/>
      <c r="AA39" s="54"/>
      <c r="AB39" s="54"/>
      <c r="AC39" s="55"/>
      <c r="AD39" s="56">
        <f>AD36-Edellisvuosi!J7</f>
        <v>6877</v>
      </c>
      <c r="AE39" s="67"/>
      <c r="AF39" s="67"/>
      <c r="AG39" s="67"/>
      <c r="AH39" s="67"/>
      <c r="AI39" s="67"/>
      <c r="AJ39" s="67"/>
    </row>
    <row r="40" spans="1:36" ht="24.95" customHeight="1" x14ac:dyDescent="0.3">
      <c r="A40" s="6"/>
      <c r="B40" s="6"/>
      <c r="C40" s="194" t="str">
        <f>Kalenteri!E40</f>
        <v xml:space="preserve">                                    Vuosikortti:     aik. 50 €, lapset 20 €, perhekortti 100 €</v>
      </c>
      <c r="D40" s="39"/>
      <c r="E40" s="39"/>
      <c r="F40" s="42"/>
      <c r="G40" s="65"/>
      <c r="H40" s="176"/>
      <c r="I40" s="39"/>
      <c r="J40" s="42"/>
      <c r="K40" s="42"/>
      <c r="L40" s="39"/>
      <c r="M40" s="42"/>
      <c r="N40" s="39"/>
      <c r="O40" s="39"/>
      <c r="P40" s="39"/>
      <c r="Q40" s="23"/>
      <c r="R40" s="97"/>
      <c r="S40"/>
      <c r="T40"/>
      <c r="U40" s="63" t="s">
        <v>72</v>
      </c>
      <c r="V40" s="37"/>
      <c r="W40" s="51"/>
      <c r="X40" s="41"/>
      <c r="Y40" s="51"/>
      <c r="Z40" s="41"/>
      <c r="AA40" s="41"/>
      <c r="AB40" s="41"/>
      <c r="AC40" s="48"/>
      <c r="AD40" s="46">
        <f>AD36+'N1'!AD36+'N2'!AD36+'N3'!AD36+'N4'!AD36+'N5'!AD36+'N6'!AD36+'N7'!AD36+'N8'!AD36</f>
        <v>457548</v>
      </c>
      <c r="AE40" s="41"/>
      <c r="AF40" s="41"/>
      <c r="AG40" s="41"/>
      <c r="AH40" s="41"/>
      <c r="AI40" s="41"/>
      <c r="AJ40" s="41"/>
    </row>
    <row r="41" spans="1:36" ht="24.95" customHeight="1" thickBot="1" x14ac:dyDescent="0.35">
      <c r="A41" s="4"/>
      <c r="B41" s="4"/>
      <c r="C41" s="195" t="str">
        <f>Kalenteri!E41</f>
        <v>Vesibusseilla:             1.9.-30.4. aik. 16 €, lapset 8 €, kimppalippu 47 €    1.5.-31.8. aik. 18 €, lapset 9 €, kimppalippu 53 €</v>
      </c>
      <c r="D41" s="93"/>
      <c r="E41" s="93"/>
      <c r="F41" s="94"/>
      <c r="G41" s="94"/>
      <c r="H41" s="175"/>
      <c r="I41" s="93"/>
      <c r="J41" s="96"/>
      <c r="K41" s="96"/>
      <c r="L41" s="93"/>
      <c r="M41" s="95"/>
      <c r="N41" s="95"/>
      <c r="O41" s="93"/>
      <c r="P41" s="93"/>
      <c r="Q41" s="95"/>
      <c r="R41" s="98"/>
      <c r="S41"/>
      <c r="T41"/>
      <c r="U41" s="64" t="s">
        <v>13</v>
      </c>
      <c r="V41" s="57"/>
      <c r="W41" s="58"/>
      <c r="X41" s="59"/>
      <c r="Y41" s="59"/>
      <c r="Z41" s="59"/>
      <c r="AA41" s="59"/>
      <c r="AB41" s="59"/>
      <c r="AC41" s="60"/>
      <c r="AD41" s="61">
        <f>AD40-Edellisvuosi!B7-Edellisvuosi!C7-Edellisvuosi!D7-Edellisvuosi!E7-Edellisvuosi!F7-Edellisvuosi!G7-Edellisvuosi!H7-Edellisvuosi!I7-Edellisvuosi!J7</f>
        <v>1322</v>
      </c>
      <c r="AE41" s="68"/>
      <c r="AF41" s="68"/>
      <c r="AG41" s="68"/>
      <c r="AH41" s="68"/>
      <c r="AI41" s="68"/>
      <c r="AJ41" s="68"/>
    </row>
    <row r="42" spans="1:36" ht="13.5" thickTop="1" x14ac:dyDescent="0.2"/>
  </sheetData>
  <sheetProtection password="C4AC" sheet="1" objects="1" scenarios="1"/>
  <phoneticPr fontId="4" type="noConversion"/>
  <pageMargins left="0" right="0" top="0.27559055118110237" bottom="0" header="0" footer="0"/>
  <pageSetup paperSize="9" scale="75" fitToHeight="0" orientation="landscape" horizontalDpi="4294967292" verticalDpi="4294967292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81" r:id="rId4" name="Button 1">
              <controlPr defaultSize="0" print="0" autoFill="0" autoLine="0" autoPict="0" macro="[1]!TAMMI">
                <anchor moveWithCells="1" sizeWithCells="1">
                  <from>
                    <xdr:col>35</xdr:col>
                    <xdr:colOff>0</xdr:colOff>
                    <xdr:row>3</xdr:row>
                    <xdr:rowOff>9525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682" r:id="rId5" name="Button 2">
              <controlPr defaultSize="0" print="0" autoFill="0" autoLine="0" autoPict="0" macro="[1]KTMAKRO!$A$1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683" r:id="rId6" name="Button 3">
              <controlPr defaultSize="0" print="0" autoFill="0" autoLine="0" autoPict="0" macro="[1]!MAALIS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684" r:id="rId7" name="Button 4">
              <controlPr defaultSize="0" print="0" autoFill="0" autoLine="0" autoPict="0" macro="[1]KTMAKRO!$D$1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685" r:id="rId8" name="Button 5">
              <controlPr defaultSize="0" print="0" autoFill="0" autoLine="0" autoPict="0" macro="[1]KTMAKRO!$E$1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686" r:id="rId9" name="Button 6">
              <controlPr defaultSize="0" print="0" autoFill="0" autoLine="0" autoPict="0" macro="[1]!KESÄ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687" r:id="rId10" name="Button 7">
              <controlPr defaultSize="0" print="0" autoFill="0" autoLine="0" autoPict="0" macro="[1]!HELMI">
                <anchor moveWithCells="1" sizeWithCells="1">
                  <from>
                    <xdr:col>35</xdr:col>
                    <xdr:colOff>0</xdr:colOff>
                    <xdr:row>3</xdr:row>
                    <xdr:rowOff>9525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688" r:id="rId11" name="Button 8">
              <controlPr defaultSize="0" print="0" autoFill="0" autoLine="0" autoPict="0" macro="[1]KTMAKRO!$G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689" r:id="rId12" name="Button 9">
              <controlPr defaultSize="0" print="0" autoFill="0" autoLine="0" autoPict="0" macro="[1]KTMAKRO!$I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690" r:id="rId13" name="Button 10">
              <controlPr defaultSize="0" print="0" autoFill="0" autoLine="0" autoPict="0" macro="[1]KTMAKRO!$J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691" r:id="rId14" name="Button 11">
              <controlPr defaultSize="0" print="0" autoFill="0" autoLine="0" autoPict="0" macro="[1]KTMAKRO!$K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692" r:id="rId15" name="Button 12">
              <controlPr defaultSize="0" print="0" autoFill="0" autoLine="0" autoPict="0" macro="[1]KTMAKRO!$L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693" r:id="rId16" name="Button 13">
              <controlPr defaultSize="0" print="0" autoFill="0" autoLine="0" autoPict="0" macro="[1]KTMAKRO!$H$1">
                <anchor moveWithCells="1" sizeWithCells="1">
                  <from>
                    <xdr:col>35</xdr:col>
                    <xdr:colOff>0</xdr:colOff>
                    <xdr:row>5</xdr:row>
                    <xdr:rowOff>0</xdr:rowOff>
                  </from>
                  <to>
                    <xdr:col>35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694" r:id="rId17" name="Button 14">
              <controlPr defaultSize="0" print="0" autoFill="0" autoLine="0" autoPict="0" macro="[1]!Yhteenveto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5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695" r:id="rId18" name="Button 15">
              <controlPr defaultSize="0" print="0" autoFill="0" autoLine="0" autoPict="0" macro="[1]!GRAFIIKKA1">
                <anchor moveWithCells="1" sizeWithCells="1">
                  <from>
                    <xdr:col>35</xdr:col>
                    <xdr:colOff>0</xdr:colOff>
                    <xdr:row>8</xdr:row>
                    <xdr:rowOff>142875</xdr:rowOff>
                  </from>
                  <to>
                    <xdr:col>35</xdr:col>
                    <xdr:colOff>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696" r:id="rId19" name="Button 16">
              <controlPr defaultSize="0" print="0" autoFill="0" autoLine="0" autoPict="0" macro="[1]!Grafiikka2">
                <anchor moveWithCells="1" sizeWithCells="1">
                  <from>
                    <xdr:col>35</xdr:col>
                    <xdr:colOff>0</xdr:colOff>
                    <xdr:row>8</xdr:row>
                    <xdr:rowOff>152400</xdr:rowOff>
                  </from>
                  <to>
                    <xdr:col>35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697" r:id="rId20" name="Button 17">
              <controlPr defaultSize="0" print="0" autoFill="0" autoLine="0" autoPict="0" macro="[1]!Grafiikka4">
                <anchor moveWithCells="1" sizeWithCells="1">
                  <from>
                    <xdr:col>35</xdr:col>
                    <xdr:colOff>0</xdr:colOff>
                    <xdr:row>8</xdr:row>
                    <xdr:rowOff>142875</xdr:rowOff>
                  </from>
                  <to>
                    <xdr:col>35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698" r:id="rId21" name="Button 18">
              <controlPr defaultSize="0" print="0" autoFill="0" autoLine="0" autoPict="0" macro="[1]!Grafiikka4">
                <anchor moveWithCells="1" sizeWithCells="1">
                  <from>
                    <xdr:col>35</xdr:col>
                    <xdr:colOff>0</xdr:colOff>
                    <xdr:row>8</xdr:row>
                    <xdr:rowOff>152400</xdr:rowOff>
                  </from>
                  <to>
                    <xdr:col>35</xdr:col>
                    <xdr:colOff>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699" r:id="rId22" name="Button 19">
              <controlPr defaultSize="0" print="0" autoFill="0" autoLine="0" autoPict="0" macro="[1]!Grafiikka5">
                <anchor moveWithCells="1" sizeWithCells="1">
                  <from>
                    <xdr:col>35</xdr:col>
                    <xdr:colOff>0</xdr:colOff>
                    <xdr:row>8</xdr:row>
                    <xdr:rowOff>152400</xdr:rowOff>
                  </from>
                  <to>
                    <xdr:col>35</xdr:col>
                    <xdr:colOff>0</xdr:colOff>
                    <xdr:row>12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00" r:id="rId23" name="Button 20">
              <controlPr defaultSize="0" print="0" autoFill="0" autoLine="0" autoPict="0" macro="[1]!Perusikkuna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12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/>
  <dimension ref="A1:AJ42"/>
  <sheetViews>
    <sheetView showGridLines="0" zoomScale="80" zoomScaleNormal="80" workbookViewId="0"/>
  </sheetViews>
  <sheetFormatPr defaultColWidth="9.75" defaultRowHeight="12.75" x14ac:dyDescent="0.2"/>
  <cols>
    <col min="1" max="1" width="3.75" style="1" customWidth="1"/>
    <col min="2" max="2" width="2.75" style="1" customWidth="1"/>
    <col min="3" max="4" width="6.125" style="1" customWidth="1"/>
    <col min="5" max="5" width="4" style="1" customWidth="1"/>
    <col min="6" max="6" width="4.5" style="1" customWidth="1"/>
    <col min="7" max="10" width="6.125" style="1" customWidth="1"/>
    <col min="11" max="11" width="5.875" style="1" customWidth="1"/>
    <col min="12" max="13" width="6.125" style="1" customWidth="1"/>
    <col min="14" max="14" width="5.25" style="1" customWidth="1"/>
    <col min="15" max="15" width="4.5" style="1" customWidth="1"/>
    <col min="16" max="16" width="6.125" style="1" customWidth="1"/>
    <col min="17" max="17" width="5.5" style="1" customWidth="1"/>
    <col min="18" max="19" width="6.125" style="1" customWidth="1"/>
    <col min="20" max="20" width="5.875" style="1" customWidth="1"/>
    <col min="21" max="22" width="6.125" style="1" customWidth="1"/>
    <col min="23" max="23" width="4.375" style="1" customWidth="1"/>
    <col min="24" max="24" width="4.25" style="1" customWidth="1"/>
    <col min="25" max="29" width="6.125" style="1" customWidth="1"/>
    <col min="30" max="36" width="15.625" style="1" customWidth="1"/>
  </cols>
  <sheetData>
    <row r="1" spans="1:36" ht="30" customHeight="1" x14ac:dyDescent="0.35">
      <c r="A1" s="22"/>
      <c r="B1" s="4"/>
      <c r="C1" s="105" t="s">
        <v>15</v>
      </c>
      <c r="D1" s="106"/>
      <c r="E1" s="106"/>
      <c r="F1" s="106"/>
      <c r="G1" s="106"/>
      <c r="H1" s="106"/>
      <c r="I1" s="106"/>
      <c r="J1" s="106"/>
      <c r="K1" s="106"/>
      <c r="L1" s="105" t="str">
        <f>Kalenteri!$H$1</f>
        <v>KÄVIJÄTILASTO 2013</v>
      </c>
      <c r="M1" s="107"/>
      <c r="N1" s="107"/>
      <c r="O1" s="107"/>
      <c r="P1" s="106"/>
      <c r="Q1" s="106"/>
      <c r="R1" s="105" t="s">
        <v>79</v>
      </c>
      <c r="S1" s="108"/>
      <c r="T1" s="106"/>
      <c r="U1" s="109"/>
      <c r="V1" s="105" t="s">
        <v>20</v>
      </c>
      <c r="W1" s="109"/>
      <c r="X1" s="106"/>
      <c r="Y1" s="106"/>
      <c r="Z1" s="106"/>
      <c r="AA1" s="106"/>
      <c r="AB1" s="106"/>
      <c r="AC1" s="106"/>
      <c r="AD1" s="110"/>
      <c r="AE1" s="4"/>
      <c r="AF1" s="4"/>
      <c r="AG1" s="4"/>
      <c r="AH1" s="4"/>
      <c r="AI1" s="4"/>
      <c r="AJ1" s="4"/>
    </row>
    <row r="2" spans="1:36" ht="30" customHeight="1" x14ac:dyDescent="0.3">
      <c r="A2" s="3"/>
      <c r="B2" s="4"/>
      <c r="C2" s="72"/>
      <c r="D2" s="73"/>
      <c r="E2" s="74" t="s">
        <v>1</v>
      </c>
      <c r="F2" s="75"/>
      <c r="G2" s="75"/>
      <c r="H2" s="75"/>
      <c r="I2" s="75"/>
      <c r="J2" s="75"/>
      <c r="K2" s="76"/>
      <c r="L2" s="72"/>
      <c r="M2" s="77"/>
      <c r="N2" s="73"/>
      <c r="O2" s="74" t="s">
        <v>2</v>
      </c>
      <c r="P2" s="75"/>
      <c r="Q2" s="75"/>
      <c r="R2" s="75"/>
      <c r="S2" s="75"/>
      <c r="T2" s="76"/>
      <c r="U2" s="72"/>
      <c r="V2" s="75"/>
      <c r="W2" s="73"/>
      <c r="X2" s="74" t="s">
        <v>3</v>
      </c>
      <c r="Y2" s="75"/>
      <c r="Z2" s="75"/>
      <c r="AA2" s="75"/>
      <c r="AB2" s="75"/>
      <c r="AC2" s="76"/>
      <c r="AD2" s="13"/>
      <c r="AE2" s="35"/>
      <c r="AF2" s="69"/>
      <c r="AG2" s="69"/>
      <c r="AH2" s="69"/>
      <c r="AI2" s="69"/>
      <c r="AJ2" s="69"/>
    </row>
    <row r="3" spans="1:36" x14ac:dyDescent="0.2">
      <c r="A3" s="4"/>
      <c r="B3" s="4"/>
      <c r="C3" s="24" t="s">
        <v>4</v>
      </c>
      <c r="D3" s="25"/>
      <c r="E3" s="25"/>
      <c r="F3" s="26"/>
      <c r="G3" s="24" t="s">
        <v>5</v>
      </c>
      <c r="H3" s="26"/>
      <c r="I3" s="25" t="s">
        <v>6</v>
      </c>
      <c r="J3" s="25"/>
      <c r="K3" s="27"/>
      <c r="L3" s="24" t="s">
        <v>4</v>
      </c>
      <c r="M3" s="25"/>
      <c r="N3" s="25"/>
      <c r="O3" s="26"/>
      <c r="P3" s="24" t="s">
        <v>5</v>
      </c>
      <c r="Q3" s="26"/>
      <c r="R3" s="25" t="s">
        <v>6</v>
      </c>
      <c r="S3" s="25"/>
      <c r="T3" s="27"/>
      <c r="U3" s="24" t="s">
        <v>4</v>
      </c>
      <c r="V3" s="25"/>
      <c r="W3" s="25"/>
      <c r="X3" s="26"/>
      <c r="Y3" s="24" t="s">
        <v>5</v>
      </c>
      <c r="Z3" s="26"/>
      <c r="AA3" s="25" t="s">
        <v>6</v>
      </c>
      <c r="AB3" s="25"/>
      <c r="AC3" s="27"/>
      <c r="AD3" s="36" t="s">
        <v>7</v>
      </c>
      <c r="AE3" s="38"/>
      <c r="AF3" s="70"/>
      <c r="AG3" s="70"/>
      <c r="AH3" s="70"/>
      <c r="AI3" s="70"/>
      <c r="AJ3"/>
    </row>
    <row r="4" spans="1:36" x14ac:dyDescent="0.2">
      <c r="A4" s="6"/>
      <c r="B4" s="4"/>
      <c r="C4" s="7" t="s">
        <v>8</v>
      </c>
      <c r="D4" s="8" t="s">
        <v>9</v>
      </c>
      <c r="E4" s="8" t="s">
        <v>10</v>
      </c>
      <c r="F4" s="9" t="s">
        <v>11</v>
      </c>
      <c r="G4" s="7" t="s">
        <v>8</v>
      </c>
      <c r="H4" s="9" t="s">
        <v>9</v>
      </c>
      <c r="I4" s="8" t="s">
        <v>8</v>
      </c>
      <c r="J4" s="8" t="s">
        <v>9</v>
      </c>
      <c r="K4" s="14" t="s">
        <v>0</v>
      </c>
      <c r="L4" s="7" t="s">
        <v>8</v>
      </c>
      <c r="M4" s="8" t="s">
        <v>9</v>
      </c>
      <c r="N4" s="8" t="s">
        <v>10</v>
      </c>
      <c r="O4" s="9" t="s">
        <v>11</v>
      </c>
      <c r="P4" s="7" t="s">
        <v>8</v>
      </c>
      <c r="Q4" s="9" t="s">
        <v>9</v>
      </c>
      <c r="R4" s="8" t="s">
        <v>8</v>
      </c>
      <c r="S4" s="8" t="s">
        <v>9</v>
      </c>
      <c r="T4" s="14" t="s">
        <v>0</v>
      </c>
      <c r="U4" s="7" t="s">
        <v>8</v>
      </c>
      <c r="V4" s="8" t="s">
        <v>9</v>
      </c>
      <c r="W4" s="8" t="s">
        <v>10</v>
      </c>
      <c r="X4" s="9" t="s">
        <v>11</v>
      </c>
      <c r="Y4" s="7" t="s">
        <v>8</v>
      </c>
      <c r="Z4" s="9" t="s">
        <v>9</v>
      </c>
      <c r="AA4" s="8" t="s">
        <v>8</v>
      </c>
      <c r="AB4" s="8" t="s">
        <v>9</v>
      </c>
      <c r="AC4" s="14" t="s">
        <v>0</v>
      </c>
      <c r="AD4" s="28"/>
      <c r="AE4" s="23"/>
      <c r="AF4" s="23"/>
      <c r="AG4" s="23"/>
      <c r="AH4" s="23"/>
      <c r="AI4" s="23"/>
      <c r="AJ4"/>
    </row>
    <row r="5" spans="1:36" x14ac:dyDescent="0.2">
      <c r="A5" s="5">
        <f>DAY(Kalenteri!A274)</f>
        <v>1</v>
      </c>
      <c r="B5" s="3" t="str">
        <f>IF(Kalenteri!B274=1,"su",IF(Kalenteri!B274=2,"ma",IF(Kalenteri!B274=3,"ti",IF(Kalenteri!B274=4,"ke",IF(Kalenteri!B274=5,"to",IF(Kalenteri!B274=6,"pe",IF(Kalenteri!B274=7,"la",)))))))</f>
        <v>ti</v>
      </c>
      <c r="C5" s="78">
        <f>30+37+5+1+3</f>
        <v>76</v>
      </c>
      <c r="D5" s="15">
        <v>10</v>
      </c>
      <c r="E5" s="15"/>
      <c r="F5" s="16">
        <v>1</v>
      </c>
      <c r="G5" s="78">
        <f>9+24+1</f>
        <v>34</v>
      </c>
      <c r="H5" s="16">
        <f>24+44</f>
        <v>68</v>
      </c>
      <c r="I5" s="78"/>
      <c r="J5" s="16"/>
      <c r="K5" s="32">
        <f t="shared" ref="K5:K36" si="0">SUM(C5:J5)</f>
        <v>189</v>
      </c>
      <c r="L5" s="15"/>
      <c r="M5" s="15"/>
      <c r="N5" s="15"/>
      <c r="O5" s="16"/>
      <c r="P5" s="15"/>
      <c r="Q5" s="16"/>
      <c r="R5" s="29"/>
      <c r="S5" s="29"/>
      <c r="T5" s="32">
        <f t="shared" ref="T5:T36" si="1">SUM(L5:S5)</f>
        <v>0</v>
      </c>
      <c r="U5" s="15">
        <f>10</f>
        <v>10</v>
      </c>
      <c r="V5" s="15"/>
      <c r="W5" s="15"/>
      <c r="X5" s="16"/>
      <c r="Y5" s="15"/>
      <c r="Z5" s="16"/>
      <c r="AA5" s="29"/>
      <c r="AB5" s="29"/>
      <c r="AC5" s="32">
        <f t="shared" ref="AC5:AC36" si="2">SUM(U5:AB5)</f>
        <v>10</v>
      </c>
      <c r="AD5" s="17">
        <f t="shared" ref="AD5:AD36" si="3">SUM(K5,T5,AC5)</f>
        <v>199</v>
      </c>
      <c r="AE5" s="39"/>
      <c r="AF5" s="39"/>
      <c r="AG5" s="39"/>
      <c r="AH5" s="39"/>
      <c r="AI5" s="39"/>
      <c r="AJ5"/>
    </row>
    <row r="6" spans="1:36" x14ac:dyDescent="0.2">
      <c r="A6" s="5">
        <f>DAY(Kalenteri!A275)</f>
        <v>2</v>
      </c>
      <c r="B6" s="3" t="str">
        <f>IF(Kalenteri!B275=1,"su",IF(Kalenteri!B275=2,"ma",IF(Kalenteri!B275=3,"ti",IF(Kalenteri!B275=4,"ke",IF(Kalenteri!B275=5,"to",IF(Kalenteri!B275=6,"pe",IF(Kalenteri!B275=7,"la",)))))))</f>
        <v>ke</v>
      </c>
      <c r="C6" s="18">
        <f>44+11</f>
        <v>55</v>
      </c>
      <c r="D6" s="10">
        <v>2</v>
      </c>
      <c r="E6" s="10"/>
      <c r="F6" s="11">
        <f>2+1</f>
        <v>3</v>
      </c>
      <c r="G6" s="18">
        <f>4+4</f>
        <v>8</v>
      </c>
      <c r="H6" s="11">
        <f>30+32</f>
        <v>62</v>
      </c>
      <c r="I6" s="18"/>
      <c r="J6" s="11"/>
      <c r="K6" s="33">
        <f t="shared" si="0"/>
        <v>130</v>
      </c>
      <c r="L6" s="10"/>
      <c r="M6" s="10"/>
      <c r="N6" s="10"/>
      <c r="O6" s="11"/>
      <c r="P6" s="10"/>
      <c r="Q6" s="11"/>
      <c r="R6" s="30"/>
      <c r="S6" s="30"/>
      <c r="T6" s="33">
        <f t="shared" si="1"/>
        <v>0</v>
      </c>
      <c r="U6" s="10"/>
      <c r="V6" s="10"/>
      <c r="W6" s="10"/>
      <c r="X6" s="11"/>
      <c r="Y6" s="10"/>
      <c r="Z6" s="11"/>
      <c r="AA6" s="30"/>
      <c r="AB6" s="30"/>
      <c r="AC6" s="33">
        <f t="shared" si="2"/>
        <v>0</v>
      </c>
      <c r="AD6" s="12">
        <f t="shared" si="3"/>
        <v>130</v>
      </c>
      <c r="AE6" s="39"/>
      <c r="AF6" s="39"/>
      <c r="AG6" s="39"/>
      <c r="AH6" s="39"/>
      <c r="AI6" s="39"/>
      <c r="AJ6"/>
    </row>
    <row r="7" spans="1:36" x14ac:dyDescent="0.2">
      <c r="A7" s="5">
        <f>DAY(Kalenteri!A276)</f>
        <v>3</v>
      </c>
      <c r="B7" s="3" t="str">
        <f>IF(Kalenteri!B276=1,"su",IF(Kalenteri!B276=2,"ma",IF(Kalenteri!B276=3,"ti",IF(Kalenteri!B276=4,"ke",IF(Kalenteri!B276=5,"to",IF(Kalenteri!B276=6,"pe",IF(Kalenteri!B276=7,"la",)))))))</f>
        <v>to</v>
      </c>
      <c r="C7" s="18">
        <f>120+11+2+3</f>
        <v>136</v>
      </c>
      <c r="D7" s="10">
        <v>7</v>
      </c>
      <c r="E7" s="10">
        <v>2</v>
      </c>
      <c r="F7" s="11">
        <f>2+2+1</f>
        <v>5</v>
      </c>
      <c r="G7" s="18">
        <v>3</v>
      </c>
      <c r="H7" s="11">
        <f>33+1+25</f>
        <v>59</v>
      </c>
      <c r="I7" s="18"/>
      <c r="J7" s="11"/>
      <c r="K7" s="33">
        <f t="shared" si="0"/>
        <v>212</v>
      </c>
      <c r="L7" s="10"/>
      <c r="M7" s="10"/>
      <c r="N7" s="10"/>
      <c r="O7" s="11"/>
      <c r="P7" s="10"/>
      <c r="Q7" s="11"/>
      <c r="R7" s="30"/>
      <c r="S7" s="30"/>
      <c r="T7" s="33">
        <f t="shared" si="1"/>
        <v>0</v>
      </c>
      <c r="U7" s="10"/>
      <c r="V7" s="10"/>
      <c r="W7" s="10"/>
      <c r="X7" s="11"/>
      <c r="Y7" s="10"/>
      <c r="Z7" s="11"/>
      <c r="AA7" s="30"/>
      <c r="AB7" s="30"/>
      <c r="AC7" s="33">
        <f t="shared" si="2"/>
        <v>0</v>
      </c>
      <c r="AD7" s="12">
        <f t="shared" si="3"/>
        <v>212</v>
      </c>
      <c r="AE7" s="39"/>
      <c r="AF7" s="39"/>
      <c r="AG7" s="39"/>
      <c r="AH7" s="39"/>
      <c r="AI7" s="39"/>
      <c r="AJ7"/>
    </row>
    <row r="8" spans="1:36" x14ac:dyDescent="0.2">
      <c r="A8" s="5">
        <f>DAY(Kalenteri!A277)</f>
        <v>4</v>
      </c>
      <c r="B8" s="3" t="str">
        <f>IF(Kalenteri!B277=1,"su",IF(Kalenteri!B277=2,"ma",IF(Kalenteri!B277=3,"ti",IF(Kalenteri!B277=4,"ke",IF(Kalenteri!B277=5,"to",IF(Kalenteri!B277=6,"pe",IF(Kalenteri!B277=7,"la",)))))))</f>
        <v>pe</v>
      </c>
      <c r="C8" s="18"/>
      <c r="D8" s="10"/>
      <c r="E8" s="10"/>
      <c r="F8" s="11"/>
      <c r="G8" s="18">
        <v>4347</v>
      </c>
      <c r="H8" s="11">
        <v>2231</v>
      </c>
      <c r="I8" s="18" t="s">
        <v>272</v>
      </c>
      <c r="J8" s="11"/>
      <c r="K8" s="33">
        <f t="shared" si="0"/>
        <v>6578</v>
      </c>
      <c r="L8" s="10"/>
      <c r="M8" s="10"/>
      <c r="N8" s="10"/>
      <c r="O8" s="11"/>
      <c r="P8" s="10"/>
      <c r="Q8" s="11"/>
      <c r="R8" s="30"/>
      <c r="S8" s="30"/>
      <c r="T8" s="33">
        <f t="shared" si="1"/>
        <v>0</v>
      </c>
      <c r="U8" s="10"/>
      <c r="V8" s="10"/>
      <c r="W8" s="10"/>
      <c r="X8" s="11"/>
      <c r="Y8" s="10"/>
      <c r="Z8" s="11"/>
      <c r="AA8" s="30"/>
      <c r="AB8" s="30"/>
      <c r="AC8" s="33">
        <f t="shared" si="2"/>
        <v>0</v>
      </c>
      <c r="AD8" s="12">
        <f t="shared" si="3"/>
        <v>6578</v>
      </c>
      <c r="AE8" s="39"/>
      <c r="AF8" s="39"/>
      <c r="AG8" s="39"/>
      <c r="AH8" s="39"/>
      <c r="AI8" s="39"/>
      <c r="AJ8"/>
    </row>
    <row r="9" spans="1:36" x14ac:dyDescent="0.2">
      <c r="A9" s="5">
        <f>DAY(Kalenteri!A278)</f>
        <v>5</v>
      </c>
      <c r="B9" s="3" t="str">
        <f>IF(Kalenteri!B278=1,"su",IF(Kalenteri!B278=2,"ma",IF(Kalenteri!B278=3,"ti",IF(Kalenteri!B278=4,"ke",IF(Kalenteri!B278=5,"to",IF(Kalenteri!B278=6,"pe",IF(Kalenteri!B278=7,"la",)))))))</f>
        <v>la</v>
      </c>
      <c r="C9" s="18">
        <f>419+23+4+61</f>
        <v>507</v>
      </c>
      <c r="D9" s="10">
        <v>185</v>
      </c>
      <c r="E9" s="10"/>
      <c r="F9" s="11">
        <f>6+2+8+1+2+2</f>
        <v>21</v>
      </c>
      <c r="G9" s="18">
        <v>1</v>
      </c>
      <c r="H9" s="11">
        <v>175</v>
      </c>
      <c r="I9" s="18">
        <v>14</v>
      </c>
      <c r="J9" s="11">
        <v>21</v>
      </c>
      <c r="K9" s="33">
        <f t="shared" si="0"/>
        <v>924</v>
      </c>
      <c r="L9" s="10"/>
      <c r="M9" s="10"/>
      <c r="N9" s="10"/>
      <c r="O9" s="11"/>
      <c r="P9" s="10"/>
      <c r="Q9" s="11"/>
      <c r="R9" s="30"/>
      <c r="S9" s="30"/>
      <c r="T9" s="33">
        <f t="shared" si="1"/>
        <v>0</v>
      </c>
      <c r="U9" s="10"/>
      <c r="V9" s="10"/>
      <c r="W9" s="10"/>
      <c r="X9" s="11"/>
      <c r="Y9" s="10"/>
      <c r="Z9" s="11"/>
      <c r="AA9" s="30"/>
      <c r="AB9" s="30"/>
      <c r="AC9" s="33">
        <f t="shared" si="2"/>
        <v>0</v>
      </c>
      <c r="AD9" s="12">
        <f t="shared" si="3"/>
        <v>924</v>
      </c>
      <c r="AE9" s="39"/>
      <c r="AF9" s="39"/>
      <c r="AG9" s="39"/>
      <c r="AH9" s="39"/>
      <c r="AI9" s="39"/>
      <c r="AJ9"/>
    </row>
    <row r="10" spans="1:36" x14ac:dyDescent="0.2">
      <c r="A10" s="5">
        <f>DAY(Kalenteri!A279)</f>
        <v>6</v>
      </c>
      <c r="B10" s="3" t="str">
        <f>IF(Kalenteri!B279=1,"su",IF(Kalenteri!B279=2,"ma",IF(Kalenteri!B279=3,"ti",IF(Kalenteri!B279=4,"ke",IF(Kalenteri!B279=5,"to",IF(Kalenteri!B279=6,"pe",IF(Kalenteri!B279=7,"la",)))))))</f>
        <v>su</v>
      </c>
      <c r="C10" s="18">
        <f>1+353+29+9+46</f>
        <v>438</v>
      </c>
      <c r="D10" s="10">
        <f>115+18</f>
        <v>133</v>
      </c>
      <c r="E10" s="10"/>
      <c r="F10" s="11">
        <f>11+1+9+1+3+4+2</f>
        <v>31</v>
      </c>
      <c r="G10" s="18">
        <v>7</v>
      </c>
      <c r="H10" s="11">
        <f>151+5</f>
        <v>156</v>
      </c>
      <c r="I10" s="18">
        <v>14</v>
      </c>
      <c r="J10" s="11">
        <v>21</v>
      </c>
      <c r="K10" s="33">
        <f t="shared" si="0"/>
        <v>800</v>
      </c>
      <c r="L10" s="10"/>
      <c r="M10" s="10"/>
      <c r="N10" s="10"/>
      <c r="O10" s="11"/>
      <c r="P10" s="10"/>
      <c r="Q10" s="11"/>
      <c r="R10" s="30"/>
      <c r="S10" s="30"/>
      <c r="T10" s="33">
        <f t="shared" si="1"/>
        <v>0</v>
      </c>
      <c r="U10" s="10"/>
      <c r="V10" s="10"/>
      <c r="W10" s="10"/>
      <c r="X10" s="11"/>
      <c r="Y10" s="10"/>
      <c r="Z10" s="11"/>
      <c r="AA10" s="30"/>
      <c r="AB10" s="30"/>
      <c r="AC10" s="33">
        <f t="shared" si="2"/>
        <v>0</v>
      </c>
      <c r="AD10" s="12">
        <f t="shared" si="3"/>
        <v>800</v>
      </c>
      <c r="AE10" s="39"/>
      <c r="AF10" s="39"/>
      <c r="AG10" s="39"/>
      <c r="AH10" s="39"/>
      <c r="AI10" s="39"/>
      <c r="AJ10"/>
    </row>
    <row r="11" spans="1:36" x14ac:dyDescent="0.2">
      <c r="A11" s="5">
        <f>DAY(Kalenteri!A280)</f>
        <v>7</v>
      </c>
      <c r="B11" s="3" t="str">
        <f>IF(Kalenteri!B280=1,"su",IF(Kalenteri!B280=2,"ma",IF(Kalenteri!B280=3,"ti",IF(Kalenteri!B280=4,"ke",IF(Kalenteri!B280=5,"to",IF(Kalenteri!B280=6,"pe",IF(Kalenteri!B280=7,"la",)))))))</f>
        <v>ma</v>
      </c>
      <c r="C11" s="18">
        <f>59+1+1+7</f>
        <v>68</v>
      </c>
      <c r="D11" s="10">
        <v>8</v>
      </c>
      <c r="E11" s="10">
        <v>2</v>
      </c>
      <c r="F11" s="11">
        <f>1+1+4</f>
        <v>6</v>
      </c>
      <c r="G11" s="18">
        <f>2+1</f>
        <v>3</v>
      </c>
      <c r="H11" s="11">
        <f>59+41</f>
        <v>100</v>
      </c>
      <c r="I11" s="18"/>
      <c r="J11" s="11"/>
      <c r="K11" s="33">
        <f t="shared" si="0"/>
        <v>187</v>
      </c>
      <c r="L11" s="10"/>
      <c r="M11" s="10"/>
      <c r="N11" s="10"/>
      <c r="O11" s="11"/>
      <c r="P11" s="10"/>
      <c r="Q11" s="11"/>
      <c r="R11" s="30"/>
      <c r="S11" s="30"/>
      <c r="T11" s="33">
        <f t="shared" si="1"/>
        <v>0</v>
      </c>
      <c r="U11" s="10"/>
      <c r="V11" s="10"/>
      <c r="W11" s="10"/>
      <c r="X11" s="11"/>
      <c r="Y11" s="10"/>
      <c r="Z11" s="11"/>
      <c r="AA11" s="30"/>
      <c r="AB11" s="30"/>
      <c r="AC11" s="33">
        <f t="shared" si="2"/>
        <v>0</v>
      </c>
      <c r="AD11" s="12">
        <f t="shared" si="3"/>
        <v>187</v>
      </c>
      <c r="AE11" s="39"/>
      <c r="AF11" s="39"/>
      <c r="AG11" s="39"/>
      <c r="AH11" s="39"/>
      <c r="AI11" s="39"/>
      <c r="AJ11"/>
    </row>
    <row r="12" spans="1:36" x14ac:dyDescent="0.2">
      <c r="A12" s="5">
        <f>DAY(Kalenteri!A281)</f>
        <v>8</v>
      </c>
      <c r="B12" s="3" t="str">
        <f>IF(Kalenteri!B281=1,"su",IF(Kalenteri!B281=2,"ma",IF(Kalenteri!B281=3,"ti",IF(Kalenteri!B281=4,"ke",IF(Kalenteri!B281=5,"to",IF(Kalenteri!B281=6,"pe",IF(Kalenteri!B281=7,"la",)))))))</f>
        <v>ti</v>
      </c>
      <c r="C12" s="18">
        <f>28+4+1</f>
        <v>33</v>
      </c>
      <c r="D12" s="10">
        <v>2</v>
      </c>
      <c r="E12" s="10">
        <v>1</v>
      </c>
      <c r="F12" s="11">
        <f>2+1</f>
        <v>3</v>
      </c>
      <c r="G12" s="18">
        <f>8+4</f>
        <v>12</v>
      </c>
      <c r="H12" s="11">
        <f>14+99</f>
        <v>113</v>
      </c>
      <c r="I12" s="18"/>
      <c r="J12" s="11"/>
      <c r="K12" s="33">
        <f t="shared" si="0"/>
        <v>164</v>
      </c>
      <c r="L12" s="10"/>
      <c r="M12" s="10"/>
      <c r="N12" s="10"/>
      <c r="O12" s="11"/>
      <c r="P12" s="10"/>
      <c r="Q12" s="11"/>
      <c r="R12" s="30"/>
      <c r="S12" s="30"/>
      <c r="T12" s="33">
        <f t="shared" si="1"/>
        <v>0</v>
      </c>
      <c r="U12" s="10"/>
      <c r="V12" s="10"/>
      <c r="W12" s="10"/>
      <c r="X12" s="11"/>
      <c r="Y12" s="10"/>
      <c r="Z12" s="11"/>
      <c r="AA12" s="30"/>
      <c r="AB12" s="30"/>
      <c r="AC12" s="33">
        <f t="shared" si="2"/>
        <v>0</v>
      </c>
      <c r="AD12" s="12">
        <f t="shared" si="3"/>
        <v>164</v>
      </c>
      <c r="AE12" s="39"/>
      <c r="AF12" s="39"/>
      <c r="AG12" s="39"/>
      <c r="AH12" s="39"/>
      <c r="AI12" s="39"/>
      <c r="AJ12"/>
    </row>
    <row r="13" spans="1:36" x14ac:dyDescent="0.2">
      <c r="A13" s="5">
        <f>DAY(Kalenteri!A282)</f>
        <v>9</v>
      </c>
      <c r="B13" s="3" t="str">
        <f>IF(Kalenteri!B282=1,"su",IF(Kalenteri!B282=2,"ma",IF(Kalenteri!B282=3,"ti",IF(Kalenteri!B282=4,"ke",IF(Kalenteri!B282=5,"to",IF(Kalenteri!B282=6,"pe",IF(Kalenteri!B282=7,"la",)))))))</f>
        <v>ke</v>
      </c>
      <c r="C13" s="18">
        <f>17+17+5</f>
        <v>39</v>
      </c>
      <c r="D13" s="10">
        <f>2+3</f>
        <v>5</v>
      </c>
      <c r="E13" s="10"/>
      <c r="F13" s="11"/>
      <c r="G13" s="18">
        <f>2+2</f>
        <v>4</v>
      </c>
      <c r="H13" s="11">
        <f>16</f>
        <v>16</v>
      </c>
      <c r="I13" s="18"/>
      <c r="J13" s="11"/>
      <c r="K13" s="33">
        <f t="shared" si="0"/>
        <v>64</v>
      </c>
      <c r="L13" s="10"/>
      <c r="M13" s="10"/>
      <c r="N13" s="10"/>
      <c r="O13" s="11"/>
      <c r="P13" s="10"/>
      <c r="Q13" s="11"/>
      <c r="R13" s="30"/>
      <c r="S13" s="30"/>
      <c r="T13" s="33">
        <f t="shared" si="1"/>
        <v>0</v>
      </c>
      <c r="U13" s="10"/>
      <c r="V13" s="10"/>
      <c r="W13" s="10"/>
      <c r="X13" s="11"/>
      <c r="Y13" s="10"/>
      <c r="Z13" s="11"/>
      <c r="AA13" s="30"/>
      <c r="AB13" s="30"/>
      <c r="AC13" s="33">
        <f t="shared" si="2"/>
        <v>0</v>
      </c>
      <c r="AD13" s="12">
        <f t="shared" si="3"/>
        <v>64</v>
      </c>
      <c r="AE13" s="39"/>
      <c r="AF13" s="39"/>
      <c r="AG13" s="39"/>
      <c r="AH13" s="39"/>
      <c r="AI13" s="39"/>
      <c r="AJ13"/>
    </row>
    <row r="14" spans="1:36" x14ac:dyDescent="0.2">
      <c r="A14" s="5">
        <f>DAY(Kalenteri!A283)</f>
        <v>10</v>
      </c>
      <c r="B14" s="3" t="str">
        <f>IF(Kalenteri!B283=1,"su",IF(Kalenteri!B283=2,"ma",IF(Kalenteri!B283=3,"ti",IF(Kalenteri!B283=4,"ke",IF(Kalenteri!B283=5,"to",IF(Kalenteri!B283=6,"pe",IF(Kalenteri!B283=7,"la",)))))))</f>
        <v>to</v>
      </c>
      <c r="C14" s="18">
        <f>45+1+6+4</f>
        <v>56</v>
      </c>
      <c r="D14" s="10">
        <f>25</f>
        <v>25</v>
      </c>
      <c r="E14" s="10"/>
      <c r="F14" s="11">
        <v>1</v>
      </c>
      <c r="G14" s="18">
        <f>11+4+10</f>
        <v>25</v>
      </c>
      <c r="H14" s="11">
        <f>42+4+123</f>
        <v>169</v>
      </c>
      <c r="I14" s="18"/>
      <c r="J14" s="11"/>
      <c r="K14" s="33">
        <f t="shared" si="0"/>
        <v>276</v>
      </c>
      <c r="L14" s="10"/>
      <c r="M14" s="10"/>
      <c r="N14" s="10"/>
      <c r="O14" s="11"/>
      <c r="P14" s="10"/>
      <c r="Q14" s="11"/>
      <c r="R14" s="30"/>
      <c r="S14" s="30"/>
      <c r="T14" s="33">
        <f t="shared" si="1"/>
        <v>0</v>
      </c>
      <c r="U14" s="10"/>
      <c r="V14" s="10"/>
      <c r="W14" s="10"/>
      <c r="X14" s="11"/>
      <c r="Y14" s="10"/>
      <c r="Z14" s="11"/>
      <c r="AA14" s="30"/>
      <c r="AB14" s="30"/>
      <c r="AC14" s="33">
        <f t="shared" si="2"/>
        <v>0</v>
      </c>
      <c r="AD14" s="12">
        <f t="shared" si="3"/>
        <v>276</v>
      </c>
      <c r="AE14" s="39"/>
      <c r="AF14" s="39"/>
      <c r="AG14" s="39"/>
      <c r="AH14" s="39"/>
      <c r="AI14" s="39"/>
      <c r="AJ14"/>
    </row>
    <row r="15" spans="1:36" x14ac:dyDescent="0.2">
      <c r="A15" s="5">
        <f>DAY(Kalenteri!A284)</f>
        <v>11</v>
      </c>
      <c r="B15" s="3" t="str">
        <f>IF(Kalenteri!B284=1,"su",IF(Kalenteri!B284=2,"ma",IF(Kalenteri!B284=3,"ti",IF(Kalenteri!B284=4,"ke",IF(Kalenteri!B284=5,"to",IF(Kalenteri!B284=6,"pe",IF(Kalenteri!B284=7,"la",)))))))</f>
        <v>pe</v>
      </c>
      <c r="C15" s="18">
        <f>9+84+15+2+9</f>
        <v>119</v>
      </c>
      <c r="D15" s="10">
        <f>18</f>
        <v>18</v>
      </c>
      <c r="E15" s="10"/>
      <c r="F15" s="11">
        <v>16</v>
      </c>
      <c r="G15" s="18">
        <v>16</v>
      </c>
      <c r="H15" s="11">
        <f>45+1+39</f>
        <v>85</v>
      </c>
      <c r="I15" s="18"/>
      <c r="J15" s="11"/>
      <c r="K15" s="33">
        <f t="shared" si="0"/>
        <v>254</v>
      </c>
      <c r="L15" s="10"/>
      <c r="M15" s="10"/>
      <c r="N15" s="10"/>
      <c r="O15" s="11"/>
      <c r="P15" s="10"/>
      <c r="Q15" s="11"/>
      <c r="R15" s="30"/>
      <c r="S15" s="30"/>
      <c r="T15" s="33">
        <f t="shared" si="1"/>
        <v>0</v>
      </c>
      <c r="U15" s="10"/>
      <c r="V15" s="10"/>
      <c r="W15" s="10"/>
      <c r="X15" s="11"/>
      <c r="Y15" s="10"/>
      <c r="Z15" s="11"/>
      <c r="AA15" s="30"/>
      <c r="AB15" s="30"/>
      <c r="AC15" s="33">
        <f t="shared" si="2"/>
        <v>0</v>
      </c>
      <c r="AD15" s="12">
        <f t="shared" si="3"/>
        <v>254</v>
      </c>
      <c r="AE15" s="39"/>
      <c r="AF15" s="39"/>
      <c r="AG15" s="39"/>
      <c r="AH15" s="39"/>
      <c r="AI15" s="39"/>
      <c r="AJ15"/>
    </row>
    <row r="16" spans="1:36" x14ac:dyDescent="0.2">
      <c r="A16" s="5">
        <f>DAY(Kalenteri!A285)</f>
        <v>12</v>
      </c>
      <c r="B16" s="3" t="str">
        <f>IF(Kalenteri!B285=1,"su",IF(Kalenteri!B285=2,"ma",IF(Kalenteri!B285=3,"ti",IF(Kalenteri!B285=4,"ke",IF(Kalenteri!B285=5,"to",IF(Kalenteri!B285=6,"pe",IF(Kalenteri!B285=7,"la",)))))))</f>
        <v>la</v>
      </c>
      <c r="C16" s="18">
        <v>588</v>
      </c>
      <c r="D16" s="10">
        <v>153</v>
      </c>
      <c r="E16" s="10">
        <v>2</v>
      </c>
      <c r="F16" s="11">
        <v>28</v>
      </c>
      <c r="G16" s="18">
        <v>3</v>
      </c>
      <c r="H16" s="11">
        <v>175</v>
      </c>
      <c r="I16" s="18">
        <v>16</v>
      </c>
      <c r="J16" s="11">
        <v>24</v>
      </c>
      <c r="K16" s="33">
        <f t="shared" si="0"/>
        <v>989</v>
      </c>
      <c r="L16" s="10"/>
      <c r="M16" s="10"/>
      <c r="N16" s="10"/>
      <c r="O16" s="11"/>
      <c r="P16" s="10"/>
      <c r="Q16" s="11"/>
      <c r="R16" s="30"/>
      <c r="S16" s="30"/>
      <c r="T16" s="33">
        <f t="shared" si="1"/>
        <v>0</v>
      </c>
      <c r="U16" s="10"/>
      <c r="V16" s="10"/>
      <c r="W16" s="10"/>
      <c r="X16" s="11"/>
      <c r="Y16" s="10"/>
      <c r="Z16" s="11"/>
      <c r="AA16" s="30"/>
      <c r="AB16" s="30"/>
      <c r="AC16" s="33">
        <f t="shared" si="2"/>
        <v>0</v>
      </c>
      <c r="AD16" s="12">
        <f t="shared" si="3"/>
        <v>989</v>
      </c>
      <c r="AE16" s="39"/>
      <c r="AF16" s="39"/>
      <c r="AG16" s="39"/>
      <c r="AH16" s="39"/>
      <c r="AI16" s="39"/>
      <c r="AJ16"/>
    </row>
    <row r="17" spans="1:36" x14ac:dyDescent="0.2">
      <c r="A17" s="5">
        <f>DAY(Kalenteri!A286)</f>
        <v>13</v>
      </c>
      <c r="B17" s="3" t="str">
        <f>IF(Kalenteri!B286=1,"su",IF(Kalenteri!B286=2,"ma",IF(Kalenteri!B286=3,"ti",IF(Kalenteri!B286=4,"ke",IF(Kalenteri!B286=5,"to",IF(Kalenteri!B286=6,"pe",IF(Kalenteri!B286=7,"la",)))))))</f>
        <v>su</v>
      </c>
      <c r="C17" s="18">
        <v>523</v>
      </c>
      <c r="D17" s="10">
        <v>122</v>
      </c>
      <c r="E17" s="10"/>
      <c r="F17" s="11">
        <v>26</v>
      </c>
      <c r="G17" s="18">
        <v>12</v>
      </c>
      <c r="H17" s="11">
        <v>150</v>
      </c>
      <c r="I17" s="18">
        <v>42</v>
      </c>
      <c r="J17" s="11">
        <v>63</v>
      </c>
      <c r="K17" s="33">
        <f t="shared" si="0"/>
        <v>938</v>
      </c>
      <c r="L17" s="10"/>
      <c r="M17" s="10"/>
      <c r="N17" s="10"/>
      <c r="O17" s="11"/>
      <c r="P17" s="10"/>
      <c r="Q17" s="11"/>
      <c r="R17" s="30"/>
      <c r="S17" s="30"/>
      <c r="T17" s="33">
        <f t="shared" si="1"/>
        <v>0</v>
      </c>
      <c r="U17" s="10"/>
      <c r="V17" s="10"/>
      <c r="W17" s="10"/>
      <c r="X17" s="11"/>
      <c r="Y17" s="10"/>
      <c r="Z17" s="11"/>
      <c r="AA17" s="30"/>
      <c r="AB17" s="30"/>
      <c r="AC17" s="33">
        <f t="shared" si="2"/>
        <v>0</v>
      </c>
      <c r="AD17" s="12">
        <f t="shared" si="3"/>
        <v>938</v>
      </c>
      <c r="AE17" s="39"/>
      <c r="AF17" s="39"/>
      <c r="AG17" s="39"/>
      <c r="AH17" s="39"/>
      <c r="AI17" s="39"/>
      <c r="AJ17"/>
    </row>
    <row r="18" spans="1:36" x14ac:dyDescent="0.2">
      <c r="A18" s="5">
        <f>DAY(Kalenteri!A287)</f>
        <v>14</v>
      </c>
      <c r="B18" s="3" t="str">
        <f>IF(Kalenteri!B287=1,"su",IF(Kalenteri!B287=2,"ma",IF(Kalenteri!B287=3,"ti",IF(Kalenteri!B287=4,"ke",IF(Kalenteri!B287=5,"to",IF(Kalenteri!B287=6,"pe",IF(Kalenteri!B287=7,"la",)))))))</f>
        <v>ma</v>
      </c>
      <c r="C18" s="18">
        <f>73+1+3+7</f>
        <v>84</v>
      </c>
      <c r="D18" s="10">
        <v>16</v>
      </c>
      <c r="E18" s="10">
        <v>1</v>
      </c>
      <c r="F18" s="11">
        <f>1+2+1+1+1</f>
        <v>6</v>
      </c>
      <c r="G18" s="18">
        <f>1+1</f>
        <v>2</v>
      </c>
      <c r="H18" s="11">
        <f>92+18</f>
        <v>110</v>
      </c>
      <c r="I18" s="18"/>
      <c r="J18" s="11"/>
      <c r="K18" s="33">
        <f t="shared" si="0"/>
        <v>219</v>
      </c>
      <c r="L18" s="10"/>
      <c r="M18" s="10"/>
      <c r="N18" s="10"/>
      <c r="O18" s="11"/>
      <c r="P18" s="10"/>
      <c r="Q18" s="11"/>
      <c r="R18" s="30"/>
      <c r="S18" s="30"/>
      <c r="T18" s="33">
        <f t="shared" si="1"/>
        <v>0</v>
      </c>
      <c r="U18" s="10"/>
      <c r="V18" s="10"/>
      <c r="W18" s="10"/>
      <c r="X18" s="11"/>
      <c r="Y18" s="10"/>
      <c r="Z18" s="11"/>
      <c r="AA18" s="30"/>
      <c r="AB18" s="30"/>
      <c r="AC18" s="33">
        <f t="shared" si="2"/>
        <v>0</v>
      </c>
      <c r="AD18" s="12">
        <f t="shared" si="3"/>
        <v>219</v>
      </c>
      <c r="AE18" s="39"/>
      <c r="AF18" s="39"/>
      <c r="AG18" s="39"/>
      <c r="AH18" s="39"/>
      <c r="AI18" s="39"/>
      <c r="AJ18"/>
    </row>
    <row r="19" spans="1:36" x14ac:dyDescent="0.2">
      <c r="A19" s="5">
        <f>DAY(Kalenteri!A288)</f>
        <v>15</v>
      </c>
      <c r="B19" s="3" t="str">
        <f>IF(Kalenteri!B288=1,"su",IF(Kalenteri!B288=2,"ma",IF(Kalenteri!B288=3,"ti",IF(Kalenteri!B288=4,"ke",IF(Kalenteri!B288=5,"to",IF(Kalenteri!B288=6,"pe",IF(Kalenteri!B288=7,"la",)))))))</f>
        <v>ti</v>
      </c>
      <c r="C19" s="18">
        <v>259</v>
      </c>
      <c r="D19" s="10">
        <v>173</v>
      </c>
      <c r="E19" s="10">
        <v>5</v>
      </c>
      <c r="F19" s="11">
        <v>3</v>
      </c>
      <c r="G19" s="18">
        <v>3</v>
      </c>
      <c r="H19" s="11">
        <v>82</v>
      </c>
      <c r="I19" s="18">
        <v>6</v>
      </c>
      <c r="J19" s="11">
        <v>9</v>
      </c>
      <c r="K19" s="33">
        <f t="shared" si="0"/>
        <v>540</v>
      </c>
      <c r="L19" s="10"/>
      <c r="M19" s="10"/>
      <c r="N19" s="10"/>
      <c r="O19" s="11"/>
      <c r="P19" s="10"/>
      <c r="Q19" s="11"/>
      <c r="R19" s="30"/>
      <c r="S19" s="30"/>
      <c r="T19" s="33">
        <f t="shared" si="1"/>
        <v>0</v>
      </c>
      <c r="U19" s="10"/>
      <c r="V19" s="10"/>
      <c r="W19" s="10"/>
      <c r="X19" s="11"/>
      <c r="Y19" s="10"/>
      <c r="Z19" s="11"/>
      <c r="AA19" s="30"/>
      <c r="AB19" s="30"/>
      <c r="AC19" s="33">
        <f t="shared" si="2"/>
        <v>0</v>
      </c>
      <c r="AD19" s="12">
        <f t="shared" si="3"/>
        <v>540</v>
      </c>
      <c r="AE19" s="39"/>
      <c r="AF19" s="39"/>
      <c r="AG19" s="39"/>
      <c r="AH19" s="39"/>
      <c r="AI19" s="39"/>
      <c r="AJ19"/>
    </row>
    <row r="20" spans="1:36" x14ac:dyDescent="0.2">
      <c r="A20" s="5">
        <f>DAY(Kalenteri!A289)</f>
        <v>16</v>
      </c>
      <c r="B20" s="3" t="str">
        <f>IF(Kalenteri!B289=1,"su",IF(Kalenteri!B289=2,"ma",IF(Kalenteri!B289=3,"ti",IF(Kalenteri!B289=4,"ke",IF(Kalenteri!B289=5,"to",IF(Kalenteri!B289=6,"pe",IF(Kalenteri!B289=7,"la",)))))))</f>
        <v>ke</v>
      </c>
      <c r="C20" s="18">
        <v>316</v>
      </c>
      <c r="D20" s="10">
        <v>245</v>
      </c>
      <c r="E20" s="10"/>
      <c r="F20" s="11">
        <v>7</v>
      </c>
      <c r="G20" s="18">
        <v>19</v>
      </c>
      <c r="H20" s="11">
        <v>133</v>
      </c>
      <c r="I20" s="18">
        <v>16</v>
      </c>
      <c r="J20" s="11">
        <v>24</v>
      </c>
      <c r="K20" s="33">
        <f t="shared" si="0"/>
        <v>760</v>
      </c>
      <c r="L20" s="10"/>
      <c r="M20" s="10"/>
      <c r="N20" s="10"/>
      <c r="O20" s="11"/>
      <c r="P20" s="10"/>
      <c r="Q20" s="11"/>
      <c r="R20" s="30"/>
      <c r="S20" s="30"/>
      <c r="T20" s="33">
        <f t="shared" si="1"/>
        <v>0</v>
      </c>
      <c r="U20" s="10"/>
      <c r="V20" s="10"/>
      <c r="W20" s="10"/>
      <c r="X20" s="11"/>
      <c r="Y20" s="10"/>
      <c r="Z20" s="11"/>
      <c r="AA20" s="30"/>
      <c r="AB20" s="30"/>
      <c r="AC20" s="33">
        <f t="shared" si="2"/>
        <v>0</v>
      </c>
      <c r="AD20" s="12">
        <f t="shared" si="3"/>
        <v>760</v>
      </c>
      <c r="AE20" s="39"/>
      <c r="AF20" s="39"/>
      <c r="AG20" s="39"/>
      <c r="AH20" s="39"/>
      <c r="AI20" s="39"/>
      <c r="AJ20"/>
    </row>
    <row r="21" spans="1:36" x14ac:dyDescent="0.2">
      <c r="A21" s="5">
        <f>DAY(Kalenteri!A290)</f>
        <v>17</v>
      </c>
      <c r="B21" s="3" t="str">
        <f>IF(Kalenteri!B290=1,"su",IF(Kalenteri!B290=2,"ma",IF(Kalenteri!B290=3,"ti",IF(Kalenteri!B290=4,"ke",IF(Kalenteri!B290=5,"to",IF(Kalenteri!B290=6,"pe",IF(Kalenteri!B290=7,"la",)))))))</f>
        <v>to</v>
      </c>
      <c r="C21" s="18">
        <f>11+9+67+260</f>
        <v>347</v>
      </c>
      <c r="D21" s="10">
        <f>259</f>
        <v>259</v>
      </c>
      <c r="E21" s="10">
        <v>1</v>
      </c>
      <c r="F21" s="11">
        <v>15</v>
      </c>
      <c r="G21" s="18">
        <f>6+1+2</f>
        <v>9</v>
      </c>
      <c r="H21" s="11">
        <f>131+2+31</f>
        <v>164</v>
      </c>
      <c r="I21" s="18">
        <v>30</v>
      </c>
      <c r="J21" s="11">
        <v>45</v>
      </c>
      <c r="K21" s="33">
        <f t="shared" si="0"/>
        <v>870</v>
      </c>
      <c r="L21" s="10"/>
      <c r="M21" s="10"/>
      <c r="N21" s="10"/>
      <c r="O21" s="11"/>
      <c r="P21" s="10"/>
      <c r="Q21" s="11"/>
      <c r="R21" s="30"/>
      <c r="S21" s="30"/>
      <c r="T21" s="33">
        <f t="shared" si="1"/>
        <v>0</v>
      </c>
      <c r="U21" s="10"/>
      <c r="V21" s="10"/>
      <c r="W21" s="10"/>
      <c r="X21" s="11"/>
      <c r="Y21" s="10"/>
      <c r="Z21" s="11"/>
      <c r="AA21" s="30"/>
      <c r="AB21" s="30"/>
      <c r="AC21" s="33">
        <f t="shared" si="2"/>
        <v>0</v>
      </c>
      <c r="AD21" s="12">
        <f t="shared" si="3"/>
        <v>870</v>
      </c>
      <c r="AE21" s="39"/>
      <c r="AF21" s="39"/>
      <c r="AG21" s="39"/>
      <c r="AH21" s="39"/>
      <c r="AI21" s="39"/>
      <c r="AJ21"/>
    </row>
    <row r="22" spans="1:36" x14ac:dyDescent="0.2">
      <c r="A22" s="5">
        <f>DAY(Kalenteri!A291)</f>
        <v>18</v>
      </c>
      <c r="B22" s="3" t="str">
        <f>IF(Kalenteri!B291=1,"su",IF(Kalenteri!B291=2,"ma",IF(Kalenteri!B291=3,"ti",IF(Kalenteri!B291=4,"ke",IF(Kalenteri!B291=5,"to",IF(Kalenteri!B291=6,"pe",IF(Kalenteri!B291=7,"la",)))))))</f>
        <v>pe</v>
      </c>
      <c r="C22" s="18">
        <f>40+7</f>
        <v>47</v>
      </c>
      <c r="D22" s="10">
        <v>19</v>
      </c>
      <c r="E22" s="10"/>
      <c r="F22" s="11">
        <v>1</v>
      </c>
      <c r="G22" s="18">
        <v>3</v>
      </c>
      <c r="H22" s="11">
        <f>22+2</f>
        <v>24</v>
      </c>
      <c r="I22" s="18">
        <v>4</v>
      </c>
      <c r="J22" s="11">
        <v>6</v>
      </c>
      <c r="K22" s="33">
        <f t="shared" si="0"/>
        <v>104</v>
      </c>
      <c r="L22" s="10"/>
      <c r="M22" s="10"/>
      <c r="N22" s="10"/>
      <c r="O22" s="11"/>
      <c r="P22" s="10"/>
      <c r="Q22" s="11"/>
      <c r="R22" s="30"/>
      <c r="S22" s="30"/>
      <c r="T22" s="33">
        <f t="shared" si="1"/>
        <v>0</v>
      </c>
      <c r="U22" s="10"/>
      <c r="V22" s="10"/>
      <c r="W22" s="10"/>
      <c r="X22" s="11"/>
      <c r="Y22" s="10"/>
      <c r="Z22" s="11"/>
      <c r="AA22" s="30"/>
      <c r="AB22" s="30"/>
      <c r="AC22" s="33">
        <f t="shared" si="2"/>
        <v>0</v>
      </c>
      <c r="AD22" s="12">
        <f t="shared" si="3"/>
        <v>104</v>
      </c>
      <c r="AE22" s="39"/>
      <c r="AF22" s="39"/>
      <c r="AG22" s="39"/>
      <c r="AH22" s="39"/>
      <c r="AI22" s="39"/>
      <c r="AJ22"/>
    </row>
    <row r="23" spans="1:36" x14ac:dyDescent="0.2">
      <c r="A23" s="5">
        <f>DAY(Kalenteri!A292)</f>
        <v>19</v>
      </c>
      <c r="B23" s="3" t="str">
        <f>IF(Kalenteri!B292=1,"su",IF(Kalenteri!B292=2,"ma",IF(Kalenteri!B292=3,"ti",IF(Kalenteri!B292=4,"ke",IF(Kalenteri!B292=5,"to",IF(Kalenteri!B292=6,"pe",IF(Kalenteri!B292=7,"la",)))))))</f>
        <v>la</v>
      </c>
      <c r="C23" s="18">
        <f>390+22+4+42</f>
        <v>458</v>
      </c>
      <c r="D23" s="10">
        <v>161</v>
      </c>
      <c r="E23" s="10"/>
      <c r="F23" s="11">
        <v>14</v>
      </c>
      <c r="G23" s="18">
        <v>8</v>
      </c>
      <c r="H23" s="11">
        <v>159</v>
      </c>
      <c r="I23" s="18">
        <v>34</v>
      </c>
      <c r="J23" s="11">
        <v>51</v>
      </c>
      <c r="K23" s="33">
        <f t="shared" si="0"/>
        <v>885</v>
      </c>
      <c r="L23" s="10"/>
      <c r="M23" s="10"/>
      <c r="N23" s="10"/>
      <c r="O23" s="11"/>
      <c r="P23" s="10"/>
      <c r="Q23" s="11"/>
      <c r="R23" s="30"/>
      <c r="S23" s="30"/>
      <c r="T23" s="33">
        <f t="shared" si="1"/>
        <v>0</v>
      </c>
      <c r="U23" s="10"/>
      <c r="V23" s="10"/>
      <c r="W23" s="10"/>
      <c r="X23" s="11"/>
      <c r="Y23" s="10"/>
      <c r="Z23" s="11"/>
      <c r="AA23" s="30"/>
      <c r="AB23" s="30"/>
      <c r="AC23" s="33">
        <f t="shared" si="2"/>
        <v>0</v>
      </c>
      <c r="AD23" s="12">
        <f t="shared" si="3"/>
        <v>885</v>
      </c>
      <c r="AE23" s="39"/>
      <c r="AF23" s="39"/>
      <c r="AG23" s="39"/>
      <c r="AH23" s="39"/>
      <c r="AI23" s="39"/>
      <c r="AJ23"/>
    </row>
    <row r="24" spans="1:36" x14ac:dyDescent="0.2">
      <c r="A24" s="5">
        <f>DAY(Kalenteri!A293)</f>
        <v>20</v>
      </c>
      <c r="B24" s="3" t="str">
        <f>IF(Kalenteri!B293=1,"su",IF(Kalenteri!B293=2,"ma",IF(Kalenteri!B293=3,"ti",IF(Kalenteri!B293=4,"ke",IF(Kalenteri!B293=5,"to",IF(Kalenteri!B293=6,"pe",IF(Kalenteri!B293=7,"la",)))))))</f>
        <v>su</v>
      </c>
      <c r="C24" s="18">
        <f>276+19+4+34</f>
        <v>333</v>
      </c>
      <c r="D24" s="10">
        <v>94</v>
      </c>
      <c r="E24" s="10">
        <v>1</v>
      </c>
      <c r="F24" s="11">
        <f>9+20</f>
        <v>29</v>
      </c>
      <c r="G24" s="18">
        <v>1</v>
      </c>
      <c r="H24" s="11">
        <v>66</v>
      </c>
      <c r="I24" s="18">
        <v>18</v>
      </c>
      <c r="J24" s="11">
        <v>27</v>
      </c>
      <c r="K24" s="33">
        <f t="shared" si="0"/>
        <v>569</v>
      </c>
      <c r="L24" s="10"/>
      <c r="M24" s="10"/>
      <c r="N24" s="10"/>
      <c r="O24" s="11"/>
      <c r="P24" s="10"/>
      <c r="Q24" s="11"/>
      <c r="R24" s="30"/>
      <c r="S24" s="30"/>
      <c r="T24" s="33">
        <f t="shared" si="1"/>
        <v>0</v>
      </c>
      <c r="U24" s="10"/>
      <c r="V24" s="10"/>
      <c r="W24" s="10"/>
      <c r="X24" s="11"/>
      <c r="Y24" s="10"/>
      <c r="Z24" s="11"/>
      <c r="AA24" s="30"/>
      <c r="AB24" s="30"/>
      <c r="AC24" s="33">
        <f t="shared" si="2"/>
        <v>0</v>
      </c>
      <c r="AD24" s="12">
        <f t="shared" si="3"/>
        <v>569</v>
      </c>
      <c r="AE24" s="39"/>
      <c r="AF24" s="39"/>
      <c r="AG24" s="39"/>
      <c r="AH24" s="39"/>
      <c r="AI24" s="39"/>
      <c r="AJ24" s="39"/>
    </row>
    <row r="25" spans="1:36" x14ac:dyDescent="0.2">
      <c r="A25" s="5">
        <f>DAY(Kalenteri!A294)</f>
        <v>21</v>
      </c>
      <c r="B25" s="3" t="str">
        <f>IF(Kalenteri!B294=1,"su",IF(Kalenteri!B294=2,"ma",IF(Kalenteri!B294=3,"ti",IF(Kalenteri!B294=4,"ke",IF(Kalenteri!B294=5,"to",IF(Kalenteri!B294=6,"pe",IF(Kalenteri!B294=7,"la",)))))))</f>
        <v>ma</v>
      </c>
      <c r="C25" s="18">
        <f>45+15</f>
        <v>60</v>
      </c>
      <c r="D25" s="10">
        <v>11</v>
      </c>
      <c r="E25" s="10"/>
      <c r="F25" s="11">
        <v>2</v>
      </c>
      <c r="G25" s="18">
        <v>3</v>
      </c>
      <c r="H25" s="11">
        <v>55</v>
      </c>
      <c r="I25" s="18">
        <v>2</v>
      </c>
      <c r="J25" s="11">
        <v>3</v>
      </c>
      <c r="K25" s="33">
        <f t="shared" si="0"/>
        <v>136</v>
      </c>
      <c r="L25" s="10"/>
      <c r="M25" s="10"/>
      <c r="N25" s="10"/>
      <c r="O25" s="11"/>
      <c r="P25" s="10"/>
      <c r="Q25" s="11"/>
      <c r="R25" s="30"/>
      <c r="S25" s="30"/>
      <c r="T25" s="33">
        <f t="shared" si="1"/>
        <v>0</v>
      </c>
      <c r="U25" s="10"/>
      <c r="V25" s="10"/>
      <c r="W25" s="10"/>
      <c r="X25" s="11"/>
      <c r="Y25" s="10"/>
      <c r="Z25" s="11"/>
      <c r="AA25" s="30"/>
      <c r="AB25" s="30"/>
      <c r="AC25" s="33">
        <f t="shared" si="2"/>
        <v>0</v>
      </c>
      <c r="AD25" s="12">
        <f t="shared" si="3"/>
        <v>136</v>
      </c>
      <c r="AE25" s="39"/>
      <c r="AF25" s="39"/>
      <c r="AG25" s="39"/>
      <c r="AH25" s="39"/>
      <c r="AI25" s="39"/>
      <c r="AJ25" s="39"/>
    </row>
    <row r="26" spans="1:36" x14ac:dyDescent="0.2">
      <c r="A26" s="5">
        <f>DAY(Kalenteri!A295)</f>
        <v>22</v>
      </c>
      <c r="B26" s="3" t="str">
        <f>IF(Kalenteri!B295=1,"su",IF(Kalenteri!B295=2,"ma",IF(Kalenteri!B295=3,"ti",IF(Kalenteri!B295=4,"ke",IF(Kalenteri!B295=5,"to",IF(Kalenteri!B295=6,"pe",IF(Kalenteri!B295=7,"la",)))))))</f>
        <v>ti</v>
      </c>
      <c r="C26" s="18">
        <v>100</v>
      </c>
      <c r="D26" s="10">
        <v>53</v>
      </c>
      <c r="E26" s="10"/>
      <c r="F26" s="11">
        <v>3</v>
      </c>
      <c r="G26" s="18">
        <v>4</v>
      </c>
      <c r="H26" s="11">
        <v>59</v>
      </c>
      <c r="I26" s="18">
        <v>2</v>
      </c>
      <c r="J26" s="11">
        <v>3</v>
      </c>
      <c r="K26" s="33">
        <f t="shared" si="0"/>
        <v>224</v>
      </c>
      <c r="L26" s="10"/>
      <c r="M26" s="10"/>
      <c r="N26" s="10"/>
      <c r="O26" s="11"/>
      <c r="P26" s="10"/>
      <c r="Q26" s="11"/>
      <c r="R26" s="30"/>
      <c r="S26" s="30"/>
      <c r="T26" s="33">
        <f t="shared" si="1"/>
        <v>0</v>
      </c>
      <c r="U26" s="10"/>
      <c r="V26" s="10"/>
      <c r="W26" s="10"/>
      <c r="X26" s="11"/>
      <c r="Y26" s="10"/>
      <c r="Z26" s="11"/>
      <c r="AA26" s="30"/>
      <c r="AB26" s="30"/>
      <c r="AC26" s="33">
        <f t="shared" si="2"/>
        <v>0</v>
      </c>
      <c r="AD26" s="12">
        <f t="shared" si="3"/>
        <v>224</v>
      </c>
      <c r="AE26" s="39"/>
      <c r="AF26" s="39"/>
      <c r="AG26" s="39"/>
      <c r="AH26" s="39"/>
      <c r="AI26" s="39"/>
      <c r="AJ26" s="39"/>
    </row>
    <row r="27" spans="1:36" x14ac:dyDescent="0.2">
      <c r="A27" s="5">
        <f>DAY(Kalenteri!A296)</f>
        <v>23</v>
      </c>
      <c r="B27" s="3" t="str">
        <f>IF(Kalenteri!B296=1,"su",IF(Kalenteri!B296=2,"ma",IF(Kalenteri!B296=3,"ti",IF(Kalenteri!B296=4,"ke",IF(Kalenteri!B296=5,"to",IF(Kalenteri!B296=6,"pe",IF(Kalenteri!B296=7,"la",)))))))</f>
        <v>ke</v>
      </c>
      <c r="C27" s="18">
        <f>26+5+24+2+1+4+1</f>
        <v>63</v>
      </c>
      <c r="D27" s="10">
        <f>7+14</f>
        <v>21</v>
      </c>
      <c r="E27" s="10">
        <f>1</f>
        <v>1</v>
      </c>
      <c r="F27" s="11">
        <f>3+2</f>
        <v>5</v>
      </c>
      <c r="G27" s="18">
        <f>2+9</f>
        <v>11</v>
      </c>
      <c r="H27" s="11">
        <f>30+1+5</f>
        <v>36</v>
      </c>
      <c r="I27" s="18">
        <v>2</v>
      </c>
      <c r="J27" s="11">
        <v>3</v>
      </c>
      <c r="K27" s="33">
        <f t="shared" si="0"/>
        <v>142</v>
      </c>
      <c r="L27" s="10"/>
      <c r="M27" s="10"/>
      <c r="N27" s="10"/>
      <c r="O27" s="11"/>
      <c r="P27" s="10"/>
      <c r="Q27" s="11"/>
      <c r="R27" s="30"/>
      <c r="S27" s="30"/>
      <c r="T27" s="33">
        <f t="shared" si="1"/>
        <v>0</v>
      </c>
      <c r="U27" s="10"/>
      <c r="V27" s="10"/>
      <c r="W27" s="10"/>
      <c r="X27" s="11"/>
      <c r="Y27" s="10"/>
      <c r="Z27" s="11"/>
      <c r="AA27" s="30"/>
      <c r="AB27" s="30"/>
      <c r="AC27" s="33">
        <f t="shared" si="2"/>
        <v>0</v>
      </c>
      <c r="AD27" s="12">
        <f t="shared" si="3"/>
        <v>142</v>
      </c>
      <c r="AE27" s="39"/>
      <c r="AF27" s="39"/>
      <c r="AG27" s="39"/>
      <c r="AH27" s="39"/>
      <c r="AI27" s="39"/>
      <c r="AJ27" s="39"/>
    </row>
    <row r="28" spans="1:36" x14ac:dyDescent="0.2">
      <c r="A28" s="5">
        <f>DAY(Kalenteri!A297)</f>
        <v>24</v>
      </c>
      <c r="B28" s="3" t="str">
        <f>IF(Kalenteri!B297=1,"su",IF(Kalenteri!B297=2,"ma",IF(Kalenteri!B297=3,"ti",IF(Kalenteri!B297=4,"ke",IF(Kalenteri!B297=5,"to",IF(Kalenteri!B297=6,"pe",IF(Kalenteri!B297=7,"la",)))))))</f>
        <v>to</v>
      </c>
      <c r="C28" s="18">
        <f>24+5+1+6+2</f>
        <v>38</v>
      </c>
      <c r="D28" s="10">
        <f>6+1</f>
        <v>7</v>
      </c>
      <c r="E28" s="10"/>
      <c r="F28" s="11">
        <f>2+1</f>
        <v>3</v>
      </c>
      <c r="G28" s="18">
        <v>2</v>
      </c>
      <c r="H28" s="11">
        <f>11+3</f>
        <v>14</v>
      </c>
      <c r="I28" s="18"/>
      <c r="J28" s="11"/>
      <c r="K28" s="33">
        <f t="shared" si="0"/>
        <v>64</v>
      </c>
      <c r="L28" s="10"/>
      <c r="M28" s="10"/>
      <c r="N28" s="10"/>
      <c r="O28" s="11"/>
      <c r="P28" s="10"/>
      <c r="Q28" s="11"/>
      <c r="R28" s="30"/>
      <c r="S28" s="30"/>
      <c r="T28" s="33">
        <f t="shared" si="1"/>
        <v>0</v>
      </c>
      <c r="U28" s="10"/>
      <c r="V28" s="10"/>
      <c r="W28" s="10"/>
      <c r="X28" s="11"/>
      <c r="Y28" s="10"/>
      <c r="Z28" s="11"/>
      <c r="AA28" s="30"/>
      <c r="AB28" s="30"/>
      <c r="AC28" s="33">
        <f t="shared" si="2"/>
        <v>0</v>
      </c>
      <c r="AD28" s="12">
        <f t="shared" si="3"/>
        <v>64</v>
      </c>
      <c r="AE28" s="39"/>
      <c r="AF28" s="39"/>
      <c r="AG28" s="39"/>
      <c r="AH28" s="39"/>
      <c r="AI28" s="39"/>
      <c r="AJ28" s="39"/>
    </row>
    <row r="29" spans="1:36" x14ac:dyDescent="0.2">
      <c r="A29" s="5">
        <f>DAY(Kalenteri!A298)</f>
        <v>25</v>
      </c>
      <c r="B29" s="3" t="str">
        <f>IF(Kalenteri!B298=1,"su",IF(Kalenteri!B298=2,"ma",IF(Kalenteri!B298=3,"ti",IF(Kalenteri!B298=4,"ke",IF(Kalenteri!B298=5,"to",IF(Kalenteri!B298=6,"pe",IF(Kalenteri!B298=7,"la",)))))))</f>
        <v>pe</v>
      </c>
      <c r="C29" s="18">
        <v>133</v>
      </c>
      <c r="D29" s="10">
        <v>39</v>
      </c>
      <c r="E29" s="10"/>
      <c r="F29" s="11">
        <v>5</v>
      </c>
      <c r="G29" s="18">
        <v>5</v>
      </c>
      <c r="H29" s="11">
        <v>68</v>
      </c>
      <c r="I29" s="18"/>
      <c r="J29" s="11"/>
      <c r="K29" s="33">
        <f t="shared" si="0"/>
        <v>250</v>
      </c>
      <c r="L29" s="10"/>
      <c r="M29" s="10"/>
      <c r="N29" s="10"/>
      <c r="O29" s="11"/>
      <c r="P29" s="10"/>
      <c r="Q29" s="11"/>
      <c r="R29" s="30"/>
      <c r="S29" s="30"/>
      <c r="T29" s="33">
        <f t="shared" si="1"/>
        <v>0</v>
      </c>
      <c r="U29" s="10"/>
      <c r="V29" s="10"/>
      <c r="W29" s="10"/>
      <c r="X29" s="11"/>
      <c r="Y29" s="10"/>
      <c r="Z29" s="11"/>
      <c r="AA29" s="30"/>
      <c r="AB29" s="30"/>
      <c r="AC29" s="33">
        <f t="shared" si="2"/>
        <v>0</v>
      </c>
      <c r="AD29" s="12">
        <f t="shared" si="3"/>
        <v>250</v>
      </c>
      <c r="AE29" s="39"/>
      <c r="AF29" s="39"/>
      <c r="AG29" s="39"/>
      <c r="AH29" s="39"/>
      <c r="AI29" s="39"/>
      <c r="AJ29" s="39"/>
    </row>
    <row r="30" spans="1:36" x14ac:dyDescent="0.2">
      <c r="A30" s="5">
        <f>DAY(Kalenteri!A299)</f>
        <v>26</v>
      </c>
      <c r="B30" s="3" t="str">
        <f>IF(Kalenteri!B299=1,"su",IF(Kalenteri!B299=2,"ma",IF(Kalenteri!B299=3,"ti",IF(Kalenteri!B299=4,"ke",IF(Kalenteri!B299=5,"to",IF(Kalenteri!B299=6,"pe",IF(Kalenteri!B299=7,"la",)))))))</f>
        <v>la</v>
      </c>
      <c r="C30" s="18">
        <v>70</v>
      </c>
      <c r="D30" s="10">
        <v>20</v>
      </c>
      <c r="E30" s="10"/>
      <c r="F30" s="11">
        <v>3</v>
      </c>
      <c r="G30" s="18"/>
      <c r="H30" s="11">
        <v>25</v>
      </c>
      <c r="I30" s="18">
        <v>2</v>
      </c>
      <c r="J30" s="11">
        <v>3</v>
      </c>
      <c r="K30" s="33">
        <f t="shared" si="0"/>
        <v>123</v>
      </c>
      <c r="L30" s="10"/>
      <c r="M30" s="10"/>
      <c r="N30" s="10"/>
      <c r="O30" s="11"/>
      <c r="P30" s="10"/>
      <c r="Q30" s="11"/>
      <c r="R30" s="30"/>
      <c r="S30" s="30"/>
      <c r="T30" s="33">
        <f t="shared" si="1"/>
        <v>0</v>
      </c>
      <c r="U30" s="10"/>
      <c r="V30" s="10"/>
      <c r="W30" s="10"/>
      <c r="X30" s="11"/>
      <c r="Y30" s="10"/>
      <c r="Z30" s="11"/>
      <c r="AA30" s="30"/>
      <c r="AB30" s="30"/>
      <c r="AC30" s="33">
        <f t="shared" si="2"/>
        <v>0</v>
      </c>
      <c r="AD30" s="12">
        <f t="shared" si="3"/>
        <v>123</v>
      </c>
      <c r="AE30" s="39"/>
      <c r="AF30" s="39"/>
      <c r="AG30" s="39"/>
      <c r="AH30" s="39"/>
      <c r="AI30" s="39"/>
      <c r="AJ30" s="39"/>
    </row>
    <row r="31" spans="1:36" x14ac:dyDescent="0.2">
      <c r="A31" s="5">
        <f>DAY(Kalenteri!A300)</f>
        <v>27</v>
      </c>
      <c r="B31" s="3" t="str">
        <f>IF(Kalenteri!B300=1,"su",IF(Kalenteri!B300=2,"ma",IF(Kalenteri!B300=3,"ti",IF(Kalenteri!B300=4,"ke",IF(Kalenteri!B300=5,"to",IF(Kalenteri!B300=6,"pe",IF(Kalenteri!B300=7,"la",)))))))</f>
        <v>su</v>
      </c>
      <c r="C31" s="18">
        <f>222+10+4+29</f>
        <v>265</v>
      </c>
      <c r="D31" s="10">
        <v>56</v>
      </c>
      <c r="E31" s="10">
        <v>1</v>
      </c>
      <c r="F31" s="11">
        <f>15+3+10+3+4+5</f>
        <v>40</v>
      </c>
      <c r="G31" s="18">
        <v>2</v>
      </c>
      <c r="H31" s="11">
        <v>84</v>
      </c>
      <c r="I31" s="18">
        <v>8</v>
      </c>
      <c r="J31" s="11">
        <v>12</v>
      </c>
      <c r="K31" s="33">
        <f t="shared" si="0"/>
        <v>468</v>
      </c>
      <c r="L31" s="10"/>
      <c r="M31" s="10"/>
      <c r="N31" s="10"/>
      <c r="O31" s="11"/>
      <c r="P31" s="10"/>
      <c r="Q31" s="11"/>
      <c r="R31" s="30"/>
      <c r="S31" s="30"/>
      <c r="T31" s="33">
        <f t="shared" si="1"/>
        <v>0</v>
      </c>
      <c r="U31" s="10"/>
      <c r="V31" s="10"/>
      <c r="W31" s="10"/>
      <c r="X31" s="11"/>
      <c r="Y31" s="10"/>
      <c r="Z31" s="11"/>
      <c r="AA31" s="30"/>
      <c r="AB31" s="30"/>
      <c r="AC31" s="33">
        <f t="shared" si="2"/>
        <v>0</v>
      </c>
      <c r="AD31" s="12">
        <f t="shared" si="3"/>
        <v>468</v>
      </c>
      <c r="AE31" s="39"/>
      <c r="AF31" s="39"/>
      <c r="AG31" s="39"/>
      <c r="AH31" s="39"/>
      <c r="AI31" s="39"/>
      <c r="AJ31" s="39"/>
    </row>
    <row r="32" spans="1:36" x14ac:dyDescent="0.2">
      <c r="A32" s="5">
        <f>DAY(Kalenteri!A301)</f>
        <v>28</v>
      </c>
      <c r="B32" s="3" t="str">
        <f>IF(Kalenteri!B301=1,"su",IF(Kalenteri!B301=2,"ma",IF(Kalenteri!B301=3,"ti",IF(Kalenteri!B301=4,"ke",IF(Kalenteri!B301=5,"to",IF(Kalenteri!B301=6,"pe",IF(Kalenteri!B301=7,"la",)))))))</f>
        <v>ma</v>
      </c>
      <c r="C32" s="18">
        <v>35</v>
      </c>
      <c r="D32" s="10">
        <v>11</v>
      </c>
      <c r="E32" s="10">
        <v>2</v>
      </c>
      <c r="F32" s="11">
        <v>3</v>
      </c>
      <c r="G32" s="18">
        <v>4</v>
      </c>
      <c r="H32" s="11">
        <v>9</v>
      </c>
      <c r="I32" s="18"/>
      <c r="J32" s="11"/>
      <c r="K32" s="33">
        <f t="shared" si="0"/>
        <v>64</v>
      </c>
      <c r="L32" s="10"/>
      <c r="M32" s="10"/>
      <c r="N32" s="10"/>
      <c r="O32" s="11"/>
      <c r="P32" s="10"/>
      <c r="Q32" s="11"/>
      <c r="R32" s="30"/>
      <c r="S32" s="30"/>
      <c r="T32" s="33">
        <f t="shared" si="1"/>
        <v>0</v>
      </c>
      <c r="U32" s="10"/>
      <c r="V32" s="10"/>
      <c r="W32" s="10"/>
      <c r="X32" s="11"/>
      <c r="Y32" s="10"/>
      <c r="Z32" s="11"/>
      <c r="AA32" s="30"/>
      <c r="AB32" s="30"/>
      <c r="AC32" s="33">
        <f t="shared" si="2"/>
        <v>0</v>
      </c>
      <c r="AD32" s="12">
        <f t="shared" si="3"/>
        <v>64</v>
      </c>
      <c r="AE32" s="39"/>
      <c r="AF32" s="39"/>
      <c r="AG32" s="39"/>
      <c r="AH32" s="39"/>
      <c r="AI32" s="39"/>
      <c r="AJ32" s="39"/>
    </row>
    <row r="33" spans="1:36" x14ac:dyDescent="0.2">
      <c r="A33" s="5">
        <f>DAY(Kalenteri!A302)</f>
        <v>29</v>
      </c>
      <c r="B33" s="3" t="str">
        <f>IF(Kalenteri!B302=1,"su",IF(Kalenteri!B302=2,"ma",IF(Kalenteri!B302=3,"ti",IF(Kalenteri!B302=4,"ke",IF(Kalenteri!B302=5,"to",IF(Kalenteri!B302=6,"pe",IF(Kalenteri!B302=7,"la",)))))))</f>
        <v>ti</v>
      </c>
      <c r="C33" s="18">
        <v>23</v>
      </c>
      <c r="D33" s="10">
        <v>8</v>
      </c>
      <c r="E33" s="10">
        <v>3</v>
      </c>
      <c r="F33" s="11">
        <v>3</v>
      </c>
      <c r="G33" s="18">
        <v>1</v>
      </c>
      <c r="H33" s="11">
        <v>13</v>
      </c>
      <c r="I33" s="18"/>
      <c r="J33" s="11"/>
      <c r="K33" s="33">
        <f t="shared" si="0"/>
        <v>51</v>
      </c>
      <c r="L33" s="10"/>
      <c r="M33" s="10"/>
      <c r="N33" s="10"/>
      <c r="O33" s="11"/>
      <c r="P33" s="10"/>
      <c r="Q33" s="11"/>
      <c r="R33" s="30"/>
      <c r="S33" s="30"/>
      <c r="T33" s="33">
        <f t="shared" si="1"/>
        <v>0</v>
      </c>
      <c r="U33" s="10"/>
      <c r="V33" s="10"/>
      <c r="W33" s="10"/>
      <c r="X33" s="11"/>
      <c r="Y33" s="10"/>
      <c r="Z33" s="11"/>
      <c r="AA33" s="30"/>
      <c r="AB33" s="30"/>
      <c r="AC33" s="33">
        <f t="shared" si="2"/>
        <v>0</v>
      </c>
      <c r="AD33" s="12">
        <f t="shared" si="3"/>
        <v>51</v>
      </c>
      <c r="AE33" s="39"/>
      <c r="AF33" s="39"/>
      <c r="AG33" s="39"/>
      <c r="AH33" s="39"/>
      <c r="AI33" s="39"/>
      <c r="AJ33" s="39"/>
    </row>
    <row r="34" spans="1:36" x14ac:dyDescent="0.2">
      <c r="A34" s="5">
        <f>DAY(Kalenteri!A303)</f>
        <v>30</v>
      </c>
      <c r="B34" s="3" t="str">
        <f>IF(Kalenteri!B303=1,"su",IF(Kalenteri!B303=2,"ma",IF(Kalenteri!B303=3,"ti",IF(Kalenteri!B303=4,"ke",IF(Kalenteri!B303=5,"to",IF(Kalenteri!B303=6,"pe",IF(Kalenteri!B303=7,"la",)))))))</f>
        <v>ke</v>
      </c>
      <c r="C34" s="18">
        <f>61+4+1+7</f>
        <v>73</v>
      </c>
      <c r="D34" s="10">
        <v>16</v>
      </c>
      <c r="E34" s="10">
        <v>3</v>
      </c>
      <c r="F34" s="11">
        <v>2</v>
      </c>
      <c r="G34" s="18">
        <f>2+2</f>
        <v>4</v>
      </c>
      <c r="H34" s="11">
        <f>17+1+47</f>
        <v>65</v>
      </c>
      <c r="I34" s="18"/>
      <c r="J34" s="11"/>
      <c r="K34" s="33">
        <f t="shared" si="0"/>
        <v>163</v>
      </c>
      <c r="L34" s="10"/>
      <c r="M34" s="10"/>
      <c r="N34" s="10"/>
      <c r="O34" s="11"/>
      <c r="P34" s="10"/>
      <c r="Q34" s="11"/>
      <c r="R34" s="30"/>
      <c r="S34" s="30"/>
      <c r="T34" s="33">
        <f t="shared" si="1"/>
        <v>0</v>
      </c>
      <c r="U34" s="10"/>
      <c r="V34" s="10"/>
      <c r="W34" s="10"/>
      <c r="X34" s="11"/>
      <c r="Y34" s="10"/>
      <c r="Z34" s="11"/>
      <c r="AA34" s="30"/>
      <c r="AB34" s="30"/>
      <c r="AC34" s="33">
        <f t="shared" si="2"/>
        <v>0</v>
      </c>
      <c r="AD34" s="12">
        <f t="shared" si="3"/>
        <v>163</v>
      </c>
      <c r="AE34" s="39"/>
      <c r="AF34" s="39"/>
      <c r="AG34" s="39"/>
      <c r="AH34" s="39"/>
      <c r="AI34" s="39"/>
      <c r="AJ34" s="39"/>
    </row>
    <row r="35" spans="1:36" x14ac:dyDescent="0.2">
      <c r="A35" s="5">
        <f>DAY(Kalenteri!A304)</f>
        <v>31</v>
      </c>
      <c r="B35" s="3" t="str">
        <f>IF(Kalenteri!B304=1,"su",IF(Kalenteri!B304=2,"ma",IF(Kalenteri!B304=3,"ti",IF(Kalenteri!B304=4,"ke",IF(Kalenteri!B304=5,"to",IF(Kalenteri!B304=6,"pe",IF(Kalenteri!B304=7,"la",)))))))</f>
        <v>to</v>
      </c>
      <c r="C35" s="79">
        <v>83</v>
      </c>
      <c r="D35" s="80">
        <v>12</v>
      </c>
      <c r="E35" s="80"/>
      <c r="F35" s="81">
        <v>1</v>
      </c>
      <c r="G35" s="79">
        <v>7</v>
      </c>
      <c r="H35" s="81">
        <v>79</v>
      </c>
      <c r="I35" s="79">
        <v>8</v>
      </c>
      <c r="J35" s="81">
        <v>12</v>
      </c>
      <c r="K35" s="34">
        <f t="shared" si="0"/>
        <v>202</v>
      </c>
      <c r="L35" s="20"/>
      <c r="M35" s="20"/>
      <c r="N35" s="20"/>
      <c r="O35" s="21"/>
      <c r="P35" s="20"/>
      <c r="Q35" s="21"/>
      <c r="R35" s="31"/>
      <c r="S35" s="31"/>
      <c r="T35" s="34">
        <f t="shared" si="1"/>
        <v>0</v>
      </c>
      <c r="U35" s="20"/>
      <c r="V35" s="20"/>
      <c r="W35" s="20"/>
      <c r="X35" s="21"/>
      <c r="Y35" s="20"/>
      <c r="Z35" s="21"/>
      <c r="AA35" s="31"/>
      <c r="AB35" s="31"/>
      <c r="AC35" s="34">
        <f t="shared" si="2"/>
        <v>0</v>
      </c>
      <c r="AD35" s="19">
        <f t="shared" si="3"/>
        <v>202</v>
      </c>
      <c r="AE35" s="39"/>
      <c r="AF35" s="39"/>
      <c r="AG35" s="39"/>
      <c r="AH35" s="39"/>
      <c r="AI35" s="39"/>
      <c r="AJ35" s="39"/>
    </row>
    <row r="36" spans="1:36" x14ac:dyDescent="0.2">
      <c r="A36" s="6"/>
      <c r="B36"/>
      <c r="C36" s="82">
        <f t="shared" ref="C36:J36" si="4">SUM(C5:C35)</f>
        <v>5425</v>
      </c>
      <c r="D36" s="83">
        <f t="shared" si="4"/>
        <v>1891</v>
      </c>
      <c r="E36" s="83">
        <f t="shared" si="4"/>
        <v>25</v>
      </c>
      <c r="F36" s="84">
        <f t="shared" si="4"/>
        <v>286</v>
      </c>
      <c r="G36" s="83">
        <f t="shared" si="4"/>
        <v>4563</v>
      </c>
      <c r="H36" s="84">
        <f t="shared" si="4"/>
        <v>4804</v>
      </c>
      <c r="I36" s="83">
        <f t="shared" si="4"/>
        <v>218</v>
      </c>
      <c r="J36" s="84">
        <f t="shared" si="4"/>
        <v>327</v>
      </c>
      <c r="K36" s="85">
        <f t="shared" si="0"/>
        <v>17539</v>
      </c>
      <c r="L36" s="83">
        <f t="shared" ref="L36:S36" si="5">SUM(L5:L35)</f>
        <v>0</v>
      </c>
      <c r="M36" s="83">
        <f t="shared" si="5"/>
        <v>0</v>
      </c>
      <c r="N36" s="83">
        <f t="shared" si="5"/>
        <v>0</v>
      </c>
      <c r="O36" s="84">
        <f t="shared" si="5"/>
        <v>0</v>
      </c>
      <c r="P36" s="83">
        <f t="shared" si="5"/>
        <v>0</v>
      </c>
      <c r="Q36" s="84">
        <f t="shared" si="5"/>
        <v>0</v>
      </c>
      <c r="R36" s="86">
        <f t="shared" si="5"/>
        <v>0</v>
      </c>
      <c r="S36" s="86">
        <f t="shared" si="5"/>
        <v>0</v>
      </c>
      <c r="T36" s="85">
        <f t="shared" si="1"/>
        <v>0</v>
      </c>
      <c r="U36" s="83">
        <f t="shared" ref="U36:AB36" si="6">SUM(U5:U35)</f>
        <v>10</v>
      </c>
      <c r="V36" s="83">
        <f t="shared" si="6"/>
        <v>0</v>
      </c>
      <c r="W36" s="83">
        <f t="shared" si="6"/>
        <v>0</v>
      </c>
      <c r="X36" s="84">
        <f t="shared" si="6"/>
        <v>0</v>
      </c>
      <c r="Y36" s="83">
        <f t="shared" si="6"/>
        <v>0</v>
      </c>
      <c r="Z36" s="84">
        <f t="shared" si="6"/>
        <v>0</v>
      </c>
      <c r="AA36" s="86">
        <f t="shared" si="6"/>
        <v>0</v>
      </c>
      <c r="AB36" s="86">
        <f t="shared" si="6"/>
        <v>0</v>
      </c>
      <c r="AC36" s="85">
        <f t="shared" si="2"/>
        <v>10</v>
      </c>
      <c r="AD36" s="87">
        <f t="shared" si="3"/>
        <v>17549</v>
      </c>
      <c r="AE36" s="66"/>
      <c r="AF36" s="66"/>
      <c r="AG36" s="66"/>
      <c r="AH36" s="66"/>
      <c r="AI36" s="66"/>
      <c r="AJ36" s="66"/>
    </row>
    <row r="37" spans="1:36" ht="8.1" customHeight="1" thickBot="1" x14ac:dyDescent="0.25">
      <c r="A37" s="6"/>
      <c r="B37"/>
      <c r="C37" s="2"/>
      <c r="D37" s="5"/>
      <c r="E37" s="5"/>
      <c r="F37" s="2"/>
      <c r="G37" s="2"/>
      <c r="H37" s="2"/>
      <c r="I37" s="5"/>
      <c r="J37" s="2"/>
      <c r="K37" s="2"/>
      <c r="L37" s="5"/>
      <c r="M37" s="2"/>
      <c r="N37" s="5"/>
      <c r="O37" s="5"/>
      <c r="P37" s="2"/>
      <c r="Q37" s="5"/>
      <c r="R37" s="42"/>
      <c r="S37" s="42"/>
      <c r="T37" s="2"/>
      <c r="U37" s="2"/>
      <c r="V37" s="2"/>
      <c r="W37" s="2"/>
      <c r="X37" s="5"/>
      <c r="Y37" s="2"/>
      <c r="Z37" s="2"/>
      <c r="AA37" s="39"/>
      <c r="AB37" s="39"/>
      <c r="AC37" s="5"/>
      <c r="AD37" s="40"/>
      <c r="AE37" s="40"/>
      <c r="AF37" s="40"/>
      <c r="AG37" s="40"/>
      <c r="AH37" s="40"/>
      <c r="AI37" s="40"/>
      <c r="AJ37" s="40"/>
    </row>
    <row r="38" spans="1:36" ht="24.95" customHeight="1" thickTop="1" x14ac:dyDescent="0.3">
      <c r="A38" s="6"/>
      <c r="B38"/>
      <c r="C38" s="171" t="str">
        <f>Kalenteri!E38</f>
        <v>Lippujen hinnat:</v>
      </c>
      <c r="D38" s="5"/>
      <c r="E38" s="5"/>
      <c r="F38" s="2"/>
      <c r="G38" s="2"/>
      <c r="H38" s="2"/>
      <c r="I38" s="5"/>
      <c r="J38" s="2"/>
      <c r="K38" s="2"/>
      <c r="L38" s="5"/>
      <c r="M38" s="2"/>
      <c r="N38" s="5"/>
      <c r="O38" s="5"/>
      <c r="P38" s="2"/>
      <c r="Q38"/>
      <c r="R38"/>
      <c r="S38"/>
      <c r="T38"/>
      <c r="U38" s="49" t="s">
        <v>71</v>
      </c>
      <c r="V38" s="50"/>
      <c r="W38" s="43"/>
      <c r="X38" s="44"/>
      <c r="Y38" s="43"/>
      <c r="Z38" s="43"/>
      <c r="AA38" s="44"/>
      <c r="AB38" s="44"/>
      <c r="AC38" s="47"/>
      <c r="AD38" s="45">
        <f>AD36</f>
        <v>17549</v>
      </c>
      <c r="AE38" s="41"/>
      <c r="AF38" s="41"/>
      <c r="AG38" s="41"/>
      <c r="AH38" s="41"/>
      <c r="AI38" s="41"/>
      <c r="AJ38" s="41"/>
    </row>
    <row r="39" spans="1:36" ht="24.95" customHeight="1" x14ac:dyDescent="0.3">
      <c r="A39" s="6"/>
      <c r="B39"/>
      <c r="C39" s="193" t="str">
        <f>Kalenteri!E39</f>
        <v>Mustikkamaan kautta: 1.9.-30.4. aik. 10 €, lapset 5 €, kimppalippu 30 €    1.5.-30.8. aik. 12 €, lapset 6 €, kimppalippu 36 €</v>
      </c>
      <c r="D39" s="89"/>
      <c r="E39" s="89"/>
      <c r="F39" s="90"/>
      <c r="G39" s="102"/>
      <c r="H39" s="174"/>
      <c r="I39" s="89"/>
      <c r="J39" s="90"/>
      <c r="K39" s="90"/>
      <c r="L39" s="89"/>
      <c r="M39" s="90"/>
      <c r="N39" s="89"/>
      <c r="O39" s="89"/>
      <c r="P39" s="89"/>
      <c r="Q39" s="104"/>
      <c r="R39" s="103"/>
      <c r="S39"/>
      <c r="T39"/>
      <c r="U39" s="62" t="s">
        <v>13</v>
      </c>
      <c r="V39" s="52"/>
      <c r="W39" s="53"/>
      <c r="X39" s="54"/>
      <c r="Y39" s="53"/>
      <c r="Z39" s="53"/>
      <c r="AA39" s="54"/>
      <c r="AB39" s="54"/>
      <c r="AC39" s="55"/>
      <c r="AD39" s="56">
        <f>AD36-Edellisvuosi!K7</f>
        <v>6670</v>
      </c>
      <c r="AE39" s="67"/>
      <c r="AF39" s="67"/>
      <c r="AG39" s="67"/>
      <c r="AH39" s="67"/>
      <c r="AI39" s="67"/>
      <c r="AJ39" s="67"/>
    </row>
    <row r="40" spans="1:36" ht="24.95" customHeight="1" x14ac:dyDescent="0.3">
      <c r="A40" s="6"/>
      <c r="B40" s="6"/>
      <c r="C40" s="194" t="str">
        <f>Kalenteri!E40</f>
        <v xml:space="preserve">                                    Vuosikortti:     aik. 50 €, lapset 20 €, perhekortti 100 €</v>
      </c>
      <c r="D40" s="39"/>
      <c r="E40" s="39"/>
      <c r="F40" s="42"/>
      <c r="G40" s="65"/>
      <c r="H40" s="176"/>
      <c r="I40" s="39"/>
      <c r="J40" s="42"/>
      <c r="K40" s="42"/>
      <c r="L40" s="39"/>
      <c r="M40" s="42"/>
      <c r="N40" s="39"/>
      <c r="O40" s="39"/>
      <c r="P40" s="39"/>
      <c r="Q40" s="23"/>
      <c r="R40" s="97"/>
      <c r="S40"/>
      <c r="T40"/>
      <c r="U40" s="63" t="s">
        <v>72</v>
      </c>
      <c r="V40" s="37"/>
      <c r="W40" s="51"/>
      <c r="X40" s="41"/>
      <c r="Y40" s="51"/>
      <c r="Z40" s="41"/>
      <c r="AA40" s="41"/>
      <c r="AB40" s="41"/>
      <c r="AC40" s="48"/>
      <c r="AD40" s="46">
        <f>AD36+'N1'!AD36+'N2'!AD36+'N3'!AD36+'N4'!AD36+'N5'!AD36+'N6'!AD36+'N7'!AD36+'N8'!AD36+'N9'!AD36</f>
        <v>475097</v>
      </c>
      <c r="AE40" s="41"/>
      <c r="AF40" s="41"/>
      <c r="AG40" s="41"/>
      <c r="AH40" s="41"/>
      <c r="AI40" s="41"/>
      <c r="AJ40" s="41"/>
    </row>
    <row r="41" spans="1:36" ht="24.95" customHeight="1" thickBot="1" x14ac:dyDescent="0.35">
      <c r="A41" s="4"/>
      <c r="B41" s="4"/>
      <c r="C41" s="195" t="str">
        <f>Kalenteri!E41</f>
        <v>Vesibusseilla:             1.9.-30.4. aik. 16 €, lapset 8 €, kimppalippu 47 €    1.5.-31.8. aik. 18 €, lapset 9 €, kimppalippu 53 €</v>
      </c>
      <c r="D41" s="93"/>
      <c r="E41" s="93"/>
      <c r="F41" s="94"/>
      <c r="G41" s="94"/>
      <c r="H41" s="175"/>
      <c r="I41" s="93"/>
      <c r="J41" s="96"/>
      <c r="K41" s="96"/>
      <c r="L41" s="93"/>
      <c r="M41" s="95"/>
      <c r="N41" s="95"/>
      <c r="O41" s="93"/>
      <c r="P41" s="93"/>
      <c r="Q41" s="95"/>
      <c r="R41" s="98"/>
      <c r="S41"/>
      <c r="T41"/>
      <c r="U41" s="64" t="s">
        <v>13</v>
      </c>
      <c r="V41" s="57"/>
      <c r="W41" s="58"/>
      <c r="X41" s="59"/>
      <c r="Y41" s="59"/>
      <c r="Z41" s="59"/>
      <c r="AA41" s="59"/>
      <c r="AB41" s="59"/>
      <c r="AC41" s="60"/>
      <c r="AD41" s="61">
        <f>AD40-Edellisvuosi!B7-Edellisvuosi!C7-Edellisvuosi!D7-Edellisvuosi!E7-Edellisvuosi!F7-Edellisvuosi!G7-Edellisvuosi!H7-Edellisvuosi!I7-Edellisvuosi!J7-Edellisvuosi!K7</f>
        <v>7992</v>
      </c>
      <c r="AE41" s="68"/>
      <c r="AF41" s="68"/>
      <c r="AG41" s="68"/>
      <c r="AH41" s="68"/>
      <c r="AI41" s="68"/>
      <c r="AJ41" s="68"/>
    </row>
    <row r="42" spans="1:36" ht="13.5" thickTop="1" x14ac:dyDescent="0.2"/>
  </sheetData>
  <sheetProtection password="C4AC" sheet="1" objects="1" scenarios="1"/>
  <phoneticPr fontId="4" type="noConversion"/>
  <pageMargins left="0" right="0" top="0.27559055118110237" bottom="0" header="0" footer="0"/>
  <pageSetup paperSize="9" scale="75" fitToHeight="0" orientation="landscape" horizontalDpi="4294967292" verticalDpi="4294967292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4753" r:id="rId4" name="Button 1">
              <controlPr defaultSize="0" print="0" autoFill="0" autoLine="0" autoPict="0" macro="[1]!TAMMI">
                <anchor moveWithCells="1" sizeWithCells="1">
                  <from>
                    <xdr:col>35</xdr:col>
                    <xdr:colOff>0</xdr:colOff>
                    <xdr:row>3</xdr:row>
                    <xdr:rowOff>9525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754" r:id="rId5" name="Button 2">
              <controlPr defaultSize="0" print="0" autoFill="0" autoLine="0" autoPict="0" macro="[1]KTMAKRO!$A$1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755" r:id="rId6" name="Button 3">
              <controlPr defaultSize="0" print="0" autoFill="0" autoLine="0" autoPict="0" macro="[1]!MAALIS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756" r:id="rId7" name="Button 4">
              <controlPr defaultSize="0" print="0" autoFill="0" autoLine="0" autoPict="0" macro="[1]KTMAKRO!$D$1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757" r:id="rId8" name="Button 5">
              <controlPr defaultSize="0" print="0" autoFill="0" autoLine="0" autoPict="0" macro="[1]KTMAKRO!$E$1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758" r:id="rId9" name="Button 6">
              <controlPr defaultSize="0" print="0" autoFill="0" autoLine="0" autoPict="0" macro="[1]!KESÄ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759" r:id="rId10" name="Button 7">
              <controlPr defaultSize="0" print="0" autoFill="0" autoLine="0" autoPict="0" macro="[1]!HELMI">
                <anchor moveWithCells="1" sizeWithCells="1">
                  <from>
                    <xdr:col>35</xdr:col>
                    <xdr:colOff>0</xdr:colOff>
                    <xdr:row>3</xdr:row>
                    <xdr:rowOff>9525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760" r:id="rId11" name="Button 8">
              <controlPr defaultSize="0" print="0" autoFill="0" autoLine="0" autoPict="0" macro="[1]KTMAKRO!$G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761" r:id="rId12" name="Button 9">
              <controlPr defaultSize="0" print="0" autoFill="0" autoLine="0" autoPict="0" macro="[1]KTMAKRO!$I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762" r:id="rId13" name="Button 10">
              <controlPr defaultSize="0" print="0" autoFill="0" autoLine="0" autoPict="0" macro="[1]KTMAKRO!$J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763" r:id="rId14" name="Button 11">
              <controlPr defaultSize="0" print="0" autoFill="0" autoLine="0" autoPict="0" macro="[1]KTMAKRO!$K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764" r:id="rId15" name="Button 12">
              <controlPr defaultSize="0" print="0" autoFill="0" autoLine="0" autoPict="0" macro="[1]KTMAKRO!$L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765" r:id="rId16" name="Button 13">
              <controlPr defaultSize="0" print="0" autoFill="0" autoLine="0" autoPict="0" macro="[1]KTMAKRO!$H$1">
                <anchor moveWithCells="1" sizeWithCells="1">
                  <from>
                    <xdr:col>35</xdr:col>
                    <xdr:colOff>0</xdr:colOff>
                    <xdr:row>5</xdr:row>
                    <xdr:rowOff>0</xdr:rowOff>
                  </from>
                  <to>
                    <xdr:col>35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766" r:id="rId17" name="Button 14">
              <controlPr defaultSize="0" print="0" autoFill="0" autoLine="0" autoPict="0" macro="[1]!Yhteenveto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5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767" r:id="rId18" name="Button 15">
              <controlPr defaultSize="0" print="0" autoFill="0" autoLine="0" autoPict="0" macro="[1]!GRAFIIKKA1">
                <anchor moveWithCells="1" sizeWithCells="1">
                  <from>
                    <xdr:col>35</xdr:col>
                    <xdr:colOff>0</xdr:colOff>
                    <xdr:row>8</xdr:row>
                    <xdr:rowOff>142875</xdr:rowOff>
                  </from>
                  <to>
                    <xdr:col>35</xdr:col>
                    <xdr:colOff>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768" r:id="rId19" name="Button 16">
              <controlPr defaultSize="0" print="0" autoFill="0" autoLine="0" autoPict="0" macro="[1]!Grafiikka2">
                <anchor moveWithCells="1" sizeWithCells="1">
                  <from>
                    <xdr:col>35</xdr:col>
                    <xdr:colOff>0</xdr:colOff>
                    <xdr:row>8</xdr:row>
                    <xdr:rowOff>152400</xdr:rowOff>
                  </from>
                  <to>
                    <xdr:col>35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769" r:id="rId20" name="Button 17">
              <controlPr defaultSize="0" print="0" autoFill="0" autoLine="0" autoPict="0" macro="[1]!Grafiikka4">
                <anchor moveWithCells="1" sizeWithCells="1">
                  <from>
                    <xdr:col>35</xdr:col>
                    <xdr:colOff>0</xdr:colOff>
                    <xdr:row>8</xdr:row>
                    <xdr:rowOff>142875</xdr:rowOff>
                  </from>
                  <to>
                    <xdr:col>35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770" r:id="rId21" name="Button 18">
              <controlPr defaultSize="0" print="0" autoFill="0" autoLine="0" autoPict="0" macro="[1]!Grafiikka4">
                <anchor moveWithCells="1" sizeWithCells="1">
                  <from>
                    <xdr:col>35</xdr:col>
                    <xdr:colOff>0</xdr:colOff>
                    <xdr:row>8</xdr:row>
                    <xdr:rowOff>152400</xdr:rowOff>
                  </from>
                  <to>
                    <xdr:col>35</xdr:col>
                    <xdr:colOff>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771" r:id="rId22" name="Button 19">
              <controlPr defaultSize="0" print="0" autoFill="0" autoLine="0" autoPict="0" macro="[1]!Grafiikka5">
                <anchor moveWithCells="1" sizeWithCells="1">
                  <from>
                    <xdr:col>35</xdr:col>
                    <xdr:colOff>0</xdr:colOff>
                    <xdr:row>8</xdr:row>
                    <xdr:rowOff>152400</xdr:rowOff>
                  </from>
                  <to>
                    <xdr:col>35</xdr:col>
                    <xdr:colOff>0</xdr:colOff>
                    <xdr:row>12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772" r:id="rId23" name="Button 20">
              <controlPr defaultSize="0" print="0" autoFill="0" autoLine="0" autoPict="0" macro="[1]!Perusikkuna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12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/>
  <dimension ref="A1:AJ42"/>
  <sheetViews>
    <sheetView showGridLines="0" zoomScale="80" zoomScaleNormal="80" workbookViewId="0"/>
  </sheetViews>
  <sheetFormatPr defaultColWidth="9.75" defaultRowHeight="12.75" x14ac:dyDescent="0.2"/>
  <cols>
    <col min="1" max="1" width="3.75" style="1" customWidth="1"/>
    <col min="2" max="2" width="2.75" style="1" customWidth="1"/>
    <col min="3" max="4" width="6.125" style="1" customWidth="1"/>
    <col min="5" max="5" width="4" style="1" customWidth="1"/>
    <col min="6" max="6" width="4.5" style="1" customWidth="1"/>
    <col min="7" max="10" width="6.125" style="1" customWidth="1"/>
    <col min="11" max="11" width="5.875" style="1" customWidth="1"/>
    <col min="12" max="13" width="6.125" style="1" customWidth="1"/>
    <col min="14" max="14" width="5.25" style="1" customWidth="1"/>
    <col min="15" max="15" width="4.5" style="1" customWidth="1"/>
    <col min="16" max="16" width="6.125" style="1" customWidth="1"/>
    <col min="17" max="17" width="5.5" style="1" customWidth="1"/>
    <col min="18" max="19" width="6.125" style="1" customWidth="1"/>
    <col min="20" max="20" width="5.875" style="1" customWidth="1"/>
    <col min="21" max="22" width="6.125" style="1" customWidth="1"/>
    <col min="23" max="23" width="4.375" style="1" customWidth="1"/>
    <col min="24" max="24" width="4.25" style="1" customWidth="1"/>
    <col min="25" max="29" width="6.125" style="1" customWidth="1"/>
    <col min="30" max="36" width="15.625" style="1" customWidth="1"/>
  </cols>
  <sheetData>
    <row r="1" spans="1:36" ht="30" customHeight="1" x14ac:dyDescent="0.35">
      <c r="A1" s="22"/>
      <c r="B1" s="4"/>
      <c r="C1" s="105" t="s">
        <v>15</v>
      </c>
      <c r="D1" s="106"/>
      <c r="E1" s="106"/>
      <c r="F1" s="106"/>
      <c r="G1" s="106"/>
      <c r="H1" s="106"/>
      <c r="I1" s="106"/>
      <c r="J1" s="106"/>
      <c r="K1" s="106"/>
      <c r="L1" s="105" t="str">
        <f>Kalenteri!$H$1</f>
        <v>KÄVIJÄTILASTO 2013</v>
      </c>
      <c r="M1" s="107"/>
      <c r="N1" s="107"/>
      <c r="O1" s="107"/>
      <c r="P1" s="106"/>
      <c r="Q1" s="106"/>
      <c r="R1" s="105" t="s">
        <v>80</v>
      </c>
      <c r="S1" s="108"/>
      <c r="T1" s="106"/>
      <c r="U1" s="109"/>
      <c r="V1" s="105" t="s">
        <v>20</v>
      </c>
      <c r="W1" s="109"/>
      <c r="X1" s="106"/>
      <c r="Y1" s="106"/>
      <c r="Z1" s="106"/>
      <c r="AA1" s="106"/>
      <c r="AB1" s="106"/>
      <c r="AC1" s="106"/>
      <c r="AD1" s="110"/>
      <c r="AE1" s="4"/>
      <c r="AF1" s="4"/>
      <c r="AG1" s="4"/>
      <c r="AH1" s="4"/>
      <c r="AI1" s="4"/>
      <c r="AJ1" s="4"/>
    </row>
    <row r="2" spans="1:36" ht="30" customHeight="1" x14ac:dyDescent="0.3">
      <c r="A2" s="3"/>
      <c r="B2" s="4"/>
      <c r="C2" s="72"/>
      <c r="D2" s="73"/>
      <c r="E2" s="74" t="s">
        <v>1</v>
      </c>
      <c r="F2" s="75"/>
      <c r="G2" s="75"/>
      <c r="H2" s="75"/>
      <c r="I2" s="75"/>
      <c r="J2" s="75"/>
      <c r="K2" s="76"/>
      <c r="L2" s="72"/>
      <c r="M2" s="77"/>
      <c r="N2" s="73"/>
      <c r="O2" s="74" t="s">
        <v>2</v>
      </c>
      <c r="P2" s="75"/>
      <c r="Q2" s="75"/>
      <c r="R2" s="75"/>
      <c r="S2" s="75"/>
      <c r="T2" s="76"/>
      <c r="U2" s="72"/>
      <c r="V2" s="75"/>
      <c r="W2" s="73"/>
      <c r="X2" s="74" t="s">
        <v>3</v>
      </c>
      <c r="Y2" s="75"/>
      <c r="Z2" s="75"/>
      <c r="AA2" s="75"/>
      <c r="AB2" s="75"/>
      <c r="AC2" s="76"/>
      <c r="AD2" s="13"/>
      <c r="AE2" s="35"/>
      <c r="AF2" s="69"/>
      <c r="AG2" s="69"/>
      <c r="AH2" s="69"/>
      <c r="AI2" s="69"/>
      <c r="AJ2" s="69"/>
    </row>
    <row r="3" spans="1:36" x14ac:dyDescent="0.2">
      <c r="A3" s="4"/>
      <c r="B3" s="4"/>
      <c r="C3" s="24" t="s">
        <v>4</v>
      </c>
      <c r="D3" s="25"/>
      <c r="E3" s="25"/>
      <c r="F3" s="26"/>
      <c r="G3" s="24" t="s">
        <v>5</v>
      </c>
      <c r="H3" s="26"/>
      <c r="I3" s="25" t="s">
        <v>6</v>
      </c>
      <c r="J3" s="25"/>
      <c r="K3" s="27"/>
      <c r="L3" s="24" t="s">
        <v>4</v>
      </c>
      <c r="M3" s="25"/>
      <c r="N3" s="25"/>
      <c r="O3" s="26"/>
      <c r="P3" s="24" t="s">
        <v>5</v>
      </c>
      <c r="Q3" s="26"/>
      <c r="R3" s="25" t="s">
        <v>6</v>
      </c>
      <c r="S3" s="25"/>
      <c r="T3" s="27"/>
      <c r="U3" s="24" t="s">
        <v>4</v>
      </c>
      <c r="V3" s="25"/>
      <c r="W3" s="25"/>
      <c r="X3" s="26"/>
      <c r="Y3" s="24" t="s">
        <v>5</v>
      </c>
      <c r="Z3" s="26"/>
      <c r="AA3" s="25" t="s">
        <v>6</v>
      </c>
      <c r="AB3" s="25"/>
      <c r="AC3" s="27"/>
      <c r="AD3" s="36" t="s">
        <v>7</v>
      </c>
      <c r="AE3" s="38"/>
      <c r="AF3" s="70"/>
      <c r="AG3" s="70"/>
      <c r="AH3" s="70"/>
      <c r="AI3" s="70"/>
      <c r="AJ3"/>
    </row>
    <row r="4" spans="1:36" x14ac:dyDescent="0.2">
      <c r="A4" s="6"/>
      <c r="B4" s="4"/>
      <c r="C4" s="7" t="s">
        <v>8</v>
      </c>
      <c r="D4" s="8" t="s">
        <v>9</v>
      </c>
      <c r="E4" s="8" t="s">
        <v>10</v>
      </c>
      <c r="F4" s="9" t="s">
        <v>11</v>
      </c>
      <c r="G4" s="7" t="s">
        <v>8</v>
      </c>
      <c r="H4" s="9" t="s">
        <v>9</v>
      </c>
      <c r="I4" s="8" t="s">
        <v>8</v>
      </c>
      <c r="J4" s="8" t="s">
        <v>9</v>
      </c>
      <c r="K4" s="14" t="s">
        <v>0</v>
      </c>
      <c r="L4" s="7" t="s">
        <v>8</v>
      </c>
      <c r="M4" s="8" t="s">
        <v>9</v>
      </c>
      <c r="N4" s="8" t="s">
        <v>10</v>
      </c>
      <c r="O4" s="9" t="s">
        <v>11</v>
      </c>
      <c r="P4" s="7" t="s">
        <v>8</v>
      </c>
      <c r="Q4" s="9" t="s">
        <v>9</v>
      </c>
      <c r="R4" s="8" t="s">
        <v>8</v>
      </c>
      <c r="S4" s="8" t="s">
        <v>9</v>
      </c>
      <c r="T4" s="14" t="s">
        <v>0</v>
      </c>
      <c r="U4" s="7" t="s">
        <v>8</v>
      </c>
      <c r="V4" s="8" t="s">
        <v>9</v>
      </c>
      <c r="W4" s="8" t="s">
        <v>10</v>
      </c>
      <c r="X4" s="9" t="s">
        <v>11</v>
      </c>
      <c r="Y4" s="7" t="s">
        <v>8</v>
      </c>
      <c r="Z4" s="9" t="s">
        <v>9</v>
      </c>
      <c r="AA4" s="8" t="s">
        <v>8</v>
      </c>
      <c r="AB4" s="8" t="s">
        <v>9</v>
      </c>
      <c r="AC4" s="14" t="s">
        <v>0</v>
      </c>
      <c r="AD4" s="28"/>
      <c r="AE4" s="23"/>
      <c r="AF4" s="23"/>
      <c r="AG4" s="23"/>
      <c r="AH4" s="23"/>
      <c r="AI4" s="23"/>
      <c r="AJ4"/>
    </row>
    <row r="5" spans="1:36" x14ac:dyDescent="0.2">
      <c r="A5" s="5">
        <f>DAY(Kalenteri!A305)</f>
        <v>1</v>
      </c>
      <c r="B5" s="3" t="str">
        <f>IF(Kalenteri!B305=1,"su",IF(Kalenteri!B305=2,"ma",IF(Kalenteri!B305=3,"ti",IF(Kalenteri!B305=4,"ke",IF(Kalenteri!B305=5,"to",IF(Kalenteri!B305=6,"pe",IF(Kalenteri!B305=7,"la",)))))))</f>
        <v>pe</v>
      </c>
      <c r="C5" s="78">
        <f>14+4+1</f>
        <v>19</v>
      </c>
      <c r="D5" s="15">
        <f>6+1</f>
        <v>7</v>
      </c>
      <c r="E5" s="15"/>
      <c r="F5" s="16">
        <v>2</v>
      </c>
      <c r="G5" s="78">
        <v>3</v>
      </c>
      <c r="H5" s="16">
        <f>8+17</f>
        <v>25</v>
      </c>
      <c r="I5" s="78"/>
      <c r="J5" s="16"/>
      <c r="K5" s="32">
        <f t="shared" ref="K5:K36" si="0">SUM(C5:J5)</f>
        <v>56</v>
      </c>
      <c r="L5" s="15">
        <f>62+1+15</f>
        <v>78</v>
      </c>
      <c r="M5" s="15">
        <v>10</v>
      </c>
      <c r="N5" s="15"/>
      <c r="O5" s="16">
        <v>10</v>
      </c>
      <c r="P5" s="15"/>
      <c r="Q5" s="16">
        <v>18</v>
      </c>
      <c r="R5" s="29"/>
      <c r="S5" s="29"/>
      <c r="T5" s="32">
        <f t="shared" ref="T5:T36" si="1">SUM(L5:S5)</f>
        <v>116</v>
      </c>
      <c r="U5" s="15"/>
      <c r="V5" s="15"/>
      <c r="W5" s="15"/>
      <c r="X5" s="16"/>
      <c r="Y5" s="15"/>
      <c r="Z5" s="16"/>
      <c r="AA5" s="29"/>
      <c r="AB5" s="29"/>
      <c r="AC5" s="32">
        <f t="shared" ref="AC5:AC36" si="2">SUM(U5:AB5)</f>
        <v>0</v>
      </c>
      <c r="AD5" s="17">
        <f t="shared" ref="AD5:AD36" si="3">SUM(K5,T5,AC5)</f>
        <v>172</v>
      </c>
      <c r="AE5" s="39"/>
      <c r="AF5" s="39"/>
      <c r="AG5" s="39"/>
      <c r="AH5" s="39"/>
      <c r="AI5" s="39"/>
      <c r="AJ5"/>
    </row>
    <row r="6" spans="1:36" x14ac:dyDescent="0.2">
      <c r="A6" s="5">
        <f>DAY(Kalenteri!A306)</f>
        <v>2</v>
      </c>
      <c r="B6" s="3" t="str">
        <f>IF(Kalenteri!B306=1,"su",IF(Kalenteri!B306=2,"ma",IF(Kalenteri!B306=3,"ti",IF(Kalenteri!B306=4,"ke",IF(Kalenteri!B306=5,"to",IF(Kalenteri!B306=6,"pe",IF(Kalenteri!B306=7,"la",)))))))</f>
        <v>la</v>
      </c>
      <c r="C6" s="18">
        <f>36+489+22+19+4</f>
        <v>570</v>
      </c>
      <c r="D6" s="10">
        <f>8+116</f>
        <v>124</v>
      </c>
      <c r="E6" s="10">
        <v>6</v>
      </c>
      <c r="F6" s="11">
        <v>19</v>
      </c>
      <c r="G6" s="18">
        <f>1+2</f>
        <v>3</v>
      </c>
      <c r="H6" s="11">
        <f>131</f>
        <v>131</v>
      </c>
      <c r="I6" s="18">
        <v>2</v>
      </c>
      <c r="J6" s="11">
        <v>3</v>
      </c>
      <c r="K6" s="33">
        <f t="shared" si="0"/>
        <v>858</v>
      </c>
      <c r="L6" s="10"/>
      <c r="M6" s="10"/>
      <c r="N6" s="10"/>
      <c r="O6" s="11"/>
      <c r="P6" s="10"/>
      <c r="Q6" s="11"/>
      <c r="R6" s="30"/>
      <c r="S6" s="30"/>
      <c r="T6" s="33">
        <f t="shared" si="1"/>
        <v>0</v>
      </c>
      <c r="U6" s="10"/>
      <c r="V6" s="10"/>
      <c r="W6" s="10"/>
      <c r="X6" s="11"/>
      <c r="Y6" s="10"/>
      <c r="Z6" s="11"/>
      <c r="AA6" s="30"/>
      <c r="AB6" s="30"/>
      <c r="AC6" s="33">
        <f t="shared" si="2"/>
        <v>0</v>
      </c>
      <c r="AD6" s="12">
        <f t="shared" si="3"/>
        <v>858</v>
      </c>
      <c r="AE6" s="39"/>
      <c r="AF6" s="39"/>
      <c r="AG6" s="39"/>
      <c r="AH6" s="39"/>
      <c r="AI6" s="39"/>
      <c r="AJ6"/>
    </row>
    <row r="7" spans="1:36" x14ac:dyDescent="0.2">
      <c r="A7" s="5">
        <f>DAY(Kalenteri!A307)</f>
        <v>3</v>
      </c>
      <c r="B7" s="3" t="str">
        <f>IF(Kalenteri!B307=1,"su",IF(Kalenteri!B307=2,"ma",IF(Kalenteri!B307=3,"ti",IF(Kalenteri!B307=4,"ke",IF(Kalenteri!B307=5,"to",IF(Kalenteri!B307=6,"pe",IF(Kalenteri!B307=7,"la",)))))))</f>
        <v>su</v>
      </c>
      <c r="C7" s="18">
        <f>411+8+3+22</f>
        <v>444</v>
      </c>
      <c r="D7" s="10">
        <f>115</f>
        <v>115</v>
      </c>
      <c r="E7" s="10">
        <f>3</f>
        <v>3</v>
      </c>
      <c r="F7" s="11">
        <f>2+1+1+5+6</f>
        <v>15</v>
      </c>
      <c r="G7" s="18">
        <f>1+1+6</f>
        <v>8</v>
      </c>
      <c r="H7" s="11">
        <f>97+2</f>
        <v>99</v>
      </c>
      <c r="I7" s="18">
        <f>6</f>
        <v>6</v>
      </c>
      <c r="J7" s="11">
        <v>9</v>
      </c>
      <c r="K7" s="33">
        <f t="shared" si="0"/>
        <v>699</v>
      </c>
      <c r="L7" s="10"/>
      <c r="M7" s="10"/>
      <c r="N7" s="10"/>
      <c r="O7" s="11"/>
      <c r="P7" s="10"/>
      <c r="Q7" s="11"/>
      <c r="R7" s="30"/>
      <c r="S7" s="30"/>
      <c r="T7" s="33">
        <f t="shared" si="1"/>
        <v>0</v>
      </c>
      <c r="U7" s="10"/>
      <c r="V7" s="10"/>
      <c r="W7" s="10"/>
      <c r="X7" s="11"/>
      <c r="Y7" s="10"/>
      <c r="Z7" s="11"/>
      <c r="AA7" s="30"/>
      <c r="AB7" s="30"/>
      <c r="AC7" s="33">
        <f t="shared" si="2"/>
        <v>0</v>
      </c>
      <c r="AD7" s="12">
        <f t="shared" si="3"/>
        <v>699</v>
      </c>
      <c r="AE7" s="39"/>
      <c r="AF7" s="39"/>
      <c r="AG7" s="39"/>
      <c r="AH7" s="39"/>
      <c r="AI7" s="39"/>
      <c r="AJ7"/>
    </row>
    <row r="8" spans="1:36" x14ac:dyDescent="0.2">
      <c r="A8" s="5">
        <f>DAY(Kalenteri!A308)</f>
        <v>4</v>
      </c>
      <c r="B8" s="3" t="str">
        <f>IF(Kalenteri!B308=1,"su",IF(Kalenteri!B308=2,"ma",IF(Kalenteri!B308=3,"ti",IF(Kalenteri!B308=4,"ke",IF(Kalenteri!B308=5,"to",IF(Kalenteri!B308=6,"pe",IF(Kalenteri!B308=7,"la",)))))))</f>
        <v>ma</v>
      </c>
      <c r="C8" s="18">
        <v>39</v>
      </c>
      <c r="D8" s="10">
        <v>29</v>
      </c>
      <c r="E8" s="10"/>
      <c r="F8" s="11">
        <v>2</v>
      </c>
      <c r="G8" s="18">
        <v>2</v>
      </c>
      <c r="H8" s="11">
        <v>18</v>
      </c>
      <c r="I8" s="18"/>
      <c r="J8" s="11"/>
      <c r="K8" s="33">
        <f t="shared" si="0"/>
        <v>90</v>
      </c>
      <c r="L8" s="10"/>
      <c r="M8" s="10"/>
      <c r="N8" s="10"/>
      <c r="O8" s="11"/>
      <c r="P8" s="10"/>
      <c r="Q8" s="11"/>
      <c r="R8" s="30"/>
      <c r="S8" s="30"/>
      <c r="T8" s="33">
        <f t="shared" si="1"/>
        <v>0</v>
      </c>
      <c r="U8" s="10"/>
      <c r="V8" s="10"/>
      <c r="W8" s="10"/>
      <c r="X8" s="11"/>
      <c r="Y8" s="10"/>
      <c r="Z8" s="11"/>
      <c r="AA8" s="30"/>
      <c r="AB8" s="30"/>
      <c r="AC8" s="33">
        <f t="shared" si="2"/>
        <v>0</v>
      </c>
      <c r="AD8" s="12">
        <f t="shared" si="3"/>
        <v>90</v>
      </c>
      <c r="AE8" s="39"/>
      <c r="AF8" s="39"/>
      <c r="AG8" s="39"/>
      <c r="AH8" s="39"/>
      <c r="AI8" s="39"/>
      <c r="AJ8"/>
    </row>
    <row r="9" spans="1:36" x14ac:dyDescent="0.2">
      <c r="A9" s="5">
        <f>DAY(Kalenteri!A309)</f>
        <v>5</v>
      </c>
      <c r="B9" s="3" t="str">
        <f>IF(Kalenteri!B309=1,"su",IF(Kalenteri!B309=2,"ma",IF(Kalenteri!B309=3,"ti",IF(Kalenteri!B309=4,"ke",IF(Kalenteri!B309=5,"to",IF(Kalenteri!B309=6,"pe",IF(Kalenteri!B309=7,"la",)))))))</f>
        <v>ti</v>
      </c>
      <c r="C9" s="18">
        <v>28</v>
      </c>
      <c r="D9" s="10">
        <v>10</v>
      </c>
      <c r="E9" s="10">
        <v>4</v>
      </c>
      <c r="F9" s="11"/>
      <c r="G9" s="18">
        <f>4</f>
        <v>4</v>
      </c>
      <c r="H9" s="11">
        <f>3+6</f>
        <v>9</v>
      </c>
      <c r="I9" s="18">
        <v>2</v>
      </c>
      <c r="J9" s="11">
        <v>3</v>
      </c>
      <c r="K9" s="33">
        <f t="shared" si="0"/>
        <v>60</v>
      </c>
      <c r="L9" s="10"/>
      <c r="M9" s="10"/>
      <c r="N9" s="10"/>
      <c r="O9" s="11"/>
      <c r="P9" s="10"/>
      <c r="Q9" s="11"/>
      <c r="R9" s="30"/>
      <c r="S9" s="30"/>
      <c r="T9" s="33">
        <f t="shared" si="1"/>
        <v>0</v>
      </c>
      <c r="U9" s="10"/>
      <c r="V9" s="10"/>
      <c r="W9" s="10"/>
      <c r="X9" s="11"/>
      <c r="Y9" s="10"/>
      <c r="Z9" s="11"/>
      <c r="AA9" s="30"/>
      <c r="AB9" s="30"/>
      <c r="AC9" s="33">
        <f t="shared" si="2"/>
        <v>0</v>
      </c>
      <c r="AD9" s="12">
        <f t="shared" si="3"/>
        <v>60</v>
      </c>
      <c r="AE9" s="39"/>
      <c r="AF9" s="39"/>
      <c r="AG9" s="39"/>
      <c r="AH9" s="39"/>
      <c r="AI9" s="39"/>
      <c r="AJ9"/>
    </row>
    <row r="10" spans="1:36" x14ac:dyDescent="0.2">
      <c r="A10" s="5">
        <f>DAY(Kalenteri!A310)</f>
        <v>6</v>
      </c>
      <c r="B10" s="3" t="str">
        <f>IF(Kalenteri!B310=1,"su",IF(Kalenteri!B310=2,"ma",IF(Kalenteri!B310=3,"ti",IF(Kalenteri!B310=4,"ke",IF(Kalenteri!B310=5,"to",IF(Kalenteri!B310=6,"pe",IF(Kalenteri!B310=7,"la",)))))))</f>
        <v>ke</v>
      </c>
      <c r="C10" s="18">
        <v>163</v>
      </c>
      <c r="D10" s="10">
        <v>67</v>
      </c>
      <c r="E10" s="10">
        <v>2</v>
      </c>
      <c r="F10" s="11">
        <v>8</v>
      </c>
      <c r="G10" s="18">
        <v>2</v>
      </c>
      <c r="H10" s="11">
        <v>50</v>
      </c>
      <c r="I10" s="18">
        <v>2</v>
      </c>
      <c r="J10" s="11">
        <v>3</v>
      </c>
      <c r="K10" s="33">
        <f t="shared" si="0"/>
        <v>297</v>
      </c>
      <c r="L10" s="10"/>
      <c r="M10" s="10"/>
      <c r="N10" s="10"/>
      <c r="O10" s="11"/>
      <c r="P10" s="10"/>
      <c r="Q10" s="11"/>
      <c r="R10" s="30"/>
      <c r="S10" s="30"/>
      <c r="T10" s="33">
        <f t="shared" si="1"/>
        <v>0</v>
      </c>
      <c r="U10" s="10"/>
      <c r="V10" s="10"/>
      <c r="W10" s="10"/>
      <c r="X10" s="11"/>
      <c r="Y10" s="10"/>
      <c r="Z10" s="11"/>
      <c r="AA10" s="30"/>
      <c r="AB10" s="30"/>
      <c r="AC10" s="33">
        <f t="shared" si="2"/>
        <v>0</v>
      </c>
      <c r="AD10" s="12">
        <f t="shared" si="3"/>
        <v>297</v>
      </c>
      <c r="AE10" s="39"/>
      <c r="AF10" s="39"/>
      <c r="AG10" s="39"/>
      <c r="AH10" s="39"/>
      <c r="AI10" s="39"/>
      <c r="AJ10"/>
    </row>
    <row r="11" spans="1:36" x14ac:dyDescent="0.2">
      <c r="A11" s="5">
        <f>DAY(Kalenteri!A311)</f>
        <v>7</v>
      </c>
      <c r="B11" s="3" t="str">
        <f>IF(Kalenteri!B311=1,"su",IF(Kalenteri!B311=2,"ma",IF(Kalenteri!B311=3,"ti",IF(Kalenteri!B311=4,"ke",IF(Kalenteri!B311=5,"to",IF(Kalenteri!B311=6,"pe",IF(Kalenteri!B311=7,"la",)))))))</f>
        <v>to</v>
      </c>
      <c r="C11" s="18">
        <v>92</v>
      </c>
      <c r="D11" s="10">
        <v>39</v>
      </c>
      <c r="E11" s="10"/>
      <c r="F11" s="11">
        <v>3</v>
      </c>
      <c r="G11" s="18">
        <v>3</v>
      </c>
      <c r="H11" s="11">
        <v>26</v>
      </c>
      <c r="I11" s="18">
        <v>4</v>
      </c>
      <c r="J11" s="11">
        <v>6</v>
      </c>
      <c r="K11" s="33">
        <f t="shared" si="0"/>
        <v>173</v>
      </c>
      <c r="L11" s="10"/>
      <c r="M11" s="10"/>
      <c r="N11" s="10"/>
      <c r="O11" s="11"/>
      <c r="P11" s="10"/>
      <c r="Q11" s="11"/>
      <c r="R11" s="30"/>
      <c r="S11" s="30"/>
      <c r="T11" s="33">
        <f t="shared" si="1"/>
        <v>0</v>
      </c>
      <c r="U11" s="10"/>
      <c r="V11" s="10"/>
      <c r="W11" s="10"/>
      <c r="X11" s="11"/>
      <c r="Y11" s="10"/>
      <c r="Z11" s="11"/>
      <c r="AA11" s="30"/>
      <c r="AB11" s="30"/>
      <c r="AC11" s="33">
        <f t="shared" si="2"/>
        <v>0</v>
      </c>
      <c r="AD11" s="12">
        <f t="shared" si="3"/>
        <v>173</v>
      </c>
      <c r="AE11" s="39"/>
      <c r="AF11" s="39"/>
      <c r="AG11" s="39"/>
      <c r="AH11" s="39"/>
      <c r="AI11" s="39"/>
      <c r="AJ11"/>
    </row>
    <row r="12" spans="1:36" x14ac:dyDescent="0.2">
      <c r="A12" s="5">
        <f>DAY(Kalenteri!A312)</f>
        <v>8</v>
      </c>
      <c r="B12" s="3" t="str">
        <f>IF(Kalenteri!B312=1,"su",IF(Kalenteri!B312=2,"ma",IF(Kalenteri!B312=3,"ti",IF(Kalenteri!B312=4,"ke",IF(Kalenteri!B312=5,"to",IF(Kalenteri!B312=6,"pe",IF(Kalenteri!B312=7,"la",)))))))</f>
        <v>pe</v>
      </c>
      <c r="C12" s="18">
        <v>115</v>
      </c>
      <c r="D12" s="10">
        <v>57</v>
      </c>
      <c r="E12" s="10"/>
      <c r="F12" s="11">
        <v>10</v>
      </c>
      <c r="G12" s="18"/>
      <c r="H12" s="11">
        <v>26</v>
      </c>
      <c r="I12" s="18">
        <v>4</v>
      </c>
      <c r="J12" s="11">
        <v>6</v>
      </c>
      <c r="K12" s="33">
        <f t="shared" si="0"/>
        <v>218</v>
      </c>
      <c r="L12" s="10"/>
      <c r="M12" s="10"/>
      <c r="N12" s="10"/>
      <c r="O12" s="11"/>
      <c r="P12" s="10"/>
      <c r="Q12" s="11"/>
      <c r="R12" s="30"/>
      <c r="S12" s="30"/>
      <c r="T12" s="33">
        <f t="shared" si="1"/>
        <v>0</v>
      </c>
      <c r="U12" s="10"/>
      <c r="V12" s="10"/>
      <c r="W12" s="10"/>
      <c r="X12" s="11"/>
      <c r="Y12" s="10"/>
      <c r="Z12" s="11"/>
      <c r="AA12" s="30"/>
      <c r="AB12" s="30"/>
      <c r="AC12" s="33">
        <f t="shared" si="2"/>
        <v>0</v>
      </c>
      <c r="AD12" s="12">
        <f t="shared" si="3"/>
        <v>218</v>
      </c>
      <c r="AE12" s="39"/>
      <c r="AF12" s="39"/>
      <c r="AG12" s="39"/>
      <c r="AH12" s="39"/>
      <c r="AI12" s="39"/>
      <c r="AJ12"/>
    </row>
    <row r="13" spans="1:36" x14ac:dyDescent="0.2">
      <c r="A13" s="5">
        <f>DAY(Kalenteri!A313)</f>
        <v>9</v>
      </c>
      <c r="B13" s="3" t="str">
        <f>IF(Kalenteri!B313=1,"su",IF(Kalenteri!B313=2,"ma",IF(Kalenteri!B313=3,"ti",IF(Kalenteri!B313=4,"ke",IF(Kalenteri!B313=5,"to",IF(Kalenteri!B313=6,"pe",IF(Kalenteri!B313=7,"la",)))))))</f>
        <v>la</v>
      </c>
      <c r="C13" s="18">
        <f>202+3+10+7+20</f>
        <v>242</v>
      </c>
      <c r="D13" s="10">
        <f>59+3</f>
        <v>62</v>
      </c>
      <c r="E13" s="10">
        <v>2</v>
      </c>
      <c r="F13" s="11">
        <f>2+19</f>
        <v>21</v>
      </c>
      <c r="G13" s="18">
        <v>1</v>
      </c>
      <c r="H13" s="11">
        <f>72+5</f>
        <v>77</v>
      </c>
      <c r="I13" s="18"/>
      <c r="J13" s="11"/>
      <c r="K13" s="33">
        <f t="shared" si="0"/>
        <v>405</v>
      </c>
      <c r="L13" s="10"/>
      <c r="M13" s="10"/>
      <c r="N13" s="10"/>
      <c r="O13" s="11"/>
      <c r="P13" s="10"/>
      <c r="Q13" s="11"/>
      <c r="R13" s="30"/>
      <c r="S13" s="30"/>
      <c r="T13" s="33">
        <f t="shared" si="1"/>
        <v>0</v>
      </c>
      <c r="U13" s="10"/>
      <c r="V13" s="10"/>
      <c r="W13" s="10"/>
      <c r="X13" s="11"/>
      <c r="Y13" s="10"/>
      <c r="Z13" s="11"/>
      <c r="AA13" s="30"/>
      <c r="AB13" s="30"/>
      <c r="AC13" s="33">
        <f t="shared" si="2"/>
        <v>0</v>
      </c>
      <c r="AD13" s="12">
        <f t="shared" si="3"/>
        <v>405</v>
      </c>
      <c r="AE13" s="39"/>
      <c r="AF13" s="39"/>
      <c r="AG13" s="39"/>
      <c r="AH13" s="39"/>
      <c r="AI13" s="39"/>
      <c r="AJ13"/>
    </row>
    <row r="14" spans="1:36" x14ac:dyDescent="0.2">
      <c r="A14" s="5">
        <f>DAY(Kalenteri!A314)</f>
        <v>10</v>
      </c>
      <c r="B14" s="3" t="str">
        <f>IF(Kalenteri!B314=1,"su",IF(Kalenteri!B314=2,"ma",IF(Kalenteri!B314=3,"ti",IF(Kalenteri!B314=4,"ke",IF(Kalenteri!B314=5,"to",IF(Kalenteri!B314=6,"pe",IF(Kalenteri!B314=7,"la",)))))))</f>
        <v>su</v>
      </c>
      <c r="C14" s="18">
        <f>113+10+15+3+2</f>
        <v>143</v>
      </c>
      <c r="D14" s="10">
        <f>27</f>
        <v>27</v>
      </c>
      <c r="E14" s="10"/>
      <c r="F14" s="11">
        <v>13</v>
      </c>
      <c r="G14" s="18">
        <v>2</v>
      </c>
      <c r="H14" s="11">
        <f>25+3</f>
        <v>28</v>
      </c>
      <c r="I14" s="18"/>
      <c r="J14" s="11"/>
      <c r="K14" s="33">
        <f t="shared" si="0"/>
        <v>213</v>
      </c>
      <c r="L14" s="10"/>
      <c r="M14" s="10"/>
      <c r="N14" s="10"/>
      <c r="O14" s="11"/>
      <c r="P14" s="10"/>
      <c r="Q14" s="11"/>
      <c r="R14" s="30"/>
      <c r="S14" s="30"/>
      <c r="T14" s="33">
        <f t="shared" si="1"/>
        <v>0</v>
      </c>
      <c r="U14" s="10"/>
      <c r="V14" s="10"/>
      <c r="W14" s="10"/>
      <c r="X14" s="11"/>
      <c r="Y14" s="10"/>
      <c r="Z14" s="11"/>
      <c r="AA14" s="30"/>
      <c r="AB14" s="30"/>
      <c r="AC14" s="33">
        <f t="shared" si="2"/>
        <v>0</v>
      </c>
      <c r="AD14" s="12">
        <f t="shared" si="3"/>
        <v>213</v>
      </c>
      <c r="AE14" s="39"/>
      <c r="AF14" s="39"/>
      <c r="AG14" s="39"/>
      <c r="AH14" s="39"/>
      <c r="AI14" s="39"/>
      <c r="AJ14"/>
    </row>
    <row r="15" spans="1:36" x14ac:dyDescent="0.2">
      <c r="A15" s="5">
        <f>DAY(Kalenteri!A315)</f>
        <v>11</v>
      </c>
      <c r="B15" s="3" t="str">
        <f>IF(Kalenteri!B315=1,"su",IF(Kalenteri!B315=2,"ma",IF(Kalenteri!B315=3,"ti",IF(Kalenteri!B315=4,"ke",IF(Kalenteri!B315=5,"to",IF(Kalenteri!B315=6,"pe",IF(Kalenteri!B315=7,"la",)))))))</f>
        <v>ma</v>
      </c>
      <c r="C15" s="18">
        <v>36</v>
      </c>
      <c r="D15" s="10">
        <v>3</v>
      </c>
      <c r="E15" s="10">
        <v>2</v>
      </c>
      <c r="F15" s="11">
        <v>4</v>
      </c>
      <c r="G15" s="18"/>
      <c r="H15" s="11">
        <v>20</v>
      </c>
      <c r="I15" s="18"/>
      <c r="J15" s="11"/>
      <c r="K15" s="33">
        <f t="shared" si="0"/>
        <v>65</v>
      </c>
      <c r="L15" s="10"/>
      <c r="M15" s="10"/>
      <c r="N15" s="10"/>
      <c r="O15" s="11"/>
      <c r="P15" s="10"/>
      <c r="Q15" s="11"/>
      <c r="R15" s="30"/>
      <c r="S15" s="30"/>
      <c r="T15" s="33">
        <f t="shared" si="1"/>
        <v>0</v>
      </c>
      <c r="U15" s="10"/>
      <c r="V15" s="10"/>
      <c r="W15" s="10"/>
      <c r="X15" s="11"/>
      <c r="Y15" s="10"/>
      <c r="Z15" s="11"/>
      <c r="AA15" s="30"/>
      <c r="AB15" s="30"/>
      <c r="AC15" s="33">
        <f t="shared" si="2"/>
        <v>0</v>
      </c>
      <c r="AD15" s="12">
        <f t="shared" si="3"/>
        <v>65</v>
      </c>
      <c r="AE15" s="39"/>
      <c r="AF15" s="39"/>
      <c r="AG15" s="39"/>
      <c r="AH15" s="39"/>
      <c r="AI15" s="39"/>
      <c r="AJ15"/>
    </row>
    <row r="16" spans="1:36" x14ac:dyDescent="0.2">
      <c r="A16" s="5">
        <f>DAY(Kalenteri!A316)</f>
        <v>12</v>
      </c>
      <c r="B16" s="3" t="str">
        <f>IF(Kalenteri!B316=1,"su",IF(Kalenteri!B316=2,"ma",IF(Kalenteri!B316=3,"ti",IF(Kalenteri!B316=4,"ke",IF(Kalenteri!B316=5,"to",IF(Kalenteri!B316=6,"pe",IF(Kalenteri!B316=7,"la",)))))))</f>
        <v>ti</v>
      </c>
      <c r="C16" s="18">
        <v>40</v>
      </c>
      <c r="D16" s="10">
        <v>14</v>
      </c>
      <c r="E16" s="10"/>
      <c r="F16" s="11">
        <v>3</v>
      </c>
      <c r="G16" s="18">
        <v>5</v>
      </c>
      <c r="H16" s="11">
        <v>54</v>
      </c>
      <c r="I16" s="18"/>
      <c r="J16" s="11"/>
      <c r="K16" s="33">
        <f t="shared" si="0"/>
        <v>116</v>
      </c>
      <c r="L16" s="10"/>
      <c r="M16" s="10"/>
      <c r="N16" s="10"/>
      <c r="O16" s="11"/>
      <c r="P16" s="10"/>
      <c r="Q16" s="11"/>
      <c r="R16" s="30"/>
      <c r="S16" s="30"/>
      <c r="T16" s="33">
        <f t="shared" si="1"/>
        <v>0</v>
      </c>
      <c r="U16" s="10"/>
      <c r="V16" s="10"/>
      <c r="W16" s="10"/>
      <c r="X16" s="11"/>
      <c r="Y16" s="10"/>
      <c r="Z16" s="11"/>
      <c r="AA16" s="30"/>
      <c r="AB16" s="30"/>
      <c r="AC16" s="33">
        <f t="shared" si="2"/>
        <v>0</v>
      </c>
      <c r="AD16" s="12">
        <f t="shared" si="3"/>
        <v>116</v>
      </c>
      <c r="AE16" s="39"/>
      <c r="AF16" s="39"/>
      <c r="AG16" s="39"/>
      <c r="AH16" s="39"/>
      <c r="AI16" s="39"/>
      <c r="AJ16"/>
    </row>
    <row r="17" spans="1:36" x14ac:dyDescent="0.2">
      <c r="A17" s="5">
        <f>DAY(Kalenteri!A317)</f>
        <v>13</v>
      </c>
      <c r="B17" s="3" t="str">
        <f>IF(Kalenteri!B317=1,"su",IF(Kalenteri!B317=2,"ma",IF(Kalenteri!B317=3,"ti",IF(Kalenteri!B317=4,"ke",IF(Kalenteri!B317=5,"to",IF(Kalenteri!B317=6,"pe",IF(Kalenteri!B317=7,"la",)))))))</f>
        <v>ke</v>
      </c>
      <c r="C17" s="18">
        <f>1+32+4+1+1</f>
        <v>39</v>
      </c>
      <c r="D17" s="10">
        <v>1</v>
      </c>
      <c r="E17" s="10"/>
      <c r="F17" s="11">
        <v>6</v>
      </c>
      <c r="G17" s="18">
        <f>6+10</f>
        <v>16</v>
      </c>
      <c r="H17" s="11">
        <f>21+18</f>
        <v>39</v>
      </c>
      <c r="I17" s="18"/>
      <c r="J17" s="11"/>
      <c r="K17" s="33">
        <f t="shared" si="0"/>
        <v>101</v>
      </c>
      <c r="L17" s="10"/>
      <c r="M17" s="10"/>
      <c r="N17" s="10"/>
      <c r="O17" s="11"/>
      <c r="P17" s="10"/>
      <c r="Q17" s="11"/>
      <c r="R17" s="30"/>
      <c r="S17" s="30"/>
      <c r="T17" s="33">
        <f t="shared" si="1"/>
        <v>0</v>
      </c>
      <c r="U17" s="10"/>
      <c r="V17" s="10"/>
      <c r="W17" s="10"/>
      <c r="X17" s="11"/>
      <c r="Y17" s="10"/>
      <c r="Z17" s="11"/>
      <c r="AA17" s="30"/>
      <c r="AB17" s="30"/>
      <c r="AC17" s="33">
        <f t="shared" si="2"/>
        <v>0</v>
      </c>
      <c r="AD17" s="12">
        <f t="shared" si="3"/>
        <v>101</v>
      </c>
      <c r="AE17" s="39"/>
      <c r="AF17" s="39"/>
      <c r="AG17" s="39"/>
      <c r="AH17" s="39"/>
      <c r="AI17" s="39"/>
      <c r="AJ17"/>
    </row>
    <row r="18" spans="1:36" x14ac:dyDescent="0.2">
      <c r="A18" s="5">
        <f>DAY(Kalenteri!A318)</f>
        <v>14</v>
      </c>
      <c r="B18" s="3" t="str">
        <f>IF(Kalenteri!B318=1,"su",IF(Kalenteri!B318=2,"ma",IF(Kalenteri!B318=3,"ti",IF(Kalenteri!B318=4,"ke",IF(Kalenteri!B318=5,"to",IF(Kalenteri!B318=6,"pe",IF(Kalenteri!B318=7,"la",)))))))</f>
        <v>to</v>
      </c>
      <c r="C18" s="18">
        <f>31+5+9</f>
        <v>45</v>
      </c>
      <c r="D18" s="10">
        <v>12</v>
      </c>
      <c r="E18" s="10"/>
      <c r="F18" s="11">
        <v>3</v>
      </c>
      <c r="G18" s="18">
        <v>1</v>
      </c>
      <c r="H18" s="11">
        <v>20</v>
      </c>
      <c r="I18" s="18">
        <v>2</v>
      </c>
      <c r="J18" s="11">
        <v>3</v>
      </c>
      <c r="K18" s="33">
        <f t="shared" si="0"/>
        <v>86</v>
      </c>
      <c r="L18" s="10"/>
      <c r="M18" s="10"/>
      <c r="N18" s="10"/>
      <c r="O18" s="11"/>
      <c r="P18" s="10"/>
      <c r="Q18" s="11"/>
      <c r="R18" s="30"/>
      <c r="S18" s="30"/>
      <c r="T18" s="33">
        <f t="shared" si="1"/>
        <v>0</v>
      </c>
      <c r="U18" s="10"/>
      <c r="V18" s="10"/>
      <c r="W18" s="10"/>
      <c r="X18" s="11"/>
      <c r="Y18" s="10"/>
      <c r="Z18" s="11"/>
      <c r="AA18" s="30"/>
      <c r="AB18" s="30"/>
      <c r="AC18" s="33">
        <f t="shared" si="2"/>
        <v>0</v>
      </c>
      <c r="AD18" s="12">
        <f t="shared" si="3"/>
        <v>86</v>
      </c>
      <c r="AE18" s="39"/>
      <c r="AF18" s="39"/>
      <c r="AG18" s="39"/>
      <c r="AH18" s="39"/>
      <c r="AI18" s="39"/>
      <c r="AJ18"/>
    </row>
    <row r="19" spans="1:36" x14ac:dyDescent="0.2">
      <c r="A19" s="5">
        <f>DAY(Kalenteri!A319)</f>
        <v>15</v>
      </c>
      <c r="B19" s="3" t="str">
        <f>IF(Kalenteri!B319=1,"su",IF(Kalenteri!B319=2,"ma",IF(Kalenteri!B319=3,"ti",IF(Kalenteri!B319=4,"ke",IF(Kalenteri!B319=5,"to",IF(Kalenteri!B319=6,"pe",IF(Kalenteri!B319=7,"la",)))))))</f>
        <v>pe</v>
      </c>
      <c r="C19" s="18">
        <f>44+4+3</f>
        <v>51</v>
      </c>
      <c r="D19" s="10">
        <v>6</v>
      </c>
      <c r="E19" s="10"/>
      <c r="F19" s="11">
        <f>3+1+1</f>
        <v>5</v>
      </c>
      <c r="G19" s="18">
        <f>1+4</f>
        <v>5</v>
      </c>
      <c r="H19" s="11">
        <v>33</v>
      </c>
      <c r="I19" s="18"/>
      <c r="J19" s="11"/>
      <c r="K19" s="33">
        <f t="shared" si="0"/>
        <v>100</v>
      </c>
      <c r="L19" s="10"/>
      <c r="M19" s="10"/>
      <c r="N19" s="10"/>
      <c r="O19" s="11"/>
      <c r="P19" s="10"/>
      <c r="Q19" s="11"/>
      <c r="R19" s="30"/>
      <c r="S19" s="30"/>
      <c r="T19" s="33">
        <f t="shared" si="1"/>
        <v>0</v>
      </c>
      <c r="U19" s="10"/>
      <c r="V19" s="10"/>
      <c r="W19" s="10"/>
      <c r="X19" s="11"/>
      <c r="Y19" s="10"/>
      <c r="Z19" s="11"/>
      <c r="AA19" s="30"/>
      <c r="AB19" s="30"/>
      <c r="AC19" s="33">
        <f t="shared" si="2"/>
        <v>0</v>
      </c>
      <c r="AD19" s="12">
        <f t="shared" si="3"/>
        <v>100</v>
      </c>
      <c r="AE19" s="39"/>
      <c r="AF19" s="39"/>
      <c r="AG19" s="39"/>
      <c r="AH19" s="39"/>
      <c r="AI19" s="39"/>
      <c r="AJ19"/>
    </row>
    <row r="20" spans="1:36" x14ac:dyDescent="0.2">
      <c r="A20" s="5">
        <f>DAY(Kalenteri!A320)</f>
        <v>16</v>
      </c>
      <c r="B20" s="3" t="str">
        <f>IF(Kalenteri!B320=1,"su",IF(Kalenteri!B320=2,"ma",IF(Kalenteri!B320=3,"ti",IF(Kalenteri!B320=4,"ke",IF(Kalenteri!B320=5,"to",IF(Kalenteri!B320=6,"pe",IF(Kalenteri!B320=7,"la",)))))))</f>
        <v>la</v>
      </c>
      <c r="C20" s="18">
        <v>217</v>
      </c>
      <c r="D20" s="10">
        <v>53</v>
      </c>
      <c r="E20" s="10">
        <v>1</v>
      </c>
      <c r="F20" s="11">
        <v>30</v>
      </c>
      <c r="G20" s="18">
        <v>10</v>
      </c>
      <c r="H20" s="11">
        <v>104</v>
      </c>
      <c r="I20" s="18"/>
      <c r="J20" s="11"/>
      <c r="K20" s="33">
        <f t="shared" si="0"/>
        <v>415</v>
      </c>
      <c r="L20" s="10"/>
      <c r="M20" s="10"/>
      <c r="N20" s="10"/>
      <c r="O20" s="11"/>
      <c r="P20" s="10"/>
      <c r="Q20" s="11"/>
      <c r="R20" s="30"/>
      <c r="S20" s="30"/>
      <c r="T20" s="33">
        <f t="shared" si="1"/>
        <v>0</v>
      </c>
      <c r="U20" s="10"/>
      <c r="V20" s="10"/>
      <c r="W20" s="10"/>
      <c r="X20" s="11"/>
      <c r="Y20" s="10"/>
      <c r="Z20" s="11"/>
      <c r="AA20" s="30"/>
      <c r="AB20" s="30"/>
      <c r="AC20" s="33">
        <f t="shared" si="2"/>
        <v>0</v>
      </c>
      <c r="AD20" s="12">
        <f t="shared" si="3"/>
        <v>415</v>
      </c>
      <c r="AE20" s="39"/>
      <c r="AF20" s="39"/>
      <c r="AG20" s="39"/>
      <c r="AH20" s="39"/>
      <c r="AI20" s="39"/>
      <c r="AJ20"/>
    </row>
    <row r="21" spans="1:36" x14ac:dyDescent="0.2">
      <c r="A21" s="5">
        <f>DAY(Kalenteri!A321)</f>
        <v>17</v>
      </c>
      <c r="B21" s="3" t="str">
        <f>IF(Kalenteri!B321=1,"su",IF(Kalenteri!B321=2,"ma",IF(Kalenteri!B321=3,"ti",IF(Kalenteri!B321=4,"ke",IF(Kalenteri!B321=5,"to",IF(Kalenteri!B321=6,"pe",IF(Kalenteri!B321=7,"la",)))))))</f>
        <v>su</v>
      </c>
      <c r="C21" s="18">
        <v>164</v>
      </c>
      <c r="D21" s="10">
        <v>46</v>
      </c>
      <c r="E21" s="10">
        <v>2</v>
      </c>
      <c r="F21" s="11">
        <v>22</v>
      </c>
      <c r="G21" s="18">
        <v>14</v>
      </c>
      <c r="H21" s="11">
        <v>54</v>
      </c>
      <c r="I21" s="18"/>
      <c r="J21" s="11"/>
      <c r="K21" s="33">
        <f t="shared" si="0"/>
        <v>302</v>
      </c>
      <c r="L21" s="10"/>
      <c r="M21" s="10"/>
      <c r="N21" s="10"/>
      <c r="O21" s="11"/>
      <c r="P21" s="10"/>
      <c r="Q21" s="11"/>
      <c r="R21" s="30"/>
      <c r="S21" s="30"/>
      <c r="T21" s="33">
        <f t="shared" si="1"/>
        <v>0</v>
      </c>
      <c r="U21" s="10"/>
      <c r="V21" s="10"/>
      <c r="W21" s="10"/>
      <c r="X21" s="11"/>
      <c r="Y21" s="10"/>
      <c r="Z21" s="11"/>
      <c r="AA21" s="30"/>
      <c r="AB21" s="30"/>
      <c r="AC21" s="33">
        <f t="shared" si="2"/>
        <v>0</v>
      </c>
      <c r="AD21" s="12">
        <f t="shared" si="3"/>
        <v>302</v>
      </c>
      <c r="AE21" s="39"/>
      <c r="AF21" s="39"/>
      <c r="AG21" s="39"/>
      <c r="AH21" s="39"/>
      <c r="AI21" s="39"/>
      <c r="AJ21"/>
    </row>
    <row r="22" spans="1:36" x14ac:dyDescent="0.2">
      <c r="A22" s="5">
        <f>DAY(Kalenteri!A322)</f>
        <v>18</v>
      </c>
      <c r="B22" s="3" t="str">
        <f>IF(Kalenteri!B322=1,"su",IF(Kalenteri!B322=2,"ma",IF(Kalenteri!B322=3,"ti",IF(Kalenteri!B322=4,"ke",IF(Kalenteri!B322=5,"to",IF(Kalenteri!B322=6,"pe",IF(Kalenteri!B322=7,"la",)))))))</f>
        <v>ma</v>
      </c>
      <c r="C22" s="18">
        <f>15+8+1+2</f>
        <v>26</v>
      </c>
      <c r="D22" s="10">
        <v>3</v>
      </c>
      <c r="E22" s="10"/>
      <c r="F22" s="11">
        <v>2</v>
      </c>
      <c r="G22" s="18">
        <v>1</v>
      </c>
      <c r="H22" s="11">
        <v>12</v>
      </c>
      <c r="I22" s="18"/>
      <c r="J22" s="11"/>
      <c r="K22" s="33">
        <f t="shared" si="0"/>
        <v>44</v>
      </c>
      <c r="L22" s="10"/>
      <c r="M22" s="10"/>
      <c r="N22" s="10"/>
      <c r="O22" s="11"/>
      <c r="P22" s="10"/>
      <c r="Q22" s="11"/>
      <c r="R22" s="30"/>
      <c r="S22" s="30"/>
      <c r="T22" s="33">
        <f t="shared" si="1"/>
        <v>0</v>
      </c>
      <c r="U22" s="10"/>
      <c r="V22" s="10"/>
      <c r="W22" s="10"/>
      <c r="X22" s="11"/>
      <c r="Y22" s="10"/>
      <c r="Z22" s="11"/>
      <c r="AA22" s="30"/>
      <c r="AB22" s="30"/>
      <c r="AC22" s="33">
        <f t="shared" si="2"/>
        <v>0</v>
      </c>
      <c r="AD22" s="12">
        <f t="shared" si="3"/>
        <v>44</v>
      </c>
      <c r="AE22" s="39"/>
      <c r="AF22" s="39"/>
      <c r="AG22" s="39"/>
      <c r="AH22" s="39"/>
      <c r="AI22" s="39"/>
      <c r="AJ22"/>
    </row>
    <row r="23" spans="1:36" x14ac:dyDescent="0.2">
      <c r="A23" s="5">
        <f>DAY(Kalenteri!A323)</f>
        <v>19</v>
      </c>
      <c r="B23" s="3" t="str">
        <f>IF(Kalenteri!B323=1,"su",IF(Kalenteri!B323=2,"ma",IF(Kalenteri!B323=3,"ti",IF(Kalenteri!B323=4,"ke",IF(Kalenteri!B323=5,"to",IF(Kalenteri!B323=6,"pe",IF(Kalenteri!B323=7,"la",)))))))</f>
        <v>ti</v>
      </c>
      <c r="C23" s="18">
        <v>18</v>
      </c>
      <c r="D23" s="10"/>
      <c r="E23" s="10"/>
      <c r="F23" s="11"/>
      <c r="G23" s="18">
        <v>2</v>
      </c>
      <c r="H23" s="11">
        <v>3</v>
      </c>
      <c r="I23" s="18"/>
      <c r="J23" s="11"/>
      <c r="K23" s="33">
        <f t="shared" si="0"/>
        <v>23</v>
      </c>
      <c r="L23" s="10"/>
      <c r="M23" s="10"/>
      <c r="N23" s="10"/>
      <c r="O23" s="11"/>
      <c r="P23" s="10"/>
      <c r="Q23" s="11"/>
      <c r="R23" s="30"/>
      <c r="S23" s="30"/>
      <c r="T23" s="33">
        <f t="shared" si="1"/>
        <v>0</v>
      </c>
      <c r="U23" s="10"/>
      <c r="V23" s="10"/>
      <c r="W23" s="10"/>
      <c r="X23" s="11"/>
      <c r="Y23" s="10"/>
      <c r="Z23" s="11"/>
      <c r="AA23" s="30"/>
      <c r="AB23" s="30"/>
      <c r="AC23" s="33">
        <f t="shared" si="2"/>
        <v>0</v>
      </c>
      <c r="AD23" s="12">
        <f t="shared" si="3"/>
        <v>23</v>
      </c>
      <c r="AE23" s="39"/>
      <c r="AF23" s="39"/>
      <c r="AG23" s="39"/>
      <c r="AH23" s="39"/>
      <c r="AI23" s="39"/>
      <c r="AJ23"/>
    </row>
    <row r="24" spans="1:36" x14ac:dyDescent="0.2">
      <c r="A24" s="5">
        <f>DAY(Kalenteri!A324)</f>
        <v>20</v>
      </c>
      <c r="B24" s="3" t="str">
        <f>IF(Kalenteri!B324=1,"su",IF(Kalenteri!B324=2,"ma",IF(Kalenteri!B324=3,"ti",IF(Kalenteri!B324=4,"ke",IF(Kalenteri!B324=5,"to",IF(Kalenteri!B324=6,"pe",IF(Kalenteri!B324=7,"la",)))))))</f>
        <v>ke</v>
      </c>
      <c r="C24" s="18">
        <v>44</v>
      </c>
      <c r="D24" s="10">
        <v>3</v>
      </c>
      <c r="E24" s="10"/>
      <c r="F24" s="11">
        <v>3</v>
      </c>
      <c r="G24" s="18">
        <v>1</v>
      </c>
      <c r="H24" s="11">
        <v>28</v>
      </c>
      <c r="I24" s="18"/>
      <c r="J24" s="11"/>
      <c r="K24" s="33">
        <f t="shared" si="0"/>
        <v>79</v>
      </c>
      <c r="L24" s="10"/>
      <c r="M24" s="10"/>
      <c r="N24" s="10"/>
      <c r="O24" s="11"/>
      <c r="P24" s="10"/>
      <c r="Q24" s="11"/>
      <c r="R24" s="30"/>
      <c r="S24" s="30"/>
      <c r="T24" s="33">
        <f t="shared" si="1"/>
        <v>0</v>
      </c>
      <c r="U24" s="10"/>
      <c r="V24" s="10"/>
      <c r="W24" s="10"/>
      <c r="X24" s="11"/>
      <c r="Y24" s="10"/>
      <c r="Z24" s="11"/>
      <c r="AA24" s="30"/>
      <c r="AB24" s="30"/>
      <c r="AC24" s="33">
        <f t="shared" si="2"/>
        <v>0</v>
      </c>
      <c r="AD24" s="12">
        <f t="shared" si="3"/>
        <v>79</v>
      </c>
      <c r="AE24" s="39"/>
      <c r="AF24" s="39"/>
      <c r="AG24" s="39"/>
      <c r="AH24" s="39"/>
      <c r="AI24" s="39"/>
      <c r="AJ24" s="39"/>
    </row>
    <row r="25" spans="1:36" x14ac:dyDescent="0.2">
      <c r="A25" s="5">
        <f>DAY(Kalenteri!A325)</f>
        <v>21</v>
      </c>
      <c r="B25" s="3" t="str">
        <f>IF(Kalenteri!B325=1,"su",IF(Kalenteri!B325=2,"ma",IF(Kalenteri!B325=3,"ti",IF(Kalenteri!B325=4,"ke",IF(Kalenteri!B325=5,"to",IF(Kalenteri!B325=6,"pe",IF(Kalenteri!B325=7,"la",)))))))</f>
        <v>to</v>
      </c>
      <c r="C25" s="18">
        <f>11+1</f>
        <v>12</v>
      </c>
      <c r="D25" s="10"/>
      <c r="E25" s="10"/>
      <c r="F25" s="11">
        <f>1+2+1</f>
        <v>4</v>
      </c>
      <c r="G25" s="18">
        <v>5</v>
      </c>
      <c r="H25" s="11">
        <v>61</v>
      </c>
      <c r="I25" s="18"/>
      <c r="J25" s="11"/>
      <c r="K25" s="33">
        <f t="shared" si="0"/>
        <v>82</v>
      </c>
      <c r="L25" s="10"/>
      <c r="M25" s="10"/>
      <c r="N25" s="10"/>
      <c r="O25" s="11"/>
      <c r="P25" s="10"/>
      <c r="Q25" s="11"/>
      <c r="R25" s="30"/>
      <c r="S25" s="30"/>
      <c r="T25" s="33">
        <f t="shared" si="1"/>
        <v>0</v>
      </c>
      <c r="U25" s="10"/>
      <c r="V25" s="10"/>
      <c r="W25" s="10"/>
      <c r="X25" s="11"/>
      <c r="Y25" s="10"/>
      <c r="Z25" s="11"/>
      <c r="AA25" s="30"/>
      <c r="AB25" s="30"/>
      <c r="AC25" s="33">
        <f t="shared" si="2"/>
        <v>0</v>
      </c>
      <c r="AD25" s="12">
        <f t="shared" si="3"/>
        <v>82</v>
      </c>
      <c r="AE25" s="39"/>
      <c r="AF25" s="39"/>
      <c r="AG25" s="39"/>
      <c r="AH25" s="39"/>
      <c r="AI25" s="39"/>
      <c r="AJ25" s="39"/>
    </row>
    <row r="26" spans="1:36" x14ac:dyDescent="0.2">
      <c r="A26" s="5">
        <f>DAY(Kalenteri!A326)</f>
        <v>22</v>
      </c>
      <c r="B26" s="3" t="str">
        <f>IF(Kalenteri!B326=1,"su",IF(Kalenteri!B326=2,"ma",IF(Kalenteri!B326=3,"ti",IF(Kalenteri!B326=4,"ke",IF(Kalenteri!B326=5,"to",IF(Kalenteri!B326=6,"pe",IF(Kalenteri!B326=7,"la",)))))))</f>
        <v>pe</v>
      </c>
      <c r="C26" s="18">
        <f>47+1+3+3</f>
        <v>54</v>
      </c>
      <c r="D26" s="10">
        <v>9</v>
      </c>
      <c r="E26" s="10"/>
      <c r="F26" s="11">
        <v>5</v>
      </c>
      <c r="G26" s="18"/>
      <c r="H26" s="11">
        <v>25</v>
      </c>
      <c r="I26" s="18"/>
      <c r="J26" s="11"/>
      <c r="K26" s="33">
        <f t="shared" si="0"/>
        <v>93</v>
      </c>
      <c r="L26" s="10"/>
      <c r="M26" s="10"/>
      <c r="N26" s="10"/>
      <c r="O26" s="11"/>
      <c r="P26" s="10"/>
      <c r="Q26" s="11"/>
      <c r="R26" s="30"/>
      <c r="S26" s="30"/>
      <c r="T26" s="33">
        <f t="shared" si="1"/>
        <v>0</v>
      </c>
      <c r="U26" s="10"/>
      <c r="V26" s="10"/>
      <c r="W26" s="10"/>
      <c r="X26" s="11"/>
      <c r="Y26" s="10"/>
      <c r="Z26" s="11"/>
      <c r="AA26" s="30"/>
      <c r="AB26" s="30"/>
      <c r="AC26" s="33">
        <f t="shared" si="2"/>
        <v>0</v>
      </c>
      <c r="AD26" s="12">
        <f t="shared" si="3"/>
        <v>93</v>
      </c>
      <c r="AE26" s="39"/>
      <c r="AF26" s="39"/>
      <c r="AG26" s="39"/>
      <c r="AH26" s="39"/>
      <c r="AI26" s="39"/>
      <c r="AJ26" s="39"/>
    </row>
    <row r="27" spans="1:36" x14ac:dyDescent="0.2">
      <c r="A27" s="5">
        <f>DAY(Kalenteri!A327)</f>
        <v>23</v>
      </c>
      <c r="B27" s="3" t="str">
        <f>IF(Kalenteri!B327=1,"su",IF(Kalenteri!B327=2,"ma",IF(Kalenteri!B327=3,"ti",IF(Kalenteri!B327=4,"ke",IF(Kalenteri!B327=5,"to",IF(Kalenteri!B327=6,"pe",IF(Kalenteri!B327=7,"la",)))))))</f>
        <v>la</v>
      </c>
      <c r="C27" s="18">
        <v>190</v>
      </c>
      <c r="D27" s="10">
        <v>79</v>
      </c>
      <c r="E27" s="10">
        <v>6</v>
      </c>
      <c r="F27" s="11">
        <v>13</v>
      </c>
      <c r="G27" s="18">
        <v>5</v>
      </c>
      <c r="H27" s="11">
        <v>55</v>
      </c>
      <c r="I27" s="18">
        <v>4</v>
      </c>
      <c r="J27" s="11">
        <v>6</v>
      </c>
      <c r="K27" s="33">
        <f t="shared" si="0"/>
        <v>358</v>
      </c>
      <c r="L27" s="10"/>
      <c r="M27" s="10"/>
      <c r="N27" s="10"/>
      <c r="O27" s="11"/>
      <c r="P27" s="10"/>
      <c r="Q27" s="11"/>
      <c r="R27" s="30"/>
      <c r="S27" s="30"/>
      <c r="T27" s="33">
        <f t="shared" si="1"/>
        <v>0</v>
      </c>
      <c r="U27" s="10"/>
      <c r="V27" s="10"/>
      <c r="W27" s="10"/>
      <c r="X27" s="11"/>
      <c r="Y27" s="10"/>
      <c r="Z27" s="11"/>
      <c r="AA27" s="30"/>
      <c r="AB27" s="30"/>
      <c r="AC27" s="33">
        <f t="shared" si="2"/>
        <v>0</v>
      </c>
      <c r="AD27" s="12">
        <f t="shared" si="3"/>
        <v>358</v>
      </c>
      <c r="AE27" s="39"/>
      <c r="AF27" s="39"/>
      <c r="AG27" s="39"/>
      <c r="AH27" s="39"/>
      <c r="AI27" s="39"/>
      <c r="AJ27" s="39"/>
    </row>
    <row r="28" spans="1:36" x14ac:dyDescent="0.2">
      <c r="A28" s="5">
        <f>DAY(Kalenteri!A328)</f>
        <v>24</v>
      </c>
      <c r="B28" s="3" t="str">
        <f>IF(Kalenteri!B328=1,"su",IF(Kalenteri!B328=2,"ma",IF(Kalenteri!B328=3,"ti",IF(Kalenteri!B328=4,"ke",IF(Kalenteri!B328=5,"to",IF(Kalenteri!B328=6,"pe",IF(Kalenteri!B328=7,"la",)))))))</f>
        <v>su</v>
      </c>
      <c r="C28" s="18">
        <v>200</v>
      </c>
      <c r="D28" s="10">
        <v>31</v>
      </c>
      <c r="E28" s="10"/>
      <c r="F28" s="11">
        <v>38</v>
      </c>
      <c r="G28" s="18">
        <v>1</v>
      </c>
      <c r="H28" s="11">
        <v>68</v>
      </c>
      <c r="I28" s="18">
        <v>2</v>
      </c>
      <c r="J28" s="11">
        <v>3</v>
      </c>
      <c r="K28" s="33">
        <f t="shared" si="0"/>
        <v>343</v>
      </c>
      <c r="L28" s="10"/>
      <c r="M28" s="10"/>
      <c r="N28" s="10"/>
      <c r="O28" s="11"/>
      <c r="P28" s="10"/>
      <c r="Q28" s="11"/>
      <c r="R28" s="30"/>
      <c r="S28" s="30"/>
      <c r="T28" s="33">
        <f t="shared" si="1"/>
        <v>0</v>
      </c>
      <c r="U28" s="10"/>
      <c r="V28" s="10"/>
      <c r="W28" s="10"/>
      <c r="X28" s="11"/>
      <c r="Y28" s="10"/>
      <c r="Z28" s="11"/>
      <c r="AA28" s="30"/>
      <c r="AB28" s="30"/>
      <c r="AC28" s="33">
        <f t="shared" si="2"/>
        <v>0</v>
      </c>
      <c r="AD28" s="12">
        <f t="shared" si="3"/>
        <v>343</v>
      </c>
      <c r="AE28" s="39"/>
      <c r="AF28" s="39"/>
      <c r="AG28" s="39"/>
      <c r="AH28" s="39"/>
      <c r="AI28" s="39"/>
      <c r="AJ28" s="39"/>
    </row>
    <row r="29" spans="1:36" x14ac:dyDescent="0.2">
      <c r="A29" s="5">
        <f>DAY(Kalenteri!A329)</f>
        <v>25</v>
      </c>
      <c r="B29" s="3" t="str">
        <f>IF(Kalenteri!B329=1,"su",IF(Kalenteri!B329=2,"ma",IF(Kalenteri!B329=3,"ti",IF(Kalenteri!B329=4,"ke",IF(Kalenteri!B329=5,"to",IF(Kalenteri!B329=6,"pe",IF(Kalenteri!B329=7,"la",)))))))</f>
        <v>ma</v>
      </c>
      <c r="C29" s="18">
        <v>17</v>
      </c>
      <c r="D29" s="10">
        <v>2</v>
      </c>
      <c r="E29" s="10">
        <v>1</v>
      </c>
      <c r="F29" s="11">
        <v>2</v>
      </c>
      <c r="G29" s="18"/>
      <c r="H29" s="11">
        <v>10</v>
      </c>
      <c r="I29" s="18"/>
      <c r="J29" s="11"/>
      <c r="K29" s="33">
        <f t="shared" si="0"/>
        <v>32</v>
      </c>
      <c r="L29" s="10"/>
      <c r="M29" s="10"/>
      <c r="N29" s="10"/>
      <c r="O29" s="11"/>
      <c r="P29" s="10"/>
      <c r="Q29" s="11"/>
      <c r="R29" s="30"/>
      <c r="S29" s="30"/>
      <c r="T29" s="33">
        <f t="shared" si="1"/>
        <v>0</v>
      </c>
      <c r="U29" s="10"/>
      <c r="V29" s="10"/>
      <c r="W29" s="10"/>
      <c r="X29" s="11"/>
      <c r="Y29" s="10"/>
      <c r="Z29" s="11"/>
      <c r="AA29" s="30"/>
      <c r="AB29" s="30"/>
      <c r="AC29" s="33">
        <f t="shared" si="2"/>
        <v>0</v>
      </c>
      <c r="AD29" s="12">
        <f t="shared" si="3"/>
        <v>32</v>
      </c>
      <c r="AE29" s="39"/>
      <c r="AF29" s="39"/>
      <c r="AG29" s="39"/>
      <c r="AH29" s="39"/>
      <c r="AI29" s="39"/>
      <c r="AJ29" s="39"/>
    </row>
    <row r="30" spans="1:36" x14ac:dyDescent="0.2">
      <c r="A30" s="5">
        <f>DAY(Kalenteri!A330)</f>
        <v>26</v>
      </c>
      <c r="B30" s="3" t="str">
        <f>IF(Kalenteri!B330=1,"su",IF(Kalenteri!B330=2,"ma",IF(Kalenteri!B330=3,"ti",IF(Kalenteri!B330=4,"ke",IF(Kalenteri!B330=5,"to",IF(Kalenteri!B330=6,"pe",IF(Kalenteri!B330=7,"la",)))))))</f>
        <v>ti</v>
      </c>
      <c r="C30" s="18">
        <f>100+6</f>
        <v>106</v>
      </c>
      <c r="D30" s="10">
        <v>1</v>
      </c>
      <c r="E30" s="10">
        <v>3</v>
      </c>
      <c r="F30" s="11">
        <v>5</v>
      </c>
      <c r="G30" s="18">
        <v>2</v>
      </c>
      <c r="H30" s="11">
        <v>26</v>
      </c>
      <c r="I30" s="18"/>
      <c r="J30" s="11"/>
      <c r="K30" s="33">
        <f t="shared" si="0"/>
        <v>143</v>
      </c>
      <c r="L30" s="10"/>
      <c r="M30" s="10"/>
      <c r="N30" s="10"/>
      <c r="O30" s="11"/>
      <c r="P30" s="10"/>
      <c r="Q30" s="11"/>
      <c r="R30" s="30"/>
      <c r="S30" s="30"/>
      <c r="T30" s="33">
        <f t="shared" si="1"/>
        <v>0</v>
      </c>
      <c r="U30" s="10"/>
      <c r="V30" s="10"/>
      <c r="W30" s="10"/>
      <c r="X30" s="11"/>
      <c r="Y30" s="10"/>
      <c r="Z30" s="11"/>
      <c r="AA30" s="30"/>
      <c r="AB30" s="30"/>
      <c r="AC30" s="33">
        <f t="shared" si="2"/>
        <v>0</v>
      </c>
      <c r="AD30" s="12">
        <f t="shared" si="3"/>
        <v>143</v>
      </c>
      <c r="AE30" s="39"/>
      <c r="AF30" s="39"/>
      <c r="AG30" s="39"/>
      <c r="AH30" s="39"/>
      <c r="AI30" s="39"/>
      <c r="AJ30" s="39"/>
    </row>
    <row r="31" spans="1:36" x14ac:dyDescent="0.2">
      <c r="A31" s="5">
        <f>DAY(Kalenteri!A331)</f>
        <v>27</v>
      </c>
      <c r="B31" s="3" t="str">
        <f>IF(Kalenteri!B331=1,"su",IF(Kalenteri!B331=2,"ma",IF(Kalenteri!B331=3,"ti",IF(Kalenteri!B331=4,"ke",IF(Kalenteri!B331=5,"to",IF(Kalenteri!B331=6,"pe",IF(Kalenteri!B331=7,"la",)))))))</f>
        <v>ke</v>
      </c>
      <c r="C31" s="18">
        <v>25</v>
      </c>
      <c r="D31" s="10">
        <v>4</v>
      </c>
      <c r="E31" s="10"/>
      <c r="F31" s="11">
        <v>4</v>
      </c>
      <c r="G31" s="18">
        <v>2</v>
      </c>
      <c r="H31" s="11">
        <v>15</v>
      </c>
      <c r="I31" s="18"/>
      <c r="J31" s="11"/>
      <c r="K31" s="33">
        <f t="shared" si="0"/>
        <v>50</v>
      </c>
      <c r="L31" s="10"/>
      <c r="M31" s="10"/>
      <c r="N31" s="10"/>
      <c r="O31" s="11"/>
      <c r="P31" s="10"/>
      <c r="Q31" s="11"/>
      <c r="R31" s="30"/>
      <c r="S31" s="30"/>
      <c r="T31" s="33">
        <f t="shared" si="1"/>
        <v>0</v>
      </c>
      <c r="U31" s="10"/>
      <c r="V31" s="10"/>
      <c r="W31" s="10"/>
      <c r="X31" s="11"/>
      <c r="Y31" s="10"/>
      <c r="Z31" s="11"/>
      <c r="AA31" s="30"/>
      <c r="AB31" s="30"/>
      <c r="AC31" s="33">
        <f t="shared" si="2"/>
        <v>0</v>
      </c>
      <c r="AD31" s="12">
        <f t="shared" si="3"/>
        <v>50</v>
      </c>
      <c r="AE31" s="39"/>
      <c r="AF31" s="39"/>
      <c r="AG31" s="39"/>
      <c r="AH31" s="39"/>
      <c r="AI31" s="39"/>
      <c r="AJ31" s="39"/>
    </row>
    <row r="32" spans="1:36" x14ac:dyDescent="0.2">
      <c r="A32" s="5">
        <f>DAY(Kalenteri!A332)</f>
        <v>28</v>
      </c>
      <c r="B32" s="3" t="str">
        <f>IF(Kalenteri!B332=1,"su",IF(Kalenteri!B332=2,"ma",IF(Kalenteri!B332=3,"ti",IF(Kalenteri!B332=4,"ke",IF(Kalenteri!B332=5,"to",IF(Kalenteri!B332=6,"pe",IF(Kalenteri!B332=7,"la",)))))))</f>
        <v>to</v>
      </c>
      <c r="C32" s="18">
        <f>13+22+2+1+12</f>
        <v>50</v>
      </c>
      <c r="D32" s="10">
        <v>2</v>
      </c>
      <c r="E32" s="10"/>
      <c r="F32" s="11">
        <v>1</v>
      </c>
      <c r="G32" s="18">
        <v>8</v>
      </c>
      <c r="H32" s="11">
        <v>10</v>
      </c>
      <c r="I32" s="18"/>
      <c r="J32" s="11"/>
      <c r="K32" s="33">
        <f t="shared" si="0"/>
        <v>71</v>
      </c>
      <c r="L32" s="10"/>
      <c r="M32" s="10"/>
      <c r="N32" s="10"/>
      <c r="O32" s="11"/>
      <c r="P32" s="10"/>
      <c r="Q32" s="11"/>
      <c r="R32" s="30"/>
      <c r="S32" s="30"/>
      <c r="T32" s="33">
        <f t="shared" si="1"/>
        <v>0</v>
      </c>
      <c r="U32" s="10"/>
      <c r="V32" s="10"/>
      <c r="W32" s="10"/>
      <c r="X32" s="11"/>
      <c r="Y32" s="10"/>
      <c r="Z32" s="11"/>
      <c r="AA32" s="30"/>
      <c r="AB32" s="30"/>
      <c r="AC32" s="33">
        <f t="shared" si="2"/>
        <v>0</v>
      </c>
      <c r="AD32" s="12">
        <f t="shared" si="3"/>
        <v>71</v>
      </c>
      <c r="AE32" s="39"/>
      <c r="AF32" s="39"/>
      <c r="AG32" s="39"/>
      <c r="AH32" s="39"/>
      <c r="AI32" s="39"/>
      <c r="AJ32" s="39"/>
    </row>
    <row r="33" spans="1:36" x14ac:dyDescent="0.2">
      <c r="A33" s="5">
        <f>DAY(Kalenteri!A333)</f>
        <v>29</v>
      </c>
      <c r="B33" s="3" t="str">
        <f>IF(Kalenteri!B333=1,"su",IF(Kalenteri!B333=2,"ma",IF(Kalenteri!B333=3,"ti",IF(Kalenteri!B333=4,"ke",IF(Kalenteri!B333=5,"to",IF(Kalenteri!B333=6,"pe",IF(Kalenteri!B333=7,"la",)))))))</f>
        <v>pe</v>
      </c>
      <c r="C33" s="18">
        <v>41</v>
      </c>
      <c r="D33" s="10">
        <v>4</v>
      </c>
      <c r="E33" s="10"/>
      <c r="F33" s="11">
        <v>4</v>
      </c>
      <c r="G33" s="18">
        <v>12</v>
      </c>
      <c r="H33" s="11">
        <v>19</v>
      </c>
      <c r="I33" s="18"/>
      <c r="J33" s="11"/>
      <c r="K33" s="33">
        <f t="shared" si="0"/>
        <v>80</v>
      </c>
      <c r="L33" s="10"/>
      <c r="M33" s="10"/>
      <c r="N33" s="10"/>
      <c r="O33" s="11"/>
      <c r="P33" s="10"/>
      <c r="Q33" s="11"/>
      <c r="R33" s="30"/>
      <c r="S33" s="30"/>
      <c r="T33" s="33">
        <f t="shared" si="1"/>
        <v>0</v>
      </c>
      <c r="U33" s="10"/>
      <c r="V33" s="10"/>
      <c r="W33" s="10"/>
      <c r="X33" s="11"/>
      <c r="Y33" s="10"/>
      <c r="Z33" s="11"/>
      <c r="AA33" s="30"/>
      <c r="AB33" s="30"/>
      <c r="AC33" s="33">
        <f t="shared" si="2"/>
        <v>0</v>
      </c>
      <c r="AD33" s="12">
        <f t="shared" si="3"/>
        <v>80</v>
      </c>
      <c r="AE33" s="39"/>
      <c r="AF33" s="39"/>
      <c r="AG33" s="39"/>
      <c r="AH33" s="39"/>
      <c r="AI33" s="39"/>
      <c r="AJ33" s="39"/>
    </row>
    <row r="34" spans="1:36" x14ac:dyDescent="0.2">
      <c r="A34" s="5">
        <f>DAY(Kalenteri!A334)</f>
        <v>30</v>
      </c>
      <c r="B34" s="3" t="str">
        <f>IF(Kalenteri!B334=1,"su",IF(Kalenteri!B334=2,"ma",IF(Kalenteri!B334=3,"ti",IF(Kalenteri!B334=4,"ke",IF(Kalenteri!B334=5,"to",IF(Kalenteri!B334=6,"pe",IF(Kalenteri!B334=7,"la",)))))))</f>
        <v>la</v>
      </c>
      <c r="C34" s="18">
        <f>64+36+2+13</f>
        <v>115</v>
      </c>
      <c r="D34" s="10">
        <f>23+7</f>
        <v>30</v>
      </c>
      <c r="E34" s="10"/>
      <c r="F34" s="11">
        <v>5</v>
      </c>
      <c r="G34" s="18">
        <v>3</v>
      </c>
      <c r="H34" s="11">
        <f>24+6</f>
        <v>30</v>
      </c>
      <c r="I34" s="18">
        <v>2</v>
      </c>
      <c r="J34" s="11">
        <v>3</v>
      </c>
      <c r="K34" s="33">
        <f t="shared" si="0"/>
        <v>188</v>
      </c>
      <c r="L34" s="10"/>
      <c r="M34" s="10"/>
      <c r="N34" s="10"/>
      <c r="O34" s="11"/>
      <c r="P34" s="10"/>
      <c r="Q34" s="11"/>
      <c r="R34" s="30"/>
      <c r="S34" s="30"/>
      <c r="T34" s="33">
        <f t="shared" si="1"/>
        <v>0</v>
      </c>
      <c r="U34" s="10"/>
      <c r="V34" s="10"/>
      <c r="W34" s="10"/>
      <c r="X34" s="11"/>
      <c r="Y34" s="10"/>
      <c r="Z34" s="11"/>
      <c r="AA34" s="30"/>
      <c r="AB34" s="30"/>
      <c r="AC34" s="33">
        <f t="shared" si="2"/>
        <v>0</v>
      </c>
      <c r="AD34" s="12">
        <f t="shared" si="3"/>
        <v>188</v>
      </c>
      <c r="AE34" s="39"/>
      <c r="AF34" s="39"/>
      <c r="AG34" s="39"/>
      <c r="AH34" s="39"/>
      <c r="AI34" s="39"/>
      <c r="AJ34" s="39"/>
    </row>
    <row r="35" spans="1:36" x14ac:dyDescent="0.2">
      <c r="A35" s="5"/>
      <c r="B35" s="3"/>
      <c r="C35" s="79"/>
      <c r="D35" s="80"/>
      <c r="E35" s="80"/>
      <c r="F35" s="81"/>
      <c r="G35" s="79"/>
      <c r="H35" s="81"/>
      <c r="I35" s="79"/>
      <c r="J35" s="81"/>
      <c r="K35" s="34">
        <f t="shared" si="0"/>
        <v>0</v>
      </c>
      <c r="L35" s="20"/>
      <c r="M35" s="20"/>
      <c r="N35" s="20"/>
      <c r="O35" s="21"/>
      <c r="P35" s="20"/>
      <c r="Q35" s="21"/>
      <c r="R35" s="31"/>
      <c r="S35" s="31"/>
      <c r="T35" s="34">
        <f t="shared" si="1"/>
        <v>0</v>
      </c>
      <c r="U35" s="20"/>
      <c r="V35" s="20"/>
      <c r="W35" s="20"/>
      <c r="X35" s="21"/>
      <c r="Y35" s="20"/>
      <c r="Z35" s="21"/>
      <c r="AA35" s="31"/>
      <c r="AB35" s="31"/>
      <c r="AC35" s="34">
        <f t="shared" si="2"/>
        <v>0</v>
      </c>
      <c r="AD35" s="19">
        <f t="shared" si="3"/>
        <v>0</v>
      </c>
      <c r="AE35" s="39"/>
      <c r="AF35" s="39"/>
      <c r="AG35" s="39"/>
      <c r="AH35" s="39"/>
      <c r="AI35" s="39"/>
      <c r="AJ35" s="39"/>
    </row>
    <row r="36" spans="1:36" x14ac:dyDescent="0.2">
      <c r="A36" s="6"/>
      <c r="B36"/>
      <c r="C36" s="82">
        <f t="shared" ref="C36:J36" si="4">SUM(C5:C35)</f>
        <v>3345</v>
      </c>
      <c r="D36" s="83">
        <f t="shared" si="4"/>
        <v>840</v>
      </c>
      <c r="E36" s="83">
        <f t="shared" si="4"/>
        <v>32</v>
      </c>
      <c r="F36" s="84">
        <f t="shared" si="4"/>
        <v>252</v>
      </c>
      <c r="G36" s="83">
        <f t="shared" si="4"/>
        <v>121</v>
      </c>
      <c r="H36" s="84">
        <f t="shared" si="4"/>
        <v>1175</v>
      </c>
      <c r="I36" s="83">
        <f t="shared" si="4"/>
        <v>30</v>
      </c>
      <c r="J36" s="84">
        <f t="shared" si="4"/>
        <v>45</v>
      </c>
      <c r="K36" s="85">
        <f t="shared" si="0"/>
        <v>5840</v>
      </c>
      <c r="L36" s="83">
        <f t="shared" ref="L36:S36" si="5">SUM(L5:L35)</f>
        <v>78</v>
      </c>
      <c r="M36" s="83">
        <f t="shared" si="5"/>
        <v>10</v>
      </c>
      <c r="N36" s="83">
        <f t="shared" si="5"/>
        <v>0</v>
      </c>
      <c r="O36" s="84">
        <f t="shared" si="5"/>
        <v>10</v>
      </c>
      <c r="P36" s="83">
        <f t="shared" si="5"/>
        <v>0</v>
      </c>
      <c r="Q36" s="84">
        <f t="shared" si="5"/>
        <v>18</v>
      </c>
      <c r="R36" s="86">
        <f t="shared" si="5"/>
        <v>0</v>
      </c>
      <c r="S36" s="86">
        <f t="shared" si="5"/>
        <v>0</v>
      </c>
      <c r="T36" s="85">
        <f t="shared" si="1"/>
        <v>116</v>
      </c>
      <c r="U36" s="83">
        <f t="shared" ref="U36:AB36" si="6">SUM(U5:U35)</f>
        <v>0</v>
      </c>
      <c r="V36" s="83">
        <f t="shared" si="6"/>
        <v>0</v>
      </c>
      <c r="W36" s="83">
        <f t="shared" si="6"/>
        <v>0</v>
      </c>
      <c r="X36" s="84">
        <f t="shared" si="6"/>
        <v>0</v>
      </c>
      <c r="Y36" s="83">
        <f t="shared" si="6"/>
        <v>0</v>
      </c>
      <c r="Z36" s="84">
        <f t="shared" si="6"/>
        <v>0</v>
      </c>
      <c r="AA36" s="86">
        <f t="shared" si="6"/>
        <v>0</v>
      </c>
      <c r="AB36" s="86">
        <f t="shared" si="6"/>
        <v>0</v>
      </c>
      <c r="AC36" s="85">
        <f t="shared" si="2"/>
        <v>0</v>
      </c>
      <c r="AD36" s="87">
        <f t="shared" si="3"/>
        <v>5956</v>
      </c>
      <c r="AE36" s="66"/>
      <c r="AF36" s="66"/>
      <c r="AG36" s="66"/>
      <c r="AH36" s="66"/>
      <c r="AI36" s="66"/>
      <c r="AJ36" s="66"/>
    </row>
    <row r="37" spans="1:36" ht="8.1" customHeight="1" thickBot="1" x14ac:dyDescent="0.25">
      <c r="A37" s="6"/>
      <c r="B37"/>
      <c r="C37" s="2"/>
      <c r="D37" s="5"/>
      <c r="E37" s="5"/>
      <c r="F37" s="2"/>
      <c r="G37" s="2"/>
      <c r="H37" s="2"/>
      <c r="I37" s="5"/>
      <c r="J37" s="2"/>
      <c r="K37" s="2"/>
      <c r="L37" s="5"/>
      <c r="M37" s="2"/>
      <c r="N37" s="5"/>
      <c r="O37" s="5"/>
      <c r="P37" s="2"/>
      <c r="Q37" s="5"/>
      <c r="R37" s="42"/>
      <c r="S37" s="42"/>
      <c r="T37" s="2"/>
      <c r="U37" s="2"/>
      <c r="V37" s="2"/>
      <c r="W37" s="2"/>
      <c r="X37" s="5"/>
      <c r="Y37" s="2"/>
      <c r="Z37" s="2"/>
      <c r="AA37" s="39"/>
      <c r="AB37" s="39"/>
      <c r="AC37" s="5"/>
      <c r="AD37" s="40"/>
      <c r="AE37" s="40"/>
      <c r="AF37" s="40"/>
      <c r="AG37" s="40"/>
      <c r="AH37" s="40"/>
      <c r="AI37" s="40"/>
      <c r="AJ37" s="40"/>
    </row>
    <row r="38" spans="1:36" ht="24.95" customHeight="1" thickTop="1" x14ac:dyDescent="0.3">
      <c r="A38" s="6"/>
      <c r="B38"/>
      <c r="C38" s="171" t="str">
        <f>Kalenteri!E38</f>
        <v>Lippujen hinnat:</v>
      </c>
      <c r="D38" s="5"/>
      <c r="E38" s="5"/>
      <c r="F38" s="2"/>
      <c r="G38" s="2"/>
      <c r="H38" s="2"/>
      <c r="I38" s="5"/>
      <c r="J38" s="2"/>
      <c r="K38" s="2"/>
      <c r="L38" s="5"/>
      <c r="M38" s="2"/>
      <c r="N38" s="5"/>
      <c r="O38" s="5"/>
      <c r="P38" s="2"/>
      <c r="Q38"/>
      <c r="R38"/>
      <c r="S38"/>
      <c r="T38"/>
      <c r="U38" s="49" t="s">
        <v>71</v>
      </c>
      <c r="V38" s="50"/>
      <c r="W38" s="43"/>
      <c r="X38" s="44"/>
      <c r="Y38" s="43"/>
      <c r="Z38" s="43"/>
      <c r="AA38" s="44"/>
      <c r="AB38" s="44"/>
      <c r="AC38" s="47"/>
      <c r="AD38" s="45">
        <f>AD36</f>
        <v>5956</v>
      </c>
      <c r="AE38" s="41"/>
      <c r="AF38" s="41"/>
      <c r="AG38" s="41"/>
      <c r="AH38" s="41"/>
      <c r="AI38" s="41"/>
      <c r="AJ38" s="41"/>
    </row>
    <row r="39" spans="1:36" ht="24.95" customHeight="1" x14ac:dyDescent="0.3">
      <c r="A39" s="6"/>
      <c r="B39"/>
      <c r="C39" s="193" t="str">
        <f>Kalenteri!E39</f>
        <v>Mustikkamaan kautta: 1.9.-30.4. aik. 10 €, lapset 5 €, kimppalippu 30 €    1.5.-30.8. aik. 12 €, lapset 6 €, kimppalippu 36 €</v>
      </c>
      <c r="D39" s="89"/>
      <c r="E39" s="89"/>
      <c r="F39" s="90"/>
      <c r="G39" s="102"/>
      <c r="H39" s="174"/>
      <c r="I39" s="89"/>
      <c r="J39" s="90"/>
      <c r="K39" s="90"/>
      <c r="L39" s="89"/>
      <c r="M39" s="90"/>
      <c r="N39" s="89"/>
      <c r="O39" s="89"/>
      <c r="P39" s="89"/>
      <c r="Q39" s="104"/>
      <c r="R39" s="103"/>
      <c r="S39"/>
      <c r="T39"/>
      <c r="U39" s="62" t="s">
        <v>13</v>
      </c>
      <c r="V39" s="52"/>
      <c r="W39" s="53"/>
      <c r="X39" s="54"/>
      <c r="Y39" s="53"/>
      <c r="Z39" s="53"/>
      <c r="AA39" s="54"/>
      <c r="AB39" s="54"/>
      <c r="AC39" s="55"/>
      <c r="AD39" s="56">
        <f>AD36-Edellisvuosi!L7</f>
        <v>789</v>
      </c>
      <c r="AE39" s="67"/>
      <c r="AF39" s="67"/>
      <c r="AG39" s="67"/>
      <c r="AH39" s="67"/>
      <c r="AI39" s="67"/>
      <c r="AJ39" s="67"/>
    </row>
    <row r="40" spans="1:36" ht="24.95" customHeight="1" x14ac:dyDescent="0.3">
      <c r="A40" s="6"/>
      <c r="B40" s="6"/>
      <c r="C40" s="194" t="str">
        <f>Kalenteri!E40</f>
        <v xml:space="preserve">                                    Vuosikortti:     aik. 50 €, lapset 20 €, perhekortti 100 €</v>
      </c>
      <c r="D40" s="39"/>
      <c r="E40" s="39"/>
      <c r="F40" s="42"/>
      <c r="G40" s="65"/>
      <c r="H40" s="176"/>
      <c r="I40" s="39"/>
      <c r="J40" s="42"/>
      <c r="K40" s="42"/>
      <c r="L40" s="39"/>
      <c r="M40" s="42"/>
      <c r="N40" s="39"/>
      <c r="O40" s="39"/>
      <c r="P40" s="39"/>
      <c r="Q40" s="23"/>
      <c r="R40" s="97"/>
      <c r="S40"/>
      <c r="T40"/>
      <c r="U40" s="63" t="s">
        <v>72</v>
      </c>
      <c r="V40" s="37"/>
      <c r="W40" s="51"/>
      <c r="X40" s="41"/>
      <c r="Y40" s="51"/>
      <c r="Z40" s="41"/>
      <c r="AA40" s="41"/>
      <c r="AB40" s="41"/>
      <c r="AC40" s="48"/>
      <c r="AD40" s="46">
        <f>AD36+'N1'!AD36+'N2'!AD36+'N3'!AD36+'N4'!AD36+'N5'!AD36+'N6'!AD36+'N7'!AD36+'N8'!AD36+'N9'!AD36+'N10'!AD36</f>
        <v>481053</v>
      </c>
      <c r="AE40" s="41"/>
      <c r="AF40" s="41"/>
      <c r="AG40" s="41"/>
      <c r="AH40" s="41"/>
      <c r="AI40" s="41"/>
      <c r="AJ40" s="41"/>
    </row>
    <row r="41" spans="1:36" ht="24.95" customHeight="1" thickBot="1" x14ac:dyDescent="0.35">
      <c r="A41" s="4"/>
      <c r="B41" s="4"/>
      <c r="C41" s="195" t="str">
        <f>Kalenteri!E41</f>
        <v>Vesibusseilla:             1.9.-30.4. aik. 16 €, lapset 8 €, kimppalippu 47 €    1.5.-31.8. aik. 18 €, lapset 9 €, kimppalippu 53 €</v>
      </c>
      <c r="D41" s="93"/>
      <c r="E41" s="93"/>
      <c r="F41" s="94"/>
      <c r="G41" s="94"/>
      <c r="H41" s="175"/>
      <c r="I41" s="93"/>
      <c r="J41" s="96"/>
      <c r="K41" s="96"/>
      <c r="L41" s="93"/>
      <c r="M41" s="95"/>
      <c r="N41" s="95"/>
      <c r="O41" s="93"/>
      <c r="P41" s="93"/>
      <c r="Q41" s="95"/>
      <c r="R41" s="98"/>
      <c r="S41"/>
      <c r="T41"/>
      <c r="U41" s="64" t="s">
        <v>13</v>
      </c>
      <c r="V41" s="57"/>
      <c r="W41" s="58"/>
      <c r="X41" s="59"/>
      <c r="Y41" s="59"/>
      <c r="Z41" s="59"/>
      <c r="AA41" s="59"/>
      <c r="AB41" s="59"/>
      <c r="AC41" s="60"/>
      <c r="AD41" s="61">
        <f>AD40-Edellisvuosi!B7-Edellisvuosi!C7-Edellisvuosi!D7-Edellisvuosi!E7-Edellisvuosi!F7-Edellisvuosi!G7-Edellisvuosi!H7-Edellisvuosi!I7-Edellisvuosi!J7-Edellisvuosi!K7-Edellisvuosi!L7</f>
        <v>8781</v>
      </c>
      <c r="AE41" s="68"/>
      <c r="AF41" s="68"/>
      <c r="AG41" s="68"/>
      <c r="AH41" s="68"/>
      <c r="AI41" s="68"/>
      <c r="AJ41" s="68"/>
    </row>
    <row r="42" spans="1:36" ht="13.5" thickTop="1" x14ac:dyDescent="0.2"/>
  </sheetData>
  <sheetProtection password="C4AC" sheet="1" objects="1" scenarios="1"/>
  <phoneticPr fontId="4" type="noConversion"/>
  <pageMargins left="0" right="0" top="0.27559055118110237" bottom="0" header="0" footer="0"/>
  <pageSetup paperSize="9" scale="75" fitToHeight="0" orientation="landscape" horizontalDpi="4294967292" verticalDpi="4294967292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7825" r:id="rId4" name="Button 1">
              <controlPr defaultSize="0" print="0" autoFill="0" autoLine="0" autoPict="0" macro="[1]!TAMMI">
                <anchor moveWithCells="1" sizeWithCells="1">
                  <from>
                    <xdr:col>35</xdr:col>
                    <xdr:colOff>0</xdr:colOff>
                    <xdr:row>3</xdr:row>
                    <xdr:rowOff>9525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826" r:id="rId5" name="Button 2">
              <controlPr defaultSize="0" print="0" autoFill="0" autoLine="0" autoPict="0" macro="[1]KTMAKRO!$A$1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827" r:id="rId6" name="Button 3">
              <controlPr defaultSize="0" print="0" autoFill="0" autoLine="0" autoPict="0" macro="[1]!MAALIS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828" r:id="rId7" name="Button 4">
              <controlPr defaultSize="0" print="0" autoFill="0" autoLine="0" autoPict="0" macro="[1]KTMAKRO!$D$1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829" r:id="rId8" name="Button 5">
              <controlPr defaultSize="0" print="0" autoFill="0" autoLine="0" autoPict="0" macro="[1]KTMAKRO!$E$1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830" r:id="rId9" name="Button 6">
              <controlPr defaultSize="0" print="0" autoFill="0" autoLine="0" autoPict="0" macro="[1]!KESÄ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831" r:id="rId10" name="Button 7">
              <controlPr defaultSize="0" print="0" autoFill="0" autoLine="0" autoPict="0" macro="[1]!HELMI">
                <anchor moveWithCells="1" sizeWithCells="1">
                  <from>
                    <xdr:col>35</xdr:col>
                    <xdr:colOff>0</xdr:colOff>
                    <xdr:row>3</xdr:row>
                    <xdr:rowOff>9525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832" r:id="rId11" name="Button 8">
              <controlPr defaultSize="0" print="0" autoFill="0" autoLine="0" autoPict="0" macro="[1]KTMAKRO!$G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833" r:id="rId12" name="Button 9">
              <controlPr defaultSize="0" print="0" autoFill="0" autoLine="0" autoPict="0" macro="[1]KTMAKRO!$I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834" r:id="rId13" name="Button 10">
              <controlPr defaultSize="0" print="0" autoFill="0" autoLine="0" autoPict="0" macro="[1]KTMAKRO!$J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835" r:id="rId14" name="Button 11">
              <controlPr defaultSize="0" print="0" autoFill="0" autoLine="0" autoPict="0" macro="[1]KTMAKRO!$K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836" r:id="rId15" name="Button 12">
              <controlPr defaultSize="0" print="0" autoFill="0" autoLine="0" autoPict="0" macro="[1]KTMAKRO!$L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837" r:id="rId16" name="Button 13">
              <controlPr defaultSize="0" print="0" autoFill="0" autoLine="0" autoPict="0" macro="[1]KTMAKRO!$H$1">
                <anchor moveWithCells="1" sizeWithCells="1">
                  <from>
                    <xdr:col>35</xdr:col>
                    <xdr:colOff>0</xdr:colOff>
                    <xdr:row>5</xdr:row>
                    <xdr:rowOff>0</xdr:rowOff>
                  </from>
                  <to>
                    <xdr:col>35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838" r:id="rId17" name="Button 14">
              <controlPr defaultSize="0" print="0" autoFill="0" autoLine="0" autoPict="0" macro="[1]!Yhteenveto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5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839" r:id="rId18" name="Button 15">
              <controlPr defaultSize="0" print="0" autoFill="0" autoLine="0" autoPict="0" macro="[1]!GRAFIIKKA1">
                <anchor moveWithCells="1" sizeWithCells="1">
                  <from>
                    <xdr:col>35</xdr:col>
                    <xdr:colOff>0</xdr:colOff>
                    <xdr:row>8</xdr:row>
                    <xdr:rowOff>142875</xdr:rowOff>
                  </from>
                  <to>
                    <xdr:col>35</xdr:col>
                    <xdr:colOff>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840" r:id="rId19" name="Button 16">
              <controlPr defaultSize="0" print="0" autoFill="0" autoLine="0" autoPict="0" macro="[1]!Grafiikka2">
                <anchor moveWithCells="1" sizeWithCells="1">
                  <from>
                    <xdr:col>35</xdr:col>
                    <xdr:colOff>0</xdr:colOff>
                    <xdr:row>8</xdr:row>
                    <xdr:rowOff>152400</xdr:rowOff>
                  </from>
                  <to>
                    <xdr:col>35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841" r:id="rId20" name="Button 17">
              <controlPr defaultSize="0" print="0" autoFill="0" autoLine="0" autoPict="0" macro="[1]!Grafiikka4">
                <anchor moveWithCells="1" sizeWithCells="1">
                  <from>
                    <xdr:col>35</xdr:col>
                    <xdr:colOff>0</xdr:colOff>
                    <xdr:row>8</xdr:row>
                    <xdr:rowOff>142875</xdr:rowOff>
                  </from>
                  <to>
                    <xdr:col>35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842" r:id="rId21" name="Button 18">
              <controlPr defaultSize="0" print="0" autoFill="0" autoLine="0" autoPict="0" macro="[1]!Grafiikka4">
                <anchor moveWithCells="1" sizeWithCells="1">
                  <from>
                    <xdr:col>35</xdr:col>
                    <xdr:colOff>0</xdr:colOff>
                    <xdr:row>8</xdr:row>
                    <xdr:rowOff>152400</xdr:rowOff>
                  </from>
                  <to>
                    <xdr:col>35</xdr:col>
                    <xdr:colOff>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843" r:id="rId22" name="Button 19">
              <controlPr defaultSize="0" print="0" autoFill="0" autoLine="0" autoPict="0" macro="[1]!Grafiikka5">
                <anchor moveWithCells="1" sizeWithCells="1">
                  <from>
                    <xdr:col>35</xdr:col>
                    <xdr:colOff>0</xdr:colOff>
                    <xdr:row>8</xdr:row>
                    <xdr:rowOff>152400</xdr:rowOff>
                  </from>
                  <to>
                    <xdr:col>35</xdr:col>
                    <xdr:colOff>0</xdr:colOff>
                    <xdr:row>12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844" r:id="rId23" name="Button 20">
              <controlPr defaultSize="0" print="0" autoFill="0" autoLine="0" autoPict="0" macro="[1]!Perusikkuna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12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/>
  <dimension ref="A1:AJ42"/>
  <sheetViews>
    <sheetView showGridLines="0" zoomScale="80" zoomScaleNormal="80" workbookViewId="0"/>
  </sheetViews>
  <sheetFormatPr defaultColWidth="9.75" defaultRowHeight="12.75" x14ac:dyDescent="0.2"/>
  <cols>
    <col min="1" max="1" width="3.75" style="1" customWidth="1"/>
    <col min="2" max="2" width="2.75" style="1" customWidth="1"/>
    <col min="3" max="4" width="6.125" style="1" customWidth="1"/>
    <col min="5" max="5" width="4" style="1" customWidth="1"/>
    <col min="6" max="6" width="4.5" style="1" customWidth="1"/>
    <col min="7" max="10" width="6.125" style="1" customWidth="1"/>
    <col min="11" max="11" width="5.875" style="1" customWidth="1"/>
    <col min="12" max="13" width="6.125" style="1" customWidth="1"/>
    <col min="14" max="14" width="5.25" style="1" customWidth="1"/>
    <col min="15" max="15" width="4.5" style="1" customWidth="1"/>
    <col min="16" max="16" width="6.125" style="1" customWidth="1"/>
    <col min="17" max="17" width="5.5" style="1" customWidth="1"/>
    <col min="18" max="19" width="6.125" style="1" customWidth="1"/>
    <col min="20" max="20" width="5.875" style="1" customWidth="1"/>
    <col min="21" max="22" width="6.125" style="1" customWidth="1"/>
    <col min="23" max="23" width="4.375" style="1" customWidth="1"/>
    <col min="24" max="24" width="4.25" style="1" customWidth="1"/>
    <col min="25" max="29" width="6.125" style="1" customWidth="1"/>
    <col min="30" max="36" width="15.625" style="1" customWidth="1"/>
  </cols>
  <sheetData>
    <row r="1" spans="1:36" ht="30" customHeight="1" x14ac:dyDescent="0.35">
      <c r="A1" s="22"/>
      <c r="B1" s="4"/>
      <c r="C1" s="105" t="s">
        <v>15</v>
      </c>
      <c r="D1" s="106"/>
      <c r="E1" s="106"/>
      <c r="F1" s="106"/>
      <c r="G1" s="106"/>
      <c r="H1" s="106"/>
      <c r="I1" s="106"/>
      <c r="J1" s="106"/>
      <c r="K1" s="106"/>
      <c r="L1" s="105" t="str">
        <f>Kalenteri!$H$1</f>
        <v>KÄVIJÄTILASTO 2013</v>
      </c>
      <c r="M1" s="107"/>
      <c r="N1" s="107"/>
      <c r="O1" s="107"/>
      <c r="P1" s="106"/>
      <c r="Q1" s="106"/>
      <c r="R1" s="105" t="s">
        <v>81</v>
      </c>
      <c r="S1" s="108"/>
      <c r="T1" s="106"/>
      <c r="U1" s="109"/>
      <c r="V1" s="105" t="s">
        <v>20</v>
      </c>
      <c r="W1" s="109"/>
      <c r="X1" s="106"/>
      <c r="Y1" s="106"/>
      <c r="Z1" s="106"/>
      <c r="AA1" s="106"/>
      <c r="AB1" s="106"/>
      <c r="AC1" s="106"/>
      <c r="AD1" s="110"/>
      <c r="AE1" s="4"/>
      <c r="AF1" s="4"/>
      <c r="AG1" s="4"/>
      <c r="AH1" s="4"/>
      <c r="AI1" s="4"/>
      <c r="AJ1" s="4"/>
    </row>
    <row r="2" spans="1:36" ht="30" customHeight="1" x14ac:dyDescent="0.3">
      <c r="A2" s="3"/>
      <c r="B2" s="4"/>
      <c r="C2" s="72"/>
      <c r="D2" s="73"/>
      <c r="E2" s="74" t="s">
        <v>1</v>
      </c>
      <c r="F2" s="75"/>
      <c r="G2" s="75"/>
      <c r="H2" s="75"/>
      <c r="I2" s="75"/>
      <c r="J2" s="75"/>
      <c r="K2" s="76"/>
      <c r="L2" s="72"/>
      <c r="M2" s="77"/>
      <c r="N2" s="73"/>
      <c r="O2" s="74" t="s">
        <v>2</v>
      </c>
      <c r="P2" s="75"/>
      <c r="Q2" s="75"/>
      <c r="R2" s="75"/>
      <c r="S2" s="75"/>
      <c r="T2" s="76"/>
      <c r="U2" s="72"/>
      <c r="V2" s="75"/>
      <c r="W2" s="73"/>
      <c r="X2" s="74" t="s">
        <v>3</v>
      </c>
      <c r="Y2" s="75"/>
      <c r="Z2" s="75"/>
      <c r="AA2" s="75"/>
      <c r="AB2" s="75"/>
      <c r="AC2" s="76"/>
      <c r="AD2" s="13"/>
      <c r="AE2" s="35"/>
      <c r="AF2" s="69"/>
      <c r="AG2" s="69"/>
      <c r="AH2" s="69"/>
      <c r="AI2" s="69"/>
      <c r="AJ2" s="69"/>
    </row>
    <row r="3" spans="1:36" x14ac:dyDescent="0.2">
      <c r="A3" s="4"/>
      <c r="B3" s="4"/>
      <c r="C3" s="24" t="s">
        <v>4</v>
      </c>
      <c r="D3" s="25"/>
      <c r="E3" s="25"/>
      <c r="F3" s="26"/>
      <c r="G3" s="24" t="s">
        <v>5</v>
      </c>
      <c r="H3" s="26"/>
      <c r="I3" s="25" t="s">
        <v>6</v>
      </c>
      <c r="J3" s="25"/>
      <c r="K3" s="27"/>
      <c r="L3" s="24" t="s">
        <v>4</v>
      </c>
      <c r="M3" s="25"/>
      <c r="N3" s="25"/>
      <c r="O3" s="26"/>
      <c r="P3" s="24" t="s">
        <v>5</v>
      </c>
      <c r="Q3" s="26"/>
      <c r="R3" s="25" t="s">
        <v>6</v>
      </c>
      <c r="S3" s="25"/>
      <c r="T3" s="27"/>
      <c r="U3" s="24" t="s">
        <v>4</v>
      </c>
      <c r="V3" s="25"/>
      <c r="W3" s="25"/>
      <c r="X3" s="26"/>
      <c r="Y3" s="24" t="s">
        <v>5</v>
      </c>
      <c r="Z3" s="26"/>
      <c r="AA3" s="25" t="s">
        <v>6</v>
      </c>
      <c r="AB3" s="25"/>
      <c r="AC3" s="27"/>
      <c r="AD3" s="36" t="s">
        <v>7</v>
      </c>
      <c r="AE3" s="38"/>
      <c r="AF3" s="70"/>
      <c r="AG3" s="70"/>
      <c r="AH3" s="70"/>
      <c r="AI3" s="70"/>
      <c r="AJ3"/>
    </row>
    <row r="4" spans="1:36" x14ac:dyDescent="0.2">
      <c r="A4" s="6"/>
      <c r="B4" s="4"/>
      <c r="C4" s="7" t="s">
        <v>8</v>
      </c>
      <c r="D4" s="8" t="s">
        <v>9</v>
      </c>
      <c r="E4" s="8" t="s">
        <v>10</v>
      </c>
      <c r="F4" s="9" t="s">
        <v>11</v>
      </c>
      <c r="G4" s="7" t="s">
        <v>8</v>
      </c>
      <c r="H4" s="9" t="s">
        <v>9</v>
      </c>
      <c r="I4" s="8" t="s">
        <v>8</v>
      </c>
      <c r="J4" s="8" t="s">
        <v>9</v>
      </c>
      <c r="K4" s="14" t="s">
        <v>0</v>
      </c>
      <c r="L4" s="7" t="s">
        <v>8</v>
      </c>
      <c r="M4" s="8" t="s">
        <v>9</v>
      </c>
      <c r="N4" s="8" t="s">
        <v>10</v>
      </c>
      <c r="O4" s="9" t="s">
        <v>11</v>
      </c>
      <c r="P4" s="7" t="s">
        <v>8</v>
      </c>
      <c r="Q4" s="9" t="s">
        <v>9</v>
      </c>
      <c r="R4" s="8" t="s">
        <v>8</v>
      </c>
      <c r="S4" s="8" t="s">
        <v>9</v>
      </c>
      <c r="T4" s="14" t="s">
        <v>0</v>
      </c>
      <c r="U4" s="7" t="s">
        <v>8</v>
      </c>
      <c r="V4" s="8" t="s">
        <v>9</v>
      </c>
      <c r="W4" s="8" t="s">
        <v>10</v>
      </c>
      <c r="X4" s="9" t="s">
        <v>11</v>
      </c>
      <c r="Y4" s="7" t="s">
        <v>8</v>
      </c>
      <c r="Z4" s="9" t="s">
        <v>9</v>
      </c>
      <c r="AA4" s="8" t="s">
        <v>8</v>
      </c>
      <c r="AB4" s="8" t="s">
        <v>9</v>
      </c>
      <c r="AC4" s="14" t="s">
        <v>0</v>
      </c>
      <c r="AD4" s="28"/>
      <c r="AE4" s="23"/>
      <c r="AF4" s="23"/>
      <c r="AG4" s="23"/>
      <c r="AH4" s="23"/>
      <c r="AI4" s="23"/>
      <c r="AJ4"/>
    </row>
    <row r="5" spans="1:36" x14ac:dyDescent="0.2">
      <c r="A5" s="5">
        <f>DAY(Kalenteri!A335)</f>
        <v>1</v>
      </c>
      <c r="B5" s="3" t="str">
        <f>IF(Kalenteri!B335=1,"su",IF(Kalenteri!B335=2,"ma",IF(Kalenteri!B335=3,"ti",IF(Kalenteri!B335=4,"ke",IF(Kalenteri!B335=5,"to",IF(Kalenteri!B335=6,"pe",IF(Kalenteri!B335=7,"la",)))))))</f>
        <v>su</v>
      </c>
      <c r="C5" s="78">
        <f>62+1+15</f>
        <v>78</v>
      </c>
      <c r="D5" s="15">
        <v>10</v>
      </c>
      <c r="E5" s="15"/>
      <c r="F5" s="16">
        <v>10</v>
      </c>
      <c r="G5" s="78"/>
      <c r="H5" s="16">
        <v>18</v>
      </c>
      <c r="I5" s="78"/>
      <c r="J5" s="16"/>
      <c r="K5" s="32">
        <f t="shared" ref="K5:K36" si="0">SUM(C5:J5)</f>
        <v>116</v>
      </c>
      <c r="L5" s="15"/>
      <c r="M5" s="15"/>
      <c r="N5" s="15"/>
      <c r="O5" s="16"/>
      <c r="P5" s="15"/>
      <c r="Q5" s="16"/>
      <c r="R5" s="29"/>
      <c r="S5" s="29"/>
      <c r="T5" s="32">
        <f t="shared" ref="T5:T36" si="1">SUM(L5:S5)</f>
        <v>0</v>
      </c>
      <c r="U5" s="15"/>
      <c r="V5" s="15"/>
      <c r="W5" s="15"/>
      <c r="X5" s="16"/>
      <c r="Y5" s="15"/>
      <c r="Z5" s="16"/>
      <c r="AA5" s="29"/>
      <c r="AB5" s="29"/>
      <c r="AC5" s="32">
        <f t="shared" ref="AC5:AC36" si="2">SUM(U5:AB5)</f>
        <v>0</v>
      </c>
      <c r="AD5" s="17">
        <f t="shared" ref="AD5:AD36" si="3">SUM(K5,T5,AC5)</f>
        <v>116</v>
      </c>
      <c r="AE5" s="39"/>
      <c r="AF5" s="39"/>
      <c r="AG5" s="39"/>
      <c r="AH5" s="39"/>
      <c r="AI5" s="39"/>
      <c r="AJ5"/>
    </row>
    <row r="6" spans="1:36" x14ac:dyDescent="0.2">
      <c r="A6" s="5">
        <f>DAY(Kalenteri!A336)</f>
        <v>2</v>
      </c>
      <c r="B6" s="3" t="str">
        <f>IF(Kalenteri!B336=1,"su",IF(Kalenteri!B336=2,"ma",IF(Kalenteri!B336=3,"ti",IF(Kalenteri!B336=4,"ke",IF(Kalenteri!B336=5,"to",IF(Kalenteri!B336=6,"pe",IF(Kalenteri!B336=7,"la",)))))))</f>
        <v>ma</v>
      </c>
      <c r="C6" s="18">
        <f>22+1+7</f>
        <v>30</v>
      </c>
      <c r="D6" s="10">
        <v>4</v>
      </c>
      <c r="E6" s="10"/>
      <c r="F6" s="11">
        <v>5</v>
      </c>
      <c r="G6" s="18"/>
      <c r="H6" s="11">
        <v>13</v>
      </c>
      <c r="I6" s="18"/>
      <c r="J6" s="11"/>
      <c r="K6" s="33">
        <f t="shared" si="0"/>
        <v>52</v>
      </c>
      <c r="L6" s="10"/>
      <c r="M6" s="10"/>
      <c r="N6" s="10"/>
      <c r="O6" s="11"/>
      <c r="P6" s="10"/>
      <c r="Q6" s="11"/>
      <c r="R6" s="30"/>
      <c r="S6" s="30"/>
      <c r="T6" s="33">
        <f t="shared" si="1"/>
        <v>0</v>
      </c>
      <c r="U6" s="10"/>
      <c r="V6" s="10"/>
      <c r="W6" s="10"/>
      <c r="X6" s="11"/>
      <c r="Y6" s="10"/>
      <c r="Z6" s="11"/>
      <c r="AA6" s="30"/>
      <c r="AB6" s="30"/>
      <c r="AC6" s="33">
        <f t="shared" si="2"/>
        <v>0</v>
      </c>
      <c r="AD6" s="12">
        <f t="shared" si="3"/>
        <v>52</v>
      </c>
      <c r="AE6" s="39"/>
      <c r="AF6" s="39"/>
      <c r="AG6" s="39"/>
      <c r="AH6" s="39"/>
      <c r="AI6" s="39"/>
      <c r="AJ6"/>
    </row>
    <row r="7" spans="1:36" x14ac:dyDescent="0.2">
      <c r="A7" s="5">
        <f>DAY(Kalenteri!A337)</f>
        <v>3</v>
      </c>
      <c r="B7" s="3" t="str">
        <f>IF(Kalenteri!B337=1,"su",IF(Kalenteri!B337=2,"ma",IF(Kalenteri!B337=3,"ti",IF(Kalenteri!B337=4,"ke",IF(Kalenteri!B337=5,"to",IF(Kalenteri!B337=6,"pe",IF(Kalenteri!B337=7,"la",)))))))</f>
        <v>ti</v>
      </c>
      <c r="C7" s="18">
        <f>12+6</f>
        <v>18</v>
      </c>
      <c r="D7" s="10">
        <v>1</v>
      </c>
      <c r="E7" s="10">
        <v>2</v>
      </c>
      <c r="F7" s="11">
        <v>1</v>
      </c>
      <c r="G7" s="18"/>
      <c r="H7" s="11">
        <v>2</v>
      </c>
      <c r="I7" s="18"/>
      <c r="J7" s="11"/>
      <c r="K7" s="33">
        <f t="shared" si="0"/>
        <v>24</v>
      </c>
      <c r="L7" s="10"/>
      <c r="M7" s="10"/>
      <c r="N7" s="10"/>
      <c r="O7" s="11"/>
      <c r="P7" s="10"/>
      <c r="Q7" s="11"/>
      <c r="R7" s="30"/>
      <c r="S7" s="30"/>
      <c r="T7" s="33">
        <f t="shared" si="1"/>
        <v>0</v>
      </c>
      <c r="U7" s="10"/>
      <c r="V7" s="10"/>
      <c r="W7" s="10"/>
      <c r="X7" s="11"/>
      <c r="Y7" s="10"/>
      <c r="Z7" s="11"/>
      <c r="AA7" s="30"/>
      <c r="AB7" s="30"/>
      <c r="AC7" s="33">
        <f t="shared" si="2"/>
        <v>0</v>
      </c>
      <c r="AD7" s="12">
        <f t="shared" si="3"/>
        <v>24</v>
      </c>
      <c r="AE7" s="39"/>
      <c r="AF7" s="39"/>
      <c r="AG7" s="39"/>
      <c r="AH7" s="39"/>
      <c r="AI7" s="39"/>
      <c r="AJ7"/>
    </row>
    <row r="8" spans="1:36" x14ac:dyDescent="0.2">
      <c r="A8" s="5">
        <f>DAY(Kalenteri!A338)</f>
        <v>4</v>
      </c>
      <c r="B8" s="3" t="str">
        <f>IF(Kalenteri!B338=1,"su",IF(Kalenteri!B338=2,"ma",IF(Kalenteri!B338=3,"ti",IF(Kalenteri!B338=4,"ke",IF(Kalenteri!B338=5,"to",IF(Kalenteri!B338=6,"pe",IF(Kalenteri!B338=7,"la",)))))))</f>
        <v>ke</v>
      </c>
      <c r="C8" s="18">
        <v>27</v>
      </c>
      <c r="D8" s="10">
        <v>3</v>
      </c>
      <c r="E8" s="10"/>
      <c r="F8" s="11">
        <v>6</v>
      </c>
      <c r="G8" s="18">
        <v>1</v>
      </c>
      <c r="H8" s="11">
        <v>18</v>
      </c>
      <c r="I8" s="18"/>
      <c r="J8" s="11"/>
      <c r="K8" s="33">
        <f t="shared" si="0"/>
        <v>55</v>
      </c>
      <c r="L8" s="10"/>
      <c r="M8" s="10"/>
      <c r="N8" s="10"/>
      <c r="O8" s="11"/>
      <c r="P8" s="10"/>
      <c r="Q8" s="11"/>
      <c r="R8" s="30"/>
      <c r="S8" s="30"/>
      <c r="T8" s="33">
        <f t="shared" si="1"/>
        <v>0</v>
      </c>
      <c r="U8" s="10"/>
      <c r="V8" s="10"/>
      <c r="W8" s="10"/>
      <c r="X8" s="11"/>
      <c r="Y8" s="10"/>
      <c r="Z8" s="11"/>
      <c r="AA8" s="30"/>
      <c r="AB8" s="30"/>
      <c r="AC8" s="33">
        <f t="shared" si="2"/>
        <v>0</v>
      </c>
      <c r="AD8" s="12">
        <f t="shared" si="3"/>
        <v>55</v>
      </c>
      <c r="AE8" s="39"/>
      <c r="AF8" s="39"/>
      <c r="AG8" s="39"/>
      <c r="AH8" s="39"/>
      <c r="AI8" s="39"/>
      <c r="AJ8"/>
    </row>
    <row r="9" spans="1:36" x14ac:dyDescent="0.2">
      <c r="A9" s="5">
        <f>DAY(Kalenteri!A339)</f>
        <v>5</v>
      </c>
      <c r="B9" s="3" t="str">
        <f>IF(Kalenteri!B339=1,"su",IF(Kalenteri!B339=2,"ma",IF(Kalenteri!B339=3,"ti",IF(Kalenteri!B339=4,"ke",IF(Kalenteri!B339=5,"to",IF(Kalenteri!B339=6,"pe",IF(Kalenteri!B339=7,"la",)))))))</f>
        <v>to</v>
      </c>
      <c r="C9" s="18">
        <f>34+1+2</f>
        <v>37</v>
      </c>
      <c r="D9" s="10">
        <v>3</v>
      </c>
      <c r="E9" s="10">
        <v>1</v>
      </c>
      <c r="F9" s="11">
        <v>2</v>
      </c>
      <c r="G9" s="18"/>
      <c r="H9" s="11">
        <v>11</v>
      </c>
      <c r="I9" s="18"/>
      <c r="J9" s="11"/>
      <c r="K9" s="33">
        <f t="shared" si="0"/>
        <v>54</v>
      </c>
      <c r="L9" s="10"/>
      <c r="M9" s="10"/>
      <c r="N9" s="10"/>
      <c r="O9" s="11"/>
      <c r="P9" s="10"/>
      <c r="Q9" s="11"/>
      <c r="R9" s="30"/>
      <c r="S9" s="30"/>
      <c r="T9" s="33">
        <f t="shared" si="1"/>
        <v>0</v>
      </c>
      <c r="U9" s="10"/>
      <c r="V9" s="10"/>
      <c r="W9" s="10"/>
      <c r="X9" s="11"/>
      <c r="Y9" s="10"/>
      <c r="Z9" s="11"/>
      <c r="AA9" s="30"/>
      <c r="AB9" s="30"/>
      <c r="AC9" s="33">
        <f t="shared" si="2"/>
        <v>0</v>
      </c>
      <c r="AD9" s="12">
        <f t="shared" si="3"/>
        <v>54</v>
      </c>
      <c r="AE9" s="39"/>
      <c r="AF9" s="39"/>
      <c r="AG9" s="39"/>
      <c r="AH9" s="39"/>
      <c r="AI9" s="39"/>
      <c r="AJ9"/>
    </row>
    <row r="10" spans="1:36" x14ac:dyDescent="0.2">
      <c r="A10" s="5">
        <f>DAY(Kalenteri!A340)</f>
        <v>6</v>
      </c>
      <c r="B10" s="3" t="str">
        <f>IF(Kalenteri!B340=1,"su",IF(Kalenteri!B340=2,"ma",IF(Kalenteri!B340=3,"ti",IF(Kalenteri!B340=4,"ke",IF(Kalenteri!B340=5,"to",IF(Kalenteri!B340=6,"pe",IF(Kalenteri!B340=7,"la",)))))))</f>
        <v>pe</v>
      </c>
      <c r="C10" s="18">
        <f>97+2+4+3+1+12</f>
        <v>119</v>
      </c>
      <c r="D10" s="10">
        <f>26+5</f>
        <v>31</v>
      </c>
      <c r="E10" s="10"/>
      <c r="F10" s="11">
        <f>4+1+2+1+2</f>
        <v>10</v>
      </c>
      <c r="G10" s="18">
        <v>1</v>
      </c>
      <c r="H10" s="11">
        <f>40+6</f>
        <v>46</v>
      </c>
      <c r="I10" s="18"/>
      <c r="J10" s="11"/>
      <c r="K10" s="33">
        <f t="shared" si="0"/>
        <v>207</v>
      </c>
      <c r="L10" s="10"/>
      <c r="M10" s="10"/>
      <c r="N10" s="10"/>
      <c r="O10" s="11"/>
      <c r="P10" s="10"/>
      <c r="Q10" s="11"/>
      <c r="R10" s="30"/>
      <c r="S10" s="30"/>
      <c r="T10" s="33">
        <f t="shared" si="1"/>
        <v>0</v>
      </c>
      <c r="U10" s="10"/>
      <c r="V10" s="10"/>
      <c r="W10" s="10"/>
      <c r="X10" s="11"/>
      <c r="Y10" s="10"/>
      <c r="Z10" s="11"/>
      <c r="AA10" s="30"/>
      <c r="AB10" s="30"/>
      <c r="AC10" s="33">
        <f t="shared" si="2"/>
        <v>0</v>
      </c>
      <c r="AD10" s="12">
        <f t="shared" si="3"/>
        <v>207</v>
      </c>
      <c r="AE10" s="39"/>
      <c r="AF10" s="39"/>
      <c r="AG10" s="39"/>
      <c r="AH10" s="39"/>
      <c r="AI10" s="39"/>
      <c r="AJ10"/>
    </row>
    <row r="11" spans="1:36" x14ac:dyDescent="0.2">
      <c r="A11" s="5">
        <f>DAY(Kalenteri!A341)</f>
        <v>7</v>
      </c>
      <c r="B11" s="3" t="str">
        <f>IF(Kalenteri!B341=1,"su",IF(Kalenteri!B341=2,"ma",IF(Kalenteri!B341=3,"ti",IF(Kalenteri!B341=4,"ke",IF(Kalenteri!B341=5,"to",IF(Kalenteri!B341=6,"pe",IF(Kalenteri!B341=7,"la",)))))))</f>
        <v>la</v>
      </c>
      <c r="C11" s="18">
        <f>127+3+3+4+10</f>
        <v>147</v>
      </c>
      <c r="D11" s="10">
        <f>42</f>
        <v>42</v>
      </c>
      <c r="E11" s="10">
        <v>4</v>
      </c>
      <c r="F11" s="11">
        <v>18</v>
      </c>
      <c r="G11" s="18">
        <f>3</f>
        <v>3</v>
      </c>
      <c r="H11" s="11">
        <v>73</v>
      </c>
      <c r="I11" s="18"/>
      <c r="J11" s="11"/>
      <c r="K11" s="33">
        <f t="shared" si="0"/>
        <v>287</v>
      </c>
      <c r="L11" s="10"/>
      <c r="M11" s="10"/>
      <c r="N11" s="10"/>
      <c r="O11" s="11"/>
      <c r="P11" s="10"/>
      <c r="Q11" s="11"/>
      <c r="R11" s="30"/>
      <c r="S11" s="30"/>
      <c r="T11" s="33">
        <f t="shared" si="1"/>
        <v>0</v>
      </c>
      <c r="U11" s="10"/>
      <c r="V11" s="10"/>
      <c r="W11" s="10"/>
      <c r="X11" s="11"/>
      <c r="Y11" s="10"/>
      <c r="Z11" s="11"/>
      <c r="AA11" s="30"/>
      <c r="AB11" s="30"/>
      <c r="AC11" s="33">
        <f t="shared" si="2"/>
        <v>0</v>
      </c>
      <c r="AD11" s="12">
        <f t="shared" si="3"/>
        <v>287</v>
      </c>
      <c r="AE11" s="39"/>
      <c r="AF11" s="39"/>
      <c r="AG11" s="39"/>
      <c r="AH11" s="39"/>
      <c r="AI11" s="39"/>
      <c r="AJ11"/>
    </row>
    <row r="12" spans="1:36" x14ac:dyDescent="0.2">
      <c r="A12" s="5">
        <f>DAY(Kalenteri!A342)</f>
        <v>8</v>
      </c>
      <c r="B12" s="3" t="str">
        <f>IF(Kalenteri!B342=1,"su",IF(Kalenteri!B342=2,"ma",IF(Kalenteri!B342=3,"ti",IF(Kalenteri!B342=4,"ke",IF(Kalenteri!B342=5,"to",IF(Kalenteri!B342=6,"pe",IF(Kalenteri!B342=7,"la",)))))))</f>
        <v>su</v>
      </c>
      <c r="C12" s="18">
        <f>118+4+11+6+8</f>
        <v>147</v>
      </c>
      <c r="D12" s="10">
        <v>33</v>
      </c>
      <c r="E12" s="10"/>
      <c r="F12" s="11">
        <f>6+9+2+3</f>
        <v>20</v>
      </c>
      <c r="G12" s="18">
        <f>2+2+3</f>
        <v>7</v>
      </c>
      <c r="H12" s="11">
        <v>53</v>
      </c>
      <c r="I12" s="18">
        <v>2</v>
      </c>
      <c r="J12" s="11">
        <v>3</v>
      </c>
      <c r="K12" s="33">
        <f t="shared" si="0"/>
        <v>265</v>
      </c>
      <c r="L12" s="10"/>
      <c r="M12" s="10"/>
      <c r="N12" s="10"/>
      <c r="O12" s="11"/>
      <c r="P12" s="10"/>
      <c r="Q12" s="11"/>
      <c r="R12" s="30"/>
      <c r="S12" s="30"/>
      <c r="T12" s="33">
        <f t="shared" si="1"/>
        <v>0</v>
      </c>
      <c r="U12" s="10"/>
      <c r="V12" s="10"/>
      <c r="W12" s="10"/>
      <c r="X12" s="11"/>
      <c r="Y12" s="10"/>
      <c r="Z12" s="11"/>
      <c r="AA12" s="30"/>
      <c r="AB12" s="30"/>
      <c r="AC12" s="33">
        <f t="shared" si="2"/>
        <v>0</v>
      </c>
      <c r="AD12" s="12">
        <f t="shared" si="3"/>
        <v>265</v>
      </c>
      <c r="AE12" s="39"/>
      <c r="AF12" s="39"/>
      <c r="AG12" s="39"/>
      <c r="AH12" s="39"/>
      <c r="AI12" s="39"/>
      <c r="AJ12"/>
    </row>
    <row r="13" spans="1:36" x14ac:dyDescent="0.2">
      <c r="A13" s="5">
        <f>DAY(Kalenteri!A343)</f>
        <v>9</v>
      </c>
      <c r="B13" s="3" t="str">
        <f>IF(Kalenteri!B343=1,"su",IF(Kalenteri!B343=2,"ma",IF(Kalenteri!B343=3,"ti",IF(Kalenteri!B343=4,"ke",IF(Kalenteri!B343=5,"to",IF(Kalenteri!B343=6,"pe",IF(Kalenteri!B343=7,"la",)))))))</f>
        <v>ma</v>
      </c>
      <c r="C13" s="18">
        <f>20+5</f>
        <v>25</v>
      </c>
      <c r="D13" s="10">
        <v>9</v>
      </c>
      <c r="E13" s="10">
        <v>2</v>
      </c>
      <c r="F13" s="11">
        <v>2</v>
      </c>
      <c r="G13" s="18">
        <v>1</v>
      </c>
      <c r="H13" s="11">
        <v>21</v>
      </c>
      <c r="I13" s="18"/>
      <c r="J13" s="11"/>
      <c r="K13" s="33">
        <f t="shared" si="0"/>
        <v>60</v>
      </c>
      <c r="L13" s="10"/>
      <c r="M13" s="10"/>
      <c r="N13" s="10"/>
      <c r="O13" s="11"/>
      <c r="P13" s="10"/>
      <c r="Q13" s="11"/>
      <c r="R13" s="30"/>
      <c r="S13" s="30"/>
      <c r="T13" s="33">
        <f t="shared" si="1"/>
        <v>0</v>
      </c>
      <c r="U13" s="10"/>
      <c r="V13" s="10"/>
      <c r="W13" s="10"/>
      <c r="X13" s="11"/>
      <c r="Y13" s="10"/>
      <c r="Z13" s="11"/>
      <c r="AA13" s="30"/>
      <c r="AB13" s="30"/>
      <c r="AC13" s="33">
        <f t="shared" si="2"/>
        <v>0</v>
      </c>
      <c r="AD13" s="12">
        <f t="shared" si="3"/>
        <v>60</v>
      </c>
      <c r="AE13" s="39"/>
      <c r="AF13" s="39"/>
      <c r="AG13" s="39"/>
      <c r="AH13" s="39"/>
      <c r="AI13" s="39"/>
      <c r="AJ13"/>
    </row>
    <row r="14" spans="1:36" x14ac:dyDescent="0.2">
      <c r="A14" s="5">
        <f>DAY(Kalenteri!A344)</f>
        <v>10</v>
      </c>
      <c r="B14" s="3" t="str">
        <f>IF(Kalenteri!B344=1,"su",IF(Kalenteri!B344=2,"ma",IF(Kalenteri!B344=3,"ti",IF(Kalenteri!B344=4,"ke",IF(Kalenteri!B344=5,"to",IF(Kalenteri!B344=6,"pe",IF(Kalenteri!B344=7,"la",)))))))</f>
        <v>ti</v>
      </c>
      <c r="C14" s="18">
        <v>28</v>
      </c>
      <c r="D14" s="10">
        <v>5</v>
      </c>
      <c r="E14" s="10"/>
      <c r="F14" s="11">
        <v>2</v>
      </c>
      <c r="G14" s="18">
        <v>1</v>
      </c>
      <c r="H14" s="11">
        <v>16</v>
      </c>
      <c r="I14" s="18"/>
      <c r="J14" s="11"/>
      <c r="K14" s="33">
        <f t="shared" si="0"/>
        <v>52</v>
      </c>
      <c r="L14" s="10"/>
      <c r="M14" s="10"/>
      <c r="N14" s="10"/>
      <c r="O14" s="11"/>
      <c r="P14" s="10"/>
      <c r="Q14" s="11"/>
      <c r="R14" s="30"/>
      <c r="S14" s="30"/>
      <c r="T14" s="33">
        <f t="shared" si="1"/>
        <v>0</v>
      </c>
      <c r="U14" s="10"/>
      <c r="V14" s="10"/>
      <c r="W14" s="10"/>
      <c r="X14" s="11"/>
      <c r="Y14" s="10"/>
      <c r="Z14" s="11"/>
      <c r="AA14" s="30"/>
      <c r="AB14" s="30"/>
      <c r="AC14" s="33">
        <f t="shared" si="2"/>
        <v>0</v>
      </c>
      <c r="AD14" s="12">
        <f t="shared" si="3"/>
        <v>52</v>
      </c>
      <c r="AE14" s="39"/>
      <c r="AF14" s="39"/>
      <c r="AG14" s="39"/>
      <c r="AH14" s="39"/>
      <c r="AI14" s="39"/>
      <c r="AJ14"/>
    </row>
    <row r="15" spans="1:36" x14ac:dyDescent="0.2">
      <c r="A15" s="5">
        <f>DAY(Kalenteri!A345)</f>
        <v>11</v>
      </c>
      <c r="B15" s="3" t="str">
        <f>IF(Kalenteri!B345=1,"su",IF(Kalenteri!B345=2,"ma",IF(Kalenteri!B345=3,"ti",IF(Kalenteri!B345=4,"ke",IF(Kalenteri!B345=5,"to",IF(Kalenteri!B345=6,"pe",IF(Kalenteri!B345=7,"la",)))))))</f>
        <v>ke</v>
      </c>
      <c r="C15" s="18">
        <v>21</v>
      </c>
      <c r="D15" s="10"/>
      <c r="E15" s="10"/>
      <c r="F15" s="11">
        <v>1</v>
      </c>
      <c r="G15" s="18">
        <v>29</v>
      </c>
      <c r="H15" s="11">
        <v>74</v>
      </c>
      <c r="I15" s="18">
        <v>2</v>
      </c>
      <c r="J15" s="11">
        <v>3</v>
      </c>
      <c r="K15" s="33">
        <f t="shared" si="0"/>
        <v>130</v>
      </c>
      <c r="L15" s="10"/>
      <c r="M15" s="10"/>
      <c r="N15" s="10"/>
      <c r="O15" s="11"/>
      <c r="P15" s="10"/>
      <c r="Q15" s="11"/>
      <c r="R15" s="30"/>
      <c r="S15" s="30"/>
      <c r="T15" s="33">
        <f t="shared" si="1"/>
        <v>0</v>
      </c>
      <c r="U15" s="10"/>
      <c r="V15" s="10"/>
      <c r="W15" s="10"/>
      <c r="X15" s="11"/>
      <c r="Y15" s="10"/>
      <c r="Z15" s="11"/>
      <c r="AA15" s="30"/>
      <c r="AB15" s="30"/>
      <c r="AC15" s="33">
        <f t="shared" si="2"/>
        <v>0</v>
      </c>
      <c r="AD15" s="12">
        <f t="shared" si="3"/>
        <v>130</v>
      </c>
      <c r="AE15" s="39"/>
      <c r="AF15" s="39"/>
      <c r="AG15" s="39"/>
      <c r="AH15" s="39"/>
      <c r="AI15" s="39"/>
      <c r="AJ15"/>
    </row>
    <row r="16" spans="1:36" x14ac:dyDescent="0.2">
      <c r="A16" s="5">
        <f>DAY(Kalenteri!A346)</f>
        <v>12</v>
      </c>
      <c r="B16" s="3" t="str">
        <f>IF(Kalenteri!B346=1,"su",IF(Kalenteri!B346=2,"ma",IF(Kalenteri!B346=3,"ti",IF(Kalenteri!B346=4,"ke",IF(Kalenteri!B346=5,"to",IF(Kalenteri!B346=6,"pe",IF(Kalenteri!B346=7,"la",)))))))</f>
        <v>to</v>
      </c>
      <c r="C16" s="18">
        <v>29</v>
      </c>
      <c r="D16" s="10">
        <v>7</v>
      </c>
      <c r="E16" s="10"/>
      <c r="F16" s="11">
        <v>1</v>
      </c>
      <c r="G16" s="18">
        <v>14</v>
      </c>
      <c r="H16" s="11">
        <v>12</v>
      </c>
      <c r="I16" s="18"/>
      <c r="J16" s="11"/>
      <c r="K16" s="33">
        <f t="shared" si="0"/>
        <v>63</v>
      </c>
      <c r="L16" s="10"/>
      <c r="M16" s="10"/>
      <c r="N16" s="10"/>
      <c r="O16" s="11"/>
      <c r="P16" s="10"/>
      <c r="Q16" s="11"/>
      <c r="R16" s="30"/>
      <c r="S16" s="30"/>
      <c r="T16" s="33">
        <f t="shared" si="1"/>
        <v>0</v>
      </c>
      <c r="U16" s="10"/>
      <c r="V16" s="10"/>
      <c r="W16" s="10"/>
      <c r="X16" s="11"/>
      <c r="Y16" s="10"/>
      <c r="Z16" s="11"/>
      <c r="AA16" s="30"/>
      <c r="AB16" s="30"/>
      <c r="AC16" s="33">
        <f t="shared" si="2"/>
        <v>0</v>
      </c>
      <c r="AD16" s="12">
        <f t="shared" si="3"/>
        <v>63</v>
      </c>
      <c r="AE16" s="39"/>
      <c r="AF16" s="39"/>
      <c r="AG16" s="39"/>
      <c r="AH16" s="39"/>
      <c r="AI16" s="39"/>
      <c r="AJ16"/>
    </row>
    <row r="17" spans="1:36" x14ac:dyDescent="0.2">
      <c r="A17" s="5">
        <f>DAY(Kalenteri!A347)</f>
        <v>13</v>
      </c>
      <c r="B17" s="3" t="str">
        <f>IF(Kalenteri!B347=1,"su",IF(Kalenteri!B347=2,"ma",IF(Kalenteri!B347=3,"ti",IF(Kalenteri!B347=4,"ke",IF(Kalenteri!B347=5,"to",IF(Kalenteri!B347=6,"pe",IF(Kalenteri!B347=7,"la",)))))))</f>
        <v>pe</v>
      </c>
      <c r="C17" s="18">
        <v>33</v>
      </c>
      <c r="D17" s="10">
        <v>14</v>
      </c>
      <c r="E17" s="10"/>
      <c r="F17" s="11">
        <v>1</v>
      </c>
      <c r="G17" s="18">
        <v>2</v>
      </c>
      <c r="H17" s="11">
        <v>14</v>
      </c>
      <c r="I17" s="18"/>
      <c r="J17" s="11"/>
      <c r="K17" s="33">
        <f t="shared" si="0"/>
        <v>64</v>
      </c>
      <c r="L17" s="10"/>
      <c r="M17" s="10"/>
      <c r="N17" s="10"/>
      <c r="O17" s="11"/>
      <c r="P17" s="10"/>
      <c r="Q17" s="11"/>
      <c r="R17" s="30"/>
      <c r="S17" s="30"/>
      <c r="T17" s="33">
        <f t="shared" si="1"/>
        <v>0</v>
      </c>
      <c r="U17" s="10"/>
      <c r="V17" s="10"/>
      <c r="W17" s="10"/>
      <c r="X17" s="11"/>
      <c r="Y17" s="10"/>
      <c r="Z17" s="11"/>
      <c r="AA17" s="30"/>
      <c r="AB17" s="30"/>
      <c r="AC17" s="33">
        <f t="shared" si="2"/>
        <v>0</v>
      </c>
      <c r="AD17" s="12">
        <f t="shared" si="3"/>
        <v>64</v>
      </c>
      <c r="AE17" s="39"/>
      <c r="AF17" s="39"/>
      <c r="AG17" s="39"/>
      <c r="AH17" s="39"/>
      <c r="AI17" s="39"/>
      <c r="AJ17"/>
    </row>
    <row r="18" spans="1:36" x14ac:dyDescent="0.2">
      <c r="A18" s="5">
        <f>DAY(Kalenteri!A348)</f>
        <v>14</v>
      </c>
      <c r="B18" s="3" t="str">
        <f>IF(Kalenteri!B348=1,"su",IF(Kalenteri!B348=2,"ma",IF(Kalenteri!B348=3,"ti",IF(Kalenteri!B348=4,"ke",IF(Kalenteri!B348=5,"to",IF(Kalenteri!B348=6,"pe",IF(Kalenteri!B348=7,"la",)))))))</f>
        <v>la</v>
      </c>
      <c r="C18" s="18">
        <v>108</v>
      </c>
      <c r="D18" s="10">
        <v>37</v>
      </c>
      <c r="E18" s="10"/>
      <c r="F18" s="11">
        <v>24</v>
      </c>
      <c r="G18" s="18">
        <v>3</v>
      </c>
      <c r="H18" s="11">
        <v>38</v>
      </c>
      <c r="I18" s="18">
        <v>2</v>
      </c>
      <c r="J18" s="11">
        <v>3</v>
      </c>
      <c r="K18" s="33">
        <f t="shared" si="0"/>
        <v>215</v>
      </c>
      <c r="L18" s="10"/>
      <c r="M18" s="10"/>
      <c r="N18" s="10"/>
      <c r="O18" s="11"/>
      <c r="P18" s="10"/>
      <c r="Q18" s="11"/>
      <c r="R18" s="30"/>
      <c r="S18" s="30"/>
      <c r="T18" s="33">
        <f t="shared" si="1"/>
        <v>0</v>
      </c>
      <c r="U18" s="10"/>
      <c r="V18" s="10"/>
      <c r="W18" s="10"/>
      <c r="X18" s="11"/>
      <c r="Y18" s="10"/>
      <c r="Z18" s="11"/>
      <c r="AA18" s="30"/>
      <c r="AB18" s="30"/>
      <c r="AC18" s="33">
        <f t="shared" si="2"/>
        <v>0</v>
      </c>
      <c r="AD18" s="12">
        <f t="shared" si="3"/>
        <v>215</v>
      </c>
      <c r="AE18" s="39"/>
      <c r="AF18" s="39"/>
      <c r="AG18" s="39"/>
      <c r="AH18" s="39"/>
      <c r="AI18" s="39"/>
      <c r="AJ18"/>
    </row>
    <row r="19" spans="1:36" x14ac:dyDescent="0.2">
      <c r="A19" s="5">
        <f>DAY(Kalenteri!A349)</f>
        <v>15</v>
      </c>
      <c r="B19" s="3" t="str">
        <f>IF(Kalenteri!B349=1,"su",IF(Kalenteri!B349=2,"ma",IF(Kalenteri!B349=3,"ti",IF(Kalenteri!B349=4,"ke",IF(Kalenteri!B349=5,"to",IF(Kalenteri!B349=6,"pe",IF(Kalenteri!B349=7,"la",)))))))</f>
        <v>su</v>
      </c>
      <c r="C19" s="18">
        <v>44</v>
      </c>
      <c r="D19" s="10">
        <v>8</v>
      </c>
      <c r="E19" s="10"/>
      <c r="F19" s="11">
        <v>12</v>
      </c>
      <c r="G19" s="18">
        <v>2</v>
      </c>
      <c r="H19" s="11">
        <v>14</v>
      </c>
      <c r="I19" s="18">
        <v>2</v>
      </c>
      <c r="J19" s="11">
        <v>3</v>
      </c>
      <c r="K19" s="33">
        <f t="shared" si="0"/>
        <v>85</v>
      </c>
      <c r="L19" s="10"/>
      <c r="M19" s="10"/>
      <c r="N19" s="10"/>
      <c r="O19" s="11"/>
      <c r="P19" s="10"/>
      <c r="Q19" s="11"/>
      <c r="R19" s="30"/>
      <c r="S19" s="30"/>
      <c r="T19" s="33">
        <f t="shared" si="1"/>
        <v>0</v>
      </c>
      <c r="U19" s="10"/>
      <c r="V19" s="10"/>
      <c r="W19" s="10"/>
      <c r="X19" s="11"/>
      <c r="Y19" s="10"/>
      <c r="Z19" s="11"/>
      <c r="AA19" s="30"/>
      <c r="AB19" s="30"/>
      <c r="AC19" s="33">
        <f t="shared" si="2"/>
        <v>0</v>
      </c>
      <c r="AD19" s="12">
        <f t="shared" si="3"/>
        <v>85</v>
      </c>
      <c r="AE19" s="39"/>
      <c r="AF19" s="39"/>
      <c r="AG19" s="39"/>
      <c r="AH19" s="39"/>
      <c r="AI19" s="39"/>
      <c r="AJ19"/>
    </row>
    <row r="20" spans="1:36" x14ac:dyDescent="0.2">
      <c r="A20" s="5">
        <f>DAY(Kalenteri!A350)</f>
        <v>16</v>
      </c>
      <c r="B20" s="3" t="str">
        <f>IF(Kalenteri!B350=1,"su",IF(Kalenteri!B350=2,"ma",IF(Kalenteri!B350=3,"ti",IF(Kalenteri!B350=4,"ke",IF(Kalenteri!B350=5,"to",IF(Kalenteri!B350=6,"pe",IF(Kalenteri!B350=7,"la",)))))))</f>
        <v>ma</v>
      </c>
      <c r="C20" s="18">
        <v>20</v>
      </c>
      <c r="D20" s="10">
        <v>6</v>
      </c>
      <c r="E20" s="10"/>
      <c r="F20" s="11">
        <v>2</v>
      </c>
      <c r="G20" s="18">
        <v>1</v>
      </c>
      <c r="H20" s="11">
        <v>18</v>
      </c>
      <c r="I20" s="18"/>
      <c r="J20" s="11"/>
      <c r="K20" s="33">
        <f t="shared" si="0"/>
        <v>47</v>
      </c>
      <c r="L20" s="10"/>
      <c r="M20" s="10"/>
      <c r="N20" s="10"/>
      <c r="O20" s="11"/>
      <c r="P20" s="10"/>
      <c r="Q20" s="11"/>
      <c r="R20" s="30"/>
      <c r="S20" s="30"/>
      <c r="T20" s="33">
        <f t="shared" si="1"/>
        <v>0</v>
      </c>
      <c r="U20" s="10"/>
      <c r="V20" s="10"/>
      <c r="W20" s="10"/>
      <c r="X20" s="11"/>
      <c r="Y20" s="10"/>
      <c r="Z20" s="11"/>
      <c r="AA20" s="30"/>
      <c r="AB20" s="30"/>
      <c r="AC20" s="33">
        <f t="shared" si="2"/>
        <v>0</v>
      </c>
      <c r="AD20" s="12">
        <f t="shared" si="3"/>
        <v>47</v>
      </c>
      <c r="AE20" s="39"/>
      <c r="AF20" s="39"/>
      <c r="AG20" s="39"/>
      <c r="AH20" s="39"/>
      <c r="AI20" s="39"/>
      <c r="AJ20"/>
    </row>
    <row r="21" spans="1:36" x14ac:dyDescent="0.2">
      <c r="A21" s="5">
        <f>DAY(Kalenteri!A351)</f>
        <v>17</v>
      </c>
      <c r="B21" s="3" t="str">
        <f>IF(Kalenteri!B351=1,"su",IF(Kalenteri!B351=2,"ma",IF(Kalenteri!B351=3,"ti",IF(Kalenteri!B351=4,"ke",IF(Kalenteri!B351=5,"to",IF(Kalenteri!B351=6,"pe",IF(Kalenteri!B351=7,"la",)))))))</f>
        <v>ti</v>
      </c>
      <c r="C21" s="18">
        <v>52</v>
      </c>
      <c r="D21" s="10">
        <v>5</v>
      </c>
      <c r="E21" s="10"/>
      <c r="F21" s="11">
        <v>5</v>
      </c>
      <c r="G21" s="18"/>
      <c r="H21" s="11">
        <v>21</v>
      </c>
      <c r="I21" s="18"/>
      <c r="J21" s="11"/>
      <c r="K21" s="33">
        <f t="shared" si="0"/>
        <v>83</v>
      </c>
      <c r="L21" s="10"/>
      <c r="M21" s="10"/>
      <c r="N21" s="10"/>
      <c r="O21" s="11"/>
      <c r="P21" s="10"/>
      <c r="Q21" s="11"/>
      <c r="R21" s="30"/>
      <c r="S21" s="30"/>
      <c r="T21" s="33">
        <f t="shared" si="1"/>
        <v>0</v>
      </c>
      <c r="U21" s="10"/>
      <c r="V21" s="10"/>
      <c r="W21" s="10"/>
      <c r="X21" s="11"/>
      <c r="Y21" s="10"/>
      <c r="Z21" s="11"/>
      <c r="AA21" s="30"/>
      <c r="AB21" s="30"/>
      <c r="AC21" s="33">
        <f t="shared" si="2"/>
        <v>0</v>
      </c>
      <c r="AD21" s="12">
        <f t="shared" si="3"/>
        <v>83</v>
      </c>
      <c r="AE21" s="39"/>
      <c r="AF21" s="39"/>
      <c r="AG21" s="39"/>
      <c r="AH21" s="39"/>
      <c r="AI21" s="39"/>
      <c r="AJ21"/>
    </row>
    <row r="22" spans="1:36" x14ac:dyDescent="0.2">
      <c r="A22" s="5">
        <f>DAY(Kalenteri!A352)</f>
        <v>18</v>
      </c>
      <c r="B22" s="3" t="str">
        <f>IF(Kalenteri!B352=1,"su",IF(Kalenteri!B352=2,"ma",IF(Kalenteri!B352=3,"ti",IF(Kalenteri!B352=4,"ke",IF(Kalenteri!B352=5,"to",IF(Kalenteri!B352=6,"pe",IF(Kalenteri!B352=7,"la",)))))))</f>
        <v>ke</v>
      </c>
      <c r="C22" s="18">
        <v>37</v>
      </c>
      <c r="D22" s="10">
        <v>2</v>
      </c>
      <c r="E22" s="10"/>
      <c r="F22" s="11">
        <v>7</v>
      </c>
      <c r="G22" s="18">
        <v>3</v>
      </c>
      <c r="H22" s="11">
        <v>18</v>
      </c>
      <c r="I22" s="18"/>
      <c r="J22" s="11"/>
      <c r="K22" s="33">
        <f t="shared" si="0"/>
        <v>67</v>
      </c>
      <c r="L22" s="10"/>
      <c r="M22" s="10"/>
      <c r="N22" s="10"/>
      <c r="O22" s="11"/>
      <c r="P22" s="10"/>
      <c r="Q22" s="11"/>
      <c r="R22" s="30"/>
      <c r="S22" s="30"/>
      <c r="T22" s="33">
        <f t="shared" si="1"/>
        <v>0</v>
      </c>
      <c r="U22" s="10"/>
      <c r="V22" s="10"/>
      <c r="W22" s="10"/>
      <c r="X22" s="11"/>
      <c r="Y22" s="10"/>
      <c r="Z22" s="11"/>
      <c r="AA22" s="30"/>
      <c r="AB22" s="30"/>
      <c r="AC22" s="33">
        <f t="shared" si="2"/>
        <v>0</v>
      </c>
      <c r="AD22" s="12">
        <f t="shared" si="3"/>
        <v>67</v>
      </c>
      <c r="AE22" s="39"/>
      <c r="AF22" s="39"/>
      <c r="AG22" s="39"/>
      <c r="AH22" s="39"/>
      <c r="AI22" s="39"/>
      <c r="AJ22"/>
    </row>
    <row r="23" spans="1:36" x14ac:dyDescent="0.2">
      <c r="A23" s="5">
        <f>DAY(Kalenteri!A353)</f>
        <v>19</v>
      </c>
      <c r="B23" s="3" t="str">
        <f>IF(Kalenteri!B353=1,"su",IF(Kalenteri!B353=2,"ma",IF(Kalenteri!B353=3,"ti",IF(Kalenteri!B353=4,"ke",IF(Kalenteri!B353=5,"to",IF(Kalenteri!B353=6,"pe",IF(Kalenteri!B353=7,"la",)))))))</f>
        <v>to</v>
      </c>
      <c r="C23" s="18">
        <v>12</v>
      </c>
      <c r="D23" s="10">
        <v>3</v>
      </c>
      <c r="E23" s="10"/>
      <c r="F23" s="11"/>
      <c r="G23" s="18"/>
      <c r="H23" s="11">
        <v>4</v>
      </c>
      <c r="I23" s="18"/>
      <c r="J23" s="11"/>
      <c r="K23" s="33">
        <f t="shared" si="0"/>
        <v>19</v>
      </c>
      <c r="L23" s="10"/>
      <c r="M23" s="10"/>
      <c r="N23" s="10"/>
      <c r="O23" s="11"/>
      <c r="P23" s="10"/>
      <c r="Q23" s="11"/>
      <c r="R23" s="30"/>
      <c r="S23" s="30"/>
      <c r="T23" s="33">
        <f t="shared" si="1"/>
        <v>0</v>
      </c>
      <c r="U23" s="10"/>
      <c r="V23" s="10"/>
      <c r="W23" s="10"/>
      <c r="X23" s="11"/>
      <c r="Y23" s="10"/>
      <c r="Z23" s="11"/>
      <c r="AA23" s="30"/>
      <c r="AB23" s="30"/>
      <c r="AC23" s="33">
        <f t="shared" si="2"/>
        <v>0</v>
      </c>
      <c r="AD23" s="12">
        <f t="shared" si="3"/>
        <v>19</v>
      </c>
      <c r="AE23" s="39"/>
      <c r="AF23" s="39"/>
      <c r="AG23" s="39"/>
      <c r="AH23" s="39"/>
      <c r="AI23" s="39"/>
      <c r="AJ23"/>
    </row>
    <row r="24" spans="1:36" x14ac:dyDescent="0.2">
      <c r="A24" s="5">
        <f>DAY(Kalenteri!A354)</f>
        <v>20</v>
      </c>
      <c r="B24" s="3" t="str">
        <f>IF(Kalenteri!B354=1,"su",IF(Kalenteri!B354=2,"ma",IF(Kalenteri!B354=3,"ti",IF(Kalenteri!B354=4,"ke",IF(Kalenteri!B354=5,"to",IF(Kalenteri!B354=6,"pe",IF(Kalenteri!B354=7,"la",)))))))</f>
        <v>pe</v>
      </c>
      <c r="C24" s="18">
        <v>13</v>
      </c>
      <c r="D24" s="10"/>
      <c r="E24" s="10"/>
      <c r="F24" s="11">
        <v>2</v>
      </c>
      <c r="G24" s="18">
        <v>5</v>
      </c>
      <c r="H24" s="11">
        <v>44</v>
      </c>
      <c r="I24" s="18"/>
      <c r="J24" s="11"/>
      <c r="K24" s="33">
        <f t="shared" si="0"/>
        <v>64</v>
      </c>
      <c r="L24" s="10"/>
      <c r="M24" s="10"/>
      <c r="N24" s="10"/>
      <c r="O24" s="11"/>
      <c r="P24" s="10"/>
      <c r="Q24" s="11"/>
      <c r="R24" s="30"/>
      <c r="S24" s="30"/>
      <c r="T24" s="33">
        <f t="shared" si="1"/>
        <v>0</v>
      </c>
      <c r="U24" s="10"/>
      <c r="V24" s="10"/>
      <c r="W24" s="10"/>
      <c r="X24" s="11"/>
      <c r="Y24" s="10"/>
      <c r="Z24" s="11"/>
      <c r="AA24" s="30"/>
      <c r="AB24" s="30"/>
      <c r="AC24" s="33">
        <f t="shared" si="2"/>
        <v>0</v>
      </c>
      <c r="AD24" s="12">
        <f t="shared" si="3"/>
        <v>64</v>
      </c>
      <c r="AE24" s="39"/>
      <c r="AF24" s="39"/>
      <c r="AG24" s="39"/>
      <c r="AH24" s="39"/>
      <c r="AI24" s="39"/>
      <c r="AJ24" s="39"/>
    </row>
    <row r="25" spans="1:36" x14ac:dyDescent="0.2">
      <c r="A25" s="5">
        <f>DAY(Kalenteri!A355)</f>
        <v>21</v>
      </c>
      <c r="B25" s="3" t="str">
        <f>IF(Kalenteri!B355=1,"su",IF(Kalenteri!B355=2,"ma",IF(Kalenteri!B355=3,"ti",IF(Kalenteri!B355=4,"ke",IF(Kalenteri!B355=5,"to",IF(Kalenteri!B355=6,"pe",IF(Kalenteri!B355=7,"la",)))))))</f>
        <v>la</v>
      </c>
      <c r="C25" s="18">
        <f>5+1+113+1+7+12</f>
        <v>139</v>
      </c>
      <c r="D25" s="10">
        <f>1+23</f>
        <v>24</v>
      </c>
      <c r="E25" s="10">
        <f>1+1</f>
        <v>2</v>
      </c>
      <c r="F25" s="11">
        <v>5</v>
      </c>
      <c r="G25" s="18">
        <f>1</f>
        <v>1</v>
      </c>
      <c r="H25" s="11">
        <f>42+2</f>
        <v>44</v>
      </c>
      <c r="I25" s="18"/>
      <c r="J25" s="11"/>
      <c r="K25" s="33">
        <f t="shared" si="0"/>
        <v>215</v>
      </c>
      <c r="L25" s="10"/>
      <c r="M25" s="10"/>
      <c r="N25" s="10"/>
      <c r="O25" s="11"/>
      <c r="P25" s="10"/>
      <c r="Q25" s="11"/>
      <c r="R25" s="30"/>
      <c r="S25" s="30"/>
      <c r="T25" s="33">
        <f t="shared" si="1"/>
        <v>0</v>
      </c>
      <c r="U25" s="10"/>
      <c r="V25" s="10"/>
      <c r="W25" s="10"/>
      <c r="X25" s="11"/>
      <c r="Y25" s="10"/>
      <c r="Z25" s="11"/>
      <c r="AA25" s="30"/>
      <c r="AB25" s="30"/>
      <c r="AC25" s="33">
        <f t="shared" si="2"/>
        <v>0</v>
      </c>
      <c r="AD25" s="12">
        <f t="shared" si="3"/>
        <v>215</v>
      </c>
      <c r="AE25" s="39"/>
      <c r="AF25" s="39"/>
      <c r="AG25" s="39"/>
      <c r="AH25" s="39"/>
      <c r="AI25" s="39"/>
      <c r="AJ25" s="39"/>
    </row>
    <row r="26" spans="1:36" x14ac:dyDescent="0.2">
      <c r="A26" s="5">
        <f>DAY(Kalenteri!A356)</f>
        <v>22</v>
      </c>
      <c r="B26" s="3" t="str">
        <f>IF(Kalenteri!B356=1,"su",IF(Kalenteri!B356=2,"ma",IF(Kalenteri!B356=3,"ti",IF(Kalenteri!B356=4,"ke",IF(Kalenteri!B356=5,"to",IF(Kalenteri!B356=6,"pe",IF(Kalenteri!B356=7,"la",)))))))</f>
        <v>su</v>
      </c>
      <c r="C26" s="18">
        <f>6+3+11+65</f>
        <v>85</v>
      </c>
      <c r="D26" s="10">
        <v>8</v>
      </c>
      <c r="E26" s="10"/>
      <c r="F26" s="11">
        <v>9</v>
      </c>
      <c r="G26" s="18"/>
      <c r="H26" s="11">
        <v>24</v>
      </c>
      <c r="I26" s="18">
        <v>2</v>
      </c>
      <c r="J26" s="11">
        <v>3</v>
      </c>
      <c r="K26" s="33">
        <f t="shared" si="0"/>
        <v>131</v>
      </c>
      <c r="L26" s="10"/>
      <c r="M26" s="10"/>
      <c r="N26" s="10"/>
      <c r="O26" s="11"/>
      <c r="P26" s="10"/>
      <c r="Q26" s="11"/>
      <c r="R26" s="30"/>
      <c r="S26" s="30"/>
      <c r="T26" s="33">
        <f t="shared" si="1"/>
        <v>0</v>
      </c>
      <c r="U26" s="10"/>
      <c r="V26" s="10"/>
      <c r="W26" s="10"/>
      <c r="X26" s="11"/>
      <c r="Y26" s="10"/>
      <c r="Z26" s="11"/>
      <c r="AA26" s="30"/>
      <c r="AB26" s="30"/>
      <c r="AC26" s="33">
        <f t="shared" si="2"/>
        <v>0</v>
      </c>
      <c r="AD26" s="12">
        <f t="shared" si="3"/>
        <v>131</v>
      </c>
      <c r="AE26" s="39"/>
      <c r="AF26" s="39"/>
      <c r="AG26" s="39"/>
      <c r="AH26" s="39"/>
      <c r="AI26" s="39"/>
      <c r="AJ26" s="39"/>
    </row>
    <row r="27" spans="1:36" x14ac:dyDescent="0.2">
      <c r="A27" s="5">
        <f>DAY(Kalenteri!A357)</f>
        <v>23</v>
      </c>
      <c r="B27" s="3" t="str">
        <f>IF(Kalenteri!B357=1,"su",IF(Kalenteri!B357=2,"ma",IF(Kalenteri!B357=3,"ti",IF(Kalenteri!B357=4,"ke",IF(Kalenteri!B357=5,"to",IF(Kalenteri!B357=6,"pe",IF(Kalenteri!B357=7,"la",)))))))</f>
        <v>ma</v>
      </c>
      <c r="C27" s="18">
        <v>49</v>
      </c>
      <c r="D27" s="10">
        <v>14</v>
      </c>
      <c r="E27" s="10"/>
      <c r="F27" s="11">
        <v>5</v>
      </c>
      <c r="G27" s="18">
        <v>1</v>
      </c>
      <c r="H27" s="11">
        <v>34</v>
      </c>
      <c r="I27" s="18"/>
      <c r="J27" s="11"/>
      <c r="K27" s="33">
        <f t="shared" si="0"/>
        <v>103</v>
      </c>
      <c r="L27" s="10"/>
      <c r="M27" s="10"/>
      <c r="N27" s="10"/>
      <c r="O27" s="11"/>
      <c r="P27" s="10"/>
      <c r="Q27" s="11"/>
      <c r="R27" s="30"/>
      <c r="S27" s="30"/>
      <c r="T27" s="33">
        <f t="shared" si="1"/>
        <v>0</v>
      </c>
      <c r="U27" s="10"/>
      <c r="V27" s="10"/>
      <c r="W27" s="10"/>
      <c r="X27" s="11"/>
      <c r="Y27" s="10"/>
      <c r="Z27" s="11"/>
      <c r="AA27" s="30"/>
      <c r="AB27" s="30"/>
      <c r="AC27" s="33">
        <f t="shared" si="2"/>
        <v>0</v>
      </c>
      <c r="AD27" s="12">
        <f t="shared" si="3"/>
        <v>103</v>
      </c>
      <c r="AE27" s="39"/>
      <c r="AF27" s="39"/>
      <c r="AG27" s="39"/>
      <c r="AH27" s="39"/>
      <c r="AI27" s="39"/>
      <c r="AJ27" s="39"/>
    </row>
    <row r="28" spans="1:36" x14ac:dyDescent="0.2">
      <c r="A28" s="5">
        <f>DAY(Kalenteri!A358)</f>
        <v>24</v>
      </c>
      <c r="B28" s="3" t="str">
        <f>IF(Kalenteri!B358=1,"su",IF(Kalenteri!B358=2,"ma",IF(Kalenteri!B358=3,"ti",IF(Kalenteri!B358=4,"ke",IF(Kalenteri!B358=5,"to",IF(Kalenteri!B358=6,"pe",IF(Kalenteri!B358=7,"la",)))))))</f>
        <v>ti</v>
      </c>
      <c r="C28" s="18"/>
      <c r="D28" s="10"/>
      <c r="E28" s="10"/>
      <c r="F28" s="11"/>
      <c r="G28" s="18">
        <v>22</v>
      </c>
      <c r="H28" s="11">
        <v>16</v>
      </c>
      <c r="I28" s="18"/>
      <c r="J28" s="11"/>
      <c r="K28" s="33">
        <f t="shared" si="0"/>
        <v>38</v>
      </c>
      <c r="L28" s="10"/>
      <c r="M28" s="10"/>
      <c r="N28" s="10"/>
      <c r="O28" s="11"/>
      <c r="P28" s="10"/>
      <c r="Q28" s="11"/>
      <c r="R28" s="30"/>
      <c r="S28" s="30"/>
      <c r="T28" s="33">
        <f t="shared" si="1"/>
        <v>0</v>
      </c>
      <c r="U28" s="10"/>
      <c r="V28" s="10"/>
      <c r="W28" s="10"/>
      <c r="X28" s="11"/>
      <c r="Y28" s="10"/>
      <c r="Z28" s="11"/>
      <c r="AA28" s="30"/>
      <c r="AB28" s="30"/>
      <c r="AC28" s="33">
        <f t="shared" si="2"/>
        <v>0</v>
      </c>
      <c r="AD28" s="12">
        <f t="shared" si="3"/>
        <v>38</v>
      </c>
      <c r="AE28" s="39"/>
      <c r="AF28" s="39"/>
      <c r="AG28" s="39"/>
      <c r="AH28" s="39"/>
      <c r="AI28" s="39"/>
      <c r="AJ28" s="39"/>
    </row>
    <row r="29" spans="1:36" x14ac:dyDescent="0.2">
      <c r="A29" s="5">
        <f>DAY(Kalenteri!A359)</f>
        <v>25</v>
      </c>
      <c r="B29" s="3" t="str">
        <f>IF(Kalenteri!B359=1,"su",IF(Kalenteri!B359=2,"ma",IF(Kalenteri!B359=3,"ti",IF(Kalenteri!B359=4,"ke",IF(Kalenteri!B359=5,"to",IF(Kalenteri!B359=6,"pe",IF(Kalenteri!B359=7,"la",)))))))</f>
        <v>ke</v>
      </c>
      <c r="C29" s="18">
        <v>172</v>
      </c>
      <c r="D29" s="10">
        <v>48</v>
      </c>
      <c r="E29" s="10"/>
      <c r="F29" s="11">
        <v>17</v>
      </c>
      <c r="G29" s="18">
        <v>5</v>
      </c>
      <c r="H29" s="11">
        <v>36</v>
      </c>
      <c r="I29" s="18">
        <v>10</v>
      </c>
      <c r="J29" s="11">
        <v>15</v>
      </c>
      <c r="K29" s="33">
        <f t="shared" si="0"/>
        <v>303</v>
      </c>
      <c r="L29" s="10"/>
      <c r="M29" s="10"/>
      <c r="N29" s="10"/>
      <c r="O29" s="11"/>
      <c r="P29" s="10"/>
      <c r="Q29" s="11"/>
      <c r="R29" s="30"/>
      <c r="S29" s="30"/>
      <c r="T29" s="33">
        <f t="shared" si="1"/>
        <v>0</v>
      </c>
      <c r="U29" s="10"/>
      <c r="V29" s="10"/>
      <c r="W29" s="10"/>
      <c r="X29" s="11"/>
      <c r="Y29" s="10"/>
      <c r="Z29" s="11"/>
      <c r="AA29" s="30"/>
      <c r="AB29" s="30"/>
      <c r="AC29" s="33">
        <f t="shared" si="2"/>
        <v>0</v>
      </c>
      <c r="AD29" s="12">
        <f t="shared" si="3"/>
        <v>303</v>
      </c>
      <c r="AE29" s="39"/>
      <c r="AF29" s="39"/>
      <c r="AG29" s="39"/>
      <c r="AH29" s="39"/>
      <c r="AI29" s="39"/>
      <c r="AJ29" s="39"/>
    </row>
    <row r="30" spans="1:36" x14ac:dyDescent="0.2">
      <c r="A30" s="5">
        <f>DAY(Kalenteri!A360)</f>
        <v>26</v>
      </c>
      <c r="B30" s="3" t="str">
        <f>IF(Kalenteri!B360=1,"su",IF(Kalenteri!B360=2,"ma",IF(Kalenteri!B360=3,"ti",IF(Kalenteri!B360=4,"ke",IF(Kalenteri!B360=5,"to",IF(Kalenteri!B360=6,"pe",IF(Kalenteri!B360=7,"la",)))))))</f>
        <v>to</v>
      </c>
      <c r="C30" s="18">
        <v>267</v>
      </c>
      <c r="D30" s="10">
        <v>62</v>
      </c>
      <c r="E30" s="10"/>
      <c r="F30" s="11">
        <v>19</v>
      </c>
      <c r="G30" s="18">
        <v>3</v>
      </c>
      <c r="H30" s="11">
        <v>83</v>
      </c>
      <c r="I30" s="18">
        <v>10</v>
      </c>
      <c r="J30" s="11">
        <v>15</v>
      </c>
      <c r="K30" s="33">
        <f t="shared" si="0"/>
        <v>459</v>
      </c>
      <c r="L30" s="10"/>
      <c r="M30" s="10"/>
      <c r="N30" s="10"/>
      <c r="O30" s="11"/>
      <c r="P30" s="10"/>
      <c r="Q30" s="11"/>
      <c r="R30" s="30"/>
      <c r="S30" s="30"/>
      <c r="T30" s="33">
        <f t="shared" si="1"/>
        <v>0</v>
      </c>
      <c r="U30" s="10"/>
      <c r="V30" s="10"/>
      <c r="W30" s="10"/>
      <c r="X30" s="11"/>
      <c r="Y30" s="10"/>
      <c r="Z30" s="11"/>
      <c r="AA30" s="30"/>
      <c r="AB30" s="30"/>
      <c r="AC30" s="33">
        <f t="shared" si="2"/>
        <v>0</v>
      </c>
      <c r="AD30" s="12">
        <f t="shared" si="3"/>
        <v>459</v>
      </c>
      <c r="AE30" s="39"/>
      <c r="AF30" s="39"/>
      <c r="AG30" s="39"/>
      <c r="AH30" s="39"/>
      <c r="AI30" s="39"/>
      <c r="AJ30" s="39"/>
    </row>
    <row r="31" spans="1:36" x14ac:dyDescent="0.2">
      <c r="A31" s="5">
        <f>DAY(Kalenteri!A361)</f>
        <v>27</v>
      </c>
      <c r="B31" s="3" t="str">
        <f>IF(Kalenteri!B361=1,"su",IF(Kalenteri!B361=2,"ma",IF(Kalenteri!B361=3,"ti",IF(Kalenteri!B361=4,"ke",IF(Kalenteri!B361=5,"to",IF(Kalenteri!B361=6,"pe",IF(Kalenteri!B361=7,"la",)))))))</f>
        <v>pe</v>
      </c>
      <c r="C31" s="18">
        <v>89</v>
      </c>
      <c r="D31" s="10">
        <v>41</v>
      </c>
      <c r="E31" s="10">
        <v>1</v>
      </c>
      <c r="F31" s="11">
        <v>4</v>
      </c>
      <c r="G31" s="18"/>
      <c r="H31" s="11">
        <v>48</v>
      </c>
      <c r="I31" s="18">
        <v>8</v>
      </c>
      <c r="J31" s="11">
        <v>12</v>
      </c>
      <c r="K31" s="33">
        <f t="shared" si="0"/>
        <v>203</v>
      </c>
      <c r="L31" s="10"/>
      <c r="M31" s="10"/>
      <c r="N31" s="10"/>
      <c r="O31" s="11"/>
      <c r="P31" s="10"/>
      <c r="Q31" s="11"/>
      <c r="R31" s="30"/>
      <c r="S31" s="30"/>
      <c r="T31" s="33">
        <f t="shared" si="1"/>
        <v>0</v>
      </c>
      <c r="U31" s="10"/>
      <c r="V31" s="10"/>
      <c r="W31" s="10"/>
      <c r="X31" s="11"/>
      <c r="Y31" s="10"/>
      <c r="Z31" s="11"/>
      <c r="AA31" s="30"/>
      <c r="AB31" s="30"/>
      <c r="AC31" s="33">
        <f t="shared" si="2"/>
        <v>0</v>
      </c>
      <c r="AD31" s="12">
        <f t="shared" si="3"/>
        <v>203</v>
      </c>
      <c r="AE31" s="39"/>
      <c r="AF31" s="39"/>
      <c r="AG31" s="39"/>
      <c r="AH31" s="39"/>
      <c r="AI31" s="39"/>
      <c r="AJ31" s="39"/>
    </row>
    <row r="32" spans="1:36" x14ac:dyDescent="0.2">
      <c r="A32" s="5">
        <f>DAY(Kalenteri!A362)</f>
        <v>28</v>
      </c>
      <c r="B32" s="3" t="str">
        <f>IF(Kalenteri!B362=1,"su",IF(Kalenteri!B362=2,"ma",IF(Kalenteri!B362=3,"ti",IF(Kalenteri!B362=4,"ke",IF(Kalenteri!B362=5,"to",IF(Kalenteri!B362=6,"pe",IF(Kalenteri!B362=7,"la",)))))))</f>
        <v>la</v>
      </c>
      <c r="C32" s="18">
        <v>159</v>
      </c>
      <c r="D32" s="10">
        <v>39</v>
      </c>
      <c r="E32" s="10">
        <v>2</v>
      </c>
      <c r="F32" s="11">
        <v>19</v>
      </c>
      <c r="G32" s="18">
        <v>1</v>
      </c>
      <c r="H32" s="11">
        <v>53</v>
      </c>
      <c r="I32" s="18">
        <v>2</v>
      </c>
      <c r="J32" s="11">
        <v>3</v>
      </c>
      <c r="K32" s="33">
        <f t="shared" si="0"/>
        <v>278</v>
      </c>
      <c r="L32" s="10"/>
      <c r="M32" s="10"/>
      <c r="N32" s="10"/>
      <c r="O32" s="11"/>
      <c r="P32" s="10"/>
      <c r="Q32" s="11"/>
      <c r="R32" s="30"/>
      <c r="S32" s="30"/>
      <c r="T32" s="33">
        <f t="shared" si="1"/>
        <v>0</v>
      </c>
      <c r="U32" s="10"/>
      <c r="V32" s="10"/>
      <c r="W32" s="10"/>
      <c r="X32" s="11"/>
      <c r="Y32" s="10"/>
      <c r="Z32" s="11"/>
      <c r="AA32" s="30"/>
      <c r="AB32" s="30"/>
      <c r="AC32" s="33">
        <f t="shared" si="2"/>
        <v>0</v>
      </c>
      <c r="AD32" s="12">
        <f t="shared" si="3"/>
        <v>278</v>
      </c>
      <c r="AE32" s="39"/>
      <c r="AF32" s="39"/>
      <c r="AG32" s="39"/>
      <c r="AH32" s="39"/>
      <c r="AI32" s="39"/>
      <c r="AJ32" s="39"/>
    </row>
    <row r="33" spans="1:36" x14ac:dyDescent="0.2">
      <c r="A33" s="5">
        <f>DAY(Kalenteri!A363)</f>
        <v>29</v>
      </c>
      <c r="B33" s="3" t="str">
        <f>IF(Kalenteri!B363=1,"su",IF(Kalenteri!B363=2,"ma",IF(Kalenteri!B363=3,"ti",IF(Kalenteri!B363=4,"ke",IF(Kalenteri!B363=5,"to",IF(Kalenteri!B363=6,"pe",IF(Kalenteri!B363=7,"la",)))))))</f>
        <v>su</v>
      </c>
      <c r="C33" s="18">
        <f>324+19+5+19</f>
        <v>367</v>
      </c>
      <c r="D33" s="10">
        <f>110+0</f>
        <v>110</v>
      </c>
      <c r="E33" s="10">
        <v>2</v>
      </c>
      <c r="F33" s="11">
        <f>3+2+12+1+7</f>
        <v>25</v>
      </c>
      <c r="G33" s="18">
        <f>7+1</f>
        <v>8</v>
      </c>
      <c r="H33" s="11">
        <v>103</v>
      </c>
      <c r="I33" s="18">
        <v>10</v>
      </c>
      <c r="J33" s="11">
        <v>15</v>
      </c>
      <c r="K33" s="33">
        <f t="shared" si="0"/>
        <v>640</v>
      </c>
      <c r="L33" s="10"/>
      <c r="M33" s="10"/>
      <c r="N33" s="10"/>
      <c r="O33" s="11"/>
      <c r="P33" s="10"/>
      <c r="Q33" s="11"/>
      <c r="R33" s="30"/>
      <c r="S33" s="30"/>
      <c r="T33" s="33">
        <f t="shared" si="1"/>
        <v>0</v>
      </c>
      <c r="U33" s="10"/>
      <c r="V33" s="10"/>
      <c r="W33" s="10"/>
      <c r="X33" s="11"/>
      <c r="Y33" s="10"/>
      <c r="Z33" s="11"/>
      <c r="AA33" s="30"/>
      <c r="AB33" s="30"/>
      <c r="AC33" s="33">
        <f t="shared" si="2"/>
        <v>0</v>
      </c>
      <c r="AD33" s="12">
        <f t="shared" si="3"/>
        <v>640</v>
      </c>
      <c r="AE33" s="39"/>
      <c r="AF33" s="39"/>
      <c r="AG33" s="39"/>
      <c r="AH33" s="39"/>
      <c r="AI33" s="39"/>
      <c r="AJ33" s="39"/>
    </row>
    <row r="34" spans="1:36" x14ac:dyDescent="0.2">
      <c r="A34" s="5">
        <f>DAY(Kalenteri!A364)</f>
        <v>30</v>
      </c>
      <c r="B34" s="3" t="str">
        <f>IF(Kalenteri!B364=1,"su",IF(Kalenteri!B364=2,"ma",IF(Kalenteri!B364=3,"ti",IF(Kalenteri!B364=4,"ke",IF(Kalenteri!B364=5,"to",IF(Kalenteri!B364=6,"pe",IF(Kalenteri!B364=7,"la",)))))))</f>
        <v>ma</v>
      </c>
      <c r="C34" s="18">
        <v>146</v>
      </c>
      <c r="D34" s="10">
        <v>48</v>
      </c>
      <c r="E34" s="10"/>
      <c r="F34" s="11">
        <v>13</v>
      </c>
      <c r="G34" s="18">
        <v>6</v>
      </c>
      <c r="H34" s="11">
        <v>152</v>
      </c>
      <c r="I34" s="18">
        <v>2</v>
      </c>
      <c r="J34" s="11">
        <v>3</v>
      </c>
      <c r="K34" s="33">
        <f t="shared" si="0"/>
        <v>370</v>
      </c>
      <c r="L34" s="10"/>
      <c r="M34" s="10"/>
      <c r="N34" s="10"/>
      <c r="O34" s="11"/>
      <c r="P34" s="10"/>
      <c r="Q34" s="11"/>
      <c r="R34" s="30"/>
      <c r="S34" s="30"/>
      <c r="T34" s="33">
        <f t="shared" si="1"/>
        <v>0</v>
      </c>
      <c r="U34" s="10"/>
      <c r="V34" s="10"/>
      <c r="W34" s="10"/>
      <c r="X34" s="11"/>
      <c r="Y34" s="10"/>
      <c r="Z34" s="11"/>
      <c r="AA34" s="30"/>
      <c r="AB34" s="30"/>
      <c r="AC34" s="33">
        <f t="shared" si="2"/>
        <v>0</v>
      </c>
      <c r="AD34" s="12">
        <f t="shared" si="3"/>
        <v>370</v>
      </c>
      <c r="AE34" s="39"/>
      <c r="AF34" s="39"/>
      <c r="AG34" s="39"/>
      <c r="AH34" s="39"/>
      <c r="AI34" s="39"/>
      <c r="AJ34" s="39"/>
    </row>
    <row r="35" spans="1:36" x14ac:dyDescent="0.2">
      <c r="A35" s="5">
        <f>DAY(Kalenteri!A365)</f>
        <v>31</v>
      </c>
      <c r="B35" s="3" t="str">
        <f>IF(Kalenteri!B365=1,"su",IF(Kalenteri!B365=2,"ma",IF(Kalenteri!B365=3,"ti",IF(Kalenteri!B365=4,"ke",IF(Kalenteri!B365=5,"to",IF(Kalenteri!B365=6,"pe",IF(Kalenteri!B365=7,"la",)))))))</f>
        <v>ti</v>
      </c>
      <c r="C35" s="79">
        <v>185</v>
      </c>
      <c r="D35" s="80">
        <v>51</v>
      </c>
      <c r="E35" s="80"/>
      <c r="F35" s="81">
        <v>9</v>
      </c>
      <c r="G35" s="79">
        <v>2</v>
      </c>
      <c r="H35" s="81">
        <v>59</v>
      </c>
      <c r="I35" s="79">
        <v>1280</v>
      </c>
      <c r="J35" s="81">
        <v>1920</v>
      </c>
      <c r="K35" s="34">
        <f t="shared" si="0"/>
        <v>3506</v>
      </c>
      <c r="L35" s="20"/>
      <c r="M35" s="20"/>
      <c r="N35" s="20"/>
      <c r="O35" s="21"/>
      <c r="P35" s="20"/>
      <c r="Q35" s="21"/>
      <c r="R35" s="31"/>
      <c r="S35" s="31"/>
      <c r="T35" s="34">
        <f t="shared" si="1"/>
        <v>0</v>
      </c>
      <c r="U35" s="20"/>
      <c r="V35" s="20"/>
      <c r="W35" s="20"/>
      <c r="X35" s="21"/>
      <c r="Y35" s="20"/>
      <c r="Z35" s="21"/>
      <c r="AA35" s="31"/>
      <c r="AB35" s="31"/>
      <c r="AC35" s="34">
        <f t="shared" si="2"/>
        <v>0</v>
      </c>
      <c r="AD35" s="19">
        <f t="shared" si="3"/>
        <v>3506</v>
      </c>
      <c r="AE35" s="39"/>
      <c r="AF35" s="39"/>
      <c r="AG35" s="39"/>
      <c r="AH35" s="39"/>
      <c r="AI35" s="39"/>
      <c r="AJ35" s="39"/>
    </row>
    <row r="36" spans="1:36" x14ac:dyDescent="0.2">
      <c r="A36" s="6"/>
      <c r="B36"/>
      <c r="C36" s="82">
        <f t="shared" ref="C36:J36" si="4">SUM(C5:C35)</f>
        <v>2683</v>
      </c>
      <c r="D36" s="83">
        <f t="shared" si="4"/>
        <v>668</v>
      </c>
      <c r="E36" s="83">
        <f t="shared" si="4"/>
        <v>16</v>
      </c>
      <c r="F36" s="84">
        <f t="shared" si="4"/>
        <v>256</v>
      </c>
      <c r="G36" s="83">
        <f t="shared" si="4"/>
        <v>122</v>
      </c>
      <c r="H36" s="84">
        <f t="shared" si="4"/>
        <v>1180</v>
      </c>
      <c r="I36" s="83">
        <f t="shared" si="4"/>
        <v>1332</v>
      </c>
      <c r="J36" s="84">
        <f t="shared" si="4"/>
        <v>1998</v>
      </c>
      <c r="K36" s="85">
        <f t="shared" si="0"/>
        <v>8255</v>
      </c>
      <c r="L36" s="83">
        <f t="shared" ref="L36:S36" si="5">SUM(L5:L35)</f>
        <v>0</v>
      </c>
      <c r="M36" s="83">
        <f t="shared" si="5"/>
        <v>0</v>
      </c>
      <c r="N36" s="83">
        <f t="shared" si="5"/>
        <v>0</v>
      </c>
      <c r="O36" s="84">
        <f t="shared" si="5"/>
        <v>0</v>
      </c>
      <c r="P36" s="83">
        <f t="shared" si="5"/>
        <v>0</v>
      </c>
      <c r="Q36" s="84">
        <f t="shared" si="5"/>
        <v>0</v>
      </c>
      <c r="R36" s="86">
        <f t="shared" si="5"/>
        <v>0</v>
      </c>
      <c r="S36" s="86">
        <f t="shared" si="5"/>
        <v>0</v>
      </c>
      <c r="T36" s="85">
        <f t="shared" si="1"/>
        <v>0</v>
      </c>
      <c r="U36" s="83">
        <f t="shared" ref="U36:AB36" si="6">SUM(U5:U35)</f>
        <v>0</v>
      </c>
      <c r="V36" s="83">
        <f t="shared" si="6"/>
        <v>0</v>
      </c>
      <c r="W36" s="83">
        <f t="shared" si="6"/>
        <v>0</v>
      </c>
      <c r="X36" s="84">
        <f t="shared" si="6"/>
        <v>0</v>
      </c>
      <c r="Y36" s="83">
        <f t="shared" si="6"/>
        <v>0</v>
      </c>
      <c r="Z36" s="84">
        <f t="shared" si="6"/>
        <v>0</v>
      </c>
      <c r="AA36" s="86">
        <f t="shared" si="6"/>
        <v>0</v>
      </c>
      <c r="AB36" s="86">
        <f t="shared" si="6"/>
        <v>0</v>
      </c>
      <c r="AC36" s="85">
        <f t="shared" si="2"/>
        <v>0</v>
      </c>
      <c r="AD36" s="87">
        <f t="shared" si="3"/>
        <v>8255</v>
      </c>
      <c r="AE36" s="66"/>
      <c r="AF36" s="66"/>
      <c r="AG36" s="66"/>
      <c r="AH36" s="66"/>
      <c r="AI36" s="66"/>
      <c r="AJ36" s="66"/>
    </row>
    <row r="37" spans="1:36" ht="8.1" customHeight="1" thickBot="1" x14ac:dyDescent="0.25">
      <c r="A37" s="6"/>
      <c r="B37"/>
      <c r="C37" s="2"/>
      <c r="D37" s="5"/>
      <c r="E37" s="5"/>
      <c r="F37" s="2"/>
      <c r="G37" s="2"/>
      <c r="H37" s="2"/>
      <c r="I37" s="5"/>
      <c r="J37" s="2"/>
      <c r="K37" s="2"/>
      <c r="L37" s="5"/>
      <c r="M37" s="2"/>
      <c r="N37" s="5"/>
      <c r="O37" s="5"/>
      <c r="P37" s="2"/>
      <c r="Q37" s="5"/>
      <c r="R37" s="42"/>
      <c r="S37" s="42"/>
      <c r="T37" s="2"/>
      <c r="U37" s="2"/>
      <c r="V37" s="2"/>
      <c r="W37" s="2"/>
      <c r="X37" s="5"/>
      <c r="Y37" s="2"/>
      <c r="Z37" s="2"/>
      <c r="AA37" s="39"/>
      <c r="AB37" s="39"/>
      <c r="AC37" s="5"/>
      <c r="AD37" s="40"/>
      <c r="AE37" s="40"/>
      <c r="AF37" s="40"/>
      <c r="AG37" s="40"/>
      <c r="AH37" s="40"/>
      <c r="AI37" s="40"/>
      <c r="AJ37" s="40"/>
    </row>
    <row r="38" spans="1:36" ht="24.95" customHeight="1" thickTop="1" x14ac:dyDescent="0.3">
      <c r="A38" s="6"/>
      <c r="B38"/>
      <c r="C38" s="171" t="str">
        <f>Kalenteri!E38</f>
        <v>Lippujen hinnat:</v>
      </c>
      <c r="D38" s="5"/>
      <c r="E38" s="5"/>
      <c r="F38" s="2"/>
      <c r="G38" s="2"/>
      <c r="H38" s="2"/>
      <c r="I38" s="5"/>
      <c r="J38" s="2"/>
      <c r="K38" s="2"/>
      <c r="L38" s="5"/>
      <c r="M38" s="2"/>
      <c r="N38" s="5"/>
      <c r="O38" s="5"/>
      <c r="P38" s="2"/>
      <c r="Q38"/>
      <c r="R38"/>
      <c r="S38"/>
      <c r="T38"/>
      <c r="U38" s="49" t="s">
        <v>71</v>
      </c>
      <c r="V38" s="50"/>
      <c r="W38" s="43"/>
      <c r="X38" s="44"/>
      <c r="Y38" s="43"/>
      <c r="Z38" s="43"/>
      <c r="AA38" s="44"/>
      <c r="AB38" s="44"/>
      <c r="AC38" s="47"/>
      <c r="AD38" s="45">
        <f>AD36</f>
        <v>8255</v>
      </c>
      <c r="AE38" s="41"/>
      <c r="AF38" s="41"/>
      <c r="AG38" s="41"/>
      <c r="AH38" s="41"/>
      <c r="AI38" s="41"/>
      <c r="AJ38" s="41"/>
    </row>
    <row r="39" spans="1:36" ht="24.95" customHeight="1" x14ac:dyDescent="0.3">
      <c r="A39" s="6"/>
      <c r="B39"/>
      <c r="C39" s="193" t="str">
        <f>Kalenteri!E39</f>
        <v>Mustikkamaan kautta: 1.9.-30.4. aik. 10 €, lapset 5 €, kimppalippu 30 €    1.5.-30.8. aik. 12 €, lapset 6 €, kimppalippu 36 €</v>
      </c>
      <c r="D39" s="89"/>
      <c r="E39" s="89"/>
      <c r="F39" s="90"/>
      <c r="G39" s="102"/>
      <c r="H39" s="174"/>
      <c r="I39" s="89"/>
      <c r="J39" s="90"/>
      <c r="K39" s="90"/>
      <c r="L39" s="89"/>
      <c r="M39" s="90"/>
      <c r="N39" s="89"/>
      <c r="O39" s="89"/>
      <c r="P39" s="89"/>
      <c r="Q39" s="104"/>
      <c r="R39" s="103"/>
      <c r="S39"/>
      <c r="T39"/>
      <c r="U39" s="62" t="s">
        <v>13</v>
      </c>
      <c r="V39" s="52"/>
      <c r="W39" s="53"/>
      <c r="X39" s="54"/>
      <c r="Y39" s="53"/>
      <c r="Z39" s="53"/>
      <c r="AA39" s="54"/>
      <c r="AB39" s="54"/>
      <c r="AC39" s="55"/>
      <c r="AD39" s="56">
        <f>AD36-Edellisvuosi!M7</f>
        <v>4865</v>
      </c>
      <c r="AE39" s="67"/>
      <c r="AF39" s="67"/>
      <c r="AG39" s="67"/>
      <c r="AH39" s="67"/>
      <c r="AI39" s="67"/>
      <c r="AJ39" s="67"/>
    </row>
    <row r="40" spans="1:36" ht="24.95" customHeight="1" x14ac:dyDescent="0.3">
      <c r="A40" s="6"/>
      <c r="B40" s="6"/>
      <c r="C40" s="194" t="str">
        <f>Kalenteri!E40</f>
        <v xml:space="preserve">                                    Vuosikortti:     aik. 50 €, lapset 20 €, perhekortti 100 €</v>
      </c>
      <c r="D40" s="39"/>
      <c r="E40" s="39"/>
      <c r="F40" s="42"/>
      <c r="G40" s="65"/>
      <c r="H40" s="176"/>
      <c r="I40" s="39"/>
      <c r="J40" s="42"/>
      <c r="K40" s="42"/>
      <c r="L40" s="39"/>
      <c r="M40" s="42"/>
      <c r="N40" s="39"/>
      <c r="O40" s="39"/>
      <c r="P40" s="39"/>
      <c r="Q40" s="23"/>
      <c r="R40" s="97"/>
      <c r="S40"/>
      <c r="T40"/>
      <c r="U40" s="63" t="s">
        <v>72</v>
      </c>
      <c r="V40" s="37"/>
      <c r="W40" s="51"/>
      <c r="X40" s="41"/>
      <c r="Y40" s="51"/>
      <c r="Z40" s="41"/>
      <c r="AA40" s="41"/>
      <c r="AB40" s="41"/>
      <c r="AC40" s="48"/>
      <c r="AD40" s="46">
        <f>AD36+'N1'!AD36+'N2'!AD36+'N3'!AD36+'N4'!AD36+'N5'!AD36+'N6'!AD36+'N7'!AD36+'N8'!AD36+'N9'!AD36+'N10'!AD36+'N11'!AD36</f>
        <v>489308</v>
      </c>
      <c r="AE40" s="41"/>
      <c r="AF40" s="41"/>
      <c r="AG40" s="41"/>
      <c r="AH40" s="41"/>
      <c r="AI40" s="41"/>
      <c r="AJ40" s="41"/>
    </row>
    <row r="41" spans="1:36" ht="24.95" customHeight="1" thickBot="1" x14ac:dyDescent="0.35">
      <c r="A41" s="4"/>
      <c r="B41" s="4"/>
      <c r="C41" s="195" t="str">
        <f>Kalenteri!E41</f>
        <v>Vesibusseilla:             1.9.-30.4. aik. 16 €, lapset 8 €, kimppalippu 47 €    1.5.-31.8. aik. 18 €, lapset 9 €, kimppalippu 53 €</v>
      </c>
      <c r="D41" s="93"/>
      <c r="E41" s="93"/>
      <c r="F41" s="94"/>
      <c r="G41" s="94"/>
      <c r="H41" s="175"/>
      <c r="I41" s="93"/>
      <c r="J41" s="96"/>
      <c r="K41" s="96"/>
      <c r="L41" s="93"/>
      <c r="M41" s="95"/>
      <c r="N41" s="95"/>
      <c r="O41" s="93"/>
      <c r="P41" s="93"/>
      <c r="Q41" s="95"/>
      <c r="R41" s="98"/>
      <c r="S41"/>
      <c r="T41"/>
      <c r="U41" s="64" t="s">
        <v>13</v>
      </c>
      <c r="V41" s="57"/>
      <c r="W41" s="58"/>
      <c r="X41" s="59"/>
      <c r="Y41" s="59"/>
      <c r="Z41" s="59"/>
      <c r="AA41" s="59"/>
      <c r="AB41" s="59"/>
      <c r="AC41" s="60"/>
      <c r="AD41" s="61">
        <f>AD40-Edellisvuosi!B7-Edellisvuosi!C7-Edellisvuosi!D7-Edellisvuosi!E7-Edellisvuosi!F7-Edellisvuosi!G7-Edellisvuosi!H7-Edellisvuosi!I7-Edellisvuosi!J7-Edellisvuosi!K7-Edellisvuosi!L7-Edellisvuosi!M7</f>
        <v>13646</v>
      </c>
      <c r="AE41" s="68"/>
      <c r="AF41" s="68"/>
      <c r="AG41" s="68"/>
      <c r="AH41" s="68"/>
      <c r="AI41" s="68"/>
      <c r="AJ41" s="68"/>
    </row>
    <row r="42" spans="1:36" ht="13.5" thickTop="1" x14ac:dyDescent="0.2"/>
  </sheetData>
  <sheetProtection password="C4AC" sheet="1" objects="1" scenarios="1"/>
  <phoneticPr fontId="4" type="noConversion"/>
  <pageMargins left="0" right="0" top="0.27559055118110237" bottom="0" header="0" footer="0"/>
  <pageSetup paperSize="9" scale="75" fitToHeight="0" orientation="landscape" horizontalDpi="4294967292" verticalDpi="4294967292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0897" r:id="rId4" name="Button 1">
              <controlPr defaultSize="0" print="0" autoFill="0" autoLine="0" autoPict="0" macro="[1]!TAMMI">
                <anchor moveWithCells="1" sizeWithCells="1">
                  <from>
                    <xdr:col>35</xdr:col>
                    <xdr:colOff>0</xdr:colOff>
                    <xdr:row>3</xdr:row>
                    <xdr:rowOff>9525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898" r:id="rId5" name="Button 2">
              <controlPr defaultSize="0" print="0" autoFill="0" autoLine="0" autoPict="0" macro="[1]KTMAKRO!$A$1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899" r:id="rId6" name="Button 3">
              <controlPr defaultSize="0" print="0" autoFill="0" autoLine="0" autoPict="0" macro="[1]!MAALIS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900" r:id="rId7" name="Button 4">
              <controlPr defaultSize="0" print="0" autoFill="0" autoLine="0" autoPict="0" macro="[1]KTMAKRO!$D$1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901" r:id="rId8" name="Button 5">
              <controlPr defaultSize="0" print="0" autoFill="0" autoLine="0" autoPict="0" macro="[1]KTMAKRO!$E$1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902" r:id="rId9" name="Button 6">
              <controlPr defaultSize="0" print="0" autoFill="0" autoLine="0" autoPict="0" macro="[1]!KESÄ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903" r:id="rId10" name="Button 7">
              <controlPr defaultSize="0" print="0" autoFill="0" autoLine="0" autoPict="0" macro="[1]!HELMI">
                <anchor moveWithCells="1" sizeWithCells="1">
                  <from>
                    <xdr:col>35</xdr:col>
                    <xdr:colOff>0</xdr:colOff>
                    <xdr:row>3</xdr:row>
                    <xdr:rowOff>9525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904" r:id="rId11" name="Button 8">
              <controlPr defaultSize="0" print="0" autoFill="0" autoLine="0" autoPict="0" macro="[1]KTMAKRO!$G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905" r:id="rId12" name="Button 9">
              <controlPr defaultSize="0" print="0" autoFill="0" autoLine="0" autoPict="0" macro="[1]KTMAKRO!$I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906" r:id="rId13" name="Button 10">
              <controlPr defaultSize="0" print="0" autoFill="0" autoLine="0" autoPict="0" macro="[1]KTMAKRO!$J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907" r:id="rId14" name="Button 11">
              <controlPr defaultSize="0" print="0" autoFill="0" autoLine="0" autoPict="0" macro="[1]KTMAKRO!$K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908" r:id="rId15" name="Button 12">
              <controlPr defaultSize="0" print="0" autoFill="0" autoLine="0" autoPict="0" macro="[1]KTMAKRO!$L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909" r:id="rId16" name="Button 13">
              <controlPr defaultSize="0" print="0" autoFill="0" autoLine="0" autoPict="0" macro="[1]KTMAKRO!$H$1">
                <anchor moveWithCells="1" sizeWithCells="1">
                  <from>
                    <xdr:col>35</xdr:col>
                    <xdr:colOff>0</xdr:colOff>
                    <xdr:row>5</xdr:row>
                    <xdr:rowOff>0</xdr:rowOff>
                  </from>
                  <to>
                    <xdr:col>35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910" r:id="rId17" name="Button 14">
              <controlPr defaultSize="0" print="0" autoFill="0" autoLine="0" autoPict="0" macro="[1]!Yhteenveto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5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911" r:id="rId18" name="Button 15">
              <controlPr defaultSize="0" print="0" autoFill="0" autoLine="0" autoPict="0" macro="[1]!GRAFIIKKA1">
                <anchor moveWithCells="1" sizeWithCells="1">
                  <from>
                    <xdr:col>35</xdr:col>
                    <xdr:colOff>0</xdr:colOff>
                    <xdr:row>8</xdr:row>
                    <xdr:rowOff>142875</xdr:rowOff>
                  </from>
                  <to>
                    <xdr:col>35</xdr:col>
                    <xdr:colOff>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912" r:id="rId19" name="Button 16">
              <controlPr defaultSize="0" print="0" autoFill="0" autoLine="0" autoPict="0" macro="[1]!Grafiikka2">
                <anchor moveWithCells="1" sizeWithCells="1">
                  <from>
                    <xdr:col>35</xdr:col>
                    <xdr:colOff>0</xdr:colOff>
                    <xdr:row>8</xdr:row>
                    <xdr:rowOff>152400</xdr:rowOff>
                  </from>
                  <to>
                    <xdr:col>35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913" r:id="rId20" name="Button 17">
              <controlPr defaultSize="0" print="0" autoFill="0" autoLine="0" autoPict="0" macro="[1]!Grafiikka4">
                <anchor moveWithCells="1" sizeWithCells="1">
                  <from>
                    <xdr:col>35</xdr:col>
                    <xdr:colOff>0</xdr:colOff>
                    <xdr:row>8</xdr:row>
                    <xdr:rowOff>142875</xdr:rowOff>
                  </from>
                  <to>
                    <xdr:col>35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914" r:id="rId21" name="Button 18">
              <controlPr defaultSize="0" print="0" autoFill="0" autoLine="0" autoPict="0" macro="[1]!Grafiikka4">
                <anchor moveWithCells="1" sizeWithCells="1">
                  <from>
                    <xdr:col>35</xdr:col>
                    <xdr:colOff>0</xdr:colOff>
                    <xdr:row>8</xdr:row>
                    <xdr:rowOff>152400</xdr:rowOff>
                  </from>
                  <to>
                    <xdr:col>35</xdr:col>
                    <xdr:colOff>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915" r:id="rId22" name="Button 19">
              <controlPr defaultSize="0" print="0" autoFill="0" autoLine="0" autoPict="0" macro="[1]!Grafiikka5">
                <anchor moveWithCells="1" sizeWithCells="1">
                  <from>
                    <xdr:col>35</xdr:col>
                    <xdr:colOff>0</xdr:colOff>
                    <xdr:row>8</xdr:row>
                    <xdr:rowOff>152400</xdr:rowOff>
                  </from>
                  <to>
                    <xdr:col>35</xdr:col>
                    <xdr:colOff>0</xdr:colOff>
                    <xdr:row>12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916" r:id="rId23" name="Button 20">
              <controlPr defaultSize="0" print="0" autoFill="0" autoLine="0" autoPict="0" macro="[1]!Perusikkuna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12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/>
  <dimension ref="A1:AJ42"/>
  <sheetViews>
    <sheetView showGridLines="0" zoomScale="80" zoomScaleNormal="80" workbookViewId="0"/>
  </sheetViews>
  <sheetFormatPr defaultColWidth="9.75" defaultRowHeight="12.75" x14ac:dyDescent="0.2"/>
  <cols>
    <col min="1" max="1" width="3.75" style="1" customWidth="1"/>
    <col min="2" max="2" width="2.75" style="1" customWidth="1"/>
    <col min="3" max="4" width="6.125" style="1" customWidth="1"/>
    <col min="5" max="5" width="4" style="1" customWidth="1"/>
    <col min="6" max="6" width="4.5" style="1" customWidth="1"/>
    <col min="7" max="10" width="6.125" style="1" customWidth="1"/>
    <col min="11" max="11" width="5.875" style="1" customWidth="1"/>
    <col min="12" max="13" width="6.125" style="1" customWidth="1"/>
    <col min="14" max="14" width="5.25" style="1" customWidth="1"/>
    <col min="15" max="15" width="4.5" style="1" customWidth="1"/>
    <col min="16" max="16" width="6.125" style="1" customWidth="1"/>
    <col min="17" max="17" width="5.5" style="1" customWidth="1"/>
    <col min="18" max="19" width="6.125" style="1" customWidth="1"/>
    <col min="20" max="20" width="5.875" style="1" customWidth="1"/>
    <col min="21" max="22" width="6.125" style="1" customWidth="1"/>
    <col min="23" max="23" width="4.375" style="1" customWidth="1"/>
    <col min="24" max="24" width="4.25" style="1" customWidth="1"/>
    <col min="25" max="29" width="6.125" style="1" customWidth="1"/>
    <col min="30" max="36" width="15.625" style="1" customWidth="1"/>
  </cols>
  <sheetData>
    <row r="1" spans="1:36" ht="30" customHeight="1" x14ac:dyDescent="0.35">
      <c r="A1" s="22"/>
      <c r="B1" s="4"/>
      <c r="C1" s="105" t="s">
        <v>15</v>
      </c>
      <c r="D1" s="106"/>
      <c r="E1" s="106"/>
      <c r="F1" s="106"/>
      <c r="G1" s="106"/>
      <c r="H1" s="106"/>
      <c r="I1" s="106"/>
      <c r="J1" s="106"/>
      <c r="K1" s="106"/>
      <c r="L1" s="105" t="str">
        <f>Kalenteri!$H$1</f>
        <v>KÄVIJÄTILASTO 2013</v>
      </c>
      <c r="M1" s="107"/>
      <c r="N1" s="107"/>
      <c r="O1" s="107"/>
      <c r="P1" s="106"/>
      <c r="Q1" s="106"/>
      <c r="R1" s="105" t="s">
        <v>21</v>
      </c>
      <c r="S1" s="108"/>
      <c r="T1" s="106"/>
      <c r="U1" s="109"/>
      <c r="V1" s="105" t="s">
        <v>39</v>
      </c>
      <c r="W1" s="109"/>
      <c r="X1" s="106"/>
      <c r="Y1" s="106"/>
      <c r="Z1" s="106"/>
      <c r="AA1" s="106"/>
      <c r="AB1" s="106"/>
      <c r="AC1" s="106"/>
      <c r="AD1" s="110"/>
      <c r="AE1" s="4"/>
      <c r="AF1" s="4"/>
      <c r="AG1" s="4"/>
      <c r="AH1" s="4"/>
      <c r="AI1" s="4"/>
      <c r="AJ1" s="4"/>
    </row>
    <row r="2" spans="1:36" ht="30" customHeight="1" x14ac:dyDescent="0.3">
      <c r="A2" s="3"/>
      <c r="B2" s="4"/>
      <c r="C2" s="72"/>
      <c r="D2" s="73"/>
      <c r="E2" s="74" t="s">
        <v>1</v>
      </c>
      <c r="F2" s="75"/>
      <c r="G2" s="75"/>
      <c r="H2" s="75"/>
      <c r="I2" s="75"/>
      <c r="J2" s="75"/>
      <c r="K2" s="76"/>
      <c r="L2" s="72"/>
      <c r="M2" s="77"/>
      <c r="N2" s="73"/>
      <c r="O2" s="74" t="s">
        <v>2</v>
      </c>
      <c r="P2" s="75"/>
      <c r="Q2" s="75"/>
      <c r="R2" s="75"/>
      <c r="S2" s="75"/>
      <c r="T2" s="76"/>
      <c r="U2" s="72"/>
      <c r="V2" s="75"/>
      <c r="W2" s="73"/>
      <c r="X2" s="74" t="s">
        <v>3</v>
      </c>
      <c r="Y2" s="75"/>
      <c r="Z2" s="75"/>
      <c r="AA2" s="75"/>
      <c r="AB2" s="75"/>
      <c r="AC2" s="76"/>
      <c r="AD2" s="13"/>
      <c r="AE2" s="35"/>
      <c r="AF2" s="69"/>
      <c r="AG2" s="69"/>
      <c r="AH2" s="69"/>
      <c r="AI2" s="69"/>
      <c r="AJ2" s="69"/>
    </row>
    <row r="3" spans="1:36" x14ac:dyDescent="0.2">
      <c r="A3" s="4"/>
      <c r="B3" s="4"/>
      <c r="C3" s="24" t="s">
        <v>4</v>
      </c>
      <c r="D3" s="25"/>
      <c r="E3" s="25"/>
      <c r="F3" s="26"/>
      <c r="G3" s="24" t="s">
        <v>5</v>
      </c>
      <c r="H3" s="26"/>
      <c r="I3" s="25" t="s">
        <v>6</v>
      </c>
      <c r="J3" s="25"/>
      <c r="K3" s="27"/>
      <c r="L3" s="24" t="s">
        <v>4</v>
      </c>
      <c r="M3" s="25"/>
      <c r="N3" s="25"/>
      <c r="O3" s="26"/>
      <c r="P3" s="24" t="s">
        <v>5</v>
      </c>
      <c r="Q3" s="26"/>
      <c r="R3" s="25" t="s">
        <v>6</v>
      </c>
      <c r="S3" s="25"/>
      <c r="T3" s="27"/>
      <c r="U3" s="24" t="s">
        <v>4</v>
      </c>
      <c r="V3" s="25"/>
      <c r="W3" s="25"/>
      <c r="X3" s="26"/>
      <c r="Y3" s="24" t="s">
        <v>5</v>
      </c>
      <c r="Z3" s="26"/>
      <c r="AA3" s="25" t="s">
        <v>6</v>
      </c>
      <c r="AB3" s="25"/>
      <c r="AC3" s="27"/>
      <c r="AD3" s="36" t="s">
        <v>7</v>
      </c>
      <c r="AE3" s="38"/>
      <c r="AF3" s="70"/>
      <c r="AG3" s="70"/>
      <c r="AH3" s="70"/>
      <c r="AI3" s="70"/>
      <c r="AJ3"/>
    </row>
    <row r="4" spans="1:36" x14ac:dyDescent="0.2">
      <c r="A4" s="6"/>
      <c r="B4" s="4"/>
      <c r="C4" s="7" t="s">
        <v>8</v>
      </c>
      <c r="D4" s="8" t="s">
        <v>9</v>
      </c>
      <c r="E4" s="8" t="s">
        <v>10</v>
      </c>
      <c r="F4" s="9" t="s">
        <v>11</v>
      </c>
      <c r="G4" s="7" t="s">
        <v>8</v>
      </c>
      <c r="H4" s="9" t="s">
        <v>9</v>
      </c>
      <c r="I4" s="8" t="s">
        <v>8</v>
      </c>
      <c r="J4" s="8" t="s">
        <v>9</v>
      </c>
      <c r="K4" s="14" t="s">
        <v>0</v>
      </c>
      <c r="L4" s="7" t="s">
        <v>8</v>
      </c>
      <c r="M4" s="8" t="s">
        <v>9</v>
      </c>
      <c r="N4" s="8" t="s">
        <v>10</v>
      </c>
      <c r="O4" s="9" t="s">
        <v>11</v>
      </c>
      <c r="P4" s="7" t="s">
        <v>8</v>
      </c>
      <c r="Q4" s="9" t="s">
        <v>9</v>
      </c>
      <c r="R4" s="8" t="s">
        <v>8</v>
      </c>
      <c r="S4" s="8" t="s">
        <v>9</v>
      </c>
      <c r="T4" s="14" t="s">
        <v>0</v>
      </c>
      <c r="U4" s="7" t="s">
        <v>8</v>
      </c>
      <c r="V4" s="8" t="s">
        <v>9</v>
      </c>
      <c r="W4" s="8" t="s">
        <v>10</v>
      </c>
      <c r="X4" s="9" t="s">
        <v>11</v>
      </c>
      <c r="Y4" s="7" t="s">
        <v>8</v>
      </c>
      <c r="Z4" s="9" t="s">
        <v>9</v>
      </c>
      <c r="AA4" s="8" t="s">
        <v>8</v>
      </c>
      <c r="AB4" s="8" t="s">
        <v>9</v>
      </c>
      <c r="AC4" s="14" t="s">
        <v>0</v>
      </c>
      <c r="AD4" s="28"/>
      <c r="AE4" s="23"/>
      <c r="AF4" s="23"/>
      <c r="AG4" s="23"/>
      <c r="AH4" s="23"/>
      <c r="AI4" s="23"/>
      <c r="AJ4"/>
    </row>
    <row r="5" spans="1:36" x14ac:dyDescent="0.2">
      <c r="A5" s="5">
        <f>DAY(Kalenteri!A1)</f>
        <v>1</v>
      </c>
      <c r="B5" s="3" t="str">
        <f>IF(Kalenteri!B1=1,"su",IF(Kalenteri!B1=2,"ma",IF(Kalenteri!B1=3,"ti",IF(Kalenteri!B1=4,"ke",IF(Kalenteri!B1=5,"to",IF(Kalenteri!B1=6,"pe",IF(Kalenteri!B1=7,"la",)))))))</f>
        <v>ti</v>
      </c>
      <c r="C5" s="78" t="s">
        <v>171</v>
      </c>
      <c r="D5" s="15">
        <v>12</v>
      </c>
      <c r="E5" s="15" t="s">
        <v>169</v>
      </c>
      <c r="F5" s="16">
        <v>15</v>
      </c>
      <c r="G5" s="78" t="s">
        <v>172</v>
      </c>
      <c r="H5" s="16">
        <v>3</v>
      </c>
      <c r="I5" s="78" t="s">
        <v>170</v>
      </c>
      <c r="J5" s="16">
        <v>2</v>
      </c>
      <c r="K5" s="32">
        <f t="shared" ref="K5:K36" si="0">SUM(C5:J5)</f>
        <v>32</v>
      </c>
      <c r="L5" s="15"/>
      <c r="M5" s="15"/>
      <c r="N5" s="15"/>
      <c r="O5" s="16"/>
      <c r="P5" s="15"/>
      <c r="Q5" s="16"/>
      <c r="R5" s="29"/>
      <c r="S5" s="29"/>
      <c r="T5" s="32">
        <f t="shared" ref="T5:T36" si="1">SUM(L5:S5)</f>
        <v>0</v>
      </c>
      <c r="U5" s="15"/>
      <c r="V5" s="15"/>
      <c r="W5" s="15"/>
      <c r="X5" s="16"/>
      <c r="Y5" s="15"/>
      <c r="Z5" s="16"/>
      <c r="AA5" s="29"/>
      <c r="AB5" s="29"/>
      <c r="AC5" s="32">
        <f t="shared" ref="AC5:AC36" si="2">SUM(U5:AB5)</f>
        <v>0</v>
      </c>
      <c r="AD5" s="17">
        <f t="shared" ref="AD5:AD36" si="3">SUM(K5,T5,AC5)</f>
        <v>32</v>
      </c>
      <c r="AE5" s="39"/>
      <c r="AF5" s="39"/>
      <c r="AG5" s="39"/>
      <c r="AH5" s="39"/>
      <c r="AI5" s="39"/>
      <c r="AJ5"/>
    </row>
    <row r="6" spans="1:36" x14ac:dyDescent="0.2">
      <c r="A6" s="5">
        <f>DAY(Kalenteri!A2)</f>
        <v>2</v>
      </c>
      <c r="B6" s="3" t="str">
        <f>IF(Kalenteri!B2=1,"su",IF(Kalenteri!B2=2,"ma",IF(Kalenteri!B2=3,"ti",IF(Kalenteri!B2=4,"ke",IF(Kalenteri!B2=5,"to",IF(Kalenteri!B2=6,"pe",IF(Kalenteri!B2=7,"la",)))))))</f>
        <v>ke</v>
      </c>
      <c r="C6" s="18" t="s">
        <v>171</v>
      </c>
      <c r="D6" s="10">
        <v>16</v>
      </c>
      <c r="E6" s="10" t="s">
        <v>169</v>
      </c>
      <c r="F6" s="11">
        <v>15</v>
      </c>
      <c r="G6" s="18"/>
      <c r="H6" s="11"/>
      <c r="I6" s="18"/>
      <c r="J6" s="11"/>
      <c r="K6" s="33">
        <f t="shared" si="0"/>
        <v>31</v>
      </c>
      <c r="L6" s="10"/>
      <c r="M6" s="10"/>
      <c r="N6" s="10"/>
      <c r="O6" s="11"/>
      <c r="P6" s="10"/>
      <c r="Q6" s="11"/>
      <c r="R6" s="30"/>
      <c r="S6" s="30"/>
      <c r="T6" s="33">
        <f t="shared" si="1"/>
        <v>0</v>
      </c>
      <c r="U6" s="10"/>
      <c r="V6" s="10"/>
      <c r="W6" s="10"/>
      <c r="X6" s="11"/>
      <c r="Y6" s="10"/>
      <c r="Z6" s="11"/>
      <c r="AA6" s="30"/>
      <c r="AB6" s="30"/>
      <c r="AC6" s="33">
        <f t="shared" si="2"/>
        <v>0</v>
      </c>
      <c r="AD6" s="12">
        <f t="shared" si="3"/>
        <v>31</v>
      </c>
      <c r="AE6" s="39"/>
      <c r="AF6" s="39"/>
      <c r="AG6" s="39"/>
      <c r="AH6" s="39"/>
      <c r="AI6" s="39"/>
      <c r="AJ6"/>
    </row>
    <row r="7" spans="1:36" x14ac:dyDescent="0.2">
      <c r="A7" s="5">
        <f>DAY(Kalenteri!A3)</f>
        <v>3</v>
      </c>
      <c r="B7" s="3" t="str">
        <f>IF(Kalenteri!B3=1,"su",IF(Kalenteri!B3=2,"ma",IF(Kalenteri!B3=3,"ti",IF(Kalenteri!B3=4,"ke",IF(Kalenteri!B3=5,"to",IF(Kalenteri!B3=6,"pe",IF(Kalenteri!B3=7,"la",)))))))</f>
        <v>to</v>
      </c>
      <c r="C7" s="18" t="s">
        <v>171</v>
      </c>
      <c r="D7" s="10">
        <v>14</v>
      </c>
      <c r="E7" s="10" t="s">
        <v>169</v>
      </c>
      <c r="F7" s="11">
        <v>9</v>
      </c>
      <c r="G7" s="18"/>
      <c r="H7" s="11"/>
      <c r="I7" s="18"/>
      <c r="J7" s="11"/>
      <c r="K7" s="33">
        <f t="shared" si="0"/>
        <v>23</v>
      </c>
      <c r="L7" s="10"/>
      <c r="M7" s="10"/>
      <c r="N7" s="10"/>
      <c r="O7" s="11"/>
      <c r="P7" s="10"/>
      <c r="Q7" s="11"/>
      <c r="R7" s="30"/>
      <c r="S7" s="30"/>
      <c r="T7" s="33">
        <f t="shared" si="1"/>
        <v>0</v>
      </c>
      <c r="U7" s="10"/>
      <c r="V7" s="10"/>
      <c r="W7" s="10"/>
      <c r="X7" s="11"/>
      <c r="Y7" s="10"/>
      <c r="Z7" s="11"/>
      <c r="AA7" s="30"/>
      <c r="AB7" s="30"/>
      <c r="AC7" s="33">
        <f t="shared" si="2"/>
        <v>0</v>
      </c>
      <c r="AD7" s="12">
        <f t="shared" si="3"/>
        <v>23</v>
      </c>
      <c r="AE7" s="39"/>
      <c r="AF7" s="39"/>
      <c r="AG7" s="39"/>
      <c r="AH7" s="39"/>
      <c r="AI7" s="39"/>
      <c r="AJ7"/>
    </row>
    <row r="8" spans="1:36" x14ac:dyDescent="0.2">
      <c r="A8" s="5">
        <f>DAY(Kalenteri!A4)</f>
        <v>4</v>
      </c>
      <c r="B8" s="3" t="str">
        <f>IF(Kalenteri!B4=1,"su",IF(Kalenteri!B4=2,"ma",IF(Kalenteri!B4=3,"ti",IF(Kalenteri!B4=4,"ke",IF(Kalenteri!B4=5,"to",IF(Kalenteri!B4=6,"pe",IF(Kalenteri!B4=7,"la",)))))))</f>
        <v>pe</v>
      </c>
      <c r="C8" s="18" t="s">
        <v>171</v>
      </c>
      <c r="D8" s="10">
        <v>32</v>
      </c>
      <c r="E8" s="10" t="s">
        <v>169</v>
      </c>
      <c r="F8" s="11">
        <v>18</v>
      </c>
      <c r="G8" s="18" t="s">
        <v>173</v>
      </c>
      <c r="H8" s="11">
        <v>1</v>
      </c>
      <c r="I8" s="18"/>
      <c r="J8" s="11"/>
      <c r="K8" s="33">
        <f t="shared" si="0"/>
        <v>51</v>
      </c>
      <c r="L8" s="10"/>
      <c r="M8" s="10"/>
      <c r="N8" s="10"/>
      <c r="O8" s="11"/>
      <c r="P8" s="10"/>
      <c r="Q8" s="11"/>
      <c r="R8" s="30"/>
      <c r="S8" s="30"/>
      <c r="T8" s="33">
        <f t="shared" si="1"/>
        <v>0</v>
      </c>
      <c r="U8" s="10"/>
      <c r="V8" s="10"/>
      <c r="W8" s="10"/>
      <c r="X8" s="11"/>
      <c r="Y8" s="10"/>
      <c r="Z8" s="11"/>
      <c r="AA8" s="30"/>
      <c r="AB8" s="30"/>
      <c r="AC8" s="33">
        <f t="shared" si="2"/>
        <v>0</v>
      </c>
      <c r="AD8" s="12">
        <f t="shared" si="3"/>
        <v>51</v>
      </c>
      <c r="AE8" s="39"/>
      <c r="AF8" s="39"/>
      <c r="AG8" s="39"/>
      <c r="AH8" s="39"/>
      <c r="AI8" s="39"/>
      <c r="AJ8"/>
    </row>
    <row r="9" spans="1:36" x14ac:dyDescent="0.2">
      <c r="A9" s="5">
        <f>DAY(Kalenteri!A5)</f>
        <v>5</v>
      </c>
      <c r="B9" s="3" t="str">
        <f>IF(Kalenteri!B5=1,"su",IF(Kalenteri!B5=2,"ma",IF(Kalenteri!B5=3,"ti",IF(Kalenteri!B5=4,"ke",IF(Kalenteri!B5=5,"to",IF(Kalenteri!B5=6,"pe",IF(Kalenteri!B5=7,"la",)))))))</f>
        <v>la</v>
      </c>
      <c r="C9" s="18" t="s">
        <v>171</v>
      </c>
      <c r="D9" s="10">
        <v>84</v>
      </c>
      <c r="E9" s="10" t="s">
        <v>169</v>
      </c>
      <c r="F9" s="11">
        <v>39</v>
      </c>
      <c r="G9" s="18" t="s">
        <v>174</v>
      </c>
      <c r="H9" s="11"/>
      <c r="I9" s="18"/>
      <c r="J9" s="11"/>
      <c r="K9" s="33">
        <f t="shared" si="0"/>
        <v>123</v>
      </c>
      <c r="L9" s="10"/>
      <c r="M9" s="10"/>
      <c r="N9" s="10"/>
      <c r="O9" s="11"/>
      <c r="P9" s="10"/>
      <c r="Q9" s="11"/>
      <c r="R9" s="30"/>
      <c r="S9" s="30"/>
      <c r="T9" s="33">
        <f t="shared" si="1"/>
        <v>0</v>
      </c>
      <c r="U9" s="10"/>
      <c r="V9" s="10"/>
      <c r="W9" s="10"/>
      <c r="X9" s="11"/>
      <c r="Y9" s="10"/>
      <c r="Z9" s="11"/>
      <c r="AA9" s="30"/>
      <c r="AB9" s="30"/>
      <c r="AC9" s="33">
        <f t="shared" si="2"/>
        <v>0</v>
      </c>
      <c r="AD9" s="12">
        <f t="shared" si="3"/>
        <v>123</v>
      </c>
      <c r="AE9" s="39"/>
      <c r="AF9" s="39"/>
      <c r="AG9" s="39"/>
      <c r="AH9" s="39"/>
      <c r="AI9" s="39"/>
      <c r="AJ9"/>
    </row>
    <row r="10" spans="1:36" x14ac:dyDescent="0.2">
      <c r="A10" s="5">
        <f>DAY(Kalenteri!A6)</f>
        <v>6</v>
      </c>
      <c r="B10" s="3" t="str">
        <f>IF(Kalenteri!B6=1,"su",IF(Kalenteri!B6=2,"ma",IF(Kalenteri!B6=3,"ti",IF(Kalenteri!B6=4,"ke",IF(Kalenteri!B6=5,"to",IF(Kalenteri!B6=6,"pe",IF(Kalenteri!B6=7,"la",)))))))</f>
        <v>su</v>
      </c>
      <c r="C10" s="18" t="s">
        <v>171</v>
      </c>
      <c r="D10" s="10">
        <v>62</v>
      </c>
      <c r="E10" s="10" t="s">
        <v>169</v>
      </c>
      <c r="F10" s="11">
        <v>33</v>
      </c>
      <c r="G10" s="18" t="s">
        <v>175</v>
      </c>
      <c r="H10" s="11">
        <v>1</v>
      </c>
      <c r="I10" s="18" t="s">
        <v>169</v>
      </c>
      <c r="J10" s="11">
        <v>1</v>
      </c>
      <c r="K10" s="33">
        <f t="shared" si="0"/>
        <v>97</v>
      </c>
      <c r="L10" s="10"/>
      <c r="M10" s="10"/>
      <c r="N10" s="10"/>
      <c r="O10" s="11"/>
      <c r="P10" s="10"/>
      <c r="Q10" s="11"/>
      <c r="R10" s="30"/>
      <c r="S10" s="30"/>
      <c r="T10" s="33">
        <f t="shared" si="1"/>
        <v>0</v>
      </c>
      <c r="U10" s="10"/>
      <c r="V10" s="10"/>
      <c r="W10" s="10"/>
      <c r="X10" s="11"/>
      <c r="Y10" s="10"/>
      <c r="Z10" s="11"/>
      <c r="AA10" s="30"/>
      <c r="AB10" s="30"/>
      <c r="AC10" s="33">
        <f t="shared" si="2"/>
        <v>0</v>
      </c>
      <c r="AD10" s="12">
        <f t="shared" si="3"/>
        <v>97</v>
      </c>
      <c r="AE10" s="39"/>
      <c r="AF10" s="39"/>
      <c r="AG10" s="39"/>
      <c r="AH10" s="39"/>
      <c r="AI10" s="39"/>
      <c r="AJ10"/>
    </row>
    <row r="11" spans="1:36" x14ac:dyDescent="0.2">
      <c r="A11" s="5">
        <f>DAY(Kalenteri!A7)</f>
        <v>7</v>
      </c>
      <c r="B11" s="3" t="str">
        <f>IF(Kalenteri!B7=1,"su",IF(Kalenteri!B7=2,"ma",IF(Kalenteri!B7=3,"ti",IF(Kalenteri!B7=4,"ke",IF(Kalenteri!B7=5,"to",IF(Kalenteri!B7=6,"pe",IF(Kalenteri!B7=7,"la",)))))))</f>
        <v>ma</v>
      </c>
      <c r="C11" s="18" t="s">
        <v>171</v>
      </c>
      <c r="D11" s="10">
        <v>4</v>
      </c>
      <c r="E11" s="10"/>
      <c r="F11" s="11"/>
      <c r="G11" s="18" t="s">
        <v>172</v>
      </c>
      <c r="H11" s="11">
        <v>21</v>
      </c>
      <c r="I11" s="18" t="s">
        <v>169</v>
      </c>
      <c r="J11" s="11">
        <v>1</v>
      </c>
      <c r="K11" s="33">
        <f t="shared" si="0"/>
        <v>26</v>
      </c>
      <c r="L11" s="10"/>
      <c r="M11" s="10"/>
      <c r="N11" s="10"/>
      <c r="O11" s="11"/>
      <c r="P11" s="10"/>
      <c r="Q11" s="11"/>
      <c r="R11" s="30"/>
      <c r="S11" s="30"/>
      <c r="T11" s="33">
        <f t="shared" si="1"/>
        <v>0</v>
      </c>
      <c r="U11" s="10"/>
      <c r="V11" s="10"/>
      <c r="W11" s="10"/>
      <c r="X11" s="11"/>
      <c r="Y11" s="10"/>
      <c r="Z11" s="11"/>
      <c r="AA11" s="30"/>
      <c r="AB11" s="30"/>
      <c r="AC11" s="33">
        <f t="shared" si="2"/>
        <v>0</v>
      </c>
      <c r="AD11" s="12">
        <f t="shared" si="3"/>
        <v>26</v>
      </c>
      <c r="AE11" s="39"/>
      <c r="AF11" s="39"/>
      <c r="AG11" s="39"/>
      <c r="AH11" s="39"/>
      <c r="AI11" s="39"/>
      <c r="AJ11"/>
    </row>
    <row r="12" spans="1:36" x14ac:dyDescent="0.2">
      <c r="A12" s="5">
        <f>DAY(Kalenteri!A8)</f>
        <v>8</v>
      </c>
      <c r="B12" s="3" t="str">
        <f>IF(Kalenteri!B8=1,"su",IF(Kalenteri!B8=2,"ma",IF(Kalenteri!B8=3,"ti",IF(Kalenteri!B8=4,"ke",IF(Kalenteri!B8=5,"to",IF(Kalenteri!B8=6,"pe",IF(Kalenteri!B8=7,"la",)))))))</f>
        <v>ti</v>
      </c>
      <c r="C12" s="18" t="s">
        <v>171</v>
      </c>
      <c r="D12" s="10">
        <v>2</v>
      </c>
      <c r="E12" s="10"/>
      <c r="F12" s="11"/>
      <c r="G12" s="18"/>
      <c r="H12" s="11"/>
      <c r="I12" s="18"/>
      <c r="J12" s="11"/>
      <c r="K12" s="33">
        <f t="shared" si="0"/>
        <v>2</v>
      </c>
      <c r="L12" s="10"/>
      <c r="M12" s="10"/>
      <c r="N12" s="10"/>
      <c r="O12" s="11"/>
      <c r="P12" s="10"/>
      <c r="Q12" s="11"/>
      <c r="R12" s="30"/>
      <c r="S12" s="30"/>
      <c r="T12" s="33">
        <f t="shared" si="1"/>
        <v>0</v>
      </c>
      <c r="U12" s="10"/>
      <c r="V12" s="10"/>
      <c r="W12" s="10"/>
      <c r="X12" s="11"/>
      <c r="Y12" s="10"/>
      <c r="Z12" s="11"/>
      <c r="AA12" s="30"/>
      <c r="AB12" s="30"/>
      <c r="AC12" s="33">
        <f t="shared" si="2"/>
        <v>0</v>
      </c>
      <c r="AD12" s="12">
        <f t="shared" si="3"/>
        <v>2</v>
      </c>
      <c r="AE12" s="39"/>
      <c r="AF12" s="39"/>
      <c r="AG12" s="39"/>
      <c r="AH12" s="39"/>
      <c r="AI12" s="39"/>
      <c r="AJ12"/>
    </row>
    <row r="13" spans="1:36" x14ac:dyDescent="0.2">
      <c r="A13" s="5">
        <f>DAY(Kalenteri!A9)</f>
        <v>9</v>
      </c>
      <c r="B13" s="3" t="str">
        <f>IF(Kalenteri!B9=1,"su",IF(Kalenteri!B9=2,"ma",IF(Kalenteri!B9=3,"ti",IF(Kalenteri!B9=4,"ke",IF(Kalenteri!B9=5,"to",IF(Kalenteri!B9=6,"pe",IF(Kalenteri!B9=7,"la",)))))))</f>
        <v>ke</v>
      </c>
      <c r="C13" s="18" t="s">
        <v>171</v>
      </c>
      <c r="D13" s="10">
        <v>2</v>
      </c>
      <c r="E13" s="10"/>
      <c r="F13" s="11"/>
      <c r="G13" s="18"/>
      <c r="H13" s="11"/>
      <c r="I13" s="18"/>
      <c r="J13" s="11"/>
      <c r="K13" s="33">
        <f t="shared" si="0"/>
        <v>2</v>
      </c>
      <c r="L13" s="10"/>
      <c r="M13" s="10"/>
      <c r="N13" s="10"/>
      <c r="O13" s="11"/>
      <c r="P13" s="10"/>
      <c r="Q13" s="11"/>
      <c r="R13" s="30"/>
      <c r="S13" s="30"/>
      <c r="T13" s="33">
        <f t="shared" si="1"/>
        <v>0</v>
      </c>
      <c r="U13" s="10"/>
      <c r="V13" s="10"/>
      <c r="W13" s="10"/>
      <c r="X13" s="11"/>
      <c r="Y13" s="10"/>
      <c r="Z13" s="11"/>
      <c r="AA13" s="30"/>
      <c r="AB13" s="30"/>
      <c r="AC13" s="33">
        <f t="shared" si="2"/>
        <v>0</v>
      </c>
      <c r="AD13" s="12">
        <f t="shared" si="3"/>
        <v>2</v>
      </c>
      <c r="AE13" s="39"/>
      <c r="AF13" s="39"/>
      <c r="AG13" s="39"/>
      <c r="AH13" s="39"/>
      <c r="AI13" s="39"/>
      <c r="AJ13"/>
    </row>
    <row r="14" spans="1:36" x14ac:dyDescent="0.2">
      <c r="A14" s="5">
        <f>DAY(Kalenteri!A10)</f>
        <v>10</v>
      </c>
      <c r="B14" s="3" t="str">
        <f>IF(Kalenteri!B10=1,"su",IF(Kalenteri!B10=2,"ma",IF(Kalenteri!B10=3,"ti",IF(Kalenteri!B10=4,"ke",IF(Kalenteri!B10=5,"to",IF(Kalenteri!B10=6,"pe",IF(Kalenteri!B10=7,"la",)))))))</f>
        <v>to</v>
      </c>
      <c r="C14" s="18" t="s">
        <v>171</v>
      </c>
      <c r="D14" s="10">
        <v>2</v>
      </c>
      <c r="E14" s="10"/>
      <c r="F14" s="11"/>
      <c r="G14" s="18"/>
      <c r="H14" s="11"/>
      <c r="I14" s="18"/>
      <c r="J14" s="11"/>
      <c r="K14" s="33">
        <f t="shared" si="0"/>
        <v>2</v>
      </c>
      <c r="L14" s="10"/>
      <c r="M14" s="10"/>
      <c r="N14" s="10"/>
      <c r="O14" s="11"/>
      <c r="P14" s="10"/>
      <c r="Q14" s="11"/>
      <c r="R14" s="30"/>
      <c r="S14" s="30"/>
      <c r="T14" s="33">
        <f t="shared" si="1"/>
        <v>0</v>
      </c>
      <c r="U14" s="10"/>
      <c r="V14" s="10"/>
      <c r="W14" s="10"/>
      <c r="X14" s="11"/>
      <c r="Y14" s="10"/>
      <c r="Z14" s="11"/>
      <c r="AA14" s="30"/>
      <c r="AB14" s="30"/>
      <c r="AC14" s="33">
        <f t="shared" si="2"/>
        <v>0</v>
      </c>
      <c r="AD14" s="12">
        <f t="shared" si="3"/>
        <v>2</v>
      </c>
      <c r="AE14" s="39"/>
      <c r="AF14" s="39"/>
      <c r="AG14" s="39"/>
      <c r="AH14" s="39"/>
      <c r="AI14" s="39"/>
      <c r="AJ14"/>
    </row>
    <row r="15" spans="1:36" x14ac:dyDescent="0.2">
      <c r="A15" s="5">
        <f>DAY(Kalenteri!A11)</f>
        <v>11</v>
      </c>
      <c r="B15" s="3" t="str">
        <f>IF(Kalenteri!B11=1,"su",IF(Kalenteri!B11=2,"ma",IF(Kalenteri!B11=3,"ti",IF(Kalenteri!B11=4,"ke",IF(Kalenteri!B11=5,"to",IF(Kalenteri!B11=6,"pe",IF(Kalenteri!B11=7,"la",)))))))</f>
        <v>pe</v>
      </c>
      <c r="C15" s="18" t="s">
        <v>171</v>
      </c>
      <c r="D15" s="10">
        <v>6</v>
      </c>
      <c r="E15" s="10"/>
      <c r="F15" s="11"/>
      <c r="G15" s="18"/>
      <c r="H15" s="11"/>
      <c r="I15" s="18"/>
      <c r="J15" s="11"/>
      <c r="K15" s="33">
        <f t="shared" si="0"/>
        <v>6</v>
      </c>
      <c r="L15" s="10"/>
      <c r="M15" s="10"/>
      <c r="N15" s="10"/>
      <c r="O15" s="11"/>
      <c r="P15" s="10"/>
      <c r="Q15" s="11"/>
      <c r="R15" s="30"/>
      <c r="S15" s="30"/>
      <c r="T15" s="33">
        <f t="shared" si="1"/>
        <v>0</v>
      </c>
      <c r="U15" s="10"/>
      <c r="V15" s="10"/>
      <c r="W15" s="10"/>
      <c r="X15" s="11"/>
      <c r="Y15" s="10"/>
      <c r="Z15" s="11"/>
      <c r="AA15" s="30"/>
      <c r="AB15" s="30"/>
      <c r="AC15" s="33">
        <f t="shared" si="2"/>
        <v>0</v>
      </c>
      <c r="AD15" s="12">
        <f t="shared" si="3"/>
        <v>6</v>
      </c>
      <c r="AE15" s="39"/>
      <c r="AF15" s="39"/>
      <c r="AG15" s="39"/>
      <c r="AH15" s="39"/>
      <c r="AI15" s="39"/>
      <c r="AJ15"/>
    </row>
    <row r="16" spans="1:36" x14ac:dyDescent="0.2">
      <c r="A16" s="5">
        <f>DAY(Kalenteri!A12)</f>
        <v>12</v>
      </c>
      <c r="B16" s="3" t="str">
        <f>IF(Kalenteri!B12=1,"su",IF(Kalenteri!B12=2,"ma",IF(Kalenteri!B12=3,"ti",IF(Kalenteri!B12=4,"ke",IF(Kalenteri!B12=5,"to",IF(Kalenteri!B12=6,"pe",IF(Kalenteri!B12=7,"la",)))))))</f>
        <v>la</v>
      </c>
      <c r="C16" s="18" t="s">
        <v>171</v>
      </c>
      <c r="D16" s="10">
        <v>36</v>
      </c>
      <c r="E16" s="10" t="s">
        <v>169</v>
      </c>
      <c r="F16" s="11">
        <v>30</v>
      </c>
      <c r="G16" s="18"/>
      <c r="H16" s="11"/>
      <c r="I16" s="18"/>
      <c r="J16" s="11"/>
      <c r="K16" s="33">
        <f t="shared" si="0"/>
        <v>66</v>
      </c>
      <c r="L16" s="10"/>
      <c r="M16" s="10"/>
      <c r="N16" s="10"/>
      <c r="O16" s="11"/>
      <c r="P16" s="10"/>
      <c r="Q16" s="11"/>
      <c r="R16" s="30"/>
      <c r="S16" s="30"/>
      <c r="T16" s="33">
        <f t="shared" si="1"/>
        <v>0</v>
      </c>
      <c r="U16" s="10"/>
      <c r="V16" s="10"/>
      <c r="W16" s="10"/>
      <c r="X16" s="11"/>
      <c r="Y16" s="10"/>
      <c r="Z16" s="11"/>
      <c r="AA16" s="30"/>
      <c r="AB16" s="30"/>
      <c r="AC16" s="33">
        <f t="shared" si="2"/>
        <v>0</v>
      </c>
      <c r="AD16" s="12">
        <f t="shared" si="3"/>
        <v>66</v>
      </c>
      <c r="AE16" s="39"/>
      <c r="AF16" s="39"/>
      <c r="AG16" s="39"/>
      <c r="AH16" s="39"/>
      <c r="AI16" s="39"/>
      <c r="AJ16"/>
    </row>
    <row r="17" spans="1:36" x14ac:dyDescent="0.2">
      <c r="A17" s="5">
        <f>DAY(Kalenteri!A13)</f>
        <v>13</v>
      </c>
      <c r="B17" s="3" t="str">
        <f>IF(Kalenteri!B13=1,"su",IF(Kalenteri!B13=2,"ma",IF(Kalenteri!B13=3,"ti",IF(Kalenteri!B13=4,"ke",IF(Kalenteri!B13=5,"to",IF(Kalenteri!B13=6,"pe",IF(Kalenteri!B13=7,"la",)))))))</f>
        <v>su</v>
      </c>
      <c r="C17" s="18" t="s">
        <v>171</v>
      </c>
      <c r="D17" s="10">
        <v>42</v>
      </c>
      <c r="E17" s="10" t="s">
        <v>169</v>
      </c>
      <c r="F17" s="11">
        <v>24</v>
      </c>
      <c r="G17" s="18" t="s">
        <v>172</v>
      </c>
      <c r="H17" s="11">
        <v>1</v>
      </c>
      <c r="I17" s="18"/>
      <c r="J17" s="11"/>
      <c r="K17" s="33">
        <f t="shared" si="0"/>
        <v>67</v>
      </c>
      <c r="L17" s="10"/>
      <c r="M17" s="10"/>
      <c r="N17" s="10"/>
      <c r="O17" s="11"/>
      <c r="P17" s="10"/>
      <c r="Q17" s="11"/>
      <c r="R17" s="30"/>
      <c r="S17" s="30"/>
      <c r="T17" s="33">
        <f t="shared" si="1"/>
        <v>0</v>
      </c>
      <c r="U17" s="10"/>
      <c r="V17" s="10"/>
      <c r="W17" s="10"/>
      <c r="X17" s="11"/>
      <c r="Y17" s="10"/>
      <c r="Z17" s="11"/>
      <c r="AA17" s="30"/>
      <c r="AB17" s="30"/>
      <c r="AC17" s="33">
        <f t="shared" si="2"/>
        <v>0</v>
      </c>
      <c r="AD17" s="12">
        <f t="shared" si="3"/>
        <v>67</v>
      </c>
      <c r="AE17" s="39"/>
      <c r="AF17" s="39"/>
      <c r="AG17" s="39"/>
      <c r="AH17" s="39"/>
      <c r="AI17" s="39"/>
      <c r="AJ17"/>
    </row>
    <row r="18" spans="1:36" x14ac:dyDescent="0.2">
      <c r="A18" s="5">
        <f>DAY(Kalenteri!A14)</f>
        <v>14</v>
      </c>
      <c r="B18" s="3" t="str">
        <f>IF(Kalenteri!B14=1,"su",IF(Kalenteri!B14=2,"ma",IF(Kalenteri!B14=3,"ti",IF(Kalenteri!B14=4,"ke",IF(Kalenteri!B14=5,"to",IF(Kalenteri!B14=6,"pe",IF(Kalenteri!B14=7,"la",)))))))</f>
        <v>ma</v>
      </c>
      <c r="C18" s="18" t="s">
        <v>171</v>
      </c>
      <c r="D18" s="10">
        <v>4</v>
      </c>
      <c r="E18" s="10"/>
      <c r="F18" s="11"/>
      <c r="G18" s="18" t="s">
        <v>172</v>
      </c>
      <c r="H18" s="11">
        <v>20</v>
      </c>
      <c r="I18" s="18"/>
      <c r="J18" s="11"/>
      <c r="K18" s="33">
        <f t="shared" si="0"/>
        <v>24</v>
      </c>
      <c r="L18" s="10"/>
      <c r="M18" s="10"/>
      <c r="N18" s="10"/>
      <c r="O18" s="11"/>
      <c r="P18" s="10"/>
      <c r="Q18" s="11"/>
      <c r="R18" s="30"/>
      <c r="S18" s="30"/>
      <c r="T18" s="33">
        <f t="shared" si="1"/>
        <v>0</v>
      </c>
      <c r="U18" s="10"/>
      <c r="V18" s="10"/>
      <c r="W18" s="10"/>
      <c r="X18" s="11"/>
      <c r="Y18" s="10"/>
      <c r="Z18" s="11"/>
      <c r="AA18" s="30"/>
      <c r="AB18" s="30"/>
      <c r="AC18" s="33">
        <f t="shared" si="2"/>
        <v>0</v>
      </c>
      <c r="AD18" s="12">
        <f t="shared" si="3"/>
        <v>24</v>
      </c>
      <c r="AE18" s="39"/>
      <c r="AF18" s="39"/>
      <c r="AG18" s="39"/>
      <c r="AH18" s="39"/>
      <c r="AI18" s="39"/>
      <c r="AJ18"/>
    </row>
    <row r="19" spans="1:36" x14ac:dyDescent="0.2">
      <c r="A19" s="5">
        <f>DAY(Kalenteri!A15)</f>
        <v>15</v>
      </c>
      <c r="B19" s="3" t="str">
        <f>IF(Kalenteri!B15=1,"su",IF(Kalenteri!B15=2,"ma",IF(Kalenteri!B15=3,"ti",IF(Kalenteri!B15=4,"ke",IF(Kalenteri!B15=5,"to",IF(Kalenteri!B15=6,"pe",IF(Kalenteri!B15=7,"la",)))))))</f>
        <v>ti</v>
      </c>
      <c r="C19" s="18" t="s">
        <v>171</v>
      </c>
      <c r="D19" s="10">
        <v>4</v>
      </c>
      <c r="E19" s="10" t="s">
        <v>169</v>
      </c>
      <c r="F19" s="11">
        <v>3</v>
      </c>
      <c r="G19" s="18"/>
      <c r="H19" s="11"/>
      <c r="I19" s="18"/>
      <c r="J19" s="11"/>
      <c r="K19" s="33">
        <f t="shared" si="0"/>
        <v>7</v>
      </c>
      <c r="L19" s="10"/>
      <c r="M19" s="10"/>
      <c r="N19" s="10"/>
      <c r="O19" s="11"/>
      <c r="P19" s="10"/>
      <c r="Q19" s="11"/>
      <c r="R19" s="30"/>
      <c r="S19" s="30"/>
      <c r="T19" s="33">
        <f t="shared" si="1"/>
        <v>0</v>
      </c>
      <c r="U19" s="10"/>
      <c r="V19" s="10"/>
      <c r="W19" s="10"/>
      <c r="X19" s="11"/>
      <c r="Y19" s="10"/>
      <c r="Z19" s="11"/>
      <c r="AA19" s="30"/>
      <c r="AB19" s="30"/>
      <c r="AC19" s="33">
        <f t="shared" si="2"/>
        <v>0</v>
      </c>
      <c r="AD19" s="12">
        <f t="shared" si="3"/>
        <v>7</v>
      </c>
      <c r="AE19" s="39"/>
      <c r="AF19" s="39"/>
      <c r="AG19" s="39"/>
      <c r="AH19" s="39"/>
      <c r="AI19" s="39"/>
      <c r="AJ19"/>
    </row>
    <row r="20" spans="1:36" x14ac:dyDescent="0.2">
      <c r="A20" s="5">
        <f>DAY(Kalenteri!A16)</f>
        <v>16</v>
      </c>
      <c r="B20" s="3" t="str">
        <f>IF(Kalenteri!B16=1,"su",IF(Kalenteri!B16=2,"ma",IF(Kalenteri!B16=3,"ti",IF(Kalenteri!B16=4,"ke",IF(Kalenteri!B16=5,"to",IF(Kalenteri!B16=6,"pe",IF(Kalenteri!B16=7,"la",)))))))</f>
        <v>ke</v>
      </c>
      <c r="C20" s="18" t="s">
        <v>171</v>
      </c>
      <c r="D20" s="10"/>
      <c r="E20" s="10" t="s">
        <v>169</v>
      </c>
      <c r="F20" s="11"/>
      <c r="G20" s="18"/>
      <c r="H20" s="11"/>
      <c r="I20" s="18"/>
      <c r="J20" s="11"/>
      <c r="K20" s="33">
        <f t="shared" si="0"/>
        <v>0</v>
      </c>
      <c r="L20" s="10"/>
      <c r="M20" s="10"/>
      <c r="N20" s="10"/>
      <c r="O20" s="11"/>
      <c r="P20" s="10"/>
      <c r="Q20" s="11"/>
      <c r="R20" s="30"/>
      <c r="S20" s="30"/>
      <c r="T20" s="33">
        <f t="shared" si="1"/>
        <v>0</v>
      </c>
      <c r="U20" s="10"/>
      <c r="V20" s="10"/>
      <c r="W20" s="10"/>
      <c r="X20" s="11"/>
      <c r="Y20" s="10"/>
      <c r="Z20" s="11"/>
      <c r="AA20" s="30"/>
      <c r="AB20" s="30"/>
      <c r="AC20" s="33">
        <f t="shared" si="2"/>
        <v>0</v>
      </c>
      <c r="AD20" s="12">
        <f t="shared" si="3"/>
        <v>0</v>
      </c>
      <c r="AE20" s="39"/>
      <c r="AF20" s="39"/>
      <c r="AG20" s="39"/>
      <c r="AH20" s="39"/>
      <c r="AI20" s="39"/>
      <c r="AJ20"/>
    </row>
    <row r="21" spans="1:36" x14ac:dyDescent="0.2">
      <c r="A21" s="5">
        <f>DAY(Kalenteri!A17)</f>
        <v>17</v>
      </c>
      <c r="B21" s="3" t="str">
        <f>IF(Kalenteri!B17=1,"su",IF(Kalenteri!B17=2,"ma",IF(Kalenteri!B17=3,"ti",IF(Kalenteri!B17=4,"ke",IF(Kalenteri!B17=5,"to",IF(Kalenteri!B17=6,"pe",IF(Kalenteri!B17=7,"la",)))))))</f>
        <v>to</v>
      </c>
      <c r="C21" s="18" t="s">
        <v>171</v>
      </c>
      <c r="D21" s="10">
        <v>6</v>
      </c>
      <c r="E21" s="10" t="s">
        <v>169</v>
      </c>
      <c r="F21" s="11">
        <v>3</v>
      </c>
      <c r="G21" s="18"/>
      <c r="H21" s="11"/>
      <c r="I21" s="18"/>
      <c r="J21" s="11"/>
      <c r="K21" s="33">
        <f t="shared" si="0"/>
        <v>9</v>
      </c>
      <c r="L21" s="10"/>
      <c r="M21" s="10"/>
      <c r="N21" s="10"/>
      <c r="O21" s="11"/>
      <c r="P21" s="10"/>
      <c r="Q21" s="11"/>
      <c r="R21" s="30"/>
      <c r="S21" s="30"/>
      <c r="T21" s="33">
        <f t="shared" si="1"/>
        <v>0</v>
      </c>
      <c r="U21" s="10"/>
      <c r="V21" s="10"/>
      <c r="W21" s="10"/>
      <c r="X21" s="11"/>
      <c r="Y21" s="10"/>
      <c r="Z21" s="11"/>
      <c r="AA21" s="30"/>
      <c r="AB21" s="30"/>
      <c r="AC21" s="33">
        <f t="shared" si="2"/>
        <v>0</v>
      </c>
      <c r="AD21" s="12">
        <f t="shared" si="3"/>
        <v>9</v>
      </c>
      <c r="AE21" s="39"/>
      <c r="AF21" s="39"/>
      <c r="AG21" s="39"/>
      <c r="AH21" s="39"/>
      <c r="AI21" s="39"/>
      <c r="AJ21"/>
    </row>
    <row r="22" spans="1:36" x14ac:dyDescent="0.2">
      <c r="A22" s="5">
        <f>DAY(Kalenteri!A18)</f>
        <v>18</v>
      </c>
      <c r="B22" s="3" t="str">
        <f>IF(Kalenteri!B18=1,"su",IF(Kalenteri!B18=2,"ma",IF(Kalenteri!B18=3,"ti",IF(Kalenteri!B18=4,"ke",IF(Kalenteri!B18=5,"to",IF(Kalenteri!B18=6,"pe",IF(Kalenteri!B18=7,"la",)))))))</f>
        <v>pe</v>
      </c>
      <c r="C22" s="18" t="s">
        <v>171</v>
      </c>
      <c r="D22" s="10"/>
      <c r="E22" s="10" t="s">
        <v>169</v>
      </c>
      <c r="F22" s="11"/>
      <c r="G22" s="18"/>
      <c r="H22" s="11"/>
      <c r="I22" s="18"/>
      <c r="J22" s="11"/>
      <c r="K22" s="33">
        <f t="shared" si="0"/>
        <v>0</v>
      </c>
      <c r="L22" s="10"/>
      <c r="M22" s="10"/>
      <c r="N22" s="10"/>
      <c r="O22" s="11"/>
      <c r="P22" s="10"/>
      <c r="Q22" s="11"/>
      <c r="R22" s="30"/>
      <c r="S22" s="30"/>
      <c r="T22" s="33">
        <f t="shared" si="1"/>
        <v>0</v>
      </c>
      <c r="U22" s="10"/>
      <c r="V22" s="10"/>
      <c r="W22" s="10"/>
      <c r="X22" s="11"/>
      <c r="Y22" s="10"/>
      <c r="Z22" s="11"/>
      <c r="AA22" s="30"/>
      <c r="AB22" s="30"/>
      <c r="AC22" s="33">
        <f t="shared" si="2"/>
        <v>0</v>
      </c>
      <c r="AD22" s="12">
        <f t="shared" si="3"/>
        <v>0</v>
      </c>
      <c r="AE22" s="39"/>
      <c r="AF22" s="39"/>
      <c r="AG22" s="39"/>
      <c r="AH22" s="39"/>
      <c r="AI22" s="39"/>
      <c r="AJ22"/>
    </row>
    <row r="23" spans="1:36" x14ac:dyDescent="0.2">
      <c r="A23" s="5">
        <f>DAY(Kalenteri!A19)</f>
        <v>19</v>
      </c>
      <c r="B23" s="3" t="str">
        <f>IF(Kalenteri!B19=1,"su",IF(Kalenteri!B19=2,"ma",IF(Kalenteri!B19=3,"ti",IF(Kalenteri!B19=4,"ke",IF(Kalenteri!B19=5,"to",IF(Kalenteri!B19=6,"pe",IF(Kalenteri!B19=7,"la",)))))))</f>
        <v>la</v>
      </c>
      <c r="C23" s="18" t="s">
        <v>171</v>
      </c>
      <c r="D23" s="10">
        <v>4</v>
      </c>
      <c r="E23" s="10" t="s">
        <v>169</v>
      </c>
      <c r="F23" s="11"/>
      <c r="G23" s="18"/>
      <c r="H23" s="11"/>
      <c r="I23" s="18"/>
      <c r="J23" s="11"/>
      <c r="K23" s="33">
        <f t="shared" si="0"/>
        <v>4</v>
      </c>
      <c r="L23" s="10"/>
      <c r="M23" s="10"/>
      <c r="N23" s="10"/>
      <c r="O23" s="11"/>
      <c r="P23" s="10"/>
      <c r="Q23" s="11"/>
      <c r="R23" s="30"/>
      <c r="S23" s="30"/>
      <c r="T23" s="33">
        <f t="shared" si="1"/>
        <v>0</v>
      </c>
      <c r="U23" s="10"/>
      <c r="V23" s="10"/>
      <c r="W23" s="10"/>
      <c r="X23" s="11"/>
      <c r="Y23" s="10"/>
      <c r="Z23" s="11"/>
      <c r="AA23" s="30"/>
      <c r="AB23" s="30"/>
      <c r="AC23" s="33">
        <f t="shared" si="2"/>
        <v>0</v>
      </c>
      <c r="AD23" s="12">
        <f t="shared" si="3"/>
        <v>4</v>
      </c>
      <c r="AE23" s="39"/>
      <c r="AF23" s="39"/>
      <c r="AG23" s="39"/>
      <c r="AH23" s="39"/>
      <c r="AI23" s="39"/>
      <c r="AJ23"/>
    </row>
    <row r="24" spans="1:36" x14ac:dyDescent="0.2">
      <c r="A24" s="5">
        <f>DAY(Kalenteri!A20)</f>
        <v>20</v>
      </c>
      <c r="B24" s="3" t="str">
        <f>IF(Kalenteri!B20=1,"su",IF(Kalenteri!B20=2,"ma",IF(Kalenteri!B20=3,"ti",IF(Kalenteri!B20=4,"ke",IF(Kalenteri!B20=5,"to",IF(Kalenteri!B20=6,"pe",IF(Kalenteri!B20=7,"la",)))))))</f>
        <v>su</v>
      </c>
      <c r="C24" s="18" t="s">
        <v>171</v>
      </c>
      <c r="D24" s="10">
        <v>68</v>
      </c>
      <c r="E24" s="10" t="s">
        <v>169</v>
      </c>
      <c r="F24" s="11">
        <v>54</v>
      </c>
      <c r="G24" s="18"/>
      <c r="H24" s="11"/>
      <c r="I24" s="18"/>
      <c r="J24" s="11"/>
      <c r="K24" s="33">
        <f t="shared" si="0"/>
        <v>122</v>
      </c>
      <c r="L24" s="10"/>
      <c r="M24" s="10"/>
      <c r="N24" s="10"/>
      <c r="O24" s="11"/>
      <c r="P24" s="10"/>
      <c r="Q24" s="11"/>
      <c r="R24" s="30"/>
      <c r="S24" s="30"/>
      <c r="T24" s="33">
        <f t="shared" si="1"/>
        <v>0</v>
      </c>
      <c r="U24" s="10"/>
      <c r="V24" s="10"/>
      <c r="W24" s="10"/>
      <c r="X24" s="11"/>
      <c r="Y24" s="10"/>
      <c r="Z24" s="11"/>
      <c r="AA24" s="30"/>
      <c r="AB24" s="30"/>
      <c r="AC24" s="33">
        <f t="shared" si="2"/>
        <v>0</v>
      </c>
      <c r="AD24" s="12">
        <f t="shared" si="3"/>
        <v>122</v>
      </c>
      <c r="AE24" s="39"/>
      <c r="AF24" s="39"/>
      <c r="AG24" s="39"/>
      <c r="AH24" s="39"/>
      <c r="AI24" s="39"/>
      <c r="AJ24" s="39"/>
    </row>
    <row r="25" spans="1:36" x14ac:dyDescent="0.2">
      <c r="A25" s="5">
        <f>DAY(Kalenteri!A21)</f>
        <v>21</v>
      </c>
      <c r="B25" s="3" t="str">
        <f>IF(Kalenteri!B21=1,"su",IF(Kalenteri!B21=2,"ma",IF(Kalenteri!B21=3,"ti",IF(Kalenteri!B21=4,"ke",IF(Kalenteri!B21=5,"to",IF(Kalenteri!B21=6,"pe",IF(Kalenteri!B21=7,"la",)))))))</f>
        <v>ma</v>
      </c>
      <c r="C25" s="18" t="s">
        <v>171</v>
      </c>
      <c r="D25" s="10">
        <v>4</v>
      </c>
      <c r="E25" s="10" t="s">
        <v>169</v>
      </c>
      <c r="F25" s="11">
        <v>3</v>
      </c>
      <c r="G25" s="18" t="s">
        <v>172</v>
      </c>
      <c r="H25" s="11">
        <v>3</v>
      </c>
      <c r="I25" s="18"/>
      <c r="J25" s="11"/>
      <c r="K25" s="33">
        <f t="shared" si="0"/>
        <v>10</v>
      </c>
      <c r="L25" s="10" t="s">
        <v>177</v>
      </c>
      <c r="M25" s="10">
        <v>2</v>
      </c>
      <c r="N25" s="10" t="s">
        <v>169</v>
      </c>
      <c r="O25" s="11">
        <v>3</v>
      </c>
      <c r="P25" s="10"/>
      <c r="Q25" s="11"/>
      <c r="R25" s="30"/>
      <c r="S25" s="30"/>
      <c r="T25" s="33">
        <f t="shared" si="1"/>
        <v>5</v>
      </c>
      <c r="U25" s="10"/>
      <c r="V25" s="10"/>
      <c r="W25" s="10"/>
      <c r="X25" s="11"/>
      <c r="Y25" s="10"/>
      <c r="Z25" s="11"/>
      <c r="AA25" s="30"/>
      <c r="AB25" s="30"/>
      <c r="AC25" s="33">
        <f t="shared" si="2"/>
        <v>0</v>
      </c>
      <c r="AD25" s="12">
        <f t="shared" si="3"/>
        <v>15</v>
      </c>
      <c r="AE25" s="39"/>
      <c r="AF25" s="39"/>
      <c r="AG25" s="39"/>
      <c r="AH25" s="39"/>
      <c r="AI25" s="39"/>
      <c r="AJ25" s="39"/>
    </row>
    <row r="26" spans="1:36" x14ac:dyDescent="0.2">
      <c r="A26" s="5">
        <f>DAY(Kalenteri!A22)</f>
        <v>22</v>
      </c>
      <c r="B26" s="3" t="str">
        <f>IF(Kalenteri!B22=1,"su",IF(Kalenteri!B22=2,"ma",IF(Kalenteri!B22=3,"ti",IF(Kalenteri!B22=4,"ke",IF(Kalenteri!B22=5,"to",IF(Kalenteri!B22=6,"pe",IF(Kalenteri!B22=7,"la",)))))))</f>
        <v>ti</v>
      </c>
      <c r="C26" s="18" t="s">
        <v>171</v>
      </c>
      <c r="D26" s="10"/>
      <c r="E26" s="10" t="s">
        <v>169</v>
      </c>
      <c r="F26" s="11"/>
      <c r="G26" s="18"/>
      <c r="H26" s="11"/>
      <c r="I26" s="18"/>
      <c r="J26" s="11"/>
      <c r="K26" s="33">
        <f t="shared" si="0"/>
        <v>0</v>
      </c>
      <c r="L26" s="10"/>
      <c r="M26" s="10"/>
      <c r="N26" s="10"/>
      <c r="O26" s="11"/>
      <c r="P26" s="10"/>
      <c r="Q26" s="11"/>
      <c r="R26" s="30"/>
      <c r="S26" s="30"/>
      <c r="T26" s="33">
        <f t="shared" si="1"/>
        <v>0</v>
      </c>
      <c r="U26" s="10"/>
      <c r="V26" s="10"/>
      <c r="W26" s="10"/>
      <c r="X26" s="11"/>
      <c r="Y26" s="10"/>
      <c r="Z26" s="11"/>
      <c r="AA26" s="30"/>
      <c r="AB26" s="30"/>
      <c r="AC26" s="33">
        <f t="shared" si="2"/>
        <v>0</v>
      </c>
      <c r="AD26" s="12">
        <f t="shared" si="3"/>
        <v>0</v>
      </c>
      <c r="AE26" s="39"/>
      <c r="AF26" s="39"/>
      <c r="AG26" s="39"/>
      <c r="AH26" s="39"/>
      <c r="AI26" s="39"/>
      <c r="AJ26" s="39"/>
    </row>
    <row r="27" spans="1:36" x14ac:dyDescent="0.2">
      <c r="A27" s="5">
        <f>DAY(Kalenteri!A23)</f>
        <v>23</v>
      </c>
      <c r="B27" s="3" t="str">
        <f>IF(Kalenteri!B23=1,"su",IF(Kalenteri!B23=2,"ma",IF(Kalenteri!B23=3,"ti",IF(Kalenteri!B23=4,"ke",IF(Kalenteri!B23=5,"to",IF(Kalenteri!B23=6,"pe",IF(Kalenteri!B23=7,"la",)))))))</f>
        <v>ke</v>
      </c>
      <c r="C27" s="18" t="s">
        <v>176</v>
      </c>
      <c r="D27" s="10">
        <v>6</v>
      </c>
      <c r="E27" s="10" t="s">
        <v>169</v>
      </c>
      <c r="F27" s="11"/>
      <c r="G27" s="18"/>
      <c r="H27" s="11"/>
      <c r="I27" s="18"/>
      <c r="J27" s="11"/>
      <c r="K27" s="33">
        <f t="shared" si="0"/>
        <v>6</v>
      </c>
      <c r="L27" s="10"/>
      <c r="M27" s="10"/>
      <c r="N27" s="10"/>
      <c r="O27" s="11"/>
      <c r="P27" s="10"/>
      <c r="Q27" s="11"/>
      <c r="R27" s="30"/>
      <c r="S27" s="30"/>
      <c r="T27" s="33">
        <f t="shared" si="1"/>
        <v>0</v>
      </c>
      <c r="U27" s="10"/>
      <c r="V27" s="10"/>
      <c r="W27" s="10"/>
      <c r="X27" s="11"/>
      <c r="Y27" s="10"/>
      <c r="Z27" s="11"/>
      <c r="AA27" s="30"/>
      <c r="AB27" s="30"/>
      <c r="AC27" s="33">
        <f t="shared" si="2"/>
        <v>0</v>
      </c>
      <c r="AD27" s="12">
        <f t="shared" si="3"/>
        <v>6</v>
      </c>
      <c r="AE27" s="39"/>
      <c r="AF27" s="39"/>
      <c r="AG27" s="39"/>
      <c r="AH27" s="39"/>
      <c r="AI27" s="39"/>
      <c r="AJ27" s="39"/>
    </row>
    <row r="28" spans="1:36" x14ac:dyDescent="0.2">
      <c r="A28" s="5">
        <f>DAY(Kalenteri!A24)</f>
        <v>24</v>
      </c>
      <c r="B28" s="3" t="str">
        <f>IF(Kalenteri!B24=1,"su",IF(Kalenteri!B24=2,"ma",IF(Kalenteri!B24=3,"ti",IF(Kalenteri!B24=4,"ke",IF(Kalenteri!B24=5,"to",IF(Kalenteri!B24=6,"pe",IF(Kalenteri!B24=7,"la",)))))))</f>
        <v>to</v>
      </c>
      <c r="C28" s="18" t="s">
        <v>171</v>
      </c>
      <c r="D28" s="10">
        <v>6</v>
      </c>
      <c r="E28" s="10" t="s">
        <v>169</v>
      </c>
      <c r="F28" s="11">
        <v>3</v>
      </c>
      <c r="G28" s="18"/>
      <c r="H28" s="11"/>
      <c r="I28" s="18"/>
      <c r="J28" s="11"/>
      <c r="K28" s="33">
        <f t="shared" si="0"/>
        <v>9</v>
      </c>
      <c r="L28" s="10"/>
      <c r="M28" s="10"/>
      <c r="N28" s="10"/>
      <c r="O28" s="11"/>
      <c r="P28" s="10"/>
      <c r="Q28" s="11"/>
      <c r="R28" s="30"/>
      <c r="S28" s="30"/>
      <c r="T28" s="33">
        <f t="shared" si="1"/>
        <v>0</v>
      </c>
      <c r="U28" s="10"/>
      <c r="V28" s="10"/>
      <c r="W28" s="10"/>
      <c r="X28" s="11"/>
      <c r="Y28" s="10"/>
      <c r="Z28" s="11"/>
      <c r="AA28" s="30"/>
      <c r="AB28" s="30"/>
      <c r="AC28" s="33">
        <f t="shared" si="2"/>
        <v>0</v>
      </c>
      <c r="AD28" s="12">
        <f t="shared" si="3"/>
        <v>9</v>
      </c>
      <c r="AE28" s="39"/>
      <c r="AF28" s="39"/>
      <c r="AG28" s="39"/>
      <c r="AH28" s="39"/>
      <c r="AI28" s="39"/>
      <c r="AJ28" s="39"/>
    </row>
    <row r="29" spans="1:36" x14ac:dyDescent="0.2">
      <c r="A29" s="5">
        <f>DAY(Kalenteri!A25)</f>
        <v>25</v>
      </c>
      <c r="B29" s="3" t="str">
        <f>IF(Kalenteri!B25=1,"su",IF(Kalenteri!B25=2,"ma",IF(Kalenteri!B25=3,"ti",IF(Kalenteri!B25=4,"ke",IF(Kalenteri!B25=5,"to",IF(Kalenteri!B25=6,"pe",IF(Kalenteri!B25=7,"la",)))))))</f>
        <v>pe</v>
      </c>
      <c r="C29" s="18" t="s">
        <v>178</v>
      </c>
      <c r="D29" s="10">
        <v>10</v>
      </c>
      <c r="E29" s="10" t="s">
        <v>169</v>
      </c>
      <c r="F29" s="11">
        <v>3</v>
      </c>
      <c r="G29" s="18"/>
      <c r="H29" s="11"/>
      <c r="I29" s="18"/>
      <c r="J29" s="11"/>
      <c r="K29" s="33">
        <f t="shared" si="0"/>
        <v>13</v>
      </c>
      <c r="L29" s="10"/>
      <c r="M29" s="10"/>
      <c r="N29" s="10"/>
      <c r="O29" s="11"/>
      <c r="P29" s="10"/>
      <c r="Q29" s="11"/>
      <c r="R29" s="30"/>
      <c r="S29" s="30"/>
      <c r="T29" s="33">
        <f t="shared" si="1"/>
        <v>0</v>
      </c>
      <c r="U29" s="10"/>
      <c r="V29" s="10"/>
      <c r="W29" s="10"/>
      <c r="X29" s="11"/>
      <c r="Y29" s="10"/>
      <c r="Z29" s="11"/>
      <c r="AA29" s="30"/>
      <c r="AB29" s="30"/>
      <c r="AC29" s="33">
        <f t="shared" si="2"/>
        <v>0</v>
      </c>
      <c r="AD29" s="12">
        <f t="shared" si="3"/>
        <v>13</v>
      </c>
      <c r="AE29" s="39"/>
      <c r="AF29" s="39"/>
      <c r="AG29" s="39"/>
      <c r="AH29" s="39"/>
      <c r="AI29" s="39"/>
      <c r="AJ29" s="39"/>
    </row>
    <row r="30" spans="1:36" x14ac:dyDescent="0.2">
      <c r="A30" s="5">
        <f>DAY(Kalenteri!A26)</f>
        <v>26</v>
      </c>
      <c r="B30" s="3" t="str">
        <f>IF(Kalenteri!B26=1,"su",IF(Kalenteri!B26=2,"ma",IF(Kalenteri!B26=3,"ti",IF(Kalenteri!B26=4,"ke",IF(Kalenteri!B26=5,"to",IF(Kalenteri!B26=6,"pe",IF(Kalenteri!B26=7,"la",)))))))</f>
        <v>la</v>
      </c>
      <c r="C30" s="18" t="s">
        <v>171</v>
      </c>
      <c r="D30" s="10">
        <v>128</v>
      </c>
      <c r="E30" s="10" t="s">
        <v>169</v>
      </c>
      <c r="F30" s="11">
        <v>81</v>
      </c>
      <c r="G30" s="18"/>
      <c r="H30" s="11"/>
      <c r="I30" s="18"/>
      <c r="J30" s="11"/>
      <c r="K30" s="33">
        <f t="shared" si="0"/>
        <v>209</v>
      </c>
      <c r="L30" s="10"/>
      <c r="M30" s="10"/>
      <c r="N30" s="10"/>
      <c r="O30" s="11"/>
      <c r="P30" s="10"/>
      <c r="Q30" s="11"/>
      <c r="R30" s="30"/>
      <c r="S30" s="30"/>
      <c r="T30" s="33">
        <f t="shared" si="1"/>
        <v>0</v>
      </c>
      <c r="U30" s="10"/>
      <c r="V30" s="10"/>
      <c r="W30" s="10"/>
      <c r="X30" s="11"/>
      <c r="Y30" s="10"/>
      <c r="Z30" s="11"/>
      <c r="AA30" s="30"/>
      <c r="AB30" s="30"/>
      <c r="AC30" s="33">
        <f t="shared" si="2"/>
        <v>0</v>
      </c>
      <c r="AD30" s="12">
        <f t="shared" si="3"/>
        <v>209</v>
      </c>
      <c r="AE30" s="39"/>
      <c r="AF30" s="39"/>
      <c r="AG30" s="39"/>
      <c r="AH30" s="39"/>
      <c r="AI30" s="39"/>
      <c r="AJ30" s="39"/>
    </row>
    <row r="31" spans="1:36" x14ac:dyDescent="0.2">
      <c r="A31" s="5">
        <f>DAY(Kalenteri!A27)</f>
        <v>27</v>
      </c>
      <c r="B31" s="3" t="str">
        <f>IF(Kalenteri!B27=1,"su",IF(Kalenteri!B27=2,"ma",IF(Kalenteri!B27=3,"ti",IF(Kalenteri!B27=4,"ke",IF(Kalenteri!B27=5,"to",IF(Kalenteri!B27=6,"pe",IF(Kalenteri!B27=7,"la",)))))))</f>
        <v>su</v>
      </c>
      <c r="C31" s="18" t="s">
        <v>171</v>
      </c>
      <c r="D31" s="10">
        <v>152</v>
      </c>
      <c r="E31" s="10" t="s">
        <v>169</v>
      </c>
      <c r="F31" s="11">
        <v>87</v>
      </c>
      <c r="G31" s="18" t="s">
        <v>174</v>
      </c>
      <c r="H31" s="11">
        <v>1</v>
      </c>
      <c r="I31" s="18"/>
      <c r="J31" s="11"/>
      <c r="K31" s="33">
        <f t="shared" si="0"/>
        <v>240</v>
      </c>
      <c r="L31" s="10"/>
      <c r="M31" s="10"/>
      <c r="N31" s="10"/>
      <c r="O31" s="11"/>
      <c r="P31" s="10"/>
      <c r="Q31" s="11"/>
      <c r="R31" s="30"/>
      <c r="S31" s="30"/>
      <c r="T31" s="33">
        <f t="shared" si="1"/>
        <v>0</v>
      </c>
      <c r="U31" s="10"/>
      <c r="V31" s="10"/>
      <c r="W31" s="10"/>
      <c r="X31" s="11"/>
      <c r="Y31" s="10"/>
      <c r="Z31" s="11"/>
      <c r="AA31" s="30"/>
      <c r="AB31" s="30"/>
      <c r="AC31" s="33">
        <f t="shared" si="2"/>
        <v>0</v>
      </c>
      <c r="AD31" s="12">
        <f t="shared" si="3"/>
        <v>240</v>
      </c>
      <c r="AE31" s="39"/>
      <c r="AF31" s="39"/>
      <c r="AG31" s="39"/>
      <c r="AH31" s="39"/>
      <c r="AI31" s="39"/>
      <c r="AJ31" s="39"/>
    </row>
    <row r="32" spans="1:36" x14ac:dyDescent="0.2">
      <c r="A32" s="5">
        <f>DAY(Kalenteri!A28)</f>
        <v>28</v>
      </c>
      <c r="B32" s="3" t="str">
        <f>IF(Kalenteri!B28=1,"su",IF(Kalenteri!B28=2,"ma",IF(Kalenteri!B28=3,"ti",IF(Kalenteri!B28=4,"ke",IF(Kalenteri!B28=5,"to",IF(Kalenteri!B28=6,"pe",IF(Kalenteri!B28=7,"la",)))))))</f>
        <v>ma</v>
      </c>
      <c r="C32" s="18" t="s">
        <v>171</v>
      </c>
      <c r="D32" s="10">
        <v>10</v>
      </c>
      <c r="E32" s="10" t="s">
        <v>169</v>
      </c>
      <c r="F32" s="11">
        <v>6</v>
      </c>
      <c r="G32" s="18" t="s">
        <v>172</v>
      </c>
      <c r="H32" s="11">
        <v>2</v>
      </c>
      <c r="I32" s="18" t="s">
        <v>180</v>
      </c>
      <c r="J32" s="11">
        <v>2</v>
      </c>
      <c r="K32" s="33">
        <f t="shared" si="0"/>
        <v>20</v>
      </c>
      <c r="L32" s="10"/>
      <c r="M32" s="10"/>
      <c r="N32" s="10"/>
      <c r="O32" s="11"/>
      <c r="P32" s="10"/>
      <c r="Q32" s="11"/>
      <c r="R32" s="30"/>
      <c r="S32" s="30"/>
      <c r="T32" s="33">
        <f t="shared" si="1"/>
        <v>0</v>
      </c>
      <c r="U32" s="10"/>
      <c r="V32" s="10"/>
      <c r="W32" s="10"/>
      <c r="X32" s="11"/>
      <c r="Y32" s="10"/>
      <c r="Z32" s="11"/>
      <c r="AA32" s="30"/>
      <c r="AB32" s="30"/>
      <c r="AC32" s="33">
        <f t="shared" si="2"/>
        <v>0</v>
      </c>
      <c r="AD32" s="12">
        <f t="shared" si="3"/>
        <v>20</v>
      </c>
      <c r="AE32" s="39"/>
      <c r="AF32" s="39"/>
      <c r="AG32" s="39"/>
      <c r="AH32" s="39"/>
      <c r="AI32" s="39"/>
      <c r="AJ32" s="39"/>
    </row>
    <row r="33" spans="1:36" x14ac:dyDescent="0.2">
      <c r="A33" s="5">
        <f>DAY(Kalenteri!A29)</f>
        <v>29</v>
      </c>
      <c r="B33" s="3" t="str">
        <f>IF(Kalenteri!B29=1,"su",IF(Kalenteri!B29=2,"ma",IF(Kalenteri!B29=3,"ti",IF(Kalenteri!B29=4,"ke",IF(Kalenteri!B29=5,"to",IF(Kalenteri!B29=6,"pe",IF(Kalenteri!B29=7,"la",)))))))</f>
        <v>ti</v>
      </c>
      <c r="C33" s="18" t="s">
        <v>178</v>
      </c>
      <c r="D33" s="10">
        <v>10</v>
      </c>
      <c r="E33" s="10" t="s">
        <v>169</v>
      </c>
      <c r="F33" s="11">
        <v>6</v>
      </c>
      <c r="G33" s="18"/>
      <c r="H33" s="11"/>
      <c r="I33" s="18"/>
      <c r="J33" s="11"/>
      <c r="K33" s="33">
        <f t="shared" si="0"/>
        <v>16</v>
      </c>
      <c r="L33" s="10"/>
      <c r="M33" s="10"/>
      <c r="N33" s="10"/>
      <c r="O33" s="11"/>
      <c r="P33" s="10"/>
      <c r="Q33" s="11"/>
      <c r="R33" s="30"/>
      <c r="S33" s="30"/>
      <c r="T33" s="33">
        <f t="shared" si="1"/>
        <v>0</v>
      </c>
      <c r="U33" s="10"/>
      <c r="V33" s="10"/>
      <c r="W33" s="10"/>
      <c r="X33" s="11"/>
      <c r="Y33" s="10"/>
      <c r="Z33" s="11"/>
      <c r="AA33" s="30"/>
      <c r="AB33" s="30"/>
      <c r="AC33" s="33">
        <f t="shared" si="2"/>
        <v>0</v>
      </c>
      <c r="AD33" s="12">
        <f t="shared" si="3"/>
        <v>16</v>
      </c>
      <c r="AE33" s="39"/>
      <c r="AF33" s="39"/>
      <c r="AG33" s="39"/>
      <c r="AH33" s="39"/>
      <c r="AI33" s="39"/>
      <c r="AJ33" s="39"/>
    </row>
    <row r="34" spans="1:36" x14ac:dyDescent="0.2">
      <c r="A34" s="5">
        <f>DAY(Kalenteri!A30)</f>
        <v>30</v>
      </c>
      <c r="B34" s="3" t="str">
        <f>IF(Kalenteri!B30=1,"su",IF(Kalenteri!B30=2,"ma",IF(Kalenteri!B30=3,"ti",IF(Kalenteri!B30=4,"ke",IF(Kalenteri!B30=5,"to",IF(Kalenteri!B30=6,"pe",IF(Kalenteri!B30=7,"la",)))))))</f>
        <v>ke</v>
      </c>
      <c r="C34" s="18" t="s">
        <v>171</v>
      </c>
      <c r="D34" s="10">
        <v>18</v>
      </c>
      <c r="E34" s="10" t="s">
        <v>169</v>
      </c>
      <c r="F34" s="11">
        <v>12</v>
      </c>
      <c r="G34" s="18"/>
      <c r="H34" s="11"/>
      <c r="I34" s="18"/>
      <c r="J34" s="11"/>
      <c r="K34" s="33">
        <f t="shared" si="0"/>
        <v>30</v>
      </c>
      <c r="L34" s="10"/>
      <c r="M34" s="10"/>
      <c r="N34" s="10"/>
      <c r="O34" s="11"/>
      <c r="P34" s="10"/>
      <c r="Q34" s="11"/>
      <c r="R34" s="30"/>
      <c r="S34" s="30"/>
      <c r="T34" s="33">
        <f t="shared" si="1"/>
        <v>0</v>
      </c>
      <c r="U34" s="10"/>
      <c r="V34" s="10"/>
      <c r="W34" s="10"/>
      <c r="X34" s="11"/>
      <c r="Y34" s="10"/>
      <c r="Z34" s="11"/>
      <c r="AA34" s="30"/>
      <c r="AB34" s="30"/>
      <c r="AC34" s="33">
        <f t="shared" si="2"/>
        <v>0</v>
      </c>
      <c r="AD34" s="12">
        <f t="shared" si="3"/>
        <v>30</v>
      </c>
      <c r="AE34" s="39"/>
      <c r="AF34" s="39"/>
      <c r="AG34" s="39"/>
      <c r="AH34" s="39"/>
      <c r="AI34" s="39"/>
      <c r="AJ34" s="39"/>
    </row>
    <row r="35" spans="1:36" x14ac:dyDescent="0.2">
      <c r="A35" s="5">
        <f>DAY(Kalenteri!A31)</f>
        <v>31</v>
      </c>
      <c r="B35" s="3" t="str">
        <f>IF(Kalenteri!B31=1,"su",IF(Kalenteri!B31=2,"ma",IF(Kalenteri!B31=3,"ti",IF(Kalenteri!B31=4,"ke",IF(Kalenteri!B31=5,"to",IF(Kalenteri!B31=6,"pe",IF(Kalenteri!B31=7,"la",)))))))</f>
        <v>to</v>
      </c>
      <c r="C35" s="79" t="s">
        <v>179</v>
      </c>
      <c r="D35" s="80">
        <v>32</v>
      </c>
      <c r="E35" s="80" t="s">
        <v>169</v>
      </c>
      <c r="F35" s="81">
        <v>18</v>
      </c>
      <c r="G35" s="79"/>
      <c r="H35" s="81"/>
      <c r="I35" s="79"/>
      <c r="J35" s="81"/>
      <c r="K35" s="34">
        <f t="shared" si="0"/>
        <v>50</v>
      </c>
      <c r="L35" s="20"/>
      <c r="M35" s="20"/>
      <c r="N35" s="20"/>
      <c r="O35" s="21"/>
      <c r="P35" s="20"/>
      <c r="Q35" s="21"/>
      <c r="R35" s="31"/>
      <c r="S35" s="31"/>
      <c r="T35" s="34">
        <f t="shared" si="1"/>
        <v>0</v>
      </c>
      <c r="U35" s="20"/>
      <c r="V35" s="20"/>
      <c r="W35" s="20"/>
      <c r="X35" s="21"/>
      <c r="Y35" s="20"/>
      <c r="Z35" s="21"/>
      <c r="AA35" s="31"/>
      <c r="AB35" s="31"/>
      <c r="AC35" s="34">
        <f t="shared" si="2"/>
        <v>0</v>
      </c>
      <c r="AD35" s="19">
        <f t="shared" si="3"/>
        <v>50</v>
      </c>
      <c r="AE35" s="39"/>
      <c r="AF35" s="39"/>
      <c r="AG35" s="39"/>
      <c r="AH35" s="39"/>
      <c r="AI35" s="39"/>
      <c r="AJ35" s="39"/>
    </row>
    <row r="36" spans="1:36" x14ac:dyDescent="0.2">
      <c r="A36" s="6"/>
      <c r="B36"/>
      <c r="C36" s="82">
        <f t="shared" ref="C36:J36" si="4">SUM(C5:C35)</f>
        <v>0</v>
      </c>
      <c r="D36" s="83">
        <f t="shared" si="4"/>
        <v>776</v>
      </c>
      <c r="E36" s="83">
        <f t="shared" si="4"/>
        <v>0</v>
      </c>
      <c r="F36" s="84">
        <f t="shared" si="4"/>
        <v>462</v>
      </c>
      <c r="G36" s="83">
        <f t="shared" si="4"/>
        <v>0</v>
      </c>
      <c r="H36" s="84">
        <f t="shared" si="4"/>
        <v>53</v>
      </c>
      <c r="I36" s="83">
        <f t="shared" si="4"/>
        <v>0</v>
      </c>
      <c r="J36" s="84">
        <f t="shared" si="4"/>
        <v>6</v>
      </c>
      <c r="K36" s="85">
        <f t="shared" si="0"/>
        <v>1297</v>
      </c>
      <c r="L36" s="83">
        <f t="shared" ref="L36:S36" si="5">SUM(L5:L35)</f>
        <v>0</v>
      </c>
      <c r="M36" s="83">
        <f t="shared" si="5"/>
        <v>2</v>
      </c>
      <c r="N36" s="83">
        <f t="shared" si="5"/>
        <v>0</v>
      </c>
      <c r="O36" s="84">
        <f t="shared" si="5"/>
        <v>3</v>
      </c>
      <c r="P36" s="83">
        <f t="shared" si="5"/>
        <v>0</v>
      </c>
      <c r="Q36" s="84">
        <f t="shared" si="5"/>
        <v>0</v>
      </c>
      <c r="R36" s="86">
        <f t="shared" si="5"/>
        <v>0</v>
      </c>
      <c r="S36" s="86">
        <f t="shared" si="5"/>
        <v>0</v>
      </c>
      <c r="T36" s="85">
        <f t="shared" si="1"/>
        <v>5</v>
      </c>
      <c r="U36" s="83">
        <f t="shared" ref="U36:AB36" si="6">SUM(U5:U35)</f>
        <v>0</v>
      </c>
      <c r="V36" s="83">
        <f t="shared" si="6"/>
        <v>0</v>
      </c>
      <c r="W36" s="83">
        <f t="shared" si="6"/>
        <v>0</v>
      </c>
      <c r="X36" s="84">
        <f t="shared" si="6"/>
        <v>0</v>
      </c>
      <c r="Y36" s="83">
        <f t="shared" si="6"/>
        <v>0</v>
      </c>
      <c r="Z36" s="84">
        <f t="shared" si="6"/>
        <v>0</v>
      </c>
      <c r="AA36" s="86">
        <f t="shared" si="6"/>
        <v>0</v>
      </c>
      <c r="AB36" s="86">
        <f t="shared" si="6"/>
        <v>0</v>
      </c>
      <c r="AC36" s="85">
        <f t="shared" si="2"/>
        <v>0</v>
      </c>
      <c r="AD36" s="87">
        <f t="shared" si="3"/>
        <v>1302</v>
      </c>
      <c r="AE36" s="66"/>
      <c r="AF36" s="66"/>
      <c r="AG36" s="66"/>
      <c r="AH36" s="66"/>
      <c r="AI36" s="66"/>
      <c r="AJ36" s="66"/>
    </row>
    <row r="37" spans="1:36" ht="8.1" customHeight="1" thickBot="1" x14ac:dyDescent="0.25">
      <c r="A37" s="6"/>
      <c r="B37"/>
      <c r="C37" s="2"/>
      <c r="D37" s="5"/>
      <c r="E37" s="5"/>
      <c r="F37" s="2"/>
      <c r="G37" s="2"/>
      <c r="H37" s="2"/>
      <c r="I37" s="5"/>
      <c r="J37" s="2"/>
      <c r="K37" s="2"/>
      <c r="L37" s="5"/>
      <c r="M37" s="2"/>
      <c r="N37" s="5"/>
      <c r="O37" s="5"/>
      <c r="P37" s="2"/>
      <c r="Q37" s="5"/>
      <c r="R37" s="42"/>
      <c r="S37" s="42"/>
      <c r="T37" s="2"/>
      <c r="U37" s="2"/>
      <c r="V37" s="2"/>
      <c r="W37" s="2"/>
      <c r="X37" s="5"/>
      <c r="Y37" s="2"/>
      <c r="Z37" s="2"/>
      <c r="AA37" s="39"/>
      <c r="AB37" s="39"/>
      <c r="AC37" s="5"/>
      <c r="AD37" s="40"/>
      <c r="AE37" s="40"/>
      <c r="AF37" s="40"/>
      <c r="AG37" s="40"/>
      <c r="AH37" s="40"/>
      <c r="AI37" s="40"/>
      <c r="AJ37" s="40"/>
    </row>
    <row r="38" spans="1:36" ht="24.95" customHeight="1" thickTop="1" x14ac:dyDescent="0.3">
      <c r="A38" s="6"/>
      <c r="B38"/>
      <c r="C38" s="171" t="str">
        <f>Kalenteri!E38</f>
        <v>Lippujen hinnat:</v>
      </c>
      <c r="D38" s="5"/>
      <c r="E38" s="5"/>
      <c r="F38" s="2"/>
      <c r="G38" s="2"/>
      <c r="H38" s="2"/>
      <c r="I38" s="5"/>
      <c r="J38" s="2"/>
      <c r="K38" s="2"/>
      <c r="L38" s="5"/>
      <c r="M38" s="2"/>
      <c r="N38" s="5"/>
      <c r="O38" s="5"/>
      <c r="P38" s="2"/>
      <c r="Q38"/>
      <c r="R38"/>
      <c r="S38"/>
      <c r="T38"/>
      <c r="U38" s="49" t="s">
        <v>40</v>
      </c>
      <c r="V38" s="50"/>
      <c r="W38" s="43"/>
      <c r="X38" s="44"/>
      <c r="Y38" s="43"/>
      <c r="Z38" s="43"/>
      <c r="AA38" s="44"/>
      <c r="AB38" s="44"/>
      <c r="AC38" s="47"/>
      <c r="AD38" s="45">
        <f>AD36</f>
        <v>1302</v>
      </c>
      <c r="AE38" s="41"/>
      <c r="AF38" s="41"/>
      <c r="AG38" s="41"/>
      <c r="AH38" s="41"/>
      <c r="AI38" s="41"/>
      <c r="AJ38" s="41"/>
    </row>
    <row r="39" spans="1:36" ht="24.95" customHeight="1" x14ac:dyDescent="0.3">
      <c r="A39" s="6"/>
      <c r="B39"/>
      <c r="C39" s="193" t="str">
        <f>Kalenteri!E39</f>
        <v>Mustikkamaan kautta: 1.9.-30.4. aik. 10 €, lapset 5 €, kimppalippu 30 €    1.5.-30.8. aik. 12 €, lapset 6 €, kimppalippu 36 €</v>
      </c>
      <c r="D39" s="89"/>
      <c r="E39" s="89"/>
      <c r="F39" s="90"/>
      <c r="G39" s="102"/>
      <c r="H39" s="174"/>
      <c r="I39" s="89"/>
      <c r="J39" s="90"/>
      <c r="K39" s="90"/>
      <c r="L39" s="89"/>
      <c r="M39" s="90"/>
      <c r="N39" s="89"/>
      <c r="O39" s="89"/>
      <c r="P39" s="90"/>
      <c r="Q39" s="104"/>
      <c r="R39" s="103"/>
      <c r="S39"/>
      <c r="T39"/>
      <c r="U39" s="62" t="s">
        <v>13</v>
      </c>
      <c r="V39" s="52"/>
      <c r="W39" s="53"/>
      <c r="X39" s="54"/>
      <c r="Y39" s="53"/>
      <c r="Z39" s="53"/>
      <c r="AA39" s="54"/>
      <c r="AB39" s="54"/>
      <c r="AC39" s="55"/>
      <c r="AD39" s="56">
        <f>AD36-Edellisvuosi!B8</f>
        <v>907</v>
      </c>
      <c r="AE39" s="67"/>
      <c r="AF39" s="67"/>
      <c r="AG39" s="67"/>
      <c r="AH39" s="67"/>
      <c r="AI39" s="67"/>
      <c r="AJ39" s="67"/>
    </row>
    <row r="40" spans="1:36" ht="24.95" customHeight="1" x14ac:dyDescent="0.3">
      <c r="A40" s="6"/>
      <c r="B40" s="6"/>
      <c r="C40" s="194" t="str">
        <f>Kalenteri!E40</f>
        <v xml:space="preserve">                                    Vuosikortti:     aik. 50 €, lapset 20 €, perhekortti 100 €</v>
      </c>
      <c r="D40" s="39"/>
      <c r="E40" s="39"/>
      <c r="F40" s="42"/>
      <c r="G40" s="65"/>
      <c r="H40" s="176"/>
      <c r="I40" s="39"/>
      <c r="J40" s="42"/>
      <c r="K40" s="42"/>
      <c r="L40" s="39"/>
      <c r="M40" s="42"/>
      <c r="N40" s="39"/>
      <c r="O40" s="39"/>
      <c r="P40" s="39"/>
      <c r="Q40" s="23"/>
      <c r="R40" s="97"/>
      <c r="S40"/>
      <c r="T40"/>
      <c r="U40" s="63" t="s">
        <v>41</v>
      </c>
      <c r="V40" s="37"/>
      <c r="W40" s="51"/>
      <c r="X40" s="41"/>
      <c r="Y40" s="51"/>
      <c r="Z40" s="41"/>
      <c r="AA40" s="41"/>
      <c r="AB40" s="41"/>
      <c r="AC40" s="48"/>
      <c r="AD40" s="46">
        <f>AD36</f>
        <v>1302</v>
      </c>
      <c r="AE40" s="41"/>
      <c r="AF40" s="41"/>
      <c r="AG40" s="41"/>
      <c r="AH40" s="41"/>
      <c r="AI40" s="41"/>
      <c r="AJ40" s="41"/>
    </row>
    <row r="41" spans="1:36" ht="24.95" customHeight="1" thickBot="1" x14ac:dyDescent="0.35">
      <c r="A41" s="4"/>
      <c r="B41" s="4"/>
      <c r="C41" s="195" t="str">
        <f>Kalenteri!E41</f>
        <v>Vesibusseilla:             1.9.-30.4. aik. 16 €, lapset 8 €, kimppalippu 47 €    1.5.-31.8. aik. 18 €, lapset 9 €, kimppalippu 53 €</v>
      </c>
      <c r="D41" s="93"/>
      <c r="E41" s="93"/>
      <c r="F41" s="94"/>
      <c r="G41" s="94"/>
      <c r="H41" s="175"/>
      <c r="I41" s="93"/>
      <c r="J41" s="96"/>
      <c r="K41" s="96"/>
      <c r="L41" s="93"/>
      <c r="M41" s="95"/>
      <c r="N41" s="95"/>
      <c r="O41" s="93"/>
      <c r="P41" s="95"/>
      <c r="Q41" s="95"/>
      <c r="R41" s="98"/>
      <c r="S41"/>
      <c r="T41"/>
      <c r="U41" s="64" t="s">
        <v>13</v>
      </c>
      <c r="V41" s="57"/>
      <c r="W41" s="58"/>
      <c r="X41" s="59"/>
      <c r="Y41" s="59"/>
      <c r="Z41" s="59"/>
      <c r="AA41" s="59"/>
      <c r="AB41" s="59"/>
      <c r="AC41" s="60"/>
      <c r="AD41" s="61">
        <f>AD40-Edellisvuosi!B8</f>
        <v>907</v>
      </c>
      <c r="AE41" s="68"/>
      <c r="AF41" s="68"/>
      <c r="AG41" s="68"/>
      <c r="AH41" s="68"/>
      <c r="AI41" s="68"/>
      <c r="AJ41" s="68"/>
    </row>
    <row r="42" spans="1:36" ht="13.5" thickTop="1" x14ac:dyDescent="0.2"/>
  </sheetData>
  <sheetProtection password="C4AC" sheet="1" objects="1" scenarios="1"/>
  <phoneticPr fontId="4" type="noConversion"/>
  <pageMargins left="0" right="0" top="0.27559055118110237" bottom="0" header="0" footer="0"/>
  <pageSetup paperSize="9" scale="75" fitToHeight="0" orientation="landscape" horizontalDpi="4294967292" verticalDpi="4294967292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4" name="Button 1">
              <controlPr defaultSize="0" print="0" autoFill="0" autoLine="0" autoPict="0" macro="[1]!TAMMI">
                <anchor moveWithCells="1" sizeWithCells="1">
                  <from>
                    <xdr:col>35</xdr:col>
                    <xdr:colOff>0</xdr:colOff>
                    <xdr:row>3</xdr:row>
                    <xdr:rowOff>9525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4" r:id="rId5" name="Button 2">
              <controlPr defaultSize="0" print="0" autoFill="0" autoLine="0" autoPict="0" macro="[1]KTMAKRO!$A$1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5" r:id="rId6" name="Button 3">
              <controlPr defaultSize="0" print="0" autoFill="0" autoLine="0" autoPict="0" macro="[1]!MAALIS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6" r:id="rId7" name="Button 4">
              <controlPr defaultSize="0" print="0" autoFill="0" autoLine="0" autoPict="0" macro="[1]KTMAKRO!$D$1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7" r:id="rId8" name="Button 5">
              <controlPr defaultSize="0" print="0" autoFill="0" autoLine="0" autoPict="0" macro="[1]KTMAKRO!$E$1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8" r:id="rId9" name="Button 6">
              <controlPr defaultSize="0" print="0" autoFill="0" autoLine="0" autoPict="0" macro="[1]!KESÄ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9" r:id="rId10" name="Button 7">
              <controlPr defaultSize="0" print="0" autoFill="0" autoLine="0" autoPict="0" macro="[1]!HELMI">
                <anchor moveWithCells="1" sizeWithCells="1">
                  <from>
                    <xdr:col>35</xdr:col>
                    <xdr:colOff>0</xdr:colOff>
                    <xdr:row>3</xdr:row>
                    <xdr:rowOff>9525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0" r:id="rId11" name="Button 8">
              <controlPr defaultSize="0" print="0" autoFill="0" autoLine="0" autoPict="0" macro="[1]KTMAKRO!$G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1" r:id="rId12" name="Button 9">
              <controlPr defaultSize="0" print="0" autoFill="0" autoLine="0" autoPict="0" macro="[1]KTMAKRO!$I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2" r:id="rId13" name="Button 10">
              <controlPr defaultSize="0" print="0" autoFill="0" autoLine="0" autoPict="0" macro="[1]KTMAKRO!$J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3" r:id="rId14" name="Button 11">
              <controlPr defaultSize="0" print="0" autoFill="0" autoLine="0" autoPict="0" macro="[1]KTMAKRO!$K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4" r:id="rId15" name="Button 12">
              <controlPr defaultSize="0" print="0" autoFill="0" autoLine="0" autoPict="0" macro="[1]KTMAKRO!$L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5" r:id="rId16" name="Button 13">
              <controlPr defaultSize="0" print="0" autoFill="0" autoLine="0" autoPict="0" macro="[1]KTMAKRO!$H$1">
                <anchor moveWithCells="1" sizeWithCells="1">
                  <from>
                    <xdr:col>35</xdr:col>
                    <xdr:colOff>0</xdr:colOff>
                    <xdr:row>5</xdr:row>
                    <xdr:rowOff>0</xdr:rowOff>
                  </from>
                  <to>
                    <xdr:col>35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6" r:id="rId17" name="Button 14">
              <controlPr defaultSize="0" print="0" autoFill="0" autoLine="0" autoPict="0" macro="[1]!Yhteenveto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5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7" r:id="rId18" name="Button 15">
              <controlPr defaultSize="0" print="0" autoFill="0" autoLine="0" autoPict="0" macro="[1]!GRAFIIKKA1">
                <anchor moveWithCells="1" sizeWithCells="1">
                  <from>
                    <xdr:col>35</xdr:col>
                    <xdr:colOff>0</xdr:colOff>
                    <xdr:row>8</xdr:row>
                    <xdr:rowOff>142875</xdr:rowOff>
                  </from>
                  <to>
                    <xdr:col>35</xdr:col>
                    <xdr:colOff>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8" r:id="rId19" name="Button 16">
              <controlPr defaultSize="0" print="0" autoFill="0" autoLine="0" autoPict="0" macro="[1]!Grafiikka2">
                <anchor moveWithCells="1" sizeWithCells="1">
                  <from>
                    <xdr:col>35</xdr:col>
                    <xdr:colOff>0</xdr:colOff>
                    <xdr:row>8</xdr:row>
                    <xdr:rowOff>152400</xdr:rowOff>
                  </from>
                  <to>
                    <xdr:col>35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9" r:id="rId20" name="Button 17">
              <controlPr defaultSize="0" print="0" autoFill="0" autoLine="0" autoPict="0" macro="[1]!Grafiikka4">
                <anchor moveWithCells="1" sizeWithCells="1">
                  <from>
                    <xdr:col>35</xdr:col>
                    <xdr:colOff>0</xdr:colOff>
                    <xdr:row>8</xdr:row>
                    <xdr:rowOff>142875</xdr:rowOff>
                  </from>
                  <to>
                    <xdr:col>35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0" r:id="rId21" name="Button 18">
              <controlPr defaultSize="0" print="0" autoFill="0" autoLine="0" autoPict="0" macro="[1]!Grafiikka4">
                <anchor moveWithCells="1" sizeWithCells="1">
                  <from>
                    <xdr:col>35</xdr:col>
                    <xdr:colOff>0</xdr:colOff>
                    <xdr:row>8</xdr:row>
                    <xdr:rowOff>152400</xdr:rowOff>
                  </from>
                  <to>
                    <xdr:col>35</xdr:col>
                    <xdr:colOff>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1" r:id="rId22" name="Button 19">
              <controlPr defaultSize="0" print="0" autoFill="0" autoLine="0" autoPict="0" macro="[1]!Grafiikka5">
                <anchor moveWithCells="1" sizeWithCells="1">
                  <from>
                    <xdr:col>35</xdr:col>
                    <xdr:colOff>0</xdr:colOff>
                    <xdr:row>8</xdr:row>
                    <xdr:rowOff>152400</xdr:rowOff>
                  </from>
                  <to>
                    <xdr:col>35</xdr:col>
                    <xdr:colOff>0</xdr:colOff>
                    <xdr:row>12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2" r:id="rId23" name="Button 20">
              <controlPr defaultSize="0" print="0" autoFill="0" autoLine="0" autoPict="0" macro="[1]!Perusikkuna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12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/>
  <dimension ref="A1:AJ42"/>
  <sheetViews>
    <sheetView showGridLines="0" zoomScale="80" zoomScaleNormal="80" workbookViewId="0"/>
  </sheetViews>
  <sheetFormatPr defaultColWidth="9.75" defaultRowHeight="12.75" x14ac:dyDescent="0.2"/>
  <cols>
    <col min="1" max="1" width="3.75" style="1" customWidth="1"/>
    <col min="2" max="2" width="2.75" style="1" customWidth="1"/>
    <col min="3" max="4" width="6.125" style="1" customWidth="1"/>
    <col min="5" max="5" width="4" style="1" customWidth="1"/>
    <col min="6" max="6" width="4.5" style="1" customWidth="1"/>
    <col min="7" max="10" width="6.125" style="1" customWidth="1"/>
    <col min="11" max="11" width="5.875" style="1" customWidth="1"/>
    <col min="12" max="13" width="6.125" style="1" customWidth="1"/>
    <col min="14" max="14" width="5.25" style="1" customWidth="1"/>
    <col min="15" max="15" width="4.5" style="1" customWidth="1"/>
    <col min="16" max="16" width="6.125" style="1" customWidth="1"/>
    <col min="17" max="17" width="5.5" style="1" customWidth="1"/>
    <col min="18" max="19" width="6.125" style="1" customWidth="1"/>
    <col min="20" max="20" width="5.875" style="1" customWidth="1"/>
    <col min="21" max="22" width="6.125" style="1" customWidth="1"/>
    <col min="23" max="23" width="4.375" style="1" customWidth="1"/>
    <col min="24" max="24" width="4.25" style="1" customWidth="1"/>
    <col min="25" max="29" width="6.125" style="1" customWidth="1"/>
    <col min="30" max="36" width="15.625" style="1" customWidth="1"/>
  </cols>
  <sheetData>
    <row r="1" spans="1:36" ht="30" customHeight="1" x14ac:dyDescent="0.35">
      <c r="A1" s="22"/>
      <c r="B1" s="4"/>
      <c r="C1" s="105" t="s">
        <v>15</v>
      </c>
      <c r="D1" s="106"/>
      <c r="E1" s="106"/>
      <c r="F1" s="106"/>
      <c r="G1" s="106"/>
      <c r="H1" s="106"/>
      <c r="I1" s="106"/>
      <c r="J1" s="106"/>
      <c r="K1" s="106"/>
      <c r="L1" s="105" t="str">
        <f>Kalenteri!$H$1</f>
        <v>KÄVIJÄTILASTO 2013</v>
      </c>
      <c r="M1" s="107"/>
      <c r="N1" s="107"/>
      <c r="O1" s="107"/>
      <c r="P1" s="106"/>
      <c r="Q1" s="106"/>
      <c r="R1" s="105" t="s">
        <v>63</v>
      </c>
      <c r="S1" s="108"/>
      <c r="T1" s="106"/>
      <c r="U1" s="109"/>
      <c r="V1" s="105" t="s">
        <v>39</v>
      </c>
      <c r="W1" s="109"/>
      <c r="X1" s="106"/>
      <c r="Y1" s="106"/>
      <c r="Z1" s="106"/>
      <c r="AA1" s="106"/>
      <c r="AB1" s="106"/>
      <c r="AC1" s="106"/>
      <c r="AD1" s="110"/>
      <c r="AE1" s="4"/>
      <c r="AF1" s="4"/>
      <c r="AG1" s="4"/>
      <c r="AH1" s="4"/>
      <c r="AI1" s="4"/>
      <c r="AJ1" s="4"/>
    </row>
    <row r="2" spans="1:36" ht="30" customHeight="1" x14ac:dyDescent="0.3">
      <c r="A2" s="3"/>
      <c r="B2" s="4"/>
      <c r="C2" s="72"/>
      <c r="D2" s="73"/>
      <c r="E2" s="74" t="s">
        <v>1</v>
      </c>
      <c r="F2" s="75"/>
      <c r="G2" s="75"/>
      <c r="H2" s="75"/>
      <c r="I2" s="75"/>
      <c r="J2" s="75"/>
      <c r="K2" s="76"/>
      <c r="L2" s="72"/>
      <c r="M2" s="77"/>
      <c r="N2" s="73"/>
      <c r="O2" s="74" t="s">
        <v>2</v>
      </c>
      <c r="P2" s="75"/>
      <c r="Q2" s="75"/>
      <c r="R2" s="75"/>
      <c r="S2" s="75"/>
      <c r="T2" s="76"/>
      <c r="U2" s="72"/>
      <c r="V2" s="75"/>
      <c r="W2" s="73"/>
      <c r="X2" s="74" t="s">
        <v>3</v>
      </c>
      <c r="Y2" s="75"/>
      <c r="Z2" s="75"/>
      <c r="AA2" s="75"/>
      <c r="AB2" s="75"/>
      <c r="AC2" s="76"/>
      <c r="AD2" s="13"/>
      <c r="AE2" s="35"/>
      <c r="AF2" s="69"/>
      <c r="AG2" s="69"/>
      <c r="AH2" s="69"/>
      <c r="AI2" s="69"/>
      <c r="AJ2" s="69"/>
    </row>
    <row r="3" spans="1:36" x14ac:dyDescent="0.2">
      <c r="A3" s="4"/>
      <c r="B3" s="4"/>
      <c r="C3" s="24" t="s">
        <v>4</v>
      </c>
      <c r="D3" s="25"/>
      <c r="E3" s="25"/>
      <c r="F3" s="26"/>
      <c r="G3" s="24" t="s">
        <v>5</v>
      </c>
      <c r="H3" s="26"/>
      <c r="I3" s="25" t="s">
        <v>6</v>
      </c>
      <c r="J3" s="25"/>
      <c r="K3" s="27"/>
      <c r="L3" s="24" t="s">
        <v>4</v>
      </c>
      <c r="M3" s="25"/>
      <c r="N3" s="25"/>
      <c r="O3" s="26"/>
      <c r="P3" s="24" t="s">
        <v>5</v>
      </c>
      <c r="Q3" s="26"/>
      <c r="R3" s="25" t="s">
        <v>6</v>
      </c>
      <c r="S3" s="25"/>
      <c r="T3" s="27"/>
      <c r="U3" s="24" t="s">
        <v>4</v>
      </c>
      <c r="V3" s="25"/>
      <c r="W3" s="25"/>
      <c r="X3" s="26"/>
      <c r="Y3" s="24" t="s">
        <v>5</v>
      </c>
      <c r="Z3" s="26"/>
      <c r="AA3" s="25" t="s">
        <v>6</v>
      </c>
      <c r="AB3" s="25"/>
      <c r="AC3" s="27"/>
      <c r="AD3" s="36" t="s">
        <v>7</v>
      </c>
      <c r="AE3" s="38"/>
      <c r="AF3" s="70"/>
      <c r="AG3" s="70"/>
      <c r="AH3" s="70"/>
      <c r="AI3" s="70"/>
      <c r="AJ3"/>
    </row>
    <row r="4" spans="1:36" x14ac:dyDescent="0.2">
      <c r="A4" s="6"/>
      <c r="B4" s="4"/>
      <c r="C4" s="7" t="s">
        <v>8</v>
      </c>
      <c r="D4" s="8" t="s">
        <v>9</v>
      </c>
      <c r="E4" s="8" t="s">
        <v>10</v>
      </c>
      <c r="F4" s="9" t="s">
        <v>11</v>
      </c>
      <c r="G4" s="7" t="s">
        <v>8</v>
      </c>
      <c r="H4" s="9" t="s">
        <v>9</v>
      </c>
      <c r="I4" s="8" t="s">
        <v>8</v>
      </c>
      <c r="J4" s="8" t="s">
        <v>9</v>
      </c>
      <c r="K4" s="14" t="s">
        <v>0</v>
      </c>
      <c r="L4" s="7" t="s">
        <v>8</v>
      </c>
      <c r="M4" s="8" t="s">
        <v>9</v>
      </c>
      <c r="N4" s="8" t="s">
        <v>10</v>
      </c>
      <c r="O4" s="9" t="s">
        <v>11</v>
      </c>
      <c r="P4" s="7" t="s">
        <v>8</v>
      </c>
      <c r="Q4" s="9" t="s">
        <v>9</v>
      </c>
      <c r="R4" s="8" t="s">
        <v>8</v>
      </c>
      <c r="S4" s="8" t="s">
        <v>9</v>
      </c>
      <c r="T4" s="14" t="s">
        <v>0</v>
      </c>
      <c r="U4" s="7" t="s">
        <v>8</v>
      </c>
      <c r="V4" s="8" t="s">
        <v>9</v>
      </c>
      <c r="W4" s="8" t="s">
        <v>10</v>
      </c>
      <c r="X4" s="9" t="s">
        <v>11</v>
      </c>
      <c r="Y4" s="7" t="s">
        <v>8</v>
      </c>
      <c r="Z4" s="9" t="s">
        <v>9</v>
      </c>
      <c r="AA4" s="8" t="s">
        <v>8</v>
      </c>
      <c r="AB4" s="8" t="s">
        <v>9</v>
      </c>
      <c r="AC4" s="14" t="s">
        <v>0</v>
      </c>
      <c r="AD4" s="28"/>
      <c r="AE4" s="23"/>
      <c r="AF4" s="23"/>
      <c r="AG4" s="23"/>
      <c r="AH4" s="23"/>
      <c r="AI4" s="23"/>
      <c r="AJ4"/>
    </row>
    <row r="5" spans="1:36" x14ac:dyDescent="0.2">
      <c r="A5" s="5">
        <f>DAY(Kalenteri!A32)</f>
        <v>1</v>
      </c>
      <c r="B5" s="3" t="str">
        <f>IF(Kalenteri!B32=1,"su",IF(Kalenteri!B32=2,"ma",IF(Kalenteri!B32=3,"ti",IF(Kalenteri!B32=4,"ke",IF(Kalenteri!B32=5,"to",IF(Kalenteri!B32=6,"pe",IF(Kalenteri!B32=7,"la",)))))))</f>
        <v>pe</v>
      </c>
      <c r="C5" s="78"/>
      <c r="D5" s="15"/>
      <c r="E5" s="15"/>
      <c r="F5" s="16"/>
      <c r="G5" s="78"/>
      <c r="H5" s="16"/>
      <c r="I5" s="78"/>
      <c r="J5" s="16"/>
      <c r="K5" s="32">
        <f t="shared" ref="K5:K36" si="0">SUM(C5:J5)</f>
        <v>0</v>
      </c>
      <c r="L5" s="15"/>
      <c r="M5" s="15"/>
      <c r="N5" s="15"/>
      <c r="O5" s="16"/>
      <c r="P5" s="15"/>
      <c r="Q5" s="16"/>
      <c r="R5" s="29"/>
      <c r="S5" s="29"/>
      <c r="T5" s="32">
        <f t="shared" ref="T5:T36" si="1">SUM(L5:S5)</f>
        <v>0</v>
      </c>
      <c r="U5" s="15"/>
      <c r="V5" s="15"/>
      <c r="W5" s="15"/>
      <c r="X5" s="16"/>
      <c r="Y5" s="15"/>
      <c r="Z5" s="16"/>
      <c r="AA5" s="29"/>
      <c r="AB5" s="29"/>
      <c r="AC5" s="32">
        <f t="shared" ref="AC5:AC36" si="2">SUM(U5:AB5)</f>
        <v>0</v>
      </c>
      <c r="AD5" s="17">
        <f t="shared" ref="AD5:AD36" si="3">SUM(K5,T5,AC5)</f>
        <v>0</v>
      </c>
      <c r="AE5" s="39"/>
      <c r="AF5" s="39"/>
      <c r="AG5" s="39"/>
      <c r="AH5" s="39"/>
      <c r="AI5" s="39"/>
      <c r="AJ5"/>
    </row>
    <row r="6" spans="1:36" x14ac:dyDescent="0.2">
      <c r="A6" s="5">
        <f>DAY(Kalenteri!A33)</f>
        <v>2</v>
      </c>
      <c r="B6" s="3" t="str">
        <f>IF(Kalenteri!B33=1,"su",IF(Kalenteri!B33=2,"ma",IF(Kalenteri!B33=3,"ti",IF(Kalenteri!B33=4,"ke",IF(Kalenteri!B33=5,"to",IF(Kalenteri!B33=6,"pe",IF(Kalenteri!B33=7,"la",)))))))</f>
        <v>la</v>
      </c>
      <c r="C6" s="18" t="s">
        <v>181</v>
      </c>
      <c r="D6" s="10">
        <v>1</v>
      </c>
      <c r="E6" s="10" t="s">
        <v>182</v>
      </c>
      <c r="F6" s="11">
        <v>1</v>
      </c>
      <c r="G6" s="18"/>
      <c r="H6" s="11"/>
      <c r="I6" s="18"/>
      <c r="J6" s="11"/>
      <c r="K6" s="33">
        <f t="shared" si="0"/>
        <v>2</v>
      </c>
      <c r="L6" s="10"/>
      <c r="M6" s="10"/>
      <c r="N6" s="10"/>
      <c r="O6" s="11"/>
      <c r="P6" s="10"/>
      <c r="Q6" s="11"/>
      <c r="R6" s="30"/>
      <c r="S6" s="30"/>
      <c r="T6" s="33">
        <f t="shared" si="1"/>
        <v>0</v>
      </c>
      <c r="U6" s="10"/>
      <c r="V6" s="10"/>
      <c r="W6" s="10"/>
      <c r="X6" s="11"/>
      <c r="Y6" s="10"/>
      <c r="Z6" s="11"/>
      <c r="AA6" s="30"/>
      <c r="AB6" s="30"/>
      <c r="AC6" s="33">
        <f t="shared" si="2"/>
        <v>0</v>
      </c>
      <c r="AD6" s="12">
        <f t="shared" si="3"/>
        <v>2</v>
      </c>
      <c r="AE6" s="39"/>
      <c r="AF6" s="39"/>
      <c r="AG6" s="39"/>
      <c r="AH6" s="39"/>
      <c r="AI6" s="39"/>
      <c r="AJ6"/>
    </row>
    <row r="7" spans="1:36" x14ac:dyDescent="0.2">
      <c r="A7" s="5">
        <f>DAY(Kalenteri!A34)</f>
        <v>3</v>
      </c>
      <c r="B7" s="3" t="str">
        <f>IF(Kalenteri!B34=1,"su",IF(Kalenteri!B34=2,"ma",IF(Kalenteri!B34=3,"ti",IF(Kalenteri!B34=4,"ke",IF(Kalenteri!B34=5,"to",IF(Kalenteri!B34=6,"pe",IF(Kalenteri!B34=7,"la",)))))))</f>
        <v>su</v>
      </c>
      <c r="C7" s="18"/>
      <c r="D7" s="10"/>
      <c r="E7" s="10"/>
      <c r="F7" s="11"/>
      <c r="G7" s="18"/>
      <c r="H7" s="11"/>
      <c r="I7" s="18"/>
      <c r="J7" s="11"/>
      <c r="K7" s="33">
        <f t="shared" si="0"/>
        <v>0</v>
      </c>
      <c r="L7" s="10"/>
      <c r="M7" s="10"/>
      <c r="N7" s="10"/>
      <c r="O7" s="11"/>
      <c r="P7" s="10"/>
      <c r="Q7" s="11"/>
      <c r="R7" s="30"/>
      <c r="S7" s="30"/>
      <c r="T7" s="33">
        <f t="shared" si="1"/>
        <v>0</v>
      </c>
      <c r="U7" s="10"/>
      <c r="V7" s="10"/>
      <c r="W7" s="10"/>
      <c r="X7" s="11"/>
      <c r="Y7" s="10"/>
      <c r="Z7" s="11"/>
      <c r="AA7" s="30"/>
      <c r="AB7" s="30"/>
      <c r="AC7" s="33">
        <f t="shared" si="2"/>
        <v>0</v>
      </c>
      <c r="AD7" s="12">
        <f t="shared" si="3"/>
        <v>0</v>
      </c>
      <c r="AE7" s="39"/>
      <c r="AF7" s="39"/>
      <c r="AG7" s="39"/>
      <c r="AH7" s="39"/>
      <c r="AI7" s="39"/>
      <c r="AJ7"/>
    </row>
    <row r="8" spans="1:36" x14ac:dyDescent="0.2">
      <c r="A8" s="5">
        <f>DAY(Kalenteri!A35)</f>
        <v>4</v>
      </c>
      <c r="B8" s="3" t="str">
        <f>IF(Kalenteri!B35=1,"su",IF(Kalenteri!B35=2,"ma",IF(Kalenteri!B35=3,"ti",IF(Kalenteri!B35=4,"ke",IF(Kalenteri!B35=5,"to",IF(Kalenteri!B35=6,"pe",IF(Kalenteri!B35=7,"la",)))))))</f>
        <v>ma</v>
      </c>
      <c r="C8" s="18" t="s">
        <v>183</v>
      </c>
      <c r="D8" s="10">
        <v>54</v>
      </c>
      <c r="E8" s="10" t="s">
        <v>184</v>
      </c>
      <c r="F8" s="11">
        <v>2</v>
      </c>
      <c r="G8" s="18"/>
      <c r="H8" s="11"/>
      <c r="I8" s="18"/>
      <c r="J8" s="11"/>
      <c r="K8" s="33">
        <f t="shared" si="0"/>
        <v>56</v>
      </c>
      <c r="L8" s="10"/>
      <c r="M8" s="10"/>
      <c r="N8" s="10"/>
      <c r="O8" s="11"/>
      <c r="P8" s="10"/>
      <c r="Q8" s="11"/>
      <c r="R8" s="30"/>
      <c r="S8" s="30"/>
      <c r="T8" s="33">
        <f t="shared" si="1"/>
        <v>0</v>
      </c>
      <c r="U8" s="10"/>
      <c r="V8" s="10"/>
      <c r="W8" s="10"/>
      <c r="X8" s="11"/>
      <c r="Y8" s="10"/>
      <c r="Z8" s="11"/>
      <c r="AA8" s="30"/>
      <c r="AB8" s="30"/>
      <c r="AC8" s="33">
        <f t="shared" si="2"/>
        <v>0</v>
      </c>
      <c r="AD8" s="12">
        <f t="shared" si="3"/>
        <v>56</v>
      </c>
      <c r="AE8" s="39"/>
      <c r="AF8" s="39"/>
      <c r="AG8" s="39"/>
      <c r="AH8" s="39"/>
      <c r="AI8" s="39"/>
      <c r="AJ8"/>
    </row>
    <row r="9" spans="1:36" x14ac:dyDescent="0.2">
      <c r="A9" s="5">
        <f>DAY(Kalenteri!A36)</f>
        <v>5</v>
      </c>
      <c r="B9" s="3" t="str">
        <f>IF(Kalenteri!B36=1,"su",IF(Kalenteri!B36=2,"ma",IF(Kalenteri!B36=3,"ti",IF(Kalenteri!B36=4,"ke",IF(Kalenteri!B36=5,"to",IF(Kalenteri!B36=6,"pe",IF(Kalenteri!B36=7,"la",)))))))</f>
        <v>ti</v>
      </c>
      <c r="C9" s="18"/>
      <c r="D9" s="10"/>
      <c r="E9" s="10"/>
      <c r="F9" s="11"/>
      <c r="G9" s="18"/>
      <c r="H9" s="11"/>
      <c r="I9" s="18"/>
      <c r="J9" s="11"/>
      <c r="K9" s="33">
        <f t="shared" si="0"/>
        <v>0</v>
      </c>
      <c r="L9" s="10"/>
      <c r="M9" s="10"/>
      <c r="N9" s="10"/>
      <c r="O9" s="11"/>
      <c r="P9" s="10"/>
      <c r="Q9" s="11"/>
      <c r="R9" s="30"/>
      <c r="S9" s="30"/>
      <c r="T9" s="33">
        <f t="shared" si="1"/>
        <v>0</v>
      </c>
      <c r="U9" s="10"/>
      <c r="V9" s="10"/>
      <c r="W9" s="10"/>
      <c r="X9" s="11"/>
      <c r="Y9" s="10"/>
      <c r="Z9" s="11"/>
      <c r="AA9" s="30"/>
      <c r="AB9" s="30"/>
      <c r="AC9" s="33">
        <f t="shared" si="2"/>
        <v>0</v>
      </c>
      <c r="AD9" s="12">
        <f t="shared" si="3"/>
        <v>0</v>
      </c>
      <c r="AE9" s="39"/>
      <c r="AF9" s="39"/>
      <c r="AG9" s="39"/>
      <c r="AH9" s="39"/>
      <c r="AI9" s="39"/>
      <c r="AJ9"/>
    </row>
    <row r="10" spans="1:36" x14ac:dyDescent="0.2">
      <c r="A10" s="5">
        <f>DAY(Kalenteri!A37)</f>
        <v>6</v>
      </c>
      <c r="B10" s="3" t="str">
        <f>IF(Kalenteri!B37=1,"su",IF(Kalenteri!B37=2,"ma",IF(Kalenteri!B37=3,"ti",IF(Kalenteri!B37=4,"ke",IF(Kalenteri!B37=5,"to",IF(Kalenteri!B37=6,"pe",IF(Kalenteri!B37=7,"la",)))))))</f>
        <v>ke</v>
      </c>
      <c r="C10" s="18"/>
      <c r="D10" s="10"/>
      <c r="E10" s="10"/>
      <c r="F10" s="11"/>
      <c r="G10" s="18"/>
      <c r="H10" s="11"/>
      <c r="I10" s="18"/>
      <c r="J10" s="11"/>
      <c r="K10" s="33">
        <f t="shared" si="0"/>
        <v>0</v>
      </c>
      <c r="L10" s="10"/>
      <c r="M10" s="10"/>
      <c r="N10" s="10"/>
      <c r="O10" s="11"/>
      <c r="P10" s="10"/>
      <c r="Q10" s="11"/>
      <c r="R10" s="30"/>
      <c r="S10" s="30"/>
      <c r="T10" s="33">
        <f t="shared" si="1"/>
        <v>0</v>
      </c>
      <c r="U10" s="10"/>
      <c r="V10" s="10"/>
      <c r="W10" s="10"/>
      <c r="X10" s="11"/>
      <c r="Y10" s="10"/>
      <c r="Z10" s="11"/>
      <c r="AA10" s="30"/>
      <c r="AB10" s="30"/>
      <c r="AC10" s="33">
        <f t="shared" si="2"/>
        <v>0</v>
      </c>
      <c r="AD10" s="12">
        <f t="shared" si="3"/>
        <v>0</v>
      </c>
      <c r="AE10" s="39"/>
      <c r="AF10" s="39"/>
      <c r="AG10" s="39"/>
      <c r="AH10" s="39"/>
      <c r="AI10" s="39"/>
      <c r="AJ10"/>
    </row>
    <row r="11" spans="1:36" x14ac:dyDescent="0.2">
      <c r="A11" s="5">
        <f>DAY(Kalenteri!A38)</f>
        <v>7</v>
      </c>
      <c r="B11" s="3" t="str">
        <f>IF(Kalenteri!B38=1,"su",IF(Kalenteri!B38=2,"ma",IF(Kalenteri!B38=3,"ti",IF(Kalenteri!B38=4,"ke",IF(Kalenteri!B38=5,"to",IF(Kalenteri!B38=6,"pe",IF(Kalenteri!B38=7,"la",)))))))</f>
        <v>to</v>
      </c>
      <c r="C11" s="18"/>
      <c r="D11" s="10"/>
      <c r="E11" s="10"/>
      <c r="F11" s="11"/>
      <c r="G11" s="18"/>
      <c r="H11" s="11"/>
      <c r="I11" s="18"/>
      <c r="J11" s="11"/>
      <c r="K11" s="33">
        <f t="shared" si="0"/>
        <v>0</v>
      </c>
      <c r="L11" s="10"/>
      <c r="M11" s="10"/>
      <c r="N11" s="10"/>
      <c r="O11" s="11"/>
      <c r="P11" s="10"/>
      <c r="Q11" s="11"/>
      <c r="R11" s="30"/>
      <c r="S11" s="30"/>
      <c r="T11" s="33">
        <f t="shared" si="1"/>
        <v>0</v>
      </c>
      <c r="U11" s="10"/>
      <c r="V11" s="10"/>
      <c r="W11" s="10"/>
      <c r="X11" s="11"/>
      <c r="Y11" s="10"/>
      <c r="Z11" s="11"/>
      <c r="AA11" s="30"/>
      <c r="AB11" s="30"/>
      <c r="AC11" s="33">
        <f t="shared" si="2"/>
        <v>0</v>
      </c>
      <c r="AD11" s="12">
        <f t="shared" si="3"/>
        <v>0</v>
      </c>
      <c r="AE11" s="39"/>
      <c r="AF11" s="39"/>
      <c r="AG11" s="39"/>
      <c r="AH11" s="39"/>
      <c r="AI11" s="39"/>
      <c r="AJ11"/>
    </row>
    <row r="12" spans="1:36" x14ac:dyDescent="0.2">
      <c r="A12" s="5">
        <f>DAY(Kalenteri!A39)</f>
        <v>8</v>
      </c>
      <c r="B12" s="3" t="str">
        <f>IF(Kalenteri!B39=1,"su",IF(Kalenteri!B39=2,"ma",IF(Kalenteri!B39=3,"ti",IF(Kalenteri!B39=4,"ke",IF(Kalenteri!B39=5,"to",IF(Kalenteri!B39=6,"pe",IF(Kalenteri!B39=7,"la",)))))))</f>
        <v>pe</v>
      </c>
      <c r="C12" s="18"/>
      <c r="D12" s="10"/>
      <c r="E12" s="10"/>
      <c r="F12" s="11"/>
      <c r="G12" s="18"/>
      <c r="H12" s="11"/>
      <c r="I12" s="18"/>
      <c r="J12" s="11"/>
      <c r="K12" s="33">
        <f t="shared" si="0"/>
        <v>0</v>
      </c>
      <c r="L12" s="10"/>
      <c r="M12" s="10"/>
      <c r="N12" s="10"/>
      <c r="O12" s="11"/>
      <c r="P12" s="10"/>
      <c r="Q12" s="11"/>
      <c r="R12" s="30"/>
      <c r="S12" s="30"/>
      <c r="T12" s="33">
        <f t="shared" si="1"/>
        <v>0</v>
      </c>
      <c r="U12" s="10"/>
      <c r="V12" s="10"/>
      <c r="W12" s="10"/>
      <c r="X12" s="11"/>
      <c r="Y12" s="10"/>
      <c r="Z12" s="11"/>
      <c r="AA12" s="30"/>
      <c r="AB12" s="30"/>
      <c r="AC12" s="33">
        <f t="shared" si="2"/>
        <v>0</v>
      </c>
      <c r="AD12" s="12">
        <f t="shared" si="3"/>
        <v>0</v>
      </c>
      <c r="AE12" s="39"/>
      <c r="AF12" s="39"/>
      <c r="AG12" s="39"/>
      <c r="AH12" s="39"/>
      <c r="AI12" s="39"/>
      <c r="AJ12"/>
    </row>
    <row r="13" spans="1:36" x14ac:dyDescent="0.2">
      <c r="A13" s="5">
        <f>DAY(Kalenteri!A40)</f>
        <v>9</v>
      </c>
      <c r="B13" s="3" t="str">
        <f>IF(Kalenteri!B40=1,"su",IF(Kalenteri!B40=2,"ma",IF(Kalenteri!B40=3,"ti",IF(Kalenteri!B40=4,"ke",IF(Kalenteri!B40=5,"to",IF(Kalenteri!B40=6,"pe",IF(Kalenteri!B40=7,"la",)))))))</f>
        <v>la</v>
      </c>
      <c r="C13" s="18"/>
      <c r="D13" s="10"/>
      <c r="E13" s="10"/>
      <c r="F13" s="11"/>
      <c r="G13" s="18"/>
      <c r="H13" s="11"/>
      <c r="I13" s="18"/>
      <c r="J13" s="11"/>
      <c r="K13" s="33">
        <f t="shared" si="0"/>
        <v>0</v>
      </c>
      <c r="L13" s="10"/>
      <c r="M13" s="10"/>
      <c r="N13" s="10"/>
      <c r="O13" s="11"/>
      <c r="P13" s="10"/>
      <c r="Q13" s="11"/>
      <c r="R13" s="30"/>
      <c r="S13" s="30"/>
      <c r="T13" s="33">
        <f t="shared" si="1"/>
        <v>0</v>
      </c>
      <c r="U13" s="10"/>
      <c r="V13" s="10"/>
      <c r="W13" s="10"/>
      <c r="X13" s="11"/>
      <c r="Y13" s="10"/>
      <c r="Z13" s="11"/>
      <c r="AA13" s="30"/>
      <c r="AB13" s="30"/>
      <c r="AC13" s="33">
        <f t="shared" si="2"/>
        <v>0</v>
      </c>
      <c r="AD13" s="12">
        <f t="shared" si="3"/>
        <v>0</v>
      </c>
      <c r="AE13" s="39"/>
      <c r="AF13" s="39"/>
      <c r="AG13" s="39"/>
      <c r="AH13" s="39"/>
      <c r="AI13" s="39"/>
      <c r="AJ13"/>
    </row>
    <row r="14" spans="1:36" x14ac:dyDescent="0.2">
      <c r="A14" s="5">
        <f>DAY(Kalenteri!A41)</f>
        <v>10</v>
      </c>
      <c r="B14" s="3" t="str">
        <f>IF(Kalenteri!B41=1,"su",IF(Kalenteri!B41=2,"ma",IF(Kalenteri!B41=3,"ti",IF(Kalenteri!B41=4,"ke",IF(Kalenteri!B41=5,"to",IF(Kalenteri!B41=6,"pe",IF(Kalenteri!B41=7,"la",)))))))</f>
        <v>su</v>
      </c>
      <c r="C14" s="18"/>
      <c r="D14" s="10"/>
      <c r="E14" s="10"/>
      <c r="F14" s="11"/>
      <c r="G14" s="18"/>
      <c r="H14" s="11"/>
      <c r="I14" s="18"/>
      <c r="J14" s="11"/>
      <c r="K14" s="33">
        <f t="shared" si="0"/>
        <v>0</v>
      </c>
      <c r="L14" s="10"/>
      <c r="M14" s="10"/>
      <c r="N14" s="10"/>
      <c r="O14" s="11"/>
      <c r="P14" s="10"/>
      <c r="Q14" s="11"/>
      <c r="R14" s="30"/>
      <c r="S14" s="30"/>
      <c r="T14" s="33">
        <f t="shared" si="1"/>
        <v>0</v>
      </c>
      <c r="U14" s="10"/>
      <c r="V14" s="10"/>
      <c r="W14" s="10"/>
      <c r="X14" s="11"/>
      <c r="Y14" s="10"/>
      <c r="Z14" s="11"/>
      <c r="AA14" s="30"/>
      <c r="AB14" s="30"/>
      <c r="AC14" s="33">
        <f t="shared" si="2"/>
        <v>0</v>
      </c>
      <c r="AD14" s="12">
        <f t="shared" si="3"/>
        <v>0</v>
      </c>
      <c r="AE14" s="39"/>
      <c r="AF14" s="39"/>
      <c r="AG14" s="39"/>
      <c r="AH14" s="39"/>
      <c r="AI14" s="39"/>
      <c r="AJ14"/>
    </row>
    <row r="15" spans="1:36" x14ac:dyDescent="0.2">
      <c r="A15" s="5">
        <f>DAY(Kalenteri!A42)</f>
        <v>11</v>
      </c>
      <c r="B15" s="3" t="str">
        <f>IF(Kalenteri!B42=1,"su",IF(Kalenteri!B42=2,"ma",IF(Kalenteri!B42=3,"ti",IF(Kalenteri!B42=4,"ke",IF(Kalenteri!B42=5,"to",IF(Kalenteri!B42=6,"pe",IF(Kalenteri!B42=7,"la",)))))))</f>
        <v>ma</v>
      </c>
      <c r="C15" s="18" t="s">
        <v>183</v>
      </c>
      <c r="D15" s="10">
        <v>97</v>
      </c>
      <c r="E15" s="10" t="s">
        <v>184</v>
      </c>
      <c r="F15" s="11">
        <v>5</v>
      </c>
      <c r="G15" s="18"/>
      <c r="H15" s="11"/>
      <c r="I15" s="18"/>
      <c r="J15" s="11"/>
      <c r="K15" s="33">
        <f t="shared" si="0"/>
        <v>102</v>
      </c>
      <c r="L15" s="10"/>
      <c r="M15" s="10"/>
      <c r="N15" s="10"/>
      <c r="O15" s="11"/>
      <c r="P15" s="10"/>
      <c r="Q15" s="11"/>
      <c r="R15" s="30"/>
      <c r="S15" s="30"/>
      <c r="T15" s="33">
        <f t="shared" si="1"/>
        <v>0</v>
      </c>
      <c r="U15" s="10"/>
      <c r="V15" s="10"/>
      <c r="W15" s="10"/>
      <c r="X15" s="11"/>
      <c r="Y15" s="10"/>
      <c r="Z15" s="11"/>
      <c r="AA15" s="30"/>
      <c r="AB15" s="30"/>
      <c r="AC15" s="33">
        <f t="shared" si="2"/>
        <v>0</v>
      </c>
      <c r="AD15" s="12">
        <f t="shared" si="3"/>
        <v>102</v>
      </c>
      <c r="AE15" s="39"/>
      <c r="AF15" s="39"/>
      <c r="AG15" s="39"/>
      <c r="AH15" s="39"/>
      <c r="AI15" s="39"/>
      <c r="AJ15"/>
    </row>
    <row r="16" spans="1:36" x14ac:dyDescent="0.2">
      <c r="A16" s="5">
        <f>DAY(Kalenteri!A43)</f>
        <v>12</v>
      </c>
      <c r="B16" s="3" t="str">
        <f>IF(Kalenteri!B43=1,"su",IF(Kalenteri!B43=2,"ma",IF(Kalenteri!B43=3,"ti",IF(Kalenteri!B43=4,"ke",IF(Kalenteri!B43=5,"to",IF(Kalenteri!B43=6,"pe",IF(Kalenteri!B43=7,"la",)))))))</f>
        <v>ti</v>
      </c>
      <c r="C16" s="18"/>
      <c r="D16" s="10"/>
      <c r="E16" s="10"/>
      <c r="F16" s="11"/>
      <c r="G16" s="18"/>
      <c r="H16" s="11"/>
      <c r="I16" s="18"/>
      <c r="J16" s="11"/>
      <c r="K16" s="33">
        <f t="shared" si="0"/>
        <v>0</v>
      </c>
      <c r="L16" s="10"/>
      <c r="M16" s="10"/>
      <c r="N16" s="10"/>
      <c r="O16" s="11"/>
      <c r="P16" s="10"/>
      <c r="Q16" s="11"/>
      <c r="R16" s="30"/>
      <c r="S16" s="30"/>
      <c r="T16" s="33">
        <f t="shared" si="1"/>
        <v>0</v>
      </c>
      <c r="U16" s="10"/>
      <c r="V16" s="10"/>
      <c r="W16" s="10"/>
      <c r="X16" s="11"/>
      <c r="Y16" s="10"/>
      <c r="Z16" s="11"/>
      <c r="AA16" s="30"/>
      <c r="AB16" s="30"/>
      <c r="AC16" s="33">
        <f t="shared" si="2"/>
        <v>0</v>
      </c>
      <c r="AD16" s="12">
        <f t="shared" si="3"/>
        <v>0</v>
      </c>
      <c r="AE16" s="39"/>
      <c r="AF16" s="39"/>
      <c r="AG16" s="39"/>
      <c r="AH16" s="39"/>
      <c r="AI16" s="39"/>
      <c r="AJ16"/>
    </row>
    <row r="17" spans="1:36" x14ac:dyDescent="0.2">
      <c r="A17" s="5">
        <f>DAY(Kalenteri!A44)</f>
        <v>13</v>
      </c>
      <c r="B17" s="3" t="str">
        <f>IF(Kalenteri!B44=1,"su",IF(Kalenteri!B44=2,"ma",IF(Kalenteri!B44=3,"ti",IF(Kalenteri!B44=4,"ke",IF(Kalenteri!B44=5,"to",IF(Kalenteri!B44=6,"pe",IF(Kalenteri!B44=7,"la",)))))))</f>
        <v>ke</v>
      </c>
      <c r="C17" s="18"/>
      <c r="D17" s="10"/>
      <c r="E17" s="10"/>
      <c r="F17" s="11"/>
      <c r="G17" s="18"/>
      <c r="H17" s="11"/>
      <c r="I17" s="18"/>
      <c r="J17" s="11"/>
      <c r="K17" s="33">
        <f t="shared" si="0"/>
        <v>0</v>
      </c>
      <c r="L17" s="10"/>
      <c r="M17" s="10"/>
      <c r="N17" s="10"/>
      <c r="O17" s="11"/>
      <c r="P17" s="10"/>
      <c r="Q17" s="11"/>
      <c r="R17" s="30"/>
      <c r="S17" s="30"/>
      <c r="T17" s="33">
        <f t="shared" si="1"/>
        <v>0</v>
      </c>
      <c r="U17" s="10"/>
      <c r="V17" s="10"/>
      <c r="W17" s="10"/>
      <c r="X17" s="11"/>
      <c r="Y17" s="10"/>
      <c r="Z17" s="11"/>
      <c r="AA17" s="30"/>
      <c r="AB17" s="30"/>
      <c r="AC17" s="33">
        <f t="shared" si="2"/>
        <v>0</v>
      </c>
      <c r="AD17" s="12">
        <f t="shared" si="3"/>
        <v>0</v>
      </c>
      <c r="AE17" s="39"/>
      <c r="AF17" s="39"/>
      <c r="AG17" s="39"/>
      <c r="AH17" s="39"/>
      <c r="AI17" s="39"/>
      <c r="AJ17"/>
    </row>
    <row r="18" spans="1:36" x14ac:dyDescent="0.2">
      <c r="A18" s="5">
        <f>DAY(Kalenteri!A45)</f>
        <v>14</v>
      </c>
      <c r="B18" s="3" t="str">
        <f>IF(Kalenteri!B45=1,"su",IF(Kalenteri!B45=2,"ma",IF(Kalenteri!B45=3,"ti",IF(Kalenteri!B45=4,"ke",IF(Kalenteri!B45=5,"to",IF(Kalenteri!B45=6,"pe",IF(Kalenteri!B45=7,"la",)))))))</f>
        <v>to</v>
      </c>
      <c r="C18" s="18"/>
      <c r="D18" s="10"/>
      <c r="E18" s="10"/>
      <c r="F18" s="11"/>
      <c r="G18" s="18"/>
      <c r="H18" s="11"/>
      <c r="I18" s="18"/>
      <c r="J18" s="11"/>
      <c r="K18" s="33">
        <f t="shared" si="0"/>
        <v>0</v>
      </c>
      <c r="L18" s="10"/>
      <c r="M18" s="10"/>
      <c r="N18" s="10"/>
      <c r="O18" s="11"/>
      <c r="P18" s="10"/>
      <c r="Q18" s="11"/>
      <c r="R18" s="30"/>
      <c r="S18" s="30"/>
      <c r="T18" s="33">
        <f t="shared" si="1"/>
        <v>0</v>
      </c>
      <c r="U18" s="10"/>
      <c r="V18" s="10"/>
      <c r="W18" s="10"/>
      <c r="X18" s="11"/>
      <c r="Y18" s="10"/>
      <c r="Z18" s="11"/>
      <c r="AA18" s="30"/>
      <c r="AB18" s="30"/>
      <c r="AC18" s="33">
        <f t="shared" si="2"/>
        <v>0</v>
      </c>
      <c r="AD18" s="12">
        <f t="shared" si="3"/>
        <v>0</v>
      </c>
      <c r="AE18" s="39"/>
      <c r="AF18" s="39"/>
      <c r="AG18" s="39"/>
      <c r="AH18" s="39"/>
      <c r="AI18" s="39"/>
      <c r="AJ18"/>
    </row>
    <row r="19" spans="1:36" x14ac:dyDescent="0.2">
      <c r="A19" s="5">
        <f>DAY(Kalenteri!A46)</f>
        <v>15</v>
      </c>
      <c r="B19" s="3" t="str">
        <f>IF(Kalenteri!B46=1,"su",IF(Kalenteri!B46=2,"ma",IF(Kalenteri!B46=3,"ti",IF(Kalenteri!B46=4,"ke",IF(Kalenteri!B46=5,"to",IF(Kalenteri!B46=6,"pe",IF(Kalenteri!B46=7,"la",)))))))</f>
        <v>pe</v>
      </c>
      <c r="C19" s="18"/>
      <c r="D19" s="10"/>
      <c r="E19" s="10"/>
      <c r="F19" s="11"/>
      <c r="G19" s="18"/>
      <c r="H19" s="11"/>
      <c r="I19" s="18"/>
      <c r="J19" s="11"/>
      <c r="K19" s="33">
        <f t="shared" si="0"/>
        <v>0</v>
      </c>
      <c r="L19" s="10"/>
      <c r="M19" s="10"/>
      <c r="N19" s="10"/>
      <c r="O19" s="11"/>
      <c r="P19" s="10"/>
      <c r="Q19" s="11"/>
      <c r="R19" s="30"/>
      <c r="S19" s="30"/>
      <c r="T19" s="33">
        <f t="shared" si="1"/>
        <v>0</v>
      </c>
      <c r="U19" s="10"/>
      <c r="V19" s="10"/>
      <c r="W19" s="10"/>
      <c r="X19" s="11"/>
      <c r="Y19" s="10"/>
      <c r="Z19" s="11"/>
      <c r="AA19" s="30"/>
      <c r="AB19" s="30"/>
      <c r="AC19" s="33">
        <f t="shared" si="2"/>
        <v>0</v>
      </c>
      <c r="AD19" s="12">
        <f t="shared" si="3"/>
        <v>0</v>
      </c>
      <c r="AE19" s="39"/>
      <c r="AF19" s="39"/>
      <c r="AG19" s="39"/>
      <c r="AH19" s="39"/>
      <c r="AI19" s="39"/>
      <c r="AJ19"/>
    </row>
    <row r="20" spans="1:36" x14ac:dyDescent="0.2">
      <c r="A20" s="5">
        <f>DAY(Kalenteri!A47)</f>
        <v>16</v>
      </c>
      <c r="B20" s="3" t="str">
        <f>IF(Kalenteri!B47=1,"su",IF(Kalenteri!B47=2,"ma",IF(Kalenteri!B47=3,"ti",IF(Kalenteri!B47=4,"ke",IF(Kalenteri!B47=5,"to",IF(Kalenteri!B47=6,"pe",IF(Kalenteri!B47=7,"la",)))))))</f>
        <v>la</v>
      </c>
      <c r="C20" s="18"/>
      <c r="D20" s="10"/>
      <c r="E20" s="10"/>
      <c r="F20" s="11"/>
      <c r="G20" s="18" t="s">
        <v>185</v>
      </c>
      <c r="H20" s="11"/>
      <c r="I20" s="18"/>
      <c r="J20" s="11"/>
      <c r="K20" s="33">
        <f t="shared" si="0"/>
        <v>0</v>
      </c>
      <c r="L20" s="10"/>
      <c r="M20" s="10"/>
      <c r="N20" s="10"/>
      <c r="O20" s="11"/>
      <c r="P20" s="10"/>
      <c r="Q20" s="11"/>
      <c r="R20" s="30"/>
      <c r="S20" s="30"/>
      <c r="T20" s="33">
        <f t="shared" si="1"/>
        <v>0</v>
      </c>
      <c r="U20" s="10"/>
      <c r="V20" s="10"/>
      <c r="W20" s="10"/>
      <c r="X20" s="11"/>
      <c r="Y20" s="10"/>
      <c r="Z20" s="11"/>
      <c r="AA20" s="30"/>
      <c r="AB20" s="30"/>
      <c r="AC20" s="33">
        <f t="shared" si="2"/>
        <v>0</v>
      </c>
      <c r="AD20" s="12">
        <f t="shared" si="3"/>
        <v>0</v>
      </c>
      <c r="AE20" s="39"/>
      <c r="AF20" s="39"/>
      <c r="AG20" s="39"/>
      <c r="AH20" s="39"/>
      <c r="AI20" s="39"/>
      <c r="AJ20"/>
    </row>
    <row r="21" spans="1:36" x14ac:dyDescent="0.2">
      <c r="A21" s="5">
        <f>DAY(Kalenteri!A48)</f>
        <v>17</v>
      </c>
      <c r="B21" s="3" t="str">
        <f>IF(Kalenteri!B48=1,"su",IF(Kalenteri!B48=2,"ma",IF(Kalenteri!B48=3,"ti",IF(Kalenteri!B48=4,"ke",IF(Kalenteri!B48=5,"to",IF(Kalenteri!B48=6,"pe",IF(Kalenteri!B48=7,"la",)))))))</f>
        <v>su</v>
      </c>
      <c r="C21" s="18"/>
      <c r="D21" s="10"/>
      <c r="E21" s="10"/>
      <c r="F21" s="11"/>
      <c r="G21" s="18" t="s">
        <v>186</v>
      </c>
      <c r="H21" s="11"/>
      <c r="I21" s="18"/>
      <c r="J21" s="11"/>
      <c r="K21" s="33">
        <f t="shared" si="0"/>
        <v>0</v>
      </c>
      <c r="L21" s="10"/>
      <c r="M21" s="10"/>
      <c r="N21" s="10"/>
      <c r="O21" s="11"/>
      <c r="P21" s="10"/>
      <c r="Q21" s="11"/>
      <c r="R21" s="30"/>
      <c r="S21" s="30"/>
      <c r="T21" s="33">
        <f t="shared" si="1"/>
        <v>0</v>
      </c>
      <c r="U21" s="10"/>
      <c r="V21" s="10"/>
      <c r="W21" s="10"/>
      <c r="X21" s="11"/>
      <c r="Y21" s="10"/>
      <c r="Z21" s="11"/>
      <c r="AA21" s="30"/>
      <c r="AB21" s="30"/>
      <c r="AC21" s="33">
        <f t="shared" si="2"/>
        <v>0</v>
      </c>
      <c r="AD21" s="12">
        <f t="shared" si="3"/>
        <v>0</v>
      </c>
      <c r="AE21" s="39"/>
      <c r="AF21" s="39"/>
      <c r="AG21" s="39"/>
      <c r="AH21" s="39"/>
      <c r="AI21" s="39"/>
      <c r="AJ21"/>
    </row>
    <row r="22" spans="1:36" x14ac:dyDescent="0.2">
      <c r="A22" s="5">
        <f>DAY(Kalenteri!A49)</f>
        <v>18</v>
      </c>
      <c r="B22" s="3" t="str">
        <f>IF(Kalenteri!B49=1,"su",IF(Kalenteri!B49=2,"ma",IF(Kalenteri!B49=3,"ti",IF(Kalenteri!B49=4,"ke",IF(Kalenteri!B49=5,"to",IF(Kalenteri!B49=6,"pe",IF(Kalenteri!B49=7,"la",)))))))</f>
        <v>ma</v>
      </c>
      <c r="C22" s="18" t="s">
        <v>183</v>
      </c>
      <c r="D22" s="10">
        <v>161</v>
      </c>
      <c r="E22" s="10" t="s">
        <v>184</v>
      </c>
      <c r="F22" s="11">
        <v>108</v>
      </c>
      <c r="G22" s="18"/>
      <c r="H22" s="11" t="s">
        <v>187</v>
      </c>
      <c r="I22" s="18">
        <v>18</v>
      </c>
      <c r="J22" s="11">
        <v>27</v>
      </c>
      <c r="K22" s="33">
        <f t="shared" si="0"/>
        <v>314</v>
      </c>
      <c r="L22" s="10"/>
      <c r="M22" s="10"/>
      <c r="N22" s="10"/>
      <c r="O22" s="11"/>
      <c r="P22" s="10"/>
      <c r="Q22" s="11"/>
      <c r="R22" s="30"/>
      <c r="S22" s="30"/>
      <c r="T22" s="33">
        <f t="shared" si="1"/>
        <v>0</v>
      </c>
      <c r="U22" s="10"/>
      <c r="V22" s="10"/>
      <c r="W22" s="10"/>
      <c r="X22" s="11"/>
      <c r="Y22" s="10"/>
      <c r="Z22" s="11"/>
      <c r="AA22" s="30"/>
      <c r="AB22" s="30"/>
      <c r="AC22" s="33">
        <f t="shared" si="2"/>
        <v>0</v>
      </c>
      <c r="AD22" s="12">
        <f t="shared" si="3"/>
        <v>314</v>
      </c>
      <c r="AE22" s="39"/>
      <c r="AF22" s="39"/>
      <c r="AG22" s="39"/>
      <c r="AH22" s="39"/>
      <c r="AI22" s="39"/>
      <c r="AJ22"/>
    </row>
    <row r="23" spans="1:36" x14ac:dyDescent="0.2">
      <c r="A23" s="5">
        <f>DAY(Kalenteri!A50)</f>
        <v>19</v>
      </c>
      <c r="B23" s="3" t="str">
        <f>IF(Kalenteri!B50=1,"su",IF(Kalenteri!B50=2,"ma",IF(Kalenteri!B50=3,"ti",IF(Kalenteri!B50=4,"ke",IF(Kalenteri!B50=5,"to",IF(Kalenteri!B50=6,"pe",IF(Kalenteri!B50=7,"la",)))))))</f>
        <v>ti</v>
      </c>
      <c r="C23" s="18"/>
      <c r="D23" s="10"/>
      <c r="E23" s="10"/>
      <c r="F23" s="11"/>
      <c r="G23" s="18"/>
      <c r="H23" s="11"/>
      <c r="I23" s="18"/>
      <c r="J23" s="11"/>
      <c r="K23" s="33">
        <f t="shared" si="0"/>
        <v>0</v>
      </c>
      <c r="L23" s="10"/>
      <c r="M23" s="10"/>
      <c r="N23" s="10"/>
      <c r="O23" s="11"/>
      <c r="P23" s="10"/>
      <c r="Q23" s="11"/>
      <c r="R23" s="30"/>
      <c r="S23" s="30"/>
      <c r="T23" s="33">
        <f t="shared" si="1"/>
        <v>0</v>
      </c>
      <c r="U23" s="10"/>
      <c r="V23" s="10"/>
      <c r="W23" s="10"/>
      <c r="X23" s="11"/>
      <c r="Y23" s="10"/>
      <c r="Z23" s="11"/>
      <c r="AA23" s="30"/>
      <c r="AB23" s="30"/>
      <c r="AC23" s="33">
        <f t="shared" si="2"/>
        <v>0</v>
      </c>
      <c r="AD23" s="12">
        <f t="shared" si="3"/>
        <v>0</v>
      </c>
      <c r="AE23" s="39"/>
      <c r="AF23" s="39"/>
      <c r="AG23" s="39"/>
      <c r="AH23" s="39"/>
      <c r="AI23" s="39"/>
      <c r="AJ23"/>
    </row>
    <row r="24" spans="1:36" x14ac:dyDescent="0.2">
      <c r="A24" s="5">
        <f>DAY(Kalenteri!A51)</f>
        <v>20</v>
      </c>
      <c r="B24" s="3" t="str">
        <f>IF(Kalenteri!B51=1,"su",IF(Kalenteri!B51=2,"ma",IF(Kalenteri!B51=3,"ti",IF(Kalenteri!B51=4,"ke",IF(Kalenteri!B51=5,"to",IF(Kalenteri!B51=6,"pe",IF(Kalenteri!B51=7,"la",)))))))</f>
        <v>ke</v>
      </c>
      <c r="C24" s="18" t="s">
        <v>188</v>
      </c>
      <c r="D24" s="10"/>
      <c r="E24" s="10"/>
      <c r="F24" s="11">
        <v>1</v>
      </c>
      <c r="G24" s="18"/>
      <c r="H24" s="11"/>
      <c r="I24" s="18"/>
      <c r="J24" s="11"/>
      <c r="K24" s="33">
        <f t="shared" si="0"/>
        <v>1</v>
      </c>
      <c r="L24" s="10"/>
      <c r="M24" s="10"/>
      <c r="N24" s="10"/>
      <c r="O24" s="11"/>
      <c r="P24" s="10"/>
      <c r="Q24" s="11"/>
      <c r="R24" s="30"/>
      <c r="S24" s="30"/>
      <c r="T24" s="33">
        <f t="shared" si="1"/>
        <v>0</v>
      </c>
      <c r="U24" s="10"/>
      <c r="V24" s="10"/>
      <c r="W24" s="10"/>
      <c r="X24" s="11"/>
      <c r="Y24" s="10"/>
      <c r="Z24" s="11"/>
      <c r="AA24" s="30"/>
      <c r="AB24" s="30"/>
      <c r="AC24" s="33">
        <f t="shared" si="2"/>
        <v>0</v>
      </c>
      <c r="AD24" s="12">
        <f t="shared" si="3"/>
        <v>1</v>
      </c>
      <c r="AE24" s="39"/>
      <c r="AF24" s="39"/>
      <c r="AG24" s="39"/>
      <c r="AH24" s="39"/>
      <c r="AI24" s="39"/>
      <c r="AJ24" s="39"/>
    </row>
    <row r="25" spans="1:36" x14ac:dyDescent="0.2">
      <c r="A25" s="5">
        <f>DAY(Kalenteri!A52)</f>
        <v>21</v>
      </c>
      <c r="B25" s="3" t="str">
        <f>IF(Kalenteri!B52=1,"su",IF(Kalenteri!B52=2,"ma",IF(Kalenteri!B52=3,"ti",IF(Kalenteri!B52=4,"ke",IF(Kalenteri!B52=5,"to",IF(Kalenteri!B52=6,"pe",IF(Kalenteri!B52=7,"la",)))))))</f>
        <v>to</v>
      </c>
      <c r="C25" s="18"/>
      <c r="D25" s="10"/>
      <c r="E25" s="10"/>
      <c r="F25" s="11"/>
      <c r="G25" s="18"/>
      <c r="H25" s="11"/>
      <c r="I25" s="18"/>
      <c r="J25" s="11"/>
      <c r="K25" s="33">
        <f t="shared" si="0"/>
        <v>0</v>
      </c>
      <c r="L25" s="10"/>
      <c r="M25" s="10"/>
      <c r="N25" s="10"/>
      <c r="O25" s="11"/>
      <c r="P25" s="10"/>
      <c r="Q25" s="11"/>
      <c r="R25" s="30"/>
      <c r="S25" s="30"/>
      <c r="T25" s="33">
        <f t="shared" si="1"/>
        <v>0</v>
      </c>
      <c r="U25" s="10"/>
      <c r="V25" s="10"/>
      <c r="W25" s="10"/>
      <c r="X25" s="11"/>
      <c r="Y25" s="10"/>
      <c r="Z25" s="11"/>
      <c r="AA25" s="30"/>
      <c r="AB25" s="30"/>
      <c r="AC25" s="33">
        <f t="shared" si="2"/>
        <v>0</v>
      </c>
      <c r="AD25" s="12">
        <f t="shared" si="3"/>
        <v>0</v>
      </c>
      <c r="AE25" s="39"/>
      <c r="AF25" s="39"/>
      <c r="AG25" s="39"/>
      <c r="AH25" s="39"/>
      <c r="AI25" s="39"/>
      <c r="AJ25" s="39"/>
    </row>
    <row r="26" spans="1:36" x14ac:dyDescent="0.2">
      <c r="A26" s="5">
        <f>DAY(Kalenteri!A53)</f>
        <v>22</v>
      </c>
      <c r="B26" s="3" t="str">
        <f>IF(Kalenteri!B53=1,"su",IF(Kalenteri!B53=2,"ma",IF(Kalenteri!B53=3,"ti",IF(Kalenteri!B53=4,"ke",IF(Kalenteri!B53=5,"to",IF(Kalenteri!B53=6,"pe",IF(Kalenteri!B53=7,"la",)))))))</f>
        <v>pe</v>
      </c>
      <c r="C26" s="18"/>
      <c r="D26" s="10"/>
      <c r="E26" s="10"/>
      <c r="F26" s="11"/>
      <c r="G26" s="18"/>
      <c r="H26" s="11"/>
      <c r="I26" s="18"/>
      <c r="J26" s="11"/>
      <c r="K26" s="33">
        <f t="shared" si="0"/>
        <v>0</v>
      </c>
      <c r="L26" s="10"/>
      <c r="M26" s="10"/>
      <c r="N26" s="10"/>
      <c r="O26" s="11"/>
      <c r="P26" s="10"/>
      <c r="Q26" s="11"/>
      <c r="R26" s="30"/>
      <c r="S26" s="30"/>
      <c r="T26" s="33">
        <f t="shared" si="1"/>
        <v>0</v>
      </c>
      <c r="U26" s="10"/>
      <c r="V26" s="10"/>
      <c r="W26" s="10"/>
      <c r="X26" s="11"/>
      <c r="Y26" s="10"/>
      <c r="Z26" s="11"/>
      <c r="AA26" s="30"/>
      <c r="AB26" s="30"/>
      <c r="AC26" s="33">
        <f t="shared" si="2"/>
        <v>0</v>
      </c>
      <c r="AD26" s="12">
        <f t="shared" si="3"/>
        <v>0</v>
      </c>
      <c r="AE26" s="39"/>
      <c r="AF26" s="39"/>
      <c r="AG26" s="39"/>
      <c r="AH26" s="39"/>
      <c r="AI26" s="39"/>
      <c r="AJ26" s="39"/>
    </row>
    <row r="27" spans="1:36" x14ac:dyDescent="0.2">
      <c r="A27" s="5">
        <f>DAY(Kalenteri!A54)</f>
        <v>23</v>
      </c>
      <c r="B27" s="3" t="str">
        <f>IF(Kalenteri!B54=1,"su",IF(Kalenteri!B54=2,"ma",IF(Kalenteri!B54=3,"ti",IF(Kalenteri!B54=4,"ke",IF(Kalenteri!B54=5,"to",IF(Kalenteri!B54=6,"pe",IF(Kalenteri!B54=7,"la",)))))))</f>
        <v>la</v>
      </c>
      <c r="C27" s="18"/>
      <c r="D27" s="10"/>
      <c r="E27" s="10"/>
      <c r="F27" s="11"/>
      <c r="G27" s="18"/>
      <c r="H27" s="11"/>
      <c r="I27" s="18"/>
      <c r="J27" s="11"/>
      <c r="K27" s="33">
        <f t="shared" si="0"/>
        <v>0</v>
      </c>
      <c r="L27" s="10"/>
      <c r="M27" s="10"/>
      <c r="N27" s="10"/>
      <c r="O27" s="11"/>
      <c r="P27" s="10"/>
      <c r="Q27" s="11"/>
      <c r="R27" s="30"/>
      <c r="S27" s="30"/>
      <c r="T27" s="33">
        <f t="shared" si="1"/>
        <v>0</v>
      </c>
      <c r="U27" s="10"/>
      <c r="V27" s="10"/>
      <c r="W27" s="10"/>
      <c r="X27" s="11"/>
      <c r="Y27" s="10"/>
      <c r="Z27" s="11"/>
      <c r="AA27" s="30"/>
      <c r="AB27" s="30"/>
      <c r="AC27" s="33">
        <f t="shared" si="2"/>
        <v>0</v>
      </c>
      <c r="AD27" s="12">
        <f t="shared" si="3"/>
        <v>0</v>
      </c>
      <c r="AE27" s="39"/>
      <c r="AF27" s="39"/>
      <c r="AG27" s="39"/>
      <c r="AH27" s="39"/>
      <c r="AI27" s="39"/>
      <c r="AJ27" s="39"/>
    </row>
    <row r="28" spans="1:36" x14ac:dyDescent="0.2">
      <c r="A28" s="5">
        <f>DAY(Kalenteri!A55)</f>
        <v>24</v>
      </c>
      <c r="B28" s="3" t="str">
        <f>IF(Kalenteri!B55=1,"su",IF(Kalenteri!B55=2,"ma",IF(Kalenteri!B55=3,"ti",IF(Kalenteri!B55=4,"ke",IF(Kalenteri!B55=5,"to",IF(Kalenteri!B55=6,"pe",IF(Kalenteri!B55=7,"la",)))))))</f>
        <v>su</v>
      </c>
      <c r="C28" s="18"/>
      <c r="D28" s="10"/>
      <c r="E28" s="10"/>
      <c r="F28" s="11"/>
      <c r="G28" s="18"/>
      <c r="H28" s="11"/>
      <c r="I28" s="18"/>
      <c r="J28" s="11"/>
      <c r="K28" s="33">
        <f t="shared" si="0"/>
        <v>0</v>
      </c>
      <c r="L28" s="10"/>
      <c r="M28" s="10"/>
      <c r="N28" s="10"/>
      <c r="O28" s="11"/>
      <c r="P28" s="10"/>
      <c r="Q28" s="11"/>
      <c r="R28" s="30"/>
      <c r="S28" s="30"/>
      <c r="T28" s="33">
        <f t="shared" si="1"/>
        <v>0</v>
      </c>
      <c r="U28" s="10"/>
      <c r="V28" s="10"/>
      <c r="W28" s="10"/>
      <c r="X28" s="11"/>
      <c r="Y28" s="10"/>
      <c r="Z28" s="11"/>
      <c r="AA28" s="30"/>
      <c r="AB28" s="30"/>
      <c r="AC28" s="33">
        <f t="shared" si="2"/>
        <v>0</v>
      </c>
      <c r="AD28" s="12">
        <f t="shared" si="3"/>
        <v>0</v>
      </c>
      <c r="AE28" s="39"/>
      <c r="AF28" s="39"/>
      <c r="AG28" s="39"/>
      <c r="AH28" s="39"/>
      <c r="AI28" s="39"/>
      <c r="AJ28" s="39"/>
    </row>
    <row r="29" spans="1:36" x14ac:dyDescent="0.2">
      <c r="A29" s="5">
        <f>DAY(Kalenteri!A56)</f>
        <v>25</v>
      </c>
      <c r="B29" s="3" t="str">
        <f>IF(Kalenteri!B56=1,"su",IF(Kalenteri!B56=2,"ma",IF(Kalenteri!B56=3,"ti",IF(Kalenteri!B56=4,"ke",IF(Kalenteri!B56=5,"to",IF(Kalenteri!B56=6,"pe",IF(Kalenteri!B56=7,"la",)))))))</f>
        <v>ma</v>
      </c>
      <c r="C29" s="18">
        <v>140</v>
      </c>
      <c r="D29" s="10">
        <v>64</v>
      </c>
      <c r="E29" s="10"/>
      <c r="F29" s="11" t="s">
        <v>189</v>
      </c>
      <c r="G29" s="18"/>
      <c r="H29" s="11"/>
      <c r="I29" s="18"/>
      <c r="J29" s="11"/>
      <c r="K29" s="33">
        <f t="shared" si="0"/>
        <v>204</v>
      </c>
      <c r="L29" s="10"/>
      <c r="M29" s="10"/>
      <c r="N29" s="10"/>
      <c r="O29" s="11"/>
      <c r="P29" s="10"/>
      <c r="Q29" s="11"/>
      <c r="R29" s="30"/>
      <c r="S29" s="30"/>
      <c r="T29" s="33">
        <f t="shared" si="1"/>
        <v>0</v>
      </c>
      <c r="U29" s="10"/>
      <c r="V29" s="10"/>
      <c r="W29" s="10"/>
      <c r="X29" s="11"/>
      <c r="Y29" s="10"/>
      <c r="Z29" s="11"/>
      <c r="AA29" s="30"/>
      <c r="AB29" s="30"/>
      <c r="AC29" s="33">
        <f t="shared" si="2"/>
        <v>0</v>
      </c>
      <c r="AD29" s="12">
        <f t="shared" si="3"/>
        <v>204</v>
      </c>
      <c r="AE29" s="39"/>
      <c r="AF29" s="39"/>
      <c r="AG29" s="39"/>
      <c r="AH29" s="39"/>
      <c r="AI29" s="39"/>
      <c r="AJ29" s="39"/>
    </row>
    <row r="30" spans="1:36" x14ac:dyDescent="0.2">
      <c r="A30" s="5">
        <f>DAY(Kalenteri!A57)</f>
        <v>26</v>
      </c>
      <c r="B30" s="3" t="str">
        <f>IF(Kalenteri!B57=1,"su",IF(Kalenteri!B57=2,"ma",IF(Kalenteri!B57=3,"ti",IF(Kalenteri!B57=4,"ke",IF(Kalenteri!B57=5,"to",IF(Kalenteri!B57=6,"pe",IF(Kalenteri!B57=7,"la",)))))))</f>
        <v>ti</v>
      </c>
      <c r="C30" s="18"/>
      <c r="D30" s="10"/>
      <c r="E30" s="10"/>
      <c r="F30" s="11"/>
      <c r="G30" s="18"/>
      <c r="H30" s="11"/>
      <c r="I30" s="18"/>
      <c r="J30" s="11"/>
      <c r="K30" s="33">
        <f t="shared" si="0"/>
        <v>0</v>
      </c>
      <c r="L30" s="10"/>
      <c r="M30" s="10"/>
      <c r="N30" s="10"/>
      <c r="O30" s="11"/>
      <c r="P30" s="10"/>
      <c r="Q30" s="11"/>
      <c r="R30" s="30"/>
      <c r="S30" s="30"/>
      <c r="T30" s="33">
        <f t="shared" si="1"/>
        <v>0</v>
      </c>
      <c r="U30" s="10"/>
      <c r="V30" s="10"/>
      <c r="W30" s="10"/>
      <c r="X30" s="11"/>
      <c r="Y30" s="10"/>
      <c r="Z30" s="11"/>
      <c r="AA30" s="30"/>
      <c r="AB30" s="30"/>
      <c r="AC30" s="33">
        <f t="shared" si="2"/>
        <v>0</v>
      </c>
      <c r="AD30" s="12">
        <f t="shared" si="3"/>
        <v>0</v>
      </c>
      <c r="AE30" s="39"/>
      <c r="AF30" s="39"/>
      <c r="AG30" s="39"/>
      <c r="AH30" s="39"/>
      <c r="AI30" s="39"/>
      <c r="AJ30" s="39"/>
    </row>
    <row r="31" spans="1:36" x14ac:dyDescent="0.2">
      <c r="A31" s="5">
        <f>DAY(Kalenteri!A58)</f>
        <v>27</v>
      </c>
      <c r="B31" s="3" t="str">
        <f>IF(Kalenteri!B58=1,"su",IF(Kalenteri!B58=2,"ma",IF(Kalenteri!B58=3,"ti",IF(Kalenteri!B58=4,"ke",IF(Kalenteri!B58=5,"to",IF(Kalenteri!B58=6,"pe",IF(Kalenteri!B58=7,"la",)))))))</f>
        <v>ke</v>
      </c>
      <c r="C31" s="18"/>
      <c r="D31" s="10"/>
      <c r="E31" s="10"/>
      <c r="F31" s="11"/>
      <c r="G31" s="18"/>
      <c r="H31" s="11"/>
      <c r="I31" s="18"/>
      <c r="J31" s="11"/>
      <c r="K31" s="33">
        <f t="shared" si="0"/>
        <v>0</v>
      </c>
      <c r="L31" s="10"/>
      <c r="M31" s="10"/>
      <c r="N31" s="10"/>
      <c r="O31" s="11"/>
      <c r="P31" s="10"/>
      <c r="Q31" s="11"/>
      <c r="R31" s="30"/>
      <c r="S31" s="30"/>
      <c r="T31" s="33">
        <f t="shared" si="1"/>
        <v>0</v>
      </c>
      <c r="U31" s="10"/>
      <c r="V31" s="10"/>
      <c r="W31" s="10"/>
      <c r="X31" s="11"/>
      <c r="Y31" s="10"/>
      <c r="Z31" s="11"/>
      <c r="AA31" s="30"/>
      <c r="AB31" s="30"/>
      <c r="AC31" s="33">
        <f t="shared" si="2"/>
        <v>0</v>
      </c>
      <c r="AD31" s="12">
        <f t="shared" si="3"/>
        <v>0</v>
      </c>
      <c r="AE31" s="39"/>
      <c r="AF31" s="39"/>
      <c r="AG31" s="39"/>
      <c r="AH31" s="39"/>
      <c r="AI31" s="39"/>
      <c r="AJ31" s="39"/>
    </row>
    <row r="32" spans="1:36" x14ac:dyDescent="0.2">
      <c r="A32" s="5">
        <f>DAY(Kalenteri!A59)</f>
        <v>28</v>
      </c>
      <c r="B32" s="3" t="str">
        <f>IF(Kalenteri!B59=1,"su",IF(Kalenteri!B59=2,"ma",IF(Kalenteri!B59=3,"ti",IF(Kalenteri!B59=4,"ke",IF(Kalenteri!B59=5,"to",IF(Kalenteri!B59=6,"pe",IF(Kalenteri!B59=7,"la",)))))))</f>
        <v>to</v>
      </c>
      <c r="C32" s="18"/>
      <c r="D32" s="10"/>
      <c r="E32" s="10"/>
      <c r="F32" s="11"/>
      <c r="G32" s="18"/>
      <c r="H32" s="11"/>
      <c r="I32" s="18"/>
      <c r="J32" s="11"/>
      <c r="K32" s="33">
        <f t="shared" si="0"/>
        <v>0</v>
      </c>
      <c r="L32" s="10"/>
      <c r="M32" s="10"/>
      <c r="N32" s="10"/>
      <c r="O32" s="11"/>
      <c r="P32" s="10"/>
      <c r="Q32" s="11"/>
      <c r="R32" s="30"/>
      <c r="S32" s="30"/>
      <c r="T32" s="33">
        <f t="shared" si="1"/>
        <v>0</v>
      </c>
      <c r="U32" s="10"/>
      <c r="V32" s="10"/>
      <c r="W32" s="10"/>
      <c r="X32" s="11"/>
      <c r="Y32" s="10"/>
      <c r="Z32" s="11"/>
      <c r="AA32" s="30"/>
      <c r="AB32" s="30"/>
      <c r="AC32" s="33">
        <f t="shared" si="2"/>
        <v>0</v>
      </c>
      <c r="AD32" s="12">
        <f t="shared" si="3"/>
        <v>0</v>
      </c>
      <c r="AE32" s="39"/>
      <c r="AF32" s="39"/>
      <c r="AG32" s="39"/>
      <c r="AH32" s="39"/>
      <c r="AI32" s="39"/>
      <c r="AJ32" s="39"/>
    </row>
    <row r="33" spans="1:36" x14ac:dyDescent="0.2">
      <c r="A33" s="5"/>
      <c r="B33" s="5"/>
      <c r="C33" s="18"/>
      <c r="D33" s="10"/>
      <c r="E33" s="10"/>
      <c r="F33" s="11"/>
      <c r="G33" s="18"/>
      <c r="H33" s="11"/>
      <c r="I33" s="18"/>
      <c r="J33" s="11"/>
      <c r="K33" s="33">
        <f t="shared" si="0"/>
        <v>0</v>
      </c>
      <c r="L33" s="10"/>
      <c r="M33" s="10"/>
      <c r="N33" s="10"/>
      <c r="O33" s="11"/>
      <c r="P33" s="10"/>
      <c r="Q33" s="11"/>
      <c r="R33" s="30"/>
      <c r="S33" s="30"/>
      <c r="T33" s="33">
        <f t="shared" si="1"/>
        <v>0</v>
      </c>
      <c r="U33" s="10"/>
      <c r="V33" s="10"/>
      <c r="W33" s="10"/>
      <c r="X33" s="11"/>
      <c r="Y33" s="10"/>
      <c r="Z33" s="11"/>
      <c r="AA33" s="30"/>
      <c r="AB33" s="30"/>
      <c r="AC33" s="33">
        <f t="shared" si="2"/>
        <v>0</v>
      </c>
      <c r="AD33" s="12">
        <f t="shared" si="3"/>
        <v>0</v>
      </c>
      <c r="AE33" s="39"/>
      <c r="AF33" s="39"/>
      <c r="AG33" s="39"/>
      <c r="AH33" s="39"/>
      <c r="AI33" s="39"/>
      <c r="AJ33" s="39"/>
    </row>
    <row r="34" spans="1:36" x14ac:dyDescent="0.2">
      <c r="A34" s="5"/>
      <c r="B34" s="3"/>
      <c r="C34" s="18"/>
      <c r="D34" s="10"/>
      <c r="E34" s="10"/>
      <c r="F34" s="11"/>
      <c r="G34" s="18"/>
      <c r="H34" s="11"/>
      <c r="I34" s="18"/>
      <c r="J34" s="11"/>
      <c r="K34" s="33">
        <f t="shared" si="0"/>
        <v>0</v>
      </c>
      <c r="L34" s="10"/>
      <c r="M34" s="10"/>
      <c r="N34" s="10"/>
      <c r="O34" s="11"/>
      <c r="P34" s="10"/>
      <c r="Q34" s="11"/>
      <c r="R34" s="30"/>
      <c r="S34" s="30"/>
      <c r="T34" s="33">
        <f t="shared" si="1"/>
        <v>0</v>
      </c>
      <c r="U34" s="10"/>
      <c r="V34" s="10"/>
      <c r="W34" s="10"/>
      <c r="X34" s="11"/>
      <c r="Y34" s="10"/>
      <c r="Z34" s="11"/>
      <c r="AA34" s="30"/>
      <c r="AB34" s="30"/>
      <c r="AC34" s="33">
        <f t="shared" si="2"/>
        <v>0</v>
      </c>
      <c r="AD34" s="12">
        <f t="shared" si="3"/>
        <v>0</v>
      </c>
      <c r="AE34" s="39"/>
      <c r="AF34" s="39"/>
      <c r="AG34" s="39"/>
      <c r="AH34" s="39"/>
      <c r="AI34" s="39"/>
      <c r="AJ34" s="39"/>
    </row>
    <row r="35" spans="1:36" x14ac:dyDescent="0.2">
      <c r="A35" s="5"/>
      <c r="B35" s="3"/>
      <c r="C35" s="79"/>
      <c r="D35" s="80"/>
      <c r="E35" s="80"/>
      <c r="F35" s="81"/>
      <c r="G35" s="79"/>
      <c r="H35" s="81"/>
      <c r="I35" s="79"/>
      <c r="J35" s="81"/>
      <c r="K35" s="34">
        <f t="shared" si="0"/>
        <v>0</v>
      </c>
      <c r="L35" s="20"/>
      <c r="M35" s="20"/>
      <c r="N35" s="20"/>
      <c r="O35" s="21"/>
      <c r="P35" s="20"/>
      <c r="Q35" s="21"/>
      <c r="R35" s="31"/>
      <c r="S35" s="31"/>
      <c r="T35" s="34">
        <f t="shared" si="1"/>
        <v>0</v>
      </c>
      <c r="U35" s="20"/>
      <c r="V35" s="20"/>
      <c r="W35" s="20"/>
      <c r="X35" s="21"/>
      <c r="Y35" s="20"/>
      <c r="Z35" s="21"/>
      <c r="AA35" s="31"/>
      <c r="AB35" s="31"/>
      <c r="AC35" s="34">
        <f t="shared" si="2"/>
        <v>0</v>
      </c>
      <c r="AD35" s="19">
        <f t="shared" si="3"/>
        <v>0</v>
      </c>
      <c r="AE35" s="39"/>
      <c r="AF35" s="39"/>
      <c r="AG35" s="39"/>
      <c r="AH35" s="39"/>
      <c r="AI35" s="39"/>
      <c r="AJ35" s="39"/>
    </row>
    <row r="36" spans="1:36" x14ac:dyDescent="0.2">
      <c r="A36" s="6"/>
      <c r="B36"/>
      <c r="C36" s="82">
        <f t="shared" ref="C36:J36" si="4">SUM(C5:C35)</f>
        <v>140</v>
      </c>
      <c r="D36" s="83">
        <f t="shared" si="4"/>
        <v>377</v>
      </c>
      <c r="E36" s="83">
        <f t="shared" si="4"/>
        <v>0</v>
      </c>
      <c r="F36" s="84">
        <f t="shared" si="4"/>
        <v>117</v>
      </c>
      <c r="G36" s="83">
        <f t="shared" si="4"/>
        <v>0</v>
      </c>
      <c r="H36" s="84">
        <f t="shared" si="4"/>
        <v>0</v>
      </c>
      <c r="I36" s="83">
        <f t="shared" si="4"/>
        <v>18</v>
      </c>
      <c r="J36" s="84">
        <f t="shared" si="4"/>
        <v>27</v>
      </c>
      <c r="K36" s="85">
        <f t="shared" si="0"/>
        <v>679</v>
      </c>
      <c r="L36" s="83">
        <f t="shared" ref="L36:S36" si="5">SUM(L5:L35)</f>
        <v>0</v>
      </c>
      <c r="M36" s="83">
        <f t="shared" si="5"/>
        <v>0</v>
      </c>
      <c r="N36" s="83">
        <f t="shared" si="5"/>
        <v>0</v>
      </c>
      <c r="O36" s="84">
        <f t="shared" si="5"/>
        <v>0</v>
      </c>
      <c r="P36" s="83">
        <f t="shared" si="5"/>
        <v>0</v>
      </c>
      <c r="Q36" s="84">
        <f t="shared" si="5"/>
        <v>0</v>
      </c>
      <c r="R36" s="86">
        <f t="shared" si="5"/>
        <v>0</v>
      </c>
      <c r="S36" s="86">
        <f t="shared" si="5"/>
        <v>0</v>
      </c>
      <c r="T36" s="85">
        <f t="shared" si="1"/>
        <v>0</v>
      </c>
      <c r="U36" s="83">
        <f t="shared" ref="U36:AB36" si="6">SUM(U5:U35)</f>
        <v>0</v>
      </c>
      <c r="V36" s="83">
        <f t="shared" si="6"/>
        <v>0</v>
      </c>
      <c r="W36" s="83">
        <f t="shared" si="6"/>
        <v>0</v>
      </c>
      <c r="X36" s="84">
        <f t="shared" si="6"/>
        <v>0</v>
      </c>
      <c r="Y36" s="83">
        <f t="shared" si="6"/>
        <v>0</v>
      </c>
      <c r="Z36" s="84">
        <f t="shared" si="6"/>
        <v>0</v>
      </c>
      <c r="AA36" s="86">
        <f t="shared" si="6"/>
        <v>0</v>
      </c>
      <c r="AB36" s="86">
        <f t="shared" si="6"/>
        <v>0</v>
      </c>
      <c r="AC36" s="85">
        <f t="shared" si="2"/>
        <v>0</v>
      </c>
      <c r="AD36" s="87">
        <f t="shared" si="3"/>
        <v>679</v>
      </c>
      <c r="AE36" s="66"/>
      <c r="AF36" s="66"/>
      <c r="AG36" s="66"/>
      <c r="AH36" s="66"/>
      <c r="AI36" s="66"/>
      <c r="AJ36" s="66"/>
    </row>
    <row r="37" spans="1:36" ht="8.1" customHeight="1" thickBot="1" x14ac:dyDescent="0.25">
      <c r="A37" s="6"/>
      <c r="B37"/>
      <c r="C37" s="2"/>
      <c r="D37" s="5"/>
      <c r="E37" s="5"/>
      <c r="F37" s="2"/>
      <c r="G37" s="2"/>
      <c r="H37" s="2"/>
      <c r="I37" s="5"/>
      <c r="J37" s="2"/>
      <c r="K37" s="2"/>
      <c r="L37" s="5"/>
      <c r="M37" s="2"/>
      <c r="N37" s="5"/>
      <c r="O37" s="5"/>
      <c r="P37" s="2"/>
      <c r="Q37" s="5"/>
      <c r="R37" s="42"/>
      <c r="S37" s="42"/>
      <c r="T37" s="2"/>
      <c r="U37" s="2"/>
      <c r="V37" s="2"/>
      <c r="W37" s="2"/>
      <c r="X37" s="5"/>
      <c r="Y37" s="2"/>
      <c r="Z37" s="2"/>
      <c r="AA37" s="39"/>
      <c r="AB37" s="39"/>
      <c r="AC37" s="5"/>
      <c r="AD37" s="40"/>
      <c r="AE37" s="40"/>
      <c r="AF37" s="40"/>
      <c r="AG37" s="40"/>
      <c r="AH37" s="40"/>
      <c r="AI37" s="40"/>
      <c r="AJ37" s="40"/>
    </row>
    <row r="38" spans="1:36" ht="24.95" customHeight="1" thickTop="1" x14ac:dyDescent="0.3">
      <c r="A38" s="6"/>
      <c r="B38"/>
      <c r="C38" s="171" t="str">
        <f>Kalenteri!E38</f>
        <v>Lippujen hinnat:</v>
      </c>
      <c r="D38" s="5"/>
      <c r="E38" s="5"/>
      <c r="F38" s="2"/>
      <c r="G38" s="2"/>
      <c r="H38" s="2"/>
      <c r="I38" s="5"/>
      <c r="J38" s="2"/>
      <c r="K38" s="2"/>
      <c r="L38" s="5"/>
      <c r="M38" s="2"/>
      <c r="N38" s="5"/>
      <c r="O38" s="5"/>
      <c r="P38" s="2"/>
      <c r="Q38"/>
      <c r="R38"/>
      <c r="S38"/>
      <c r="T38"/>
      <c r="U38" s="49" t="s">
        <v>40</v>
      </c>
      <c r="V38" s="50"/>
      <c r="W38" s="43"/>
      <c r="X38" s="44"/>
      <c r="Y38" s="43"/>
      <c r="Z38" s="43"/>
      <c r="AA38" s="44"/>
      <c r="AB38" s="44"/>
      <c r="AC38" s="47"/>
      <c r="AD38" s="45">
        <f>AD36</f>
        <v>679</v>
      </c>
      <c r="AE38" s="41"/>
      <c r="AF38" s="41"/>
      <c r="AG38" s="41"/>
      <c r="AH38" s="41"/>
      <c r="AI38" s="41"/>
      <c r="AJ38" s="41"/>
    </row>
    <row r="39" spans="1:36" ht="24.95" customHeight="1" x14ac:dyDescent="0.3">
      <c r="A39" s="6"/>
      <c r="B39"/>
      <c r="C39" s="88" t="str">
        <f>Kalenteri!E39</f>
        <v>Mustikkamaan kautta: 1.9.-30.4. aik. 10 €, lapset 5 €, kimppalippu 30 €    1.5.-30.8. aik. 12 €, lapset 6 €, kimppalippu 36 €</v>
      </c>
      <c r="D39" s="89"/>
      <c r="E39" s="89"/>
      <c r="F39" s="90"/>
      <c r="G39" s="102"/>
      <c r="H39" s="174">
        <f>Kalenteri!H39</f>
        <v>0</v>
      </c>
      <c r="I39" s="89"/>
      <c r="J39" s="90"/>
      <c r="K39" s="90"/>
      <c r="L39" s="89"/>
      <c r="M39" s="90"/>
      <c r="N39" s="89"/>
      <c r="O39" s="89"/>
      <c r="P39" s="90"/>
      <c r="Q39" s="104"/>
      <c r="R39" s="103"/>
      <c r="S39"/>
      <c r="T39"/>
      <c r="U39" s="62" t="s">
        <v>13</v>
      </c>
      <c r="V39" s="52"/>
      <c r="W39" s="53"/>
      <c r="X39" s="54"/>
      <c r="Y39" s="53"/>
      <c r="Z39" s="53"/>
      <c r="AA39" s="54"/>
      <c r="AB39" s="54"/>
      <c r="AC39" s="55"/>
      <c r="AD39" s="56">
        <f>AD36-Edellisvuosi!C8</f>
        <v>569</v>
      </c>
      <c r="AE39" s="67"/>
      <c r="AF39" s="67"/>
      <c r="AG39" s="67"/>
      <c r="AH39" s="67"/>
      <c r="AI39" s="67"/>
      <c r="AJ39" s="67"/>
    </row>
    <row r="40" spans="1:36" ht="24.95" customHeight="1" x14ac:dyDescent="0.3">
      <c r="A40" s="6"/>
      <c r="B40" s="6"/>
      <c r="C40" s="91" t="str">
        <f>Kalenteri!E40</f>
        <v xml:space="preserve">                                    Vuosikortti:     aik. 50 €, lapset 20 €, perhekortti 100 €</v>
      </c>
      <c r="D40" s="39"/>
      <c r="E40" s="39"/>
      <c r="F40" s="42"/>
      <c r="G40" s="65"/>
      <c r="H40" s="176">
        <f>Kalenteri!H40</f>
        <v>0</v>
      </c>
      <c r="I40" s="39"/>
      <c r="J40" s="42"/>
      <c r="K40" s="42"/>
      <c r="L40" s="39"/>
      <c r="M40" s="42"/>
      <c r="N40" s="39"/>
      <c r="O40" s="39"/>
      <c r="P40" s="39"/>
      <c r="Q40" s="23"/>
      <c r="R40" s="97"/>
      <c r="S40"/>
      <c r="T40"/>
      <c r="U40" s="63" t="s">
        <v>41</v>
      </c>
      <c r="V40" s="37"/>
      <c r="W40" s="51"/>
      <c r="X40" s="41"/>
      <c r="Y40" s="51"/>
      <c r="Z40" s="41"/>
      <c r="AA40" s="41"/>
      <c r="AB40" s="41"/>
      <c r="AC40" s="48"/>
      <c r="AD40" s="46">
        <f>AD36+'K1'!AD36</f>
        <v>1981</v>
      </c>
      <c r="AE40" s="41"/>
      <c r="AF40" s="41"/>
      <c r="AG40" s="41"/>
      <c r="AH40" s="41"/>
      <c r="AI40" s="41"/>
      <c r="AJ40" s="41"/>
    </row>
    <row r="41" spans="1:36" ht="24.95" customHeight="1" thickBot="1" x14ac:dyDescent="0.35">
      <c r="A41" s="4"/>
      <c r="B41" s="4"/>
      <c r="C41" s="92" t="str">
        <f>Kalenteri!E41</f>
        <v>Vesibusseilla:             1.9.-30.4. aik. 16 €, lapset 8 €, kimppalippu 47 €    1.5.-31.8. aik. 18 €, lapset 9 €, kimppalippu 53 €</v>
      </c>
      <c r="D41" s="93"/>
      <c r="E41" s="93"/>
      <c r="F41" s="94"/>
      <c r="G41" s="94"/>
      <c r="H41" s="175">
        <f>Kalenteri!H41</f>
        <v>0</v>
      </c>
      <c r="I41" s="93"/>
      <c r="J41" s="96"/>
      <c r="K41" s="96"/>
      <c r="L41" s="93"/>
      <c r="M41" s="95"/>
      <c r="N41" s="95"/>
      <c r="O41" s="93"/>
      <c r="P41" s="95"/>
      <c r="Q41" s="95"/>
      <c r="R41" s="98"/>
      <c r="S41"/>
      <c r="T41"/>
      <c r="U41" s="64" t="s">
        <v>13</v>
      </c>
      <c r="V41" s="57"/>
      <c r="W41" s="58"/>
      <c r="X41" s="59"/>
      <c r="Y41" s="59"/>
      <c r="Z41" s="59"/>
      <c r="AA41" s="59"/>
      <c r="AB41" s="59"/>
      <c r="AC41" s="60"/>
      <c r="AD41" s="61">
        <f>AD40-Edellisvuosi!B8-Edellisvuosi!C8</f>
        <v>1476</v>
      </c>
      <c r="AE41" s="68"/>
      <c r="AF41" s="68"/>
      <c r="AG41" s="68"/>
      <c r="AH41" s="68"/>
      <c r="AI41" s="68"/>
      <c r="AJ41" s="68"/>
    </row>
    <row r="42" spans="1:36" ht="13.5" thickTop="1" x14ac:dyDescent="0.2"/>
  </sheetData>
  <sheetProtection password="C4AC" sheet="1" objects="1" scenarios="1"/>
  <phoneticPr fontId="4" type="noConversion"/>
  <pageMargins left="0" right="0" top="0.27559055118110237" bottom="0" header="0" footer="0"/>
  <pageSetup paperSize="9" scale="75" fitToHeight="0" orientation="landscape" horizontalDpi="4294967292" verticalDpi="4294967292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2529" r:id="rId4" name="Button 1">
              <controlPr defaultSize="0" print="0" autoFill="0" autoLine="0" autoPict="0" macro="[1]!TAMMI">
                <anchor moveWithCells="1" sizeWithCells="1">
                  <from>
                    <xdr:col>35</xdr:col>
                    <xdr:colOff>0</xdr:colOff>
                    <xdr:row>3</xdr:row>
                    <xdr:rowOff>9525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0" r:id="rId5" name="Button 2">
              <controlPr defaultSize="0" print="0" autoFill="0" autoLine="0" autoPict="0" macro="[1]KTMAKRO!$A$1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1" r:id="rId6" name="Button 3">
              <controlPr defaultSize="0" print="0" autoFill="0" autoLine="0" autoPict="0" macro="[1]!MAALIS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2" r:id="rId7" name="Button 4">
              <controlPr defaultSize="0" print="0" autoFill="0" autoLine="0" autoPict="0" macro="[1]KTMAKRO!$D$1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3" r:id="rId8" name="Button 5">
              <controlPr defaultSize="0" print="0" autoFill="0" autoLine="0" autoPict="0" macro="[1]KTMAKRO!$E$1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4" r:id="rId9" name="Button 6">
              <controlPr defaultSize="0" print="0" autoFill="0" autoLine="0" autoPict="0" macro="[1]!KESÄ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5" r:id="rId10" name="Button 7">
              <controlPr defaultSize="0" print="0" autoFill="0" autoLine="0" autoPict="0" macro="[1]!HELMI">
                <anchor moveWithCells="1" sizeWithCells="1">
                  <from>
                    <xdr:col>35</xdr:col>
                    <xdr:colOff>0</xdr:colOff>
                    <xdr:row>3</xdr:row>
                    <xdr:rowOff>9525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6" r:id="rId11" name="Button 8">
              <controlPr defaultSize="0" print="0" autoFill="0" autoLine="0" autoPict="0" macro="[1]KTMAKRO!$G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7" r:id="rId12" name="Button 9">
              <controlPr defaultSize="0" print="0" autoFill="0" autoLine="0" autoPict="0" macro="[1]KTMAKRO!$I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8" r:id="rId13" name="Button 10">
              <controlPr defaultSize="0" print="0" autoFill="0" autoLine="0" autoPict="0" macro="[1]KTMAKRO!$J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9" r:id="rId14" name="Button 11">
              <controlPr defaultSize="0" print="0" autoFill="0" autoLine="0" autoPict="0" macro="[1]KTMAKRO!$K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40" r:id="rId15" name="Button 12">
              <controlPr defaultSize="0" print="0" autoFill="0" autoLine="0" autoPict="0" macro="[1]KTMAKRO!$L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41" r:id="rId16" name="Button 13">
              <controlPr defaultSize="0" print="0" autoFill="0" autoLine="0" autoPict="0" macro="[1]KTMAKRO!$H$1">
                <anchor moveWithCells="1" sizeWithCells="1">
                  <from>
                    <xdr:col>35</xdr:col>
                    <xdr:colOff>0</xdr:colOff>
                    <xdr:row>5</xdr:row>
                    <xdr:rowOff>0</xdr:rowOff>
                  </from>
                  <to>
                    <xdr:col>35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42" r:id="rId17" name="Button 14">
              <controlPr defaultSize="0" print="0" autoFill="0" autoLine="0" autoPict="0" macro="[1]!Yhteenveto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5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43" r:id="rId18" name="Button 15">
              <controlPr defaultSize="0" print="0" autoFill="0" autoLine="0" autoPict="0" macro="[1]!GRAFIIKKA1">
                <anchor moveWithCells="1" sizeWithCells="1">
                  <from>
                    <xdr:col>35</xdr:col>
                    <xdr:colOff>0</xdr:colOff>
                    <xdr:row>8</xdr:row>
                    <xdr:rowOff>142875</xdr:rowOff>
                  </from>
                  <to>
                    <xdr:col>35</xdr:col>
                    <xdr:colOff>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44" r:id="rId19" name="Button 16">
              <controlPr defaultSize="0" print="0" autoFill="0" autoLine="0" autoPict="0" macro="[1]!Grafiikka2">
                <anchor moveWithCells="1" sizeWithCells="1">
                  <from>
                    <xdr:col>35</xdr:col>
                    <xdr:colOff>0</xdr:colOff>
                    <xdr:row>8</xdr:row>
                    <xdr:rowOff>152400</xdr:rowOff>
                  </from>
                  <to>
                    <xdr:col>35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45" r:id="rId20" name="Button 17">
              <controlPr defaultSize="0" print="0" autoFill="0" autoLine="0" autoPict="0" macro="[1]!Grafiikka4">
                <anchor moveWithCells="1" sizeWithCells="1">
                  <from>
                    <xdr:col>35</xdr:col>
                    <xdr:colOff>0</xdr:colOff>
                    <xdr:row>8</xdr:row>
                    <xdr:rowOff>142875</xdr:rowOff>
                  </from>
                  <to>
                    <xdr:col>35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46" r:id="rId21" name="Button 18">
              <controlPr defaultSize="0" print="0" autoFill="0" autoLine="0" autoPict="0" macro="[1]!Grafiikka4">
                <anchor moveWithCells="1" sizeWithCells="1">
                  <from>
                    <xdr:col>35</xdr:col>
                    <xdr:colOff>0</xdr:colOff>
                    <xdr:row>8</xdr:row>
                    <xdr:rowOff>152400</xdr:rowOff>
                  </from>
                  <to>
                    <xdr:col>35</xdr:col>
                    <xdr:colOff>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47" r:id="rId22" name="Button 19">
              <controlPr defaultSize="0" print="0" autoFill="0" autoLine="0" autoPict="0" macro="[1]!Grafiikka5">
                <anchor moveWithCells="1" sizeWithCells="1">
                  <from>
                    <xdr:col>35</xdr:col>
                    <xdr:colOff>0</xdr:colOff>
                    <xdr:row>8</xdr:row>
                    <xdr:rowOff>152400</xdr:rowOff>
                  </from>
                  <to>
                    <xdr:col>35</xdr:col>
                    <xdr:colOff>0</xdr:colOff>
                    <xdr:row>12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48" r:id="rId23" name="Button 20">
              <controlPr defaultSize="0" print="0" autoFill="0" autoLine="0" autoPict="0" macro="[1]!Perusikkuna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12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/>
  <dimension ref="A1:AJ42"/>
  <sheetViews>
    <sheetView showGridLines="0" zoomScale="80" zoomScaleNormal="80" workbookViewId="0"/>
  </sheetViews>
  <sheetFormatPr defaultColWidth="9.75" defaultRowHeight="12.75" x14ac:dyDescent="0.2"/>
  <cols>
    <col min="1" max="1" width="3.75" style="1" customWidth="1"/>
    <col min="2" max="2" width="2.75" style="1" customWidth="1"/>
    <col min="3" max="4" width="6.125" style="1" customWidth="1"/>
    <col min="5" max="5" width="4" style="1" customWidth="1"/>
    <col min="6" max="6" width="4.5" style="1" customWidth="1"/>
    <col min="7" max="10" width="6.125" style="1" customWidth="1"/>
    <col min="11" max="11" width="5.875" style="1" customWidth="1"/>
    <col min="12" max="13" width="6.125" style="1" customWidth="1"/>
    <col min="14" max="14" width="5.25" style="1" customWidth="1"/>
    <col min="15" max="15" width="4.5" style="1" customWidth="1"/>
    <col min="16" max="16" width="6.125" style="1" customWidth="1"/>
    <col min="17" max="17" width="5.5" style="1" customWidth="1"/>
    <col min="18" max="19" width="6.125" style="1" customWidth="1"/>
    <col min="20" max="20" width="5.875" style="1" customWidth="1"/>
    <col min="21" max="22" width="6.125" style="1" customWidth="1"/>
    <col min="23" max="23" width="4.375" style="1" customWidth="1"/>
    <col min="24" max="24" width="4.25" style="1" customWidth="1"/>
    <col min="25" max="29" width="6.125" style="1" customWidth="1"/>
    <col min="30" max="36" width="15.625" style="1" customWidth="1"/>
  </cols>
  <sheetData>
    <row r="1" spans="1:36" ht="30" customHeight="1" x14ac:dyDescent="0.35">
      <c r="A1" s="22"/>
      <c r="B1" s="4"/>
      <c r="C1" s="105" t="s">
        <v>15</v>
      </c>
      <c r="D1" s="106"/>
      <c r="E1" s="106"/>
      <c r="F1" s="106"/>
      <c r="G1" s="106"/>
      <c r="H1" s="106"/>
      <c r="I1" s="106"/>
      <c r="J1" s="106"/>
      <c r="K1" s="106"/>
      <c r="L1" s="105" t="str">
        <f>Kalenteri!$H$1</f>
        <v>KÄVIJÄTILASTO 2013</v>
      </c>
      <c r="M1" s="107"/>
      <c r="N1" s="107"/>
      <c r="O1" s="107"/>
      <c r="P1" s="106"/>
      <c r="Q1" s="106"/>
      <c r="R1" s="105" t="s">
        <v>70</v>
      </c>
      <c r="S1" s="108"/>
      <c r="T1" s="106"/>
      <c r="U1" s="109"/>
      <c r="V1" s="105" t="s">
        <v>39</v>
      </c>
      <c r="W1" s="109"/>
      <c r="X1" s="106"/>
      <c r="Y1" s="106"/>
      <c r="Z1" s="106"/>
      <c r="AA1" s="106"/>
      <c r="AB1" s="106"/>
      <c r="AC1" s="106"/>
      <c r="AD1" s="110"/>
      <c r="AE1" s="4"/>
      <c r="AF1" s="4"/>
      <c r="AG1" s="4"/>
      <c r="AH1" s="4"/>
      <c r="AI1" s="4"/>
      <c r="AJ1" s="4"/>
    </row>
    <row r="2" spans="1:36" ht="30" customHeight="1" x14ac:dyDescent="0.3">
      <c r="A2" s="3"/>
      <c r="B2" s="4"/>
      <c r="C2" s="72"/>
      <c r="D2" s="73"/>
      <c r="E2" s="74" t="s">
        <v>1</v>
      </c>
      <c r="F2" s="75"/>
      <c r="G2" s="75"/>
      <c r="H2" s="75"/>
      <c r="I2" s="75"/>
      <c r="J2" s="75"/>
      <c r="K2" s="76"/>
      <c r="L2" s="72"/>
      <c r="M2" s="77"/>
      <c r="N2" s="73"/>
      <c r="O2" s="74" t="s">
        <v>2</v>
      </c>
      <c r="P2" s="75"/>
      <c r="Q2" s="75"/>
      <c r="R2" s="75"/>
      <c r="S2" s="75"/>
      <c r="T2" s="76"/>
      <c r="U2" s="72"/>
      <c r="V2" s="75"/>
      <c r="W2" s="73"/>
      <c r="X2" s="74" t="s">
        <v>3</v>
      </c>
      <c r="Y2" s="75"/>
      <c r="Z2" s="75"/>
      <c r="AA2" s="75"/>
      <c r="AB2" s="75"/>
      <c r="AC2" s="76"/>
      <c r="AD2" s="13"/>
      <c r="AE2" s="35"/>
      <c r="AF2" s="69"/>
      <c r="AG2" s="69"/>
      <c r="AH2" s="69"/>
      <c r="AI2" s="69"/>
      <c r="AJ2" s="69"/>
    </row>
    <row r="3" spans="1:36" x14ac:dyDescent="0.2">
      <c r="A3" s="4"/>
      <c r="B3" s="4"/>
      <c r="C3" s="24" t="s">
        <v>4</v>
      </c>
      <c r="D3" s="25"/>
      <c r="E3" s="25"/>
      <c r="F3" s="26"/>
      <c r="G3" s="24" t="s">
        <v>5</v>
      </c>
      <c r="H3" s="26"/>
      <c r="I3" s="25" t="s">
        <v>6</v>
      </c>
      <c r="J3" s="25"/>
      <c r="K3" s="27"/>
      <c r="L3" s="24" t="s">
        <v>4</v>
      </c>
      <c r="M3" s="25"/>
      <c r="N3" s="25"/>
      <c r="O3" s="26"/>
      <c r="P3" s="24" t="s">
        <v>5</v>
      </c>
      <c r="Q3" s="26"/>
      <c r="R3" s="25" t="s">
        <v>6</v>
      </c>
      <c r="S3" s="25"/>
      <c r="T3" s="27"/>
      <c r="U3" s="24" t="s">
        <v>4</v>
      </c>
      <c r="V3" s="25"/>
      <c r="W3" s="25"/>
      <c r="X3" s="26"/>
      <c r="Y3" s="24" t="s">
        <v>5</v>
      </c>
      <c r="Z3" s="26"/>
      <c r="AA3" s="25" t="s">
        <v>6</v>
      </c>
      <c r="AB3" s="25"/>
      <c r="AC3" s="27"/>
      <c r="AD3" s="36" t="s">
        <v>7</v>
      </c>
      <c r="AE3" s="38"/>
      <c r="AF3" s="70"/>
      <c r="AG3" s="70"/>
      <c r="AH3" s="70"/>
      <c r="AI3" s="70"/>
      <c r="AJ3"/>
    </row>
    <row r="4" spans="1:36" x14ac:dyDescent="0.2">
      <c r="A4" s="6"/>
      <c r="B4" s="4"/>
      <c r="C4" s="7" t="s">
        <v>8</v>
      </c>
      <c r="D4" s="8" t="s">
        <v>9</v>
      </c>
      <c r="E4" s="8" t="s">
        <v>10</v>
      </c>
      <c r="F4" s="9" t="s">
        <v>11</v>
      </c>
      <c r="G4" s="7" t="s">
        <v>8</v>
      </c>
      <c r="H4" s="9" t="s">
        <v>9</v>
      </c>
      <c r="I4" s="8" t="s">
        <v>8</v>
      </c>
      <c r="J4" s="8" t="s">
        <v>9</v>
      </c>
      <c r="K4" s="14" t="s">
        <v>0</v>
      </c>
      <c r="L4" s="7" t="s">
        <v>8</v>
      </c>
      <c r="M4" s="8" t="s">
        <v>9</v>
      </c>
      <c r="N4" s="8" t="s">
        <v>10</v>
      </c>
      <c r="O4" s="9" t="s">
        <v>11</v>
      </c>
      <c r="P4" s="7" t="s">
        <v>8</v>
      </c>
      <c r="Q4" s="9" t="s">
        <v>9</v>
      </c>
      <c r="R4" s="8" t="s">
        <v>8</v>
      </c>
      <c r="S4" s="8" t="s">
        <v>9</v>
      </c>
      <c r="T4" s="14" t="s">
        <v>0</v>
      </c>
      <c r="U4" s="7" t="s">
        <v>8</v>
      </c>
      <c r="V4" s="8" t="s">
        <v>9</v>
      </c>
      <c r="W4" s="8" t="s">
        <v>10</v>
      </c>
      <c r="X4" s="9" t="s">
        <v>11</v>
      </c>
      <c r="Y4" s="7" t="s">
        <v>8</v>
      </c>
      <c r="Z4" s="9" t="s">
        <v>9</v>
      </c>
      <c r="AA4" s="8" t="s">
        <v>8</v>
      </c>
      <c r="AB4" s="8" t="s">
        <v>9</v>
      </c>
      <c r="AC4" s="14" t="s">
        <v>0</v>
      </c>
      <c r="AD4" s="28"/>
      <c r="AE4" s="23"/>
      <c r="AF4" s="23"/>
      <c r="AG4" s="23"/>
      <c r="AH4" s="23"/>
      <c r="AI4" s="23"/>
      <c r="AJ4"/>
    </row>
    <row r="5" spans="1:36" x14ac:dyDescent="0.2">
      <c r="A5" s="5">
        <f>DAY(Kalenteri!A60)</f>
        <v>1</v>
      </c>
      <c r="B5" s="3" t="str">
        <f>IF(Kalenteri!B60=1,"su",IF(Kalenteri!B60=2,"ma",IF(Kalenteri!B60=3,"ti",IF(Kalenteri!B60=4,"ke",IF(Kalenteri!B60=5,"to",IF(Kalenteri!B60=6,"pe",IF(Kalenteri!B60=7,"la",)))))))</f>
        <v>pe</v>
      </c>
      <c r="C5" s="78"/>
      <c r="D5" s="15"/>
      <c r="E5" s="15"/>
      <c r="F5" s="16"/>
      <c r="G5" s="78"/>
      <c r="H5" s="16"/>
      <c r="I5" s="78"/>
      <c r="J5" s="16"/>
      <c r="K5" s="32">
        <f t="shared" ref="K5:K36" si="0">SUM(C5:J5)</f>
        <v>0</v>
      </c>
      <c r="L5" s="15"/>
      <c r="M5" s="15"/>
      <c r="N5" s="15"/>
      <c r="O5" s="16"/>
      <c r="P5" s="15"/>
      <c r="Q5" s="16"/>
      <c r="R5" s="29"/>
      <c r="S5" s="29"/>
      <c r="T5" s="32">
        <f t="shared" ref="T5:T36" si="1">SUM(L5:S5)</f>
        <v>0</v>
      </c>
      <c r="U5" s="15"/>
      <c r="V5" s="15"/>
      <c r="W5" s="15"/>
      <c r="X5" s="16"/>
      <c r="Y5" s="15"/>
      <c r="Z5" s="16"/>
      <c r="AA5" s="29"/>
      <c r="AB5" s="29"/>
      <c r="AC5" s="32">
        <f t="shared" ref="AC5:AC36" si="2">SUM(U5:AB5)</f>
        <v>0</v>
      </c>
      <c r="AD5" s="17">
        <f t="shared" ref="AD5:AD36" si="3">SUM(K5,T5,AC5)</f>
        <v>0</v>
      </c>
      <c r="AE5" s="39"/>
      <c r="AF5" s="39"/>
      <c r="AG5" s="39"/>
      <c r="AH5" s="39"/>
      <c r="AI5" s="39"/>
      <c r="AJ5"/>
    </row>
    <row r="6" spans="1:36" x14ac:dyDescent="0.2">
      <c r="A6" s="5">
        <f>DAY(Kalenteri!A61)</f>
        <v>2</v>
      </c>
      <c r="B6" s="3" t="str">
        <f>IF(Kalenteri!B61=1,"su",IF(Kalenteri!B61=2,"ma",IF(Kalenteri!B61=3,"ti",IF(Kalenteri!B61=4,"ke",IF(Kalenteri!B61=5,"to",IF(Kalenteri!B61=6,"pe",IF(Kalenteri!B61=7,"la",)))))))</f>
        <v>la</v>
      </c>
      <c r="C6" s="18"/>
      <c r="D6" s="10"/>
      <c r="E6" s="10"/>
      <c r="F6" s="11"/>
      <c r="G6" s="18"/>
      <c r="H6" s="11"/>
      <c r="I6" s="18"/>
      <c r="J6" s="11"/>
      <c r="K6" s="33">
        <f t="shared" si="0"/>
        <v>0</v>
      </c>
      <c r="L6" s="10"/>
      <c r="M6" s="10"/>
      <c r="N6" s="10"/>
      <c r="O6" s="11"/>
      <c r="P6" s="10"/>
      <c r="Q6" s="11"/>
      <c r="R6" s="30"/>
      <c r="S6" s="30"/>
      <c r="T6" s="33">
        <f t="shared" si="1"/>
        <v>0</v>
      </c>
      <c r="U6" s="10"/>
      <c r="V6" s="10"/>
      <c r="W6" s="10"/>
      <c r="X6" s="11"/>
      <c r="Y6" s="10"/>
      <c r="Z6" s="11"/>
      <c r="AA6" s="30"/>
      <c r="AB6" s="30"/>
      <c r="AC6" s="33">
        <f t="shared" si="2"/>
        <v>0</v>
      </c>
      <c r="AD6" s="12">
        <f t="shared" si="3"/>
        <v>0</v>
      </c>
      <c r="AE6" s="39"/>
      <c r="AF6" s="39"/>
      <c r="AG6" s="39"/>
      <c r="AH6" s="39"/>
      <c r="AI6" s="39"/>
      <c r="AJ6"/>
    </row>
    <row r="7" spans="1:36" x14ac:dyDescent="0.2">
      <c r="A7" s="5">
        <f>DAY(Kalenteri!A62)</f>
        <v>3</v>
      </c>
      <c r="B7" s="3" t="str">
        <f>IF(Kalenteri!B62=1,"su",IF(Kalenteri!B62=2,"ma",IF(Kalenteri!B62=3,"ti",IF(Kalenteri!B62=4,"ke",IF(Kalenteri!B62=5,"to",IF(Kalenteri!B62=6,"pe",IF(Kalenteri!B62=7,"la",)))))))</f>
        <v>su</v>
      </c>
      <c r="C7" s="18"/>
      <c r="D7" s="10"/>
      <c r="E7" s="10"/>
      <c r="F7" s="11"/>
      <c r="G7" s="18"/>
      <c r="H7" s="11"/>
      <c r="I7" s="18"/>
      <c r="J7" s="11"/>
      <c r="K7" s="33">
        <f t="shared" si="0"/>
        <v>0</v>
      </c>
      <c r="L7" s="10"/>
      <c r="M7" s="10"/>
      <c r="N7" s="10"/>
      <c r="O7" s="11"/>
      <c r="P7" s="10"/>
      <c r="Q7" s="11"/>
      <c r="R7" s="30"/>
      <c r="S7" s="30"/>
      <c r="T7" s="33">
        <f t="shared" si="1"/>
        <v>0</v>
      </c>
      <c r="U7" s="10"/>
      <c r="V7" s="10"/>
      <c r="W7" s="10"/>
      <c r="X7" s="11"/>
      <c r="Y7" s="10"/>
      <c r="Z7" s="11"/>
      <c r="AA7" s="30"/>
      <c r="AB7" s="30"/>
      <c r="AC7" s="33">
        <f t="shared" si="2"/>
        <v>0</v>
      </c>
      <c r="AD7" s="12">
        <f t="shared" si="3"/>
        <v>0</v>
      </c>
      <c r="AE7" s="39"/>
      <c r="AF7" s="39"/>
      <c r="AG7" s="39"/>
      <c r="AH7" s="39"/>
      <c r="AI7" s="39"/>
      <c r="AJ7"/>
    </row>
    <row r="8" spans="1:36" x14ac:dyDescent="0.2">
      <c r="A8" s="5">
        <f>DAY(Kalenteri!A63)</f>
        <v>4</v>
      </c>
      <c r="B8" s="3" t="str">
        <f>IF(Kalenteri!B63=1,"su",IF(Kalenteri!B63=2,"ma",IF(Kalenteri!B63=3,"ti",IF(Kalenteri!B63=4,"ke",IF(Kalenteri!B63=5,"to",IF(Kalenteri!B63=6,"pe",IF(Kalenteri!B63=7,"la",)))))))</f>
        <v>ma</v>
      </c>
      <c r="C8" s="18" t="s">
        <v>192</v>
      </c>
      <c r="D8" s="10">
        <v>34</v>
      </c>
      <c r="E8" s="10" t="s">
        <v>193</v>
      </c>
      <c r="F8" s="11">
        <v>5</v>
      </c>
      <c r="G8" s="18"/>
      <c r="H8" s="11"/>
      <c r="I8" s="18"/>
      <c r="J8" s="11"/>
      <c r="K8" s="33">
        <f t="shared" si="0"/>
        <v>39</v>
      </c>
      <c r="L8" s="10"/>
      <c r="M8" s="10"/>
      <c r="N8" s="10"/>
      <c r="O8" s="11"/>
      <c r="P8" s="10"/>
      <c r="Q8" s="11"/>
      <c r="R8" s="30"/>
      <c r="S8" s="30"/>
      <c r="T8" s="33">
        <f t="shared" si="1"/>
        <v>0</v>
      </c>
      <c r="U8" s="10"/>
      <c r="V8" s="10"/>
      <c r="W8" s="10"/>
      <c r="X8" s="11"/>
      <c r="Y8" s="10"/>
      <c r="Z8" s="11"/>
      <c r="AA8" s="30"/>
      <c r="AB8" s="30"/>
      <c r="AC8" s="33">
        <f t="shared" si="2"/>
        <v>0</v>
      </c>
      <c r="AD8" s="12">
        <f t="shared" si="3"/>
        <v>39</v>
      </c>
      <c r="AE8" s="39"/>
      <c r="AF8" s="39"/>
      <c r="AG8" s="39"/>
      <c r="AH8" s="39"/>
      <c r="AI8" s="39"/>
      <c r="AJ8"/>
    </row>
    <row r="9" spans="1:36" x14ac:dyDescent="0.2">
      <c r="A9" s="5">
        <f>DAY(Kalenteri!A64)</f>
        <v>5</v>
      </c>
      <c r="B9" s="3" t="str">
        <f>IF(Kalenteri!B64=1,"su",IF(Kalenteri!B64=2,"ma",IF(Kalenteri!B64=3,"ti",IF(Kalenteri!B64=4,"ke",IF(Kalenteri!B64=5,"to",IF(Kalenteri!B64=6,"pe",IF(Kalenteri!B64=7,"la",)))))))</f>
        <v>ti</v>
      </c>
      <c r="C9" s="18"/>
      <c r="D9" s="10"/>
      <c r="E9" s="10"/>
      <c r="F9" s="11"/>
      <c r="G9" s="18"/>
      <c r="H9" s="11"/>
      <c r="I9" s="18"/>
      <c r="J9" s="11"/>
      <c r="K9" s="33">
        <f t="shared" si="0"/>
        <v>0</v>
      </c>
      <c r="L9" s="10"/>
      <c r="M9" s="10"/>
      <c r="N9" s="10"/>
      <c r="O9" s="11"/>
      <c r="P9" s="10"/>
      <c r="Q9" s="11"/>
      <c r="R9" s="30"/>
      <c r="S9" s="30"/>
      <c r="T9" s="33">
        <f t="shared" si="1"/>
        <v>0</v>
      </c>
      <c r="U9" s="10"/>
      <c r="V9" s="10"/>
      <c r="W9" s="10"/>
      <c r="X9" s="11"/>
      <c r="Y9" s="10"/>
      <c r="Z9" s="11"/>
      <c r="AA9" s="30"/>
      <c r="AB9" s="30"/>
      <c r="AC9" s="33">
        <f t="shared" si="2"/>
        <v>0</v>
      </c>
      <c r="AD9" s="12">
        <f t="shared" si="3"/>
        <v>0</v>
      </c>
      <c r="AE9" s="39"/>
      <c r="AF9" s="39"/>
      <c r="AG9" s="39"/>
      <c r="AH9" s="39"/>
      <c r="AI9" s="39"/>
      <c r="AJ9"/>
    </row>
    <row r="10" spans="1:36" x14ac:dyDescent="0.2">
      <c r="A10" s="5">
        <f>DAY(Kalenteri!A65)</f>
        <v>6</v>
      </c>
      <c r="B10" s="3" t="str">
        <f>IF(Kalenteri!B65=1,"su",IF(Kalenteri!B65=2,"ma",IF(Kalenteri!B65=3,"ti",IF(Kalenteri!B65=4,"ke",IF(Kalenteri!B65=5,"to",IF(Kalenteri!B65=6,"pe",IF(Kalenteri!B65=7,"la",)))))))</f>
        <v>ke</v>
      </c>
      <c r="C10" s="18"/>
      <c r="D10" s="10"/>
      <c r="E10" s="10"/>
      <c r="F10" s="11"/>
      <c r="G10" s="18"/>
      <c r="H10" s="11"/>
      <c r="I10" s="18"/>
      <c r="J10" s="11"/>
      <c r="K10" s="33">
        <f t="shared" si="0"/>
        <v>0</v>
      </c>
      <c r="L10" s="10"/>
      <c r="M10" s="10"/>
      <c r="N10" s="10"/>
      <c r="O10" s="11"/>
      <c r="P10" s="10"/>
      <c r="Q10" s="11"/>
      <c r="R10" s="30"/>
      <c r="S10" s="30"/>
      <c r="T10" s="33">
        <f t="shared" si="1"/>
        <v>0</v>
      </c>
      <c r="U10" s="10"/>
      <c r="V10" s="10"/>
      <c r="W10" s="10"/>
      <c r="X10" s="11"/>
      <c r="Y10" s="10"/>
      <c r="Z10" s="11"/>
      <c r="AA10" s="30"/>
      <c r="AB10" s="30"/>
      <c r="AC10" s="33">
        <f t="shared" si="2"/>
        <v>0</v>
      </c>
      <c r="AD10" s="12">
        <f t="shared" si="3"/>
        <v>0</v>
      </c>
      <c r="AE10" s="39"/>
      <c r="AF10" s="39"/>
      <c r="AG10" s="39"/>
      <c r="AH10" s="39"/>
      <c r="AI10" s="39"/>
      <c r="AJ10"/>
    </row>
    <row r="11" spans="1:36" x14ac:dyDescent="0.2">
      <c r="A11" s="5">
        <f>DAY(Kalenteri!A66)</f>
        <v>7</v>
      </c>
      <c r="B11" s="3" t="str">
        <f>IF(Kalenteri!B66=1,"su",IF(Kalenteri!B66=2,"ma",IF(Kalenteri!B66=3,"ti",IF(Kalenteri!B66=4,"ke",IF(Kalenteri!B66=5,"to",IF(Kalenteri!B66=6,"pe",IF(Kalenteri!B66=7,"la",)))))))</f>
        <v>to</v>
      </c>
      <c r="C11" s="18"/>
      <c r="D11" s="10"/>
      <c r="E11" s="10"/>
      <c r="F11" s="11"/>
      <c r="G11" s="18"/>
      <c r="H11" s="11"/>
      <c r="I11" s="18"/>
      <c r="J11" s="11"/>
      <c r="K11" s="33">
        <f t="shared" si="0"/>
        <v>0</v>
      </c>
      <c r="L11" s="10"/>
      <c r="M11" s="10"/>
      <c r="N11" s="10"/>
      <c r="O11" s="11"/>
      <c r="P11" s="10"/>
      <c r="Q11" s="11"/>
      <c r="R11" s="30"/>
      <c r="S11" s="30"/>
      <c r="T11" s="33">
        <f t="shared" si="1"/>
        <v>0</v>
      </c>
      <c r="U11" s="10"/>
      <c r="V11" s="10"/>
      <c r="W11" s="10"/>
      <c r="X11" s="11"/>
      <c r="Y11" s="10"/>
      <c r="Z11" s="11"/>
      <c r="AA11" s="30"/>
      <c r="AB11" s="30"/>
      <c r="AC11" s="33">
        <f t="shared" si="2"/>
        <v>0</v>
      </c>
      <c r="AD11" s="12">
        <f t="shared" si="3"/>
        <v>0</v>
      </c>
      <c r="AE11" s="39"/>
      <c r="AF11" s="39"/>
      <c r="AG11" s="39"/>
      <c r="AH11" s="39"/>
      <c r="AI11" s="39"/>
      <c r="AJ11"/>
    </row>
    <row r="12" spans="1:36" x14ac:dyDescent="0.2">
      <c r="A12" s="5">
        <f>DAY(Kalenteri!A67)</f>
        <v>8</v>
      </c>
      <c r="B12" s="3" t="str">
        <f>IF(Kalenteri!B67=1,"su",IF(Kalenteri!B67=2,"ma",IF(Kalenteri!B67=3,"ti",IF(Kalenteri!B67=4,"ke",IF(Kalenteri!B67=5,"to",IF(Kalenteri!B67=6,"pe",IF(Kalenteri!B67=7,"la",)))))))</f>
        <v>pe</v>
      </c>
      <c r="C12" s="18"/>
      <c r="D12" s="10"/>
      <c r="E12" s="10"/>
      <c r="F12" s="11"/>
      <c r="G12" s="18"/>
      <c r="H12" s="11"/>
      <c r="I12" s="18"/>
      <c r="J12" s="11"/>
      <c r="K12" s="33">
        <f t="shared" si="0"/>
        <v>0</v>
      </c>
      <c r="L12" s="10"/>
      <c r="M12" s="10"/>
      <c r="N12" s="10"/>
      <c r="O12" s="11"/>
      <c r="P12" s="10"/>
      <c r="Q12" s="11"/>
      <c r="R12" s="30"/>
      <c r="S12" s="30"/>
      <c r="T12" s="33">
        <f t="shared" si="1"/>
        <v>0</v>
      </c>
      <c r="U12" s="10"/>
      <c r="V12" s="10"/>
      <c r="W12" s="10"/>
      <c r="X12" s="11"/>
      <c r="Y12" s="10"/>
      <c r="Z12" s="11"/>
      <c r="AA12" s="30"/>
      <c r="AB12" s="30"/>
      <c r="AC12" s="33">
        <f t="shared" si="2"/>
        <v>0</v>
      </c>
      <c r="AD12" s="12">
        <f t="shared" si="3"/>
        <v>0</v>
      </c>
      <c r="AE12" s="39"/>
      <c r="AF12" s="39"/>
      <c r="AG12" s="39"/>
      <c r="AH12" s="39"/>
      <c r="AI12" s="39"/>
      <c r="AJ12"/>
    </row>
    <row r="13" spans="1:36" x14ac:dyDescent="0.2">
      <c r="A13" s="5">
        <f>DAY(Kalenteri!A68)</f>
        <v>9</v>
      </c>
      <c r="B13" s="3" t="str">
        <f>IF(Kalenteri!B68=1,"su",IF(Kalenteri!B68=2,"ma",IF(Kalenteri!B68=3,"ti",IF(Kalenteri!B68=4,"ke",IF(Kalenteri!B68=5,"to",IF(Kalenteri!B68=6,"pe",IF(Kalenteri!B68=7,"la",)))))))</f>
        <v>la</v>
      </c>
      <c r="C13" s="18"/>
      <c r="D13" s="10"/>
      <c r="E13" s="10"/>
      <c r="F13" s="11"/>
      <c r="G13" s="18"/>
      <c r="H13" s="11"/>
      <c r="I13" s="18"/>
      <c r="J13" s="11"/>
      <c r="K13" s="33">
        <f t="shared" si="0"/>
        <v>0</v>
      </c>
      <c r="L13" s="10"/>
      <c r="M13" s="10"/>
      <c r="N13" s="10"/>
      <c r="O13" s="11"/>
      <c r="P13" s="10"/>
      <c r="Q13" s="11"/>
      <c r="R13" s="30"/>
      <c r="S13" s="30"/>
      <c r="T13" s="33">
        <f t="shared" si="1"/>
        <v>0</v>
      </c>
      <c r="U13" s="10"/>
      <c r="V13" s="10"/>
      <c r="W13" s="10"/>
      <c r="X13" s="11"/>
      <c r="Y13" s="10"/>
      <c r="Z13" s="11"/>
      <c r="AA13" s="30"/>
      <c r="AB13" s="30"/>
      <c r="AC13" s="33">
        <f t="shared" si="2"/>
        <v>0</v>
      </c>
      <c r="AD13" s="12">
        <f t="shared" si="3"/>
        <v>0</v>
      </c>
      <c r="AE13" s="39"/>
      <c r="AF13" s="39"/>
      <c r="AG13" s="39"/>
      <c r="AH13" s="39"/>
      <c r="AI13" s="39"/>
      <c r="AJ13"/>
    </row>
    <row r="14" spans="1:36" x14ac:dyDescent="0.2">
      <c r="A14" s="5">
        <f>DAY(Kalenteri!A69)</f>
        <v>10</v>
      </c>
      <c r="B14" s="3" t="str">
        <f>IF(Kalenteri!B69=1,"su",IF(Kalenteri!B69=2,"ma",IF(Kalenteri!B69=3,"ti",IF(Kalenteri!B69=4,"ke",IF(Kalenteri!B69=5,"to",IF(Kalenteri!B69=6,"pe",IF(Kalenteri!B69=7,"la",)))))))</f>
        <v>su</v>
      </c>
      <c r="C14" s="18" t="s">
        <v>190</v>
      </c>
      <c r="D14" s="10"/>
      <c r="E14" s="10"/>
      <c r="F14" s="11"/>
      <c r="G14" s="18"/>
      <c r="H14" s="11">
        <v>1</v>
      </c>
      <c r="I14" s="18"/>
      <c r="J14" s="11"/>
      <c r="K14" s="33">
        <f t="shared" si="0"/>
        <v>1</v>
      </c>
      <c r="L14" s="10"/>
      <c r="M14" s="10"/>
      <c r="N14" s="10"/>
      <c r="O14" s="11"/>
      <c r="P14" s="10"/>
      <c r="Q14" s="11"/>
      <c r="R14" s="30"/>
      <c r="S14" s="30"/>
      <c r="T14" s="33">
        <f t="shared" si="1"/>
        <v>0</v>
      </c>
      <c r="U14" s="10"/>
      <c r="V14" s="10"/>
      <c r="W14" s="10"/>
      <c r="X14" s="11"/>
      <c r="Y14" s="10"/>
      <c r="Z14" s="11"/>
      <c r="AA14" s="30"/>
      <c r="AB14" s="30"/>
      <c r="AC14" s="33">
        <f t="shared" si="2"/>
        <v>0</v>
      </c>
      <c r="AD14" s="12">
        <f t="shared" si="3"/>
        <v>1</v>
      </c>
      <c r="AE14" s="39"/>
      <c r="AF14" s="39"/>
      <c r="AG14" s="39"/>
      <c r="AH14" s="39"/>
      <c r="AI14" s="39"/>
      <c r="AJ14"/>
    </row>
    <row r="15" spans="1:36" x14ac:dyDescent="0.2">
      <c r="A15" s="5">
        <f>DAY(Kalenteri!A70)</f>
        <v>11</v>
      </c>
      <c r="B15" s="3" t="str">
        <f>IF(Kalenteri!B70=1,"su",IF(Kalenteri!B70=2,"ma",IF(Kalenteri!B70=3,"ti",IF(Kalenteri!B70=4,"ke",IF(Kalenteri!B70=5,"to",IF(Kalenteri!B70=6,"pe",IF(Kalenteri!B70=7,"la",)))))))</f>
        <v>ma</v>
      </c>
      <c r="C15" s="18">
        <v>31</v>
      </c>
      <c r="D15" s="10">
        <v>3</v>
      </c>
      <c r="E15" s="10"/>
      <c r="F15" s="11"/>
      <c r="G15" s="18" t="s">
        <v>191</v>
      </c>
      <c r="H15" s="11"/>
      <c r="I15" s="18"/>
      <c r="J15" s="11"/>
      <c r="K15" s="33">
        <f t="shared" si="0"/>
        <v>34</v>
      </c>
      <c r="L15" s="10"/>
      <c r="M15" s="10"/>
      <c r="N15" s="10"/>
      <c r="O15" s="11"/>
      <c r="P15" s="10"/>
      <c r="Q15" s="11"/>
      <c r="R15" s="30"/>
      <c r="S15" s="30"/>
      <c r="T15" s="33">
        <f t="shared" si="1"/>
        <v>0</v>
      </c>
      <c r="U15" s="10"/>
      <c r="V15" s="10"/>
      <c r="W15" s="10"/>
      <c r="X15" s="11"/>
      <c r="Y15" s="10"/>
      <c r="Z15" s="11"/>
      <c r="AA15" s="30"/>
      <c r="AB15" s="30"/>
      <c r="AC15" s="33">
        <f t="shared" si="2"/>
        <v>0</v>
      </c>
      <c r="AD15" s="12">
        <f t="shared" si="3"/>
        <v>34</v>
      </c>
      <c r="AE15" s="39"/>
      <c r="AF15" s="39"/>
      <c r="AG15" s="39"/>
      <c r="AH15" s="39"/>
      <c r="AI15" s="39"/>
      <c r="AJ15"/>
    </row>
    <row r="16" spans="1:36" x14ac:dyDescent="0.2">
      <c r="A16" s="5">
        <f>DAY(Kalenteri!A71)</f>
        <v>12</v>
      </c>
      <c r="B16" s="3" t="str">
        <f>IF(Kalenteri!B71=1,"su",IF(Kalenteri!B71=2,"ma",IF(Kalenteri!B71=3,"ti",IF(Kalenteri!B71=4,"ke",IF(Kalenteri!B71=5,"to",IF(Kalenteri!B71=6,"pe",IF(Kalenteri!B71=7,"la",)))))))</f>
        <v>ti</v>
      </c>
      <c r="C16" s="18"/>
      <c r="D16" s="10"/>
      <c r="E16" s="10"/>
      <c r="F16" s="11"/>
      <c r="G16" s="18"/>
      <c r="H16" s="11"/>
      <c r="I16" s="18"/>
      <c r="J16" s="11"/>
      <c r="K16" s="33">
        <f t="shared" si="0"/>
        <v>0</v>
      </c>
      <c r="L16" s="10"/>
      <c r="M16" s="10"/>
      <c r="N16" s="10"/>
      <c r="O16" s="11"/>
      <c r="P16" s="10"/>
      <c r="Q16" s="11"/>
      <c r="R16" s="30"/>
      <c r="S16" s="30"/>
      <c r="T16" s="33">
        <f t="shared" si="1"/>
        <v>0</v>
      </c>
      <c r="U16" s="10"/>
      <c r="V16" s="10"/>
      <c r="W16" s="10"/>
      <c r="X16" s="11"/>
      <c r="Y16" s="10"/>
      <c r="Z16" s="11"/>
      <c r="AA16" s="30"/>
      <c r="AB16" s="30"/>
      <c r="AC16" s="33">
        <f t="shared" si="2"/>
        <v>0</v>
      </c>
      <c r="AD16" s="12">
        <f t="shared" si="3"/>
        <v>0</v>
      </c>
      <c r="AE16" s="39"/>
      <c r="AF16" s="39"/>
      <c r="AG16" s="39"/>
      <c r="AH16" s="39"/>
      <c r="AI16" s="39"/>
      <c r="AJ16"/>
    </row>
    <row r="17" spans="1:36" x14ac:dyDescent="0.2">
      <c r="A17" s="5">
        <f>DAY(Kalenteri!A72)</f>
        <v>13</v>
      </c>
      <c r="B17" s="3" t="str">
        <f>IF(Kalenteri!B72=1,"su",IF(Kalenteri!B72=2,"ma",IF(Kalenteri!B72=3,"ti",IF(Kalenteri!B72=4,"ke",IF(Kalenteri!B72=5,"to",IF(Kalenteri!B72=6,"pe",IF(Kalenteri!B72=7,"la",)))))))</f>
        <v>ke</v>
      </c>
      <c r="C17" s="18"/>
      <c r="D17" s="10"/>
      <c r="E17" s="10"/>
      <c r="F17" s="11"/>
      <c r="G17" s="18"/>
      <c r="H17" s="11"/>
      <c r="I17" s="18"/>
      <c r="J17" s="11"/>
      <c r="K17" s="33">
        <f t="shared" si="0"/>
        <v>0</v>
      </c>
      <c r="L17" s="10"/>
      <c r="M17" s="10"/>
      <c r="N17" s="10"/>
      <c r="O17" s="11"/>
      <c r="P17" s="10"/>
      <c r="Q17" s="11"/>
      <c r="R17" s="30"/>
      <c r="S17" s="30"/>
      <c r="T17" s="33">
        <f t="shared" si="1"/>
        <v>0</v>
      </c>
      <c r="U17" s="10"/>
      <c r="V17" s="10"/>
      <c r="W17" s="10"/>
      <c r="X17" s="11"/>
      <c r="Y17" s="10"/>
      <c r="Z17" s="11"/>
      <c r="AA17" s="30"/>
      <c r="AB17" s="30"/>
      <c r="AC17" s="33">
        <f t="shared" si="2"/>
        <v>0</v>
      </c>
      <c r="AD17" s="12">
        <f t="shared" si="3"/>
        <v>0</v>
      </c>
      <c r="AE17" s="39"/>
      <c r="AF17" s="39"/>
      <c r="AG17" s="39"/>
      <c r="AH17" s="39"/>
      <c r="AI17" s="39"/>
      <c r="AJ17"/>
    </row>
    <row r="18" spans="1:36" x14ac:dyDescent="0.2">
      <c r="A18" s="5">
        <f>DAY(Kalenteri!A73)</f>
        <v>14</v>
      </c>
      <c r="B18" s="3" t="str">
        <f>IF(Kalenteri!B73=1,"su",IF(Kalenteri!B73=2,"ma",IF(Kalenteri!B73=3,"ti",IF(Kalenteri!B73=4,"ke",IF(Kalenteri!B73=5,"to",IF(Kalenteri!B73=6,"pe",IF(Kalenteri!B73=7,"la",)))))))</f>
        <v>to</v>
      </c>
      <c r="C18" s="18"/>
      <c r="D18" s="10"/>
      <c r="E18" s="10"/>
      <c r="F18" s="11"/>
      <c r="G18" s="18"/>
      <c r="H18" s="11"/>
      <c r="I18" s="18"/>
      <c r="J18" s="11"/>
      <c r="K18" s="33">
        <f t="shared" si="0"/>
        <v>0</v>
      </c>
      <c r="L18" s="10"/>
      <c r="M18" s="10"/>
      <c r="N18" s="10"/>
      <c r="O18" s="11"/>
      <c r="P18" s="10"/>
      <c r="Q18" s="11"/>
      <c r="R18" s="30"/>
      <c r="S18" s="30"/>
      <c r="T18" s="33">
        <f t="shared" si="1"/>
        <v>0</v>
      </c>
      <c r="U18" s="10"/>
      <c r="V18" s="10"/>
      <c r="W18" s="10"/>
      <c r="X18" s="11"/>
      <c r="Y18" s="10"/>
      <c r="Z18" s="11"/>
      <c r="AA18" s="30"/>
      <c r="AB18" s="30"/>
      <c r="AC18" s="33">
        <f t="shared" si="2"/>
        <v>0</v>
      </c>
      <c r="AD18" s="12">
        <f t="shared" si="3"/>
        <v>0</v>
      </c>
      <c r="AE18" s="39"/>
      <c r="AF18" s="39"/>
      <c r="AG18" s="39"/>
      <c r="AH18" s="39"/>
      <c r="AI18" s="39"/>
      <c r="AJ18"/>
    </row>
    <row r="19" spans="1:36" x14ac:dyDescent="0.2">
      <c r="A19" s="5">
        <f>DAY(Kalenteri!A74)</f>
        <v>15</v>
      </c>
      <c r="B19" s="3" t="str">
        <f>IF(Kalenteri!B74=1,"su",IF(Kalenteri!B74=2,"ma",IF(Kalenteri!B74=3,"ti",IF(Kalenteri!B74=4,"ke",IF(Kalenteri!B74=5,"to",IF(Kalenteri!B74=6,"pe",IF(Kalenteri!B74=7,"la",)))))))</f>
        <v>pe</v>
      </c>
      <c r="C19" s="18"/>
      <c r="D19" s="10"/>
      <c r="E19" s="10"/>
      <c r="F19" s="11"/>
      <c r="G19" s="18"/>
      <c r="H19" s="11"/>
      <c r="I19" s="18"/>
      <c r="J19" s="11"/>
      <c r="K19" s="33">
        <f t="shared" si="0"/>
        <v>0</v>
      </c>
      <c r="L19" s="10"/>
      <c r="M19" s="10"/>
      <c r="N19" s="10"/>
      <c r="O19" s="11"/>
      <c r="P19" s="10"/>
      <c r="Q19" s="11"/>
      <c r="R19" s="30"/>
      <c r="S19" s="30"/>
      <c r="T19" s="33">
        <f t="shared" si="1"/>
        <v>0</v>
      </c>
      <c r="U19" s="10"/>
      <c r="V19" s="10"/>
      <c r="W19" s="10"/>
      <c r="X19" s="11"/>
      <c r="Y19" s="10"/>
      <c r="Z19" s="11"/>
      <c r="AA19" s="30"/>
      <c r="AB19" s="30"/>
      <c r="AC19" s="33">
        <f t="shared" si="2"/>
        <v>0</v>
      </c>
      <c r="AD19" s="12">
        <f t="shared" si="3"/>
        <v>0</v>
      </c>
      <c r="AE19" s="39"/>
      <c r="AF19" s="39"/>
      <c r="AG19" s="39"/>
      <c r="AH19" s="39"/>
      <c r="AI19" s="39"/>
      <c r="AJ19"/>
    </row>
    <row r="20" spans="1:36" x14ac:dyDescent="0.2">
      <c r="A20" s="5">
        <f>DAY(Kalenteri!A75)</f>
        <v>16</v>
      </c>
      <c r="B20" s="3" t="str">
        <f>IF(Kalenteri!B75=1,"su",IF(Kalenteri!B75=2,"ma",IF(Kalenteri!B75=3,"ti",IF(Kalenteri!B75=4,"ke",IF(Kalenteri!B75=5,"to",IF(Kalenteri!B75=6,"pe",IF(Kalenteri!B75=7,"la",)))))))</f>
        <v>la</v>
      </c>
      <c r="C20" s="18"/>
      <c r="D20" s="10"/>
      <c r="E20" s="10"/>
      <c r="F20" s="11"/>
      <c r="G20" s="18"/>
      <c r="H20" s="11"/>
      <c r="I20" s="18"/>
      <c r="J20" s="11"/>
      <c r="K20" s="33">
        <f t="shared" si="0"/>
        <v>0</v>
      </c>
      <c r="L20" s="10"/>
      <c r="M20" s="10"/>
      <c r="N20" s="10"/>
      <c r="O20" s="11"/>
      <c r="P20" s="10"/>
      <c r="Q20" s="11"/>
      <c r="R20" s="30"/>
      <c r="S20" s="30"/>
      <c r="T20" s="33">
        <f t="shared" si="1"/>
        <v>0</v>
      </c>
      <c r="U20" s="10"/>
      <c r="V20" s="10"/>
      <c r="W20" s="10"/>
      <c r="X20" s="11"/>
      <c r="Y20" s="10"/>
      <c r="Z20" s="11"/>
      <c r="AA20" s="30"/>
      <c r="AB20" s="30"/>
      <c r="AC20" s="33">
        <f t="shared" si="2"/>
        <v>0</v>
      </c>
      <c r="AD20" s="12">
        <f t="shared" si="3"/>
        <v>0</v>
      </c>
      <c r="AE20" s="39"/>
      <c r="AF20" s="39"/>
      <c r="AG20" s="39"/>
      <c r="AH20" s="39"/>
      <c r="AI20" s="39"/>
      <c r="AJ20"/>
    </row>
    <row r="21" spans="1:36" x14ac:dyDescent="0.2">
      <c r="A21" s="5">
        <f>DAY(Kalenteri!A76)</f>
        <v>17</v>
      </c>
      <c r="B21" s="3" t="str">
        <f>IF(Kalenteri!B76=1,"su",IF(Kalenteri!B76=2,"ma",IF(Kalenteri!B76=3,"ti",IF(Kalenteri!B76=4,"ke",IF(Kalenteri!B76=5,"to",IF(Kalenteri!B76=6,"pe",IF(Kalenteri!B76=7,"la",)))))))</f>
        <v>su</v>
      </c>
      <c r="C21" s="18"/>
      <c r="D21" s="10"/>
      <c r="E21" s="10"/>
      <c r="F21" s="11"/>
      <c r="G21" s="18"/>
      <c r="H21" s="11"/>
      <c r="I21" s="18"/>
      <c r="J21" s="11"/>
      <c r="K21" s="33">
        <f t="shared" si="0"/>
        <v>0</v>
      </c>
      <c r="L21" s="10"/>
      <c r="M21" s="10"/>
      <c r="N21" s="10"/>
      <c r="O21" s="11"/>
      <c r="P21" s="10"/>
      <c r="Q21" s="11"/>
      <c r="R21" s="30"/>
      <c r="S21" s="30"/>
      <c r="T21" s="33">
        <f t="shared" si="1"/>
        <v>0</v>
      </c>
      <c r="U21" s="10"/>
      <c r="V21" s="10"/>
      <c r="W21" s="10"/>
      <c r="X21" s="11"/>
      <c r="Y21" s="10"/>
      <c r="Z21" s="11"/>
      <c r="AA21" s="30"/>
      <c r="AB21" s="30"/>
      <c r="AC21" s="33">
        <f t="shared" si="2"/>
        <v>0</v>
      </c>
      <c r="AD21" s="12">
        <f t="shared" si="3"/>
        <v>0</v>
      </c>
      <c r="AE21" s="39"/>
      <c r="AF21" s="39"/>
      <c r="AG21" s="39"/>
      <c r="AH21" s="39"/>
      <c r="AI21" s="39"/>
      <c r="AJ21"/>
    </row>
    <row r="22" spans="1:36" x14ac:dyDescent="0.2">
      <c r="A22" s="5">
        <f>DAY(Kalenteri!A77)</f>
        <v>18</v>
      </c>
      <c r="B22" s="3" t="str">
        <f>IF(Kalenteri!B77=1,"su",IF(Kalenteri!B77=2,"ma",IF(Kalenteri!B77=3,"ti",IF(Kalenteri!B77=4,"ke",IF(Kalenteri!B77=5,"to",IF(Kalenteri!B77=6,"pe",IF(Kalenteri!B77=7,"la",)))))))</f>
        <v>ma</v>
      </c>
      <c r="C22" s="18">
        <v>52</v>
      </c>
      <c r="D22" s="10">
        <v>1</v>
      </c>
      <c r="E22" s="10"/>
      <c r="F22" s="11"/>
      <c r="G22" s="18" t="s">
        <v>194</v>
      </c>
      <c r="H22" s="11"/>
      <c r="I22" s="18"/>
      <c r="J22" s="11"/>
      <c r="K22" s="33">
        <f t="shared" si="0"/>
        <v>53</v>
      </c>
      <c r="L22" s="10"/>
      <c r="M22" s="10"/>
      <c r="N22" s="10"/>
      <c r="O22" s="11"/>
      <c r="P22" s="10"/>
      <c r="Q22" s="11"/>
      <c r="R22" s="30"/>
      <c r="S22" s="30"/>
      <c r="T22" s="33">
        <f t="shared" si="1"/>
        <v>0</v>
      </c>
      <c r="U22" s="10"/>
      <c r="V22" s="10"/>
      <c r="W22" s="10"/>
      <c r="X22" s="11"/>
      <c r="Y22" s="10"/>
      <c r="Z22" s="11"/>
      <c r="AA22" s="30"/>
      <c r="AB22" s="30"/>
      <c r="AC22" s="33">
        <f t="shared" si="2"/>
        <v>0</v>
      </c>
      <c r="AD22" s="12">
        <f t="shared" si="3"/>
        <v>53</v>
      </c>
      <c r="AE22" s="39"/>
      <c r="AF22" s="39"/>
      <c r="AG22" s="39"/>
      <c r="AH22" s="39"/>
      <c r="AI22" s="39"/>
      <c r="AJ22"/>
    </row>
    <row r="23" spans="1:36" x14ac:dyDescent="0.2">
      <c r="A23" s="5">
        <f>DAY(Kalenteri!A78)</f>
        <v>19</v>
      </c>
      <c r="B23" s="3" t="str">
        <f>IF(Kalenteri!B78=1,"su",IF(Kalenteri!B78=2,"ma",IF(Kalenteri!B78=3,"ti",IF(Kalenteri!B78=4,"ke",IF(Kalenteri!B78=5,"to",IF(Kalenteri!B78=6,"pe",IF(Kalenteri!B78=7,"la",)))))))</f>
        <v>ti</v>
      </c>
      <c r="C23" s="18"/>
      <c r="D23" s="10"/>
      <c r="E23" s="10"/>
      <c r="F23" s="11"/>
      <c r="G23" s="18"/>
      <c r="H23" s="11"/>
      <c r="I23" s="18"/>
      <c r="J23" s="11"/>
      <c r="K23" s="33">
        <f t="shared" si="0"/>
        <v>0</v>
      </c>
      <c r="L23" s="10"/>
      <c r="M23" s="10"/>
      <c r="N23" s="10"/>
      <c r="O23" s="11"/>
      <c r="P23" s="10"/>
      <c r="Q23" s="11"/>
      <c r="R23" s="30"/>
      <c r="S23" s="30"/>
      <c r="T23" s="33">
        <f t="shared" si="1"/>
        <v>0</v>
      </c>
      <c r="U23" s="10"/>
      <c r="V23" s="10"/>
      <c r="W23" s="10"/>
      <c r="X23" s="11"/>
      <c r="Y23" s="10"/>
      <c r="Z23" s="11"/>
      <c r="AA23" s="30"/>
      <c r="AB23" s="30"/>
      <c r="AC23" s="33">
        <f t="shared" si="2"/>
        <v>0</v>
      </c>
      <c r="AD23" s="12">
        <f t="shared" si="3"/>
        <v>0</v>
      </c>
      <c r="AE23" s="39"/>
      <c r="AF23" s="39"/>
      <c r="AG23" s="39"/>
      <c r="AH23" s="39"/>
      <c r="AI23" s="39"/>
      <c r="AJ23"/>
    </row>
    <row r="24" spans="1:36" x14ac:dyDescent="0.2">
      <c r="A24" s="5">
        <f>DAY(Kalenteri!A79)</f>
        <v>20</v>
      </c>
      <c r="B24" s="3" t="str">
        <f>IF(Kalenteri!B79=1,"su",IF(Kalenteri!B79=2,"ma",IF(Kalenteri!B79=3,"ti",IF(Kalenteri!B79=4,"ke",IF(Kalenteri!B79=5,"to",IF(Kalenteri!B79=6,"pe",IF(Kalenteri!B79=7,"la",)))))))</f>
        <v>ke</v>
      </c>
      <c r="C24" s="18"/>
      <c r="D24" s="10"/>
      <c r="E24" s="10"/>
      <c r="F24" s="11"/>
      <c r="G24" s="18"/>
      <c r="H24" s="11"/>
      <c r="I24" s="18"/>
      <c r="J24" s="11"/>
      <c r="K24" s="33">
        <f t="shared" si="0"/>
        <v>0</v>
      </c>
      <c r="L24" s="10"/>
      <c r="M24" s="10"/>
      <c r="N24" s="10"/>
      <c r="O24" s="11"/>
      <c r="P24" s="10"/>
      <c r="Q24" s="11"/>
      <c r="R24" s="30"/>
      <c r="S24" s="30"/>
      <c r="T24" s="33">
        <f t="shared" si="1"/>
        <v>0</v>
      </c>
      <c r="U24" s="10"/>
      <c r="V24" s="10"/>
      <c r="W24" s="10"/>
      <c r="X24" s="11"/>
      <c r="Y24" s="10"/>
      <c r="Z24" s="11"/>
      <c r="AA24" s="30"/>
      <c r="AB24" s="30"/>
      <c r="AC24" s="33">
        <f t="shared" si="2"/>
        <v>0</v>
      </c>
      <c r="AD24" s="12">
        <f t="shared" si="3"/>
        <v>0</v>
      </c>
      <c r="AE24" s="39"/>
      <c r="AF24" s="39"/>
      <c r="AG24" s="39"/>
      <c r="AH24" s="39"/>
      <c r="AI24" s="39"/>
      <c r="AJ24" s="39"/>
    </row>
    <row r="25" spans="1:36" x14ac:dyDescent="0.2">
      <c r="A25" s="5">
        <f>DAY(Kalenteri!A80)</f>
        <v>21</v>
      </c>
      <c r="B25" s="3" t="str">
        <f>IF(Kalenteri!B80=1,"su",IF(Kalenteri!B80=2,"ma",IF(Kalenteri!B80=3,"ti",IF(Kalenteri!B80=4,"ke",IF(Kalenteri!B80=5,"to",IF(Kalenteri!B80=6,"pe",IF(Kalenteri!B80=7,"la",)))))))</f>
        <v>to</v>
      </c>
      <c r="C25" s="18"/>
      <c r="D25" s="10"/>
      <c r="E25" s="10"/>
      <c r="F25" s="11"/>
      <c r="G25" s="18"/>
      <c r="H25" s="11"/>
      <c r="I25" s="18"/>
      <c r="J25" s="11"/>
      <c r="K25" s="33">
        <f t="shared" si="0"/>
        <v>0</v>
      </c>
      <c r="L25" s="10"/>
      <c r="M25" s="10"/>
      <c r="N25" s="10"/>
      <c r="O25" s="11"/>
      <c r="P25" s="10"/>
      <c r="Q25" s="11"/>
      <c r="R25" s="30"/>
      <c r="S25" s="30"/>
      <c r="T25" s="33">
        <f t="shared" si="1"/>
        <v>0</v>
      </c>
      <c r="U25" s="10"/>
      <c r="V25" s="10"/>
      <c r="W25" s="10"/>
      <c r="X25" s="11"/>
      <c r="Y25" s="10"/>
      <c r="Z25" s="11"/>
      <c r="AA25" s="30"/>
      <c r="AB25" s="30"/>
      <c r="AC25" s="33">
        <f t="shared" si="2"/>
        <v>0</v>
      </c>
      <c r="AD25" s="12">
        <f t="shared" si="3"/>
        <v>0</v>
      </c>
      <c r="AE25" s="39"/>
      <c r="AF25" s="39"/>
      <c r="AG25" s="39"/>
      <c r="AH25" s="39"/>
      <c r="AI25" s="39"/>
      <c r="AJ25" s="39"/>
    </row>
    <row r="26" spans="1:36" x14ac:dyDescent="0.2">
      <c r="A26" s="5">
        <f>DAY(Kalenteri!A81)</f>
        <v>22</v>
      </c>
      <c r="B26" s="3" t="str">
        <f>IF(Kalenteri!B81=1,"su",IF(Kalenteri!B81=2,"ma",IF(Kalenteri!B81=3,"ti",IF(Kalenteri!B81=4,"ke",IF(Kalenteri!B81=5,"to",IF(Kalenteri!B81=6,"pe",IF(Kalenteri!B81=7,"la",)))))))</f>
        <v>pe</v>
      </c>
      <c r="C26" s="18"/>
      <c r="D26" s="10"/>
      <c r="E26" s="10"/>
      <c r="F26" s="11"/>
      <c r="G26" s="18"/>
      <c r="H26" s="11"/>
      <c r="I26" s="18"/>
      <c r="J26" s="11"/>
      <c r="K26" s="33">
        <f t="shared" si="0"/>
        <v>0</v>
      </c>
      <c r="L26" s="10"/>
      <c r="M26" s="10"/>
      <c r="N26" s="10"/>
      <c r="O26" s="11"/>
      <c r="P26" s="10"/>
      <c r="Q26" s="11"/>
      <c r="R26" s="30"/>
      <c r="S26" s="30"/>
      <c r="T26" s="33">
        <f t="shared" si="1"/>
        <v>0</v>
      </c>
      <c r="U26" s="10"/>
      <c r="V26" s="10"/>
      <c r="W26" s="10"/>
      <c r="X26" s="11"/>
      <c r="Y26" s="10"/>
      <c r="Z26" s="11"/>
      <c r="AA26" s="30"/>
      <c r="AB26" s="30"/>
      <c r="AC26" s="33">
        <f t="shared" si="2"/>
        <v>0</v>
      </c>
      <c r="AD26" s="12">
        <f t="shared" si="3"/>
        <v>0</v>
      </c>
      <c r="AE26" s="39"/>
      <c r="AF26" s="39"/>
      <c r="AG26" s="39"/>
      <c r="AH26" s="39"/>
      <c r="AI26" s="39"/>
      <c r="AJ26" s="39"/>
    </row>
    <row r="27" spans="1:36" x14ac:dyDescent="0.2">
      <c r="A27" s="5">
        <f>DAY(Kalenteri!A82)</f>
        <v>23</v>
      </c>
      <c r="B27" s="3" t="str">
        <f>IF(Kalenteri!B82=1,"su",IF(Kalenteri!B82=2,"ma",IF(Kalenteri!B82=3,"ti",IF(Kalenteri!B82=4,"ke",IF(Kalenteri!B82=5,"to",IF(Kalenteri!B82=6,"pe",IF(Kalenteri!B82=7,"la",)))))))</f>
        <v>la</v>
      </c>
      <c r="C27" s="18"/>
      <c r="D27" s="10"/>
      <c r="E27" s="10"/>
      <c r="F27" s="11"/>
      <c r="G27" s="18"/>
      <c r="H27" s="11"/>
      <c r="I27" s="18"/>
      <c r="J27" s="11"/>
      <c r="K27" s="33">
        <f t="shared" si="0"/>
        <v>0</v>
      </c>
      <c r="L27" s="10"/>
      <c r="M27" s="10"/>
      <c r="N27" s="10"/>
      <c r="O27" s="11"/>
      <c r="P27" s="10"/>
      <c r="Q27" s="11"/>
      <c r="R27" s="30"/>
      <c r="S27" s="30"/>
      <c r="T27" s="33">
        <f t="shared" si="1"/>
        <v>0</v>
      </c>
      <c r="U27" s="10"/>
      <c r="V27" s="10"/>
      <c r="W27" s="10"/>
      <c r="X27" s="11"/>
      <c r="Y27" s="10"/>
      <c r="Z27" s="11"/>
      <c r="AA27" s="30"/>
      <c r="AB27" s="30"/>
      <c r="AC27" s="33">
        <f t="shared" si="2"/>
        <v>0</v>
      </c>
      <c r="AD27" s="12">
        <f t="shared" si="3"/>
        <v>0</v>
      </c>
      <c r="AE27" s="39"/>
      <c r="AF27" s="39"/>
      <c r="AG27" s="39"/>
      <c r="AH27" s="39"/>
      <c r="AI27" s="39"/>
      <c r="AJ27" s="39"/>
    </row>
    <row r="28" spans="1:36" x14ac:dyDescent="0.2">
      <c r="A28" s="5">
        <f>DAY(Kalenteri!A83)</f>
        <v>24</v>
      </c>
      <c r="B28" s="3" t="str">
        <f>IF(Kalenteri!B83=1,"su",IF(Kalenteri!B83=2,"ma",IF(Kalenteri!B83=3,"ti",IF(Kalenteri!B83=4,"ke",IF(Kalenteri!B83=5,"to",IF(Kalenteri!B83=6,"pe",IF(Kalenteri!B83=7,"la",)))))))</f>
        <v>su</v>
      </c>
      <c r="C28" s="18"/>
      <c r="D28" s="10"/>
      <c r="E28" s="10"/>
      <c r="F28" s="11"/>
      <c r="G28" s="18"/>
      <c r="H28" s="11"/>
      <c r="I28" s="18"/>
      <c r="J28" s="11"/>
      <c r="K28" s="33">
        <f t="shared" si="0"/>
        <v>0</v>
      </c>
      <c r="L28" s="10"/>
      <c r="M28" s="10"/>
      <c r="N28" s="10"/>
      <c r="O28" s="11"/>
      <c r="P28" s="10"/>
      <c r="Q28" s="11"/>
      <c r="R28" s="30"/>
      <c r="S28" s="30"/>
      <c r="T28" s="33">
        <f t="shared" si="1"/>
        <v>0</v>
      </c>
      <c r="U28" s="10"/>
      <c r="V28" s="10"/>
      <c r="W28" s="10"/>
      <c r="X28" s="11"/>
      <c r="Y28" s="10"/>
      <c r="Z28" s="11"/>
      <c r="AA28" s="30"/>
      <c r="AB28" s="30"/>
      <c r="AC28" s="33">
        <f t="shared" si="2"/>
        <v>0</v>
      </c>
      <c r="AD28" s="12">
        <f t="shared" si="3"/>
        <v>0</v>
      </c>
      <c r="AE28" s="39"/>
      <c r="AF28" s="39"/>
      <c r="AG28" s="39"/>
      <c r="AH28" s="39"/>
      <c r="AI28" s="39"/>
      <c r="AJ28" s="39"/>
    </row>
    <row r="29" spans="1:36" x14ac:dyDescent="0.2">
      <c r="A29" s="5">
        <f>DAY(Kalenteri!A84)</f>
        <v>25</v>
      </c>
      <c r="B29" s="3" t="str">
        <f>IF(Kalenteri!B84=1,"su",IF(Kalenteri!B84=2,"ma",IF(Kalenteri!B84=3,"ti",IF(Kalenteri!B84=4,"ke",IF(Kalenteri!B84=5,"to",IF(Kalenteri!B84=6,"pe",IF(Kalenteri!B84=7,"la",)))))))</f>
        <v>ma</v>
      </c>
      <c r="C29" s="18">
        <v>77</v>
      </c>
      <c r="D29" s="10">
        <v>7</v>
      </c>
      <c r="E29" s="10"/>
      <c r="F29" s="11"/>
      <c r="G29" s="18" t="s">
        <v>195</v>
      </c>
      <c r="H29" s="11"/>
      <c r="I29" s="18"/>
      <c r="J29" s="11"/>
      <c r="K29" s="33">
        <f t="shared" si="0"/>
        <v>84</v>
      </c>
      <c r="L29" s="10"/>
      <c r="M29" s="10"/>
      <c r="N29" s="10"/>
      <c r="O29" s="11"/>
      <c r="P29" s="10"/>
      <c r="Q29" s="11"/>
      <c r="R29" s="30"/>
      <c r="S29" s="30"/>
      <c r="T29" s="33">
        <f t="shared" si="1"/>
        <v>0</v>
      </c>
      <c r="U29" s="10"/>
      <c r="V29" s="10"/>
      <c r="W29" s="10"/>
      <c r="X29" s="11"/>
      <c r="Y29" s="10"/>
      <c r="Z29" s="11"/>
      <c r="AA29" s="30"/>
      <c r="AB29" s="30"/>
      <c r="AC29" s="33">
        <f t="shared" si="2"/>
        <v>0</v>
      </c>
      <c r="AD29" s="12">
        <f t="shared" si="3"/>
        <v>84</v>
      </c>
      <c r="AE29" s="39"/>
      <c r="AF29" s="39"/>
      <c r="AG29" s="39"/>
      <c r="AH29" s="39"/>
      <c r="AI29" s="39"/>
      <c r="AJ29" s="39"/>
    </row>
    <row r="30" spans="1:36" x14ac:dyDescent="0.2">
      <c r="A30" s="5">
        <f>DAY(Kalenteri!A85)</f>
        <v>26</v>
      </c>
      <c r="B30" s="3" t="str">
        <f>IF(Kalenteri!B85=1,"su",IF(Kalenteri!B85=2,"ma",IF(Kalenteri!B85=3,"ti",IF(Kalenteri!B85=4,"ke",IF(Kalenteri!B85=5,"to",IF(Kalenteri!B85=6,"pe",IF(Kalenteri!B85=7,"la",)))))))</f>
        <v>ti</v>
      </c>
      <c r="C30" s="18"/>
      <c r="D30" s="10"/>
      <c r="E30" s="10"/>
      <c r="F30" s="11"/>
      <c r="G30" s="18"/>
      <c r="H30" s="11"/>
      <c r="I30" s="18"/>
      <c r="J30" s="11"/>
      <c r="K30" s="33">
        <f t="shared" si="0"/>
        <v>0</v>
      </c>
      <c r="L30" s="10"/>
      <c r="M30" s="10"/>
      <c r="N30" s="10"/>
      <c r="O30" s="11"/>
      <c r="P30" s="10"/>
      <c r="Q30" s="11"/>
      <c r="R30" s="30"/>
      <c r="S30" s="30"/>
      <c r="T30" s="33">
        <f t="shared" si="1"/>
        <v>0</v>
      </c>
      <c r="U30" s="10"/>
      <c r="V30" s="10"/>
      <c r="W30" s="10"/>
      <c r="X30" s="11"/>
      <c r="Y30" s="10"/>
      <c r="Z30" s="11"/>
      <c r="AA30" s="30"/>
      <c r="AB30" s="30"/>
      <c r="AC30" s="33">
        <f t="shared" si="2"/>
        <v>0</v>
      </c>
      <c r="AD30" s="12">
        <f t="shared" si="3"/>
        <v>0</v>
      </c>
      <c r="AE30" s="39"/>
      <c r="AF30" s="39"/>
      <c r="AG30" s="39"/>
      <c r="AH30" s="39"/>
      <c r="AI30" s="39"/>
      <c r="AJ30" s="39"/>
    </row>
    <row r="31" spans="1:36" x14ac:dyDescent="0.2">
      <c r="A31" s="5">
        <f>DAY(Kalenteri!A86)</f>
        <v>27</v>
      </c>
      <c r="B31" s="3" t="str">
        <f>IF(Kalenteri!B86=1,"su",IF(Kalenteri!B86=2,"ma",IF(Kalenteri!B86=3,"ti",IF(Kalenteri!B86=4,"ke",IF(Kalenteri!B86=5,"to",IF(Kalenteri!B86=6,"pe",IF(Kalenteri!B86=7,"la",)))))))</f>
        <v>ke</v>
      </c>
      <c r="C31" s="18"/>
      <c r="D31" s="10"/>
      <c r="E31" s="10"/>
      <c r="F31" s="11"/>
      <c r="G31" s="18"/>
      <c r="H31" s="11"/>
      <c r="I31" s="18"/>
      <c r="J31" s="11"/>
      <c r="K31" s="33">
        <f t="shared" si="0"/>
        <v>0</v>
      </c>
      <c r="L31" s="10"/>
      <c r="M31" s="10"/>
      <c r="N31" s="10"/>
      <c r="O31" s="11"/>
      <c r="P31" s="10"/>
      <c r="Q31" s="11"/>
      <c r="R31" s="30"/>
      <c r="S31" s="30"/>
      <c r="T31" s="33">
        <f t="shared" si="1"/>
        <v>0</v>
      </c>
      <c r="U31" s="10"/>
      <c r="V31" s="10"/>
      <c r="W31" s="10"/>
      <c r="X31" s="11"/>
      <c r="Y31" s="10"/>
      <c r="Z31" s="11"/>
      <c r="AA31" s="30"/>
      <c r="AB31" s="30"/>
      <c r="AC31" s="33">
        <f t="shared" si="2"/>
        <v>0</v>
      </c>
      <c r="AD31" s="12">
        <f t="shared" si="3"/>
        <v>0</v>
      </c>
      <c r="AE31" s="39"/>
      <c r="AF31" s="39"/>
      <c r="AG31" s="39"/>
      <c r="AH31" s="39"/>
      <c r="AI31" s="39"/>
      <c r="AJ31" s="39"/>
    </row>
    <row r="32" spans="1:36" x14ac:dyDescent="0.2">
      <c r="A32" s="5">
        <f>DAY(Kalenteri!A87)</f>
        <v>28</v>
      </c>
      <c r="B32" s="3" t="str">
        <f>IF(Kalenteri!B87=1,"su",IF(Kalenteri!B87=2,"ma",IF(Kalenteri!B87=3,"ti",IF(Kalenteri!B87=4,"ke",IF(Kalenteri!B87=5,"to",IF(Kalenteri!B87=6,"pe",IF(Kalenteri!B87=7,"la",)))))))</f>
        <v>to</v>
      </c>
      <c r="C32" s="18"/>
      <c r="D32" s="10"/>
      <c r="E32" s="10"/>
      <c r="F32" s="11"/>
      <c r="G32" s="18"/>
      <c r="H32" s="11"/>
      <c r="I32" s="18"/>
      <c r="J32" s="11"/>
      <c r="K32" s="33">
        <f t="shared" si="0"/>
        <v>0</v>
      </c>
      <c r="L32" s="10"/>
      <c r="M32" s="10"/>
      <c r="N32" s="10"/>
      <c r="O32" s="11"/>
      <c r="P32" s="10"/>
      <c r="Q32" s="11"/>
      <c r="R32" s="30"/>
      <c r="S32" s="30"/>
      <c r="T32" s="33">
        <f t="shared" si="1"/>
        <v>0</v>
      </c>
      <c r="U32" s="10"/>
      <c r="V32" s="10"/>
      <c r="W32" s="10"/>
      <c r="X32" s="11"/>
      <c r="Y32" s="10"/>
      <c r="Z32" s="11"/>
      <c r="AA32" s="30"/>
      <c r="AB32" s="30"/>
      <c r="AC32" s="33">
        <f t="shared" si="2"/>
        <v>0</v>
      </c>
      <c r="AD32" s="12">
        <f t="shared" si="3"/>
        <v>0</v>
      </c>
      <c r="AE32" s="39"/>
      <c r="AF32" s="39"/>
      <c r="AG32" s="39"/>
      <c r="AH32" s="39"/>
      <c r="AI32" s="39"/>
      <c r="AJ32" s="39"/>
    </row>
    <row r="33" spans="1:36" x14ac:dyDescent="0.2">
      <c r="A33" s="5">
        <f>DAY(Kalenteri!A88)</f>
        <v>29</v>
      </c>
      <c r="B33" s="3" t="str">
        <f>IF(Kalenteri!B88=1,"su",IF(Kalenteri!B88=2,"ma",IF(Kalenteri!B88=3,"ti",IF(Kalenteri!B88=4,"ke",IF(Kalenteri!B88=5,"to",IF(Kalenteri!B88=6,"pe",IF(Kalenteri!B88=7,"la",)))))))</f>
        <v>pe</v>
      </c>
      <c r="C33" s="18"/>
      <c r="D33" s="10"/>
      <c r="E33" s="10"/>
      <c r="F33" s="11"/>
      <c r="G33" s="18"/>
      <c r="H33" s="11"/>
      <c r="I33" s="18"/>
      <c r="J33" s="11"/>
      <c r="K33" s="33">
        <f t="shared" si="0"/>
        <v>0</v>
      </c>
      <c r="L33" s="10"/>
      <c r="M33" s="10"/>
      <c r="N33" s="10"/>
      <c r="O33" s="11"/>
      <c r="P33" s="10"/>
      <c r="Q33" s="11"/>
      <c r="R33" s="30"/>
      <c r="S33" s="30"/>
      <c r="T33" s="33">
        <f t="shared" si="1"/>
        <v>0</v>
      </c>
      <c r="U33" s="10"/>
      <c r="V33" s="10"/>
      <c r="W33" s="10"/>
      <c r="X33" s="11"/>
      <c r="Y33" s="10"/>
      <c r="Z33" s="11"/>
      <c r="AA33" s="30"/>
      <c r="AB33" s="30"/>
      <c r="AC33" s="33">
        <f t="shared" si="2"/>
        <v>0</v>
      </c>
      <c r="AD33" s="12">
        <f t="shared" si="3"/>
        <v>0</v>
      </c>
      <c r="AE33" s="39"/>
      <c r="AF33" s="39"/>
      <c r="AG33" s="39"/>
      <c r="AH33" s="39"/>
      <c r="AI33" s="39"/>
      <c r="AJ33" s="39"/>
    </row>
    <row r="34" spans="1:36" x14ac:dyDescent="0.2">
      <c r="A34" s="5">
        <f>DAY(Kalenteri!A89)</f>
        <v>30</v>
      </c>
      <c r="B34" s="3" t="str">
        <f>IF(Kalenteri!B89=1,"su",IF(Kalenteri!B89=2,"ma",IF(Kalenteri!B89=3,"ti",IF(Kalenteri!B89=4,"ke",IF(Kalenteri!B89=5,"to",IF(Kalenteri!B89=6,"pe",IF(Kalenteri!B89=7,"la",)))))))</f>
        <v>la</v>
      </c>
      <c r="C34" s="18"/>
      <c r="D34" s="10"/>
      <c r="E34" s="10"/>
      <c r="F34" s="11"/>
      <c r="G34" s="18"/>
      <c r="H34" s="11"/>
      <c r="I34" s="18"/>
      <c r="J34" s="11"/>
      <c r="K34" s="33">
        <f t="shared" si="0"/>
        <v>0</v>
      </c>
      <c r="L34" s="10"/>
      <c r="M34" s="10"/>
      <c r="N34" s="10"/>
      <c r="O34" s="11"/>
      <c r="P34" s="10"/>
      <c r="Q34" s="11"/>
      <c r="R34" s="30"/>
      <c r="S34" s="30"/>
      <c r="T34" s="33">
        <f t="shared" si="1"/>
        <v>0</v>
      </c>
      <c r="U34" s="10"/>
      <c r="V34" s="10"/>
      <c r="W34" s="10"/>
      <c r="X34" s="11"/>
      <c r="Y34" s="10"/>
      <c r="Z34" s="11"/>
      <c r="AA34" s="30"/>
      <c r="AB34" s="30"/>
      <c r="AC34" s="33">
        <f t="shared" si="2"/>
        <v>0</v>
      </c>
      <c r="AD34" s="12">
        <f t="shared" si="3"/>
        <v>0</v>
      </c>
      <c r="AE34" s="39"/>
      <c r="AF34" s="39"/>
      <c r="AG34" s="39"/>
      <c r="AH34" s="39"/>
      <c r="AI34" s="39"/>
      <c r="AJ34" s="39"/>
    </row>
    <row r="35" spans="1:36" x14ac:dyDescent="0.2">
      <c r="A35" s="5">
        <f>DAY(Kalenteri!A90)</f>
        <v>31</v>
      </c>
      <c r="B35" s="3" t="str">
        <f>IF(Kalenteri!B90=1,"su",IF(Kalenteri!B90=2,"ma",IF(Kalenteri!B90=3,"ti",IF(Kalenteri!B90=4,"ke",IF(Kalenteri!B90=5,"to",IF(Kalenteri!B90=6,"pe",IF(Kalenteri!B90=7,"la",)))))))</f>
        <v>su</v>
      </c>
      <c r="C35" s="79"/>
      <c r="D35" s="80"/>
      <c r="E35" s="80"/>
      <c r="F35" s="81"/>
      <c r="G35" s="79"/>
      <c r="H35" s="81"/>
      <c r="I35" s="79"/>
      <c r="J35" s="81"/>
      <c r="K35" s="34">
        <f t="shared" si="0"/>
        <v>0</v>
      </c>
      <c r="L35" s="20"/>
      <c r="M35" s="20"/>
      <c r="N35" s="20"/>
      <c r="O35" s="21"/>
      <c r="P35" s="20"/>
      <c r="Q35" s="21"/>
      <c r="R35" s="31"/>
      <c r="S35" s="31"/>
      <c r="T35" s="34">
        <f t="shared" si="1"/>
        <v>0</v>
      </c>
      <c r="U35" s="20"/>
      <c r="V35" s="20"/>
      <c r="W35" s="20"/>
      <c r="X35" s="21"/>
      <c r="Y35" s="20"/>
      <c r="Z35" s="21"/>
      <c r="AA35" s="31"/>
      <c r="AB35" s="31"/>
      <c r="AC35" s="34">
        <f t="shared" si="2"/>
        <v>0</v>
      </c>
      <c r="AD35" s="19">
        <f t="shared" si="3"/>
        <v>0</v>
      </c>
      <c r="AE35" s="39"/>
      <c r="AF35" s="39"/>
      <c r="AG35" s="39"/>
      <c r="AH35" s="39"/>
      <c r="AI35" s="39"/>
      <c r="AJ35" s="39"/>
    </row>
    <row r="36" spans="1:36" x14ac:dyDescent="0.2">
      <c r="A36" s="6"/>
      <c r="B36"/>
      <c r="C36" s="82">
        <f t="shared" ref="C36:J36" si="4">SUM(C5:C35)</f>
        <v>160</v>
      </c>
      <c r="D36" s="83">
        <f t="shared" si="4"/>
        <v>45</v>
      </c>
      <c r="E36" s="83">
        <f t="shared" si="4"/>
        <v>0</v>
      </c>
      <c r="F36" s="84">
        <f t="shared" si="4"/>
        <v>5</v>
      </c>
      <c r="G36" s="83">
        <f t="shared" si="4"/>
        <v>0</v>
      </c>
      <c r="H36" s="84">
        <f t="shared" si="4"/>
        <v>1</v>
      </c>
      <c r="I36" s="83">
        <f t="shared" si="4"/>
        <v>0</v>
      </c>
      <c r="J36" s="84">
        <f t="shared" si="4"/>
        <v>0</v>
      </c>
      <c r="K36" s="85">
        <f t="shared" si="0"/>
        <v>211</v>
      </c>
      <c r="L36" s="83">
        <f t="shared" ref="L36:S36" si="5">SUM(L5:L35)</f>
        <v>0</v>
      </c>
      <c r="M36" s="83">
        <f t="shared" si="5"/>
        <v>0</v>
      </c>
      <c r="N36" s="83">
        <f t="shared" si="5"/>
        <v>0</v>
      </c>
      <c r="O36" s="84">
        <f t="shared" si="5"/>
        <v>0</v>
      </c>
      <c r="P36" s="83">
        <f t="shared" si="5"/>
        <v>0</v>
      </c>
      <c r="Q36" s="84">
        <f t="shared" si="5"/>
        <v>0</v>
      </c>
      <c r="R36" s="86">
        <f t="shared" si="5"/>
        <v>0</v>
      </c>
      <c r="S36" s="86">
        <f t="shared" si="5"/>
        <v>0</v>
      </c>
      <c r="T36" s="85">
        <f t="shared" si="1"/>
        <v>0</v>
      </c>
      <c r="U36" s="83">
        <f t="shared" ref="U36:AB36" si="6">SUM(U5:U35)</f>
        <v>0</v>
      </c>
      <c r="V36" s="83">
        <f t="shared" si="6"/>
        <v>0</v>
      </c>
      <c r="W36" s="83">
        <f t="shared" si="6"/>
        <v>0</v>
      </c>
      <c r="X36" s="84">
        <f t="shared" si="6"/>
        <v>0</v>
      </c>
      <c r="Y36" s="83">
        <f t="shared" si="6"/>
        <v>0</v>
      </c>
      <c r="Z36" s="84">
        <f t="shared" si="6"/>
        <v>0</v>
      </c>
      <c r="AA36" s="86">
        <f t="shared" si="6"/>
        <v>0</v>
      </c>
      <c r="AB36" s="86">
        <f t="shared" si="6"/>
        <v>0</v>
      </c>
      <c r="AC36" s="85">
        <f t="shared" si="2"/>
        <v>0</v>
      </c>
      <c r="AD36" s="87">
        <f t="shared" si="3"/>
        <v>211</v>
      </c>
      <c r="AE36" s="66"/>
      <c r="AF36" s="66"/>
      <c r="AG36" s="66"/>
      <c r="AH36" s="66"/>
      <c r="AI36" s="66"/>
      <c r="AJ36" s="66"/>
    </row>
    <row r="37" spans="1:36" ht="8.1" customHeight="1" thickBot="1" x14ac:dyDescent="0.25">
      <c r="A37" s="6"/>
      <c r="B37"/>
      <c r="C37" s="2"/>
      <c r="D37" s="5"/>
      <c r="E37" s="5"/>
      <c r="F37" s="2"/>
      <c r="G37" s="2"/>
      <c r="H37" s="2"/>
      <c r="I37" s="5"/>
      <c r="J37" s="2"/>
      <c r="K37" s="2"/>
      <c r="L37" s="5"/>
      <c r="M37" s="2"/>
      <c r="N37" s="5"/>
      <c r="O37" s="5"/>
      <c r="P37" s="2"/>
      <c r="Q37" s="5"/>
      <c r="R37" s="42"/>
      <c r="S37" s="42"/>
      <c r="T37" s="2"/>
      <c r="U37" s="2"/>
      <c r="V37" s="2"/>
      <c r="W37" s="2"/>
      <c r="X37" s="5"/>
      <c r="Y37" s="2"/>
      <c r="Z37" s="2"/>
      <c r="AA37" s="39"/>
      <c r="AB37" s="39"/>
      <c r="AC37" s="5"/>
      <c r="AD37" s="40"/>
      <c r="AE37" s="40"/>
      <c r="AF37" s="40"/>
      <c r="AG37" s="40"/>
      <c r="AH37" s="40"/>
      <c r="AI37" s="40"/>
      <c r="AJ37" s="40"/>
    </row>
    <row r="38" spans="1:36" ht="24.95" customHeight="1" thickTop="1" x14ac:dyDescent="0.3">
      <c r="A38" s="6"/>
      <c r="B38"/>
      <c r="C38" s="171" t="str">
        <f>Kalenteri!E38</f>
        <v>Lippujen hinnat:</v>
      </c>
      <c r="D38" s="5"/>
      <c r="E38" s="5"/>
      <c r="F38" s="2"/>
      <c r="G38" s="2"/>
      <c r="H38" s="2"/>
      <c r="I38" s="5"/>
      <c r="J38" s="2"/>
      <c r="K38" s="2"/>
      <c r="L38" s="5"/>
      <c r="M38" s="2"/>
      <c r="N38" s="5"/>
      <c r="O38" s="5"/>
      <c r="P38" s="2"/>
      <c r="Q38"/>
      <c r="R38"/>
      <c r="S38"/>
      <c r="T38"/>
      <c r="U38" s="49" t="s">
        <v>40</v>
      </c>
      <c r="V38" s="50"/>
      <c r="W38" s="43"/>
      <c r="X38" s="44"/>
      <c r="Y38" s="43"/>
      <c r="Z38" s="43"/>
      <c r="AA38" s="44"/>
      <c r="AB38" s="44"/>
      <c r="AC38" s="47"/>
      <c r="AD38" s="45">
        <f>AD36</f>
        <v>211</v>
      </c>
      <c r="AE38" s="41"/>
      <c r="AF38" s="41"/>
      <c r="AG38" s="41"/>
      <c r="AH38" s="41"/>
      <c r="AI38" s="41"/>
      <c r="AJ38" s="41"/>
    </row>
    <row r="39" spans="1:36" ht="24.95" customHeight="1" x14ac:dyDescent="0.3">
      <c r="A39" s="6"/>
      <c r="B39"/>
      <c r="C39" s="193" t="str">
        <f>Kalenteri!E39</f>
        <v>Mustikkamaan kautta: 1.9.-30.4. aik. 10 €, lapset 5 €, kimppalippu 30 €    1.5.-30.8. aik. 12 €, lapset 6 €, kimppalippu 36 €</v>
      </c>
      <c r="D39" s="89"/>
      <c r="E39" s="89"/>
      <c r="F39" s="90"/>
      <c r="G39" s="102"/>
      <c r="H39" s="174"/>
      <c r="I39" s="89"/>
      <c r="J39" s="90"/>
      <c r="K39" s="90"/>
      <c r="L39" s="89"/>
      <c r="M39" s="90"/>
      <c r="N39" s="89"/>
      <c r="O39" s="89"/>
      <c r="P39" s="90"/>
      <c r="Q39" s="104"/>
      <c r="R39" s="103"/>
      <c r="S39"/>
      <c r="T39"/>
      <c r="U39" s="62" t="s">
        <v>13</v>
      </c>
      <c r="V39" s="52"/>
      <c r="W39" s="53"/>
      <c r="X39" s="54"/>
      <c r="Y39" s="53"/>
      <c r="Z39" s="53"/>
      <c r="AA39" s="54"/>
      <c r="AB39" s="54"/>
      <c r="AC39" s="55"/>
      <c r="AD39" s="56">
        <f>AD36-Edellisvuosi!D8</f>
        <v>190</v>
      </c>
      <c r="AE39" s="67"/>
      <c r="AF39" s="67"/>
      <c r="AG39" s="67"/>
      <c r="AH39" s="67"/>
      <c r="AI39" s="67"/>
      <c r="AJ39" s="67"/>
    </row>
    <row r="40" spans="1:36" ht="24.95" customHeight="1" x14ac:dyDescent="0.3">
      <c r="A40" s="6"/>
      <c r="B40" s="6"/>
      <c r="C40" s="194" t="str">
        <f>Kalenteri!E40</f>
        <v xml:space="preserve">                                    Vuosikortti:     aik. 50 €, lapset 20 €, perhekortti 100 €</v>
      </c>
      <c r="D40" s="39"/>
      <c r="E40" s="39"/>
      <c r="F40" s="42"/>
      <c r="G40" s="65"/>
      <c r="H40" s="176"/>
      <c r="I40" s="39"/>
      <c r="J40" s="42"/>
      <c r="K40" s="42"/>
      <c r="L40" s="39"/>
      <c r="M40" s="42"/>
      <c r="N40" s="39"/>
      <c r="O40" s="39"/>
      <c r="P40" s="39"/>
      <c r="Q40" s="23"/>
      <c r="R40" s="97"/>
      <c r="S40"/>
      <c r="T40"/>
      <c r="U40" s="63" t="s">
        <v>41</v>
      </c>
      <c r="V40" s="37"/>
      <c r="W40" s="51"/>
      <c r="X40" s="41"/>
      <c r="Y40" s="51"/>
      <c r="Z40" s="41"/>
      <c r="AA40" s="41"/>
      <c r="AB40" s="41"/>
      <c r="AC40" s="48"/>
      <c r="AD40" s="46">
        <f>AD36+'K1'!AD36+'K2'!AD36</f>
        <v>2192</v>
      </c>
      <c r="AE40" s="41"/>
      <c r="AF40" s="41"/>
      <c r="AG40" s="41"/>
      <c r="AH40" s="41"/>
      <c r="AI40" s="41"/>
      <c r="AJ40" s="41"/>
    </row>
    <row r="41" spans="1:36" ht="24.95" customHeight="1" thickBot="1" x14ac:dyDescent="0.35">
      <c r="A41" s="4"/>
      <c r="B41" s="4"/>
      <c r="C41" s="195" t="str">
        <f>Kalenteri!E41</f>
        <v>Vesibusseilla:             1.9.-30.4. aik. 16 €, lapset 8 €, kimppalippu 47 €    1.5.-31.8. aik. 18 €, lapset 9 €, kimppalippu 53 €</v>
      </c>
      <c r="D41" s="93"/>
      <c r="E41" s="93"/>
      <c r="F41" s="94"/>
      <c r="G41" s="94"/>
      <c r="H41" s="175"/>
      <c r="I41" s="93"/>
      <c r="J41" s="96"/>
      <c r="K41" s="96"/>
      <c r="L41" s="93"/>
      <c r="M41" s="95"/>
      <c r="N41" s="95"/>
      <c r="O41" s="93"/>
      <c r="P41" s="95"/>
      <c r="Q41" s="95"/>
      <c r="R41" s="98"/>
      <c r="S41"/>
      <c r="T41"/>
      <c r="U41" s="64" t="s">
        <v>13</v>
      </c>
      <c r="V41" s="57"/>
      <c r="W41" s="58"/>
      <c r="X41" s="59"/>
      <c r="Y41" s="59"/>
      <c r="Z41" s="59"/>
      <c r="AA41" s="59"/>
      <c r="AB41" s="59"/>
      <c r="AC41" s="60"/>
      <c r="AD41" s="61">
        <f>AD40-Edellisvuosi!B8-Edellisvuosi!C8-Edellisvuosi!D8</f>
        <v>1666</v>
      </c>
      <c r="AE41" s="68"/>
      <c r="AF41" s="68"/>
      <c r="AG41" s="68"/>
      <c r="AH41" s="68"/>
      <c r="AI41" s="68"/>
      <c r="AJ41" s="68"/>
    </row>
    <row r="42" spans="1:36" ht="13.5" thickTop="1" x14ac:dyDescent="0.2"/>
  </sheetData>
  <sheetProtection password="C4AC" sheet="1" objects="1" scenarios="1"/>
  <phoneticPr fontId="4" type="noConversion"/>
  <pageMargins left="0" right="0" top="0.27559055118110237" bottom="0" header="0" footer="0"/>
  <pageSetup paperSize="9" scale="75" fitToHeight="0" orientation="landscape" horizontalDpi="4294967292" verticalDpi="4294967292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1745" r:id="rId4" name="Button 1">
              <controlPr defaultSize="0" print="0" autoFill="0" autoLine="0" autoPict="0" macro="[1]!TAMMI">
                <anchor moveWithCells="1" sizeWithCells="1">
                  <from>
                    <xdr:col>35</xdr:col>
                    <xdr:colOff>0</xdr:colOff>
                    <xdr:row>3</xdr:row>
                    <xdr:rowOff>9525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6" r:id="rId5" name="Button 2">
              <controlPr defaultSize="0" print="0" autoFill="0" autoLine="0" autoPict="0" macro="[1]KTMAKRO!$A$1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7" r:id="rId6" name="Button 3">
              <controlPr defaultSize="0" print="0" autoFill="0" autoLine="0" autoPict="0" macro="[1]!MAALIS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8" r:id="rId7" name="Button 4">
              <controlPr defaultSize="0" print="0" autoFill="0" autoLine="0" autoPict="0" macro="[1]KTMAKRO!$D$1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9" r:id="rId8" name="Button 5">
              <controlPr defaultSize="0" print="0" autoFill="0" autoLine="0" autoPict="0" macro="[1]KTMAKRO!$E$1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0" r:id="rId9" name="Button 6">
              <controlPr defaultSize="0" print="0" autoFill="0" autoLine="0" autoPict="0" macro="[1]!KESÄ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1" r:id="rId10" name="Button 7">
              <controlPr defaultSize="0" print="0" autoFill="0" autoLine="0" autoPict="0" macro="[1]!HELMI">
                <anchor moveWithCells="1" sizeWithCells="1">
                  <from>
                    <xdr:col>35</xdr:col>
                    <xdr:colOff>0</xdr:colOff>
                    <xdr:row>3</xdr:row>
                    <xdr:rowOff>9525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2" r:id="rId11" name="Button 8">
              <controlPr defaultSize="0" print="0" autoFill="0" autoLine="0" autoPict="0" macro="[1]KTMAKRO!$G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3" r:id="rId12" name="Button 9">
              <controlPr defaultSize="0" print="0" autoFill="0" autoLine="0" autoPict="0" macro="[1]KTMAKRO!$I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4" r:id="rId13" name="Button 10">
              <controlPr defaultSize="0" print="0" autoFill="0" autoLine="0" autoPict="0" macro="[1]KTMAKRO!$J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5" r:id="rId14" name="Button 11">
              <controlPr defaultSize="0" print="0" autoFill="0" autoLine="0" autoPict="0" macro="[1]KTMAKRO!$K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6" r:id="rId15" name="Button 12">
              <controlPr defaultSize="0" print="0" autoFill="0" autoLine="0" autoPict="0" macro="[1]KTMAKRO!$L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7" r:id="rId16" name="Button 13">
              <controlPr defaultSize="0" print="0" autoFill="0" autoLine="0" autoPict="0" macro="[1]KTMAKRO!$H$1">
                <anchor moveWithCells="1" sizeWithCells="1">
                  <from>
                    <xdr:col>35</xdr:col>
                    <xdr:colOff>0</xdr:colOff>
                    <xdr:row>5</xdr:row>
                    <xdr:rowOff>0</xdr:rowOff>
                  </from>
                  <to>
                    <xdr:col>35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8" r:id="rId17" name="Button 14">
              <controlPr defaultSize="0" print="0" autoFill="0" autoLine="0" autoPict="0" macro="[1]!Yhteenveto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5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9" r:id="rId18" name="Button 15">
              <controlPr defaultSize="0" print="0" autoFill="0" autoLine="0" autoPict="0" macro="[1]!GRAFIIKKA1">
                <anchor moveWithCells="1" sizeWithCells="1">
                  <from>
                    <xdr:col>35</xdr:col>
                    <xdr:colOff>0</xdr:colOff>
                    <xdr:row>8</xdr:row>
                    <xdr:rowOff>142875</xdr:rowOff>
                  </from>
                  <to>
                    <xdr:col>35</xdr:col>
                    <xdr:colOff>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0" r:id="rId19" name="Button 16">
              <controlPr defaultSize="0" print="0" autoFill="0" autoLine="0" autoPict="0" macro="[1]!Grafiikka2">
                <anchor moveWithCells="1" sizeWithCells="1">
                  <from>
                    <xdr:col>35</xdr:col>
                    <xdr:colOff>0</xdr:colOff>
                    <xdr:row>8</xdr:row>
                    <xdr:rowOff>152400</xdr:rowOff>
                  </from>
                  <to>
                    <xdr:col>35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1" r:id="rId20" name="Button 17">
              <controlPr defaultSize="0" print="0" autoFill="0" autoLine="0" autoPict="0" macro="[1]!Grafiikka4">
                <anchor moveWithCells="1" sizeWithCells="1">
                  <from>
                    <xdr:col>35</xdr:col>
                    <xdr:colOff>0</xdr:colOff>
                    <xdr:row>8</xdr:row>
                    <xdr:rowOff>142875</xdr:rowOff>
                  </from>
                  <to>
                    <xdr:col>35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2" r:id="rId21" name="Button 18">
              <controlPr defaultSize="0" print="0" autoFill="0" autoLine="0" autoPict="0" macro="[1]!Grafiikka4">
                <anchor moveWithCells="1" sizeWithCells="1">
                  <from>
                    <xdr:col>35</xdr:col>
                    <xdr:colOff>0</xdr:colOff>
                    <xdr:row>8</xdr:row>
                    <xdr:rowOff>152400</xdr:rowOff>
                  </from>
                  <to>
                    <xdr:col>35</xdr:col>
                    <xdr:colOff>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3" r:id="rId22" name="Button 19">
              <controlPr defaultSize="0" print="0" autoFill="0" autoLine="0" autoPict="0" macro="[1]!Grafiikka5">
                <anchor moveWithCells="1" sizeWithCells="1">
                  <from>
                    <xdr:col>35</xdr:col>
                    <xdr:colOff>0</xdr:colOff>
                    <xdr:row>8</xdr:row>
                    <xdr:rowOff>152400</xdr:rowOff>
                  </from>
                  <to>
                    <xdr:col>35</xdr:col>
                    <xdr:colOff>0</xdr:colOff>
                    <xdr:row>12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4" r:id="rId23" name="Button 20">
              <controlPr defaultSize="0" print="0" autoFill="0" autoLine="0" autoPict="0" macro="[1]!Perusikkuna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12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/>
  <dimension ref="A1:AJ42"/>
  <sheetViews>
    <sheetView showGridLines="0" zoomScale="80" zoomScaleNormal="80" workbookViewId="0"/>
  </sheetViews>
  <sheetFormatPr defaultColWidth="9.75" defaultRowHeight="12.75" x14ac:dyDescent="0.2"/>
  <cols>
    <col min="1" max="1" width="3.75" style="1" customWidth="1"/>
    <col min="2" max="2" width="2.75" style="1" customWidth="1"/>
    <col min="3" max="4" width="6.125" style="1" customWidth="1"/>
    <col min="5" max="5" width="4" style="1" customWidth="1"/>
    <col min="6" max="6" width="4.5" style="1" customWidth="1"/>
    <col min="7" max="10" width="6.125" style="1" customWidth="1"/>
    <col min="11" max="11" width="5.875" style="1" customWidth="1"/>
    <col min="12" max="13" width="6.125" style="1" customWidth="1"/>
    <col min="14" max="14" width="5.25" style="1" customWidth="1"/>
    <col min="15" max="15" width="4.5" style="1" customWidth="1"/>
    <col min="16" max="16" width="6.125" style="1" customWidth="1"/>
    <col min="17" max="17" width="5.5" style="1" customWidth="1"/>
    <col min="18" max="19" width="6.125" style="1" customWidth="1"/>
    <col min="20" max="20" width="5.875" style="1" customWidth="1"/>
    <col min="21" max="22" width="6.125" style="1" customWidth="1"/>
    <col min="23" max="23" width="4.375" style="1" customWidth="1"/>
    <col min="24" max="24" width="4.25" style="1" customWidth="1"/>
    <col min="25" max="29" width="6.125" style="1" customWidth="1"/>
    <col min="30" max="36" width="15.625" style="1" customWidth="1"/>
  </cols>
  <sheetData>
    <row r="1" spans="1:36" ht="30" customHeight="1" x14ac:dyDescent="0.35">
      <c r="A1" s="22"/>
      <c r="B1" s="4"/>
      <c r="C1" s="105" t="s">
        <v>15</v>
      </c>
      <c r="D1" s="106"/>
      <c r="E1" s="106"/>
      <c r="F1" s="106"/>
      <c r="G1" s="106"/>
      <c r="H1" s="106"/>
      <c r="I1" s="106"/>
      <c r="J1" s="106"/>
      <c r="K1" s="106"/>
      <c r="L1" s="105" t="str">
        <f>Kalenteri!$H$1</f>
        <v>KÄVIJÄTILASTO 2013</v>
      </c>
      <c r="M1" s="107"/>
      <c r="N1" s="107"/>
      <c r="O1" s="107"/>
      <c r="P1" s="106"/>
      <c r="Q1" s="106"/>
      <c r="R1" s="105" t="s">
        <v>73</v>
      </c>
      <c r="S1" s="108"/>
      <c r="T1" s="106"/>
      <c r="U1" s="109"/>
      <c r="V1" s="105" t="s">
        <v>39</v>
      </c>
      <c r="W1" s="109"/>
      <c r="X1" s="106"/>
      <c r="Y1" s="106"/>
      <c r="Z1" s="106"/>
      <c r="AA1" s="106"/>
      <c r="AB1" s="106"/>
      <c r="AC1" s="106"/>
      <c r="AD1" s="110"/>
      <c r="AE1" s="4"/>
      <c r="AF1" s="4"/>
      <c r="AG1" s="4"/>
      <c r="AH1" s="4"/>
      <c r="AI1" s="4"/>
      <c r="AJ1" s="4"/>
    </row>
    <row r="2" spans="1:36" ht="30" customHeight="1" x14ac:dyDescent="0.3">
      <c r="A2" s="3"/>
      <c r="B2" s="4"/>
      <c r="C2" s="72"/>
      <c r="D2" s="73"/>
      <c r="E2" s="74" t="s">
        <v>1</v>
      </c>
      <c r="F2" s="75"/>
      <c r="G2" s="75"/>
      <c r="H2" s="75"/>
      <c r="I2" s="75"/>
      <c r="J2" s="75"/>
      <c r="K2" s="76"/>
      <c r="L2" s="72"/>
      <c r="M2" s="77"/>
      <c r="N2" s="73"/>
      <c r="O2" s="74" t="s">
        <v>2</v>
      </c>
      <c r="P2" s="75"/>
      <c r="Q2" s="75"/>
      <c r="R2" s="75"/>
      <c r="S2" s="75"/>
      <c r="T2" s="76"/>
      <c r="U2" s="72"/>
      <c r="V2" s="75"/>
      <c r="W2" s="73"/>
      <c r="X2" s="74" t="s">
        <v>3</v>
      </c>
      <c r="Y2" s="75"/>
      <c r="Z2" s="75"/>
      <c r="AA2" s="75"/>
      <c r="AB2" s="75"/>
      <c r="AC2" s="76"/>
      <c r="AD2" s="13"/>
      <c r="AE2" s="35"/>
      <c r="AF2" s="69"/>
      <c r="AG2" s="69"/>
      <c r="AH2" s="69"/>
      <c r="AI2" s="69"/>
      <c r="AJ2" s="69"/>
    </row>
    <row r="3" spans="1:36" x14ac:dyDescent="0.2">
      <c r="A3" s="4"/>
      <c r="B3" s="4"/>
      <c r="C3" s="24" t="s">
        <v>4</v>
      </c>
      <c r="D3" s="25"/>
      <c r="E3" s="25"/>
      <c r="F3" s="26"/>
      <c r="G3" s="24" t="s">
        <v>5</v>
      </c>
      <c r="H3" s="26"/>
      <c r="I3" s="25" t="s">
        <v>6</v>
      </c>
      <c r="J3" s="25"/>
      <c r="K3" s="27"/>
      <c r="L3" s="24" t="s">
        <v>4</v>
      </c>
      <c r="M3" s="25"/>
      <c r="N3" s="25"/>
      <c r="O3" s="26"/>
      <c r="P3" s="24" t="s">
        <v>5</v>
      </c>
      <c r="Q3" s="26"/>
      <c r="R3" s="25" t="s">
        <v>6</v>
      </c>
      <c r="S3" s="25"/>
      <c r="T3" s="27"/>
      <c r="U3" s="24" t="s">
        <v>4</v>
      </c>
      <c r="V3" s="25"/>
      <c r="W3" s="25"/>
      <c r="X3" s="26"/>
      <c r="Y3" s="24" t="s">
        <v>5</v>
      </c>
      <c r="Z3" s="26"/>
      <c r="AA3" s="25" t="s">
        <v>6</v>
      </c>
      <c r="AB3" s="25"/>
      <c r="AC3" s="27"/>
      <c r="AD3" s="36" t="s">
        <v>7</v>
      </c>
      <c r="AE3" s="38"/>
      <c r="AF3" s="70"/>
      <c r="AG3" s="70"/>
      <c r="AH3" s="70"/>
      <c r="AI3" s="70"/>
      <c r="AJ3"/>
    </row>
    <row r="4" spans="1:36" x14ac:dyDescent="0.2">
      <c r="A4" s="6"/>
      <c r="B4" s="4"/>
      <c r="C4" s="7" t="s">
        <v>8</v>
      </c>
      <c r="D4" s="8" t="s">
        <v>9</v>
      </c>
      <c r="E4" s="8" t="s">
        <v>10</v>
      </c>
      <c r="F4" s="9" t="s">
        <v>11</v>
      </c>
      <c r="G4" s="7" t="s">
        <v>8</v>
      </c>
      <c r="H4" s="9" t="s">
        <v>9</v>
      </c>
      <c r="I4" s="8" t="s">
        <v>8</v>
      </c>
      <c r="J4" s="8" t="s">
        <v>9</v>
      </c>
      <c r="K4" s="14" t="s">
        <v>0</v>
      </c>
      <c r="L4" s="7" t="s">
        <v>8</v>
      </c>
      <c r="M4" s="8" t="s">
        <v>9</v>
      </c>
      <c r="N4" s="8" t="s">
        <v>10</v>
      </c>
      <c r="O4" s="9" t="s">
        <v>11</v>
      </c>
      <c r="P4" s="7" t="s">
        <v>8</v>
      </c>
      <c r="Q4" s="9" t="s">
        <v>9</v>
      </c>
      <c r="R4" s="8" t="s">
        <v>8</v>
      </c>
      <c r="S4" s="8" t="s">
        <v>9</v>
      </c>
      <c r="T4" s="14" t="s">
        <v>0</v>
      </c>
      <c r="U4" s="7" t="s">
        <v>8</v>
      </c>
      <c r="V4" s="8" t="s">
        <v>9</v>
      </c>
      <c r="W4" s="8" t="s">
        <v>10</v>
      </c>
      <c r="X4" s="9" t="s">
        <v>11</v>
      </c>
      <c r="Y4" s="7" t="s">
        <v>8</v>
      </c>
      <c r="Z4" s="9" t="s">
        <v>9</v>
      </c>
      <c r="AA4" s="8" t="s">
        <v>8</v>
      </c>
      <c r="AB4" s="8" t="s">
        <v>9</v>
      </c>
      <c r="AC4" s="14" t="s">
        <v>0</v>
      </c>
      <c r="AD4" s="28"/>
      <c r="AE4" s="23"/>
      <c r="AF4" s="23"/>
      <c r="AG4" s="23"/>
      <c r="AH4" s="23"/>
      <c r="AI4" s="23"/>
      <c r="AJ4"/>
    </row>
    <row r="5" spans="1:36" x14ac:dyDescent="0.2">
      <c r="A5" s="5">
        <f>DAY(Kalenteri!A91)</f>
        <v>1</v>
      </c>
      <c r="B5" s="3" t="str">
        <f>IF(Kalenteri!B91=1,"su",IF(Kalenteri!B91=2,"ma",IF(Kalenteri!B91=3,"ti",IF(Kalenteri!B91=4,"ke",IF(Kalenteri!B91=5,"to",IF(Kalenteri!B91=6,"pe",IF(Kalenteri!B91=7,"la",)))))))</f>
        <v>ma</v>
      </c>
      <c r="C5" s="78" t="s">
        <v>196</v>
      </c>
      <c r="D5" s="15"/>
      <c r="E5" s="15"/>
      <c r="F5" s="16"/>
      <c r="G5" s="78"/>
      <c r="H5" s="16"/>
      <c r="I5" s="78"/>
      <c r="J5" s="16"/>
      <c r="K5" s="32">
        <f t="shared" ref="K5:K36" si="0">SUM(C5:J5)</f>
        <v>0</v>
      </c>
      <c r="L5" s="15"/>
      <c r="M5" s="15"/>
      <c r="N5" s="15"/>
      <c r="O5" s="16"/>
      <c r="P5" s="15"/>
      <c r="Q5" s="16"/>
      <c r="R5" s="29"/>
      <c r="S5" s="29"/>
      <c r="T5" s="32">
        <f t="shared" ref="T5:T36" si="1">SUM(L5:S5)</f>
        <v>0</v>
      </c>
      <c r="U5" s="15"/>
      <c r="V5" s="15"/>
      <c r="W5" s="15"/>
      <c r="X5" s="16"/>
      <c r="Y5" s="15"/>
      <c r="Z5" s="16"/>
      <c r="AA5" s="29"/>
      <c r="AB5" s="29"/>
      <c r="AC5" s="32">
        <f t="shared" ref="AC5:AC36" si="2">SUM(U5:AB5)</f>
        <v>0</v>
      </c>
      <c r="AD5" s="17">
        <f t="shared" ref="AD5:AD36" si="3">SUM(K5,T5,AC5)</f>
        <v>0</v>
      </c>
      <c r="AE5" s="39"/>
      <c r="AF5" s="39"/>
      <c r="AG5" s="39"/>
      <c r="AH5" s="39"/>
      <c r="AI5" s="39"/>
      <c r="AJ5"/>
    </row>
    <row r="6" spans="1:36" x14ac:dyDescent="0.2">
      <c r="A6" s="5">
        <f>DAY(Kalenteri!A92)</f>
        <v>2</v>
      </c>
      <c r="B6" s="3" t="str">
        <f>IF(Kalenteri!B92=1,"su",IF(Kalenteri!B92=2,"ma",IF(Kalenteri!B92=3,"ti",IF(Kalenteri!B92=4,"ke",IF(Kalenteri!B92=5,"to",IF(Kalenteri!B92=6,"pe",IF(Kalenteri!B92=7,"la",)))))))</f>
        <v>ti</v>
      </c>
      <c r="C6" s="18"/>
      <c r="D6" s="10"/>
      <c r="E6" s="10"/>
      <c r="F6" s="11"/>
      <c r="G6" s="18"/>
      <c r="H6" s="11"/>
      <c r="I6" s="18"/>
      <c r="J6" s="11"/>
      <c r="K6" s="33">
        <f t="shared" si="0"/>
        <v>0</v>
      </c>
      <c r="L6" s="10"/>
      <c r="M6" s="10"/>
      <c r="N6" s="10"/>
      <c r="O6" s="11"/>
      <c r="P6" s="10"/>
      <c r="Q6" s="11"/>
      <c r="R6" s="30"/>
      <c r="S6" s="30"/>
      <c r="T6" s="33">
        <f t="shared" si="1"/>
        <v>0</v>
      </c>
      <c r="U6" s="10"/>
      <c r="V6" s="10"/>
      <c r="W6" s="10"/>
      <c r="X6" s="11"/>
      <c r="Y6" s="10"/>
      <c r="Z6" s="11"/>
      <c r="AA6" s="30"/>
      <c r="AB6" s="30"/>
      <c r="AC6" s="33">
        <f t="shared" si="2"/>
        <v>0</v>
      </c>
      <c r="AD6" s="12">
        <f t="shared" si="3"/>
        <v>0</v>
      </c>
      <c r="AE6" s="39"/>
      <c r="AF6" s="39"/>
      <c r="AG6" s="39"/>
      <c r="AH6" s="39"/>
      <c r="AI6" s="39"/>
      <c r="AJ6"/>
    </row>
    <row r="7" spans="1:36" x14ac:dyDescent="0.2">
      <c r="A7" s="5">
        <f>DAY(Kalenteri!A93)</f>
        <v>3</v>
      </c>
      <c r="B7" s="3" t="str">
        <f>IF(Kalenteri!B93=1,"su",IF(Kalenteri!B93=2,"ma",IF(Kalenteri!B93=3,"ti",IF(Kalenteri!B93=4,"ke",IF(Kalenteri!B93=5,"to",IF(Kalenteri!B93=6,"pe",IF(Kalenteri!B93=7,"la",)))))))</f>
        <v>ke</v>
      </c>
      <c r="C7" s="18"/>
      <c r="D7" s="10"/>
      <c r="E7" s="10"/>
      <c r="F7" s="11"/>
      <c r="G7" s="18"/>
      <c r="H7" s="11"/>
      <c r="I7" s="18"/>
      <c r="J7" s="11"/>
      <c r="K7" s="33">
        <f t="shared" si="0"/>
        <v>0</v>
      </c>
      <c r="L7" s="10"/>
      <c r="M7" s="10"/>
      <c r="N7" s="10"/>
      <c r="O7" s="11"/>
      <c r="P7" s="10"/>
      <c r="Q7" s="11"/>
      <c r="R7" s="30"/>
      <c r="S7" s="30"/>
      <c r="T7" s="33">
        <f t="shared" si="1"/>
        <v>0</v>
      </c>
      <c r="U7" s="10"/>
      <c r="V7" s="10"/>
      <c r="W7" s="10"/>
      <c r="X7" s="11"/>
      <c r="Y7" s="10"/>
      <c r="Z7" s="11"/>
      <c r="AA7" s="30"/>
      <c r="AB7" s="30"/>
      <c r="AC7" s="33">
        <f t="shared" si="2"/>
        <v>0</v>
      </c>
      <c r="AD7" s="12">
        <f t="shared" si="3"/>
        <v>0</v>
      </c>
      <c r="AE7" s="39"/>
      <c r="AF7" s="39"/>
      <c r="AG7" s="39"/>
      <c r="AH7" s="39"/>
      <c r="AI7" s="39"/>
      <c r="AJ7"/>
    </row>
    <row r="8" spans="1:36" x14ac:dyDescent="0.2">
      <c r="A8" s="5">
        <f>DAY(Kalenteri!A94)</f>
        <v>4</v>
      </c>
      <c r="B8" s="3" t="str">
        <f>IF(Kalenteri!B94=1,"su",IF(Kalenteri!B94=2,"ma",IF(Kalenteri!B94=3,"ti",IF(Kalenteri!B94=4,"ke",IF(Kalenteri!B94=5,"to",IF(Kalenteri!B94=6,"pe",IF(Kalenteri!B94=7,"la",)))))))</f>
        <v>to</v>
      </c>
      <c r="C8" s="18"/>
      <c r="D8" s="10"/>
      <c r="E8" s="10"/>
      <c r="F8" s="11"/>
      <c r="G8" s="18"/>
      <c r="H8" s="11"/>
      <c r="I8" s="18"/>
      <c r="J8" s="11"/>
      <c r="K8" s="33">
        <f t="shared" si="0"/>
        <v>0</v>
      </c>
      <c r="L8" s="10"/>
      <c r="M8" s="10"/>
      <c r="N8" s="10"/>
      <c r="O8" s="11"/>
      <c r="P8" s="10"/>
      <c r="Q8" s="11"/>
      <c r="R8" s="30"/>
      <c r="S8" s="30"/>
      <c r="T8" s="33">
        <f t="shared" si="1"/>
        <v>0</v>
      </c>
      <c r="U8" s="10"/>
      <c r="V8" s="10"/>
      <c r="W8" s="10"/>
      <c r="X8" s="11"/>
      <c r="Y8" s="10"/>
      <c r="Z8" s="11"/>
      <c r="AA8" s="30"/>
      <c r="AB8" s="30"/>
      <c r="AC8" s="33">
        <f t="shared" si="2"/>
        <v>0</v>
      </c>
      <c r="AD8" s="12">
        <f t="shared" si="3"/>
        <v>0</v>
      </c>
      <c r="AE8" s="39"/>
      <c r="AF8" s="39"/>
      <c r="AG8" s="39"/>
      <c r="AH8" s="39"/>
      <c r="AI8" s="39"/>
      <c r="AJ8"/>
    </row>
    <row r="9" spans="1:36" x14ac:dyDescent="0.2">
      <c r="A9" s="5">
        <f>DAY(Kalenteri!A95)</f>
        <v>5</v>
      </c>
      <c r="B9" s="3" t="str">
        <f>IF(Kalenteri!B95=1,"su",IF(Kalenteri!B95=2,"ma",IF(Kalenteri!B95=3,"ti",IF(Kalenteri!B95=4,"ke",IF(Kalenteri!B95=5,"to",IF(Kalenteri!B95=6,"pe",IF(Kalenteri!B95=7,"la",)))))))</f>
        <v>pe</v>
      </c>
      <c r="C9" s="18"/>
      <c r="D9" s="10"/>
      <c r="E9" s="10"/>
      <c r="F9" s="11"/>
      <c r="G9" s="18"/>
      <c r="H9" s="11"/>
      <c r="I9" s="18"/>
      <c r="J9" s="11"/>
      <c r="K9" s="33">
        <f t="shared" si="0"/>
        <v>0</v>
      </c>
      <c r="L9" s="10"/>
      <c r="M9" s="10"/>
      <c r="N9" s="10"/>
      <c r="O9" s="11"/>
      <c r="P9" s="10"/>
      <c r="Q9" s="11"/>
      <c r="R9" s="30"/>
      <c r="S9" s="30"/>
      <c r="T9" s="33">
        <f t="shared" si="1"/>
        <v>0</v>
      </c>
      <c r="U9" s="10"/>
      <c r="V9" s="10"/>
      <c r="W9" s="10"/>
      <c r="X9" s="11"/>
      <c r="Y9" s="10"/>
      <c r="Z9" s="11"/>
      <c r="AA9" s="30"/>
      <c r="AB9" s="30"/>
      <c r="AC9" s="33">
        <f t="shared" si="2"/>
        <v>0</v>
      </c>
      <c r="AD9" s="12">
        <f t="shared" si="3"/>
        <v>0</v>
      </c>
      <c r="AE9" s="39"/>
      <c r="AF9" s="39"/>
      <c r="AG9" s="39"/>
      <c r="AH9" s="39"/>
      <c r="AI9" s="39"/>
      <c r="AJ9"/>
    </row>
    <row r="10" spans="1:36" x14ac:dyDescent="0.2">
      <c r="A10" s="5">
        <f>DAY(Kalenteri!A96)</f>
        <v>6</v>
      </c>
      <c r="B10" s="3" t="str">
        <f>IF(Kalenteri!B96=1,"su",IF(Kalenteri!B96=2,"ma",IF(Kalenteri!B96=3,"ti",IF(Kalenteri!B96=4,"ke",IF(Kalenteri!B96=5,"to",IF(Kalenteri!B96=6,"pe",IF(Kalenteri!B96=7,"la",)))))))</f>
        <v>la</v>
      </c>
      <c r="C10" s="18"/>
      <c r="D10" s="10"/>
      <c r="E10" s="10"/>
      <c r="F10" s="11"/>
      <c r="G10" s="18"/>
      <c r="H10" s="11"/>
      <c r="I10" s="18"/>
      <c r="J10" s="11"/>
      <c r="K10" s="33">
        <f t="shared" si="0"/>
        <v>0</v>
      </c>
      <c r="L10" s="10"/>
      <c r="M10" s="10"/>
      <c r="N10" s="10"/>
      <c r="O10" s="11"/>
      <c r="P10" s="10"/>
      <c r="Q10" s="11"/>
      <c r="R10" s="30"/>
      <c r="S10" s="30"/>
      <c r="T10" s="33">
        <f t="shared" si="1"/>
        <v>0</v>
      </c>
      <c r="U10" s="10"/>
      <c r="V10" s="10"/>
      <c r="W10" s="10"/>
      <c r="X10" s="11"/>
      <c r="Y10" s="10"/>
      <c r="Z10" s="11"/>
      <c r="AA10" s="30"/>
      <c r="AB10" s="30"/>
      <c r="AC10" s="33">
        <f t="shared" si="2"/>
        <v>0</v>
      </c>
      <c r="AD10" s="12">
        <f t="shared" si="3"/>
        <v>0</v>
      </c>
      <c r="AE10" s="39"/>
      <c r="AF10" s="39"/>
      <c r="AG10" s="39"/>
      <c r="AH10" s="39"/>
      <c r="AI10" s="39"/>
      <c r="AJ10"/>
    </row>
    <row r="11" spans="1:36" x14ac:dyDescent="0.2">
      <c r="A11" s="5">
        <f>DAY(Kalenteri!A97)</f>
        <v>7</v>
      </c>
      <c r="B11" s="3" t="str">
        <f>IF(Kalenteri!B97=1,"su",IF(Kalenteri!B97=2,"ma",IF(Kalenteri!B97=3,"ti",IF(Kalenteri!B97=4,"ke",IF(Kalenteri!B97=5,"to",IF(Kalenteri!B97=6,"pe",IF(Kalenteri!B97=7,"la",)))))))</f>
        <v>su</v>
      </c>
      <c r="C11" s="18"/>
      <c r="D11" s="10"/>
      <c r="E11" s="10"/>
      <c r="F11" s="11"/>
      <c r="G11" s="18"/>
      <c r="H11" s="11"/>
      <c r="I11" s="18"/>
      <c r="J11" s="11"/>
      <c r="K11" s="33">
        <f t="shared" si="0"/>
        <v>0</v>
      </c>
      <c r="L11" s="10"/>
      <c r="M11" s="10"/>
      <c r="N11" s="10"/>
      <c r="O11" s="11"/>
      <c r="P11" s="10"/>
      <c r="Q11" s="11"/>
      <c r="R11" s="30"/>
      <c r="S11" s="30"/>
      <c r="T11" s="33">
        <f t="shared" si="1"/>
        <v>0</v>
      </c>
      <c r="U11" s="10"/>
      <c r="V11" s="10"/>
      <c r="W11" s="10"/>
      <c r="X11" s="11"/>
      <c r="Y11" s="10"/>
      <c r="Z11" s="11"/>
      <c r="AA11" s="30"/>
      <c r="AB11" s="30"/>
      <c r="AC11" s="33">
        <f t="shared" si="2"/>
        <v>0</v>
      </c>
      <c r="AD11" s="12">
        <f t="shared" si="3"/>
        <v>0</v>
      </c>
      <c r="AE11" s="39"/>
      <c r="AF11" s="39"/>
      <c r="AG11" s="39"/>
      <c r="AH11" s="39"/>
      <c r="AI11" s="39"/>
      <c r="AJ11"/>
    </row>
    <row r="12" spans="1:36" x14ac:dyDescent="0.2">
      <c r="A12" s="5">
        <f>DAY(Kalenteri!A98)</f>
        <v>8</v>
      </c>
      <c r="B12" s="3" t="str">
        <f>IF(Kalenteri!B98=1,"su",IF(Kalenteri!B98=2,"ma",IF(Kalenteri!B98=3,"ti",IF(Kalenteri!B98=4,"ke",IF(Kalenteri!B98=5,"to",IF(Kalenteri!B98=6,"pe",IF(Kalenteri!B98=7,"la",)))))))</f>
        <v>ma</v>
      </c>
      <c r="C12" s="18" t="s">
        <v>198</v>
      </c>
      <c r="D12" s="10"/>
      <c r="E12" s="10"/>
      <c r="F12" s="11"/>
      <c r="G12" s="18">
        <v>46</v>
      </c>
      <c r="H12" s="11">
        <v>7</v>
      </c>
      <c r="I12" s="18"/>
      <c r="J12" s="11"/>
      <c r="K12" s="33">
        <f t="shared" si="0"/>
        <v>53</v>
      </c>
      <c r="L12" s="10"/>
      <c r="M12" s="10"/>
      <c r="N12" s="10"/>
      <c r="O12" s="11"/>
      <c r="P12" s="10"/>
      <c r="Q12" s="11"/>
      <c r="R12" s="30"/>
      <c r="S12" s="30"/>
      <c r="T12" s="33">
        <f t="shared" si="1"/>
        <v>0</v>
      </c>
      <c r="U12" s="10"/>
      <c r="V12" s="10"/>
      <c r="W12" s="10"/>
      <c r="X12" s="11"/>
      <c r="Y12" s="10"/>
      <c r="Z12" s="11"/>
      <c r="AA12" s="30"/>
      <c r="AB12" s="30"/>
      <c r="AC12" s="33">
        <f t="shared" si="2"/>
        <v>0</v>
      </c>
      <c r="AD12" s="12">
        <f t="shared" si="3"/>
        <v>53</v>
      </c>
      <c r="AE12" s="39"/>
      <c r="AF12" s="39"/>
      <c r="AG12" s="39"/>
      <c r="AH12" s="39"/>
      <c r="AI12" s="39"/>
      <c r="AJ12"/>
    </row>
    <row r="13" spans="1:36" x14ac:dyDescent="0.2">
      <c r="A13" s="5">
        <f>DAY(Kalenteri!A99)</f>
        <v>9</v>
      </c>
      <c r="B13" s="3" t="str">
        <f>IF(Kalenteri!B99=1,"su",IF(Kalenteri!B99=2,"ma",IF(Kalenteri!B99=3,"ti",IF(Kalenteri!B99=4,"ke",IF(Kalenteri!B99=5,"to",IF(Kalenteri!B99=6,"pe",IF(Kalenteri!B99=7,"la",)))))))</f>
        <v>ti</v>
      </c>
      <c r="C13" s="18"/>
      <c r="D13" s="10"/>
      <c r="E13" s="10"/>
      <c r="F13" s="11"/>
      <c r="G13" s="18"/>
      <c r="H13" s="11"/>
      <c r="I13" s="18"/>
      <c r="J13" s="11"/>
      <c r="K13" s="33">
        <f t="shared" si="0"/>
        <v>0</v>
      </c>
      <c r="L13" s="10"/>
      <c r="M13" s="10"/>
      <c r="N13" s="10"/>
      <c r="O13" s="11"/>
      <c r="P13" s="10"/>
      <c r="Q13" s="11"/>
      <c r="R13" s="30"/>
      <c r="S13" s="30"/>
      <c r="T13" s="33">
        <f t="shared" si="1"/>
        <v>0</v>
      </c>
      <c r="U13" s="10"/>
      <c r="V13" s="10"/>
      <c r="W13" s="10"/>
      <c r="X13" s="11"/>
      <c r="Y13" s="10"/>
      <c r="Z13" s="11"/>
      <c r="AA13" s="30"/>
      <c r="AB13" s="30"/>
      <c r="AC13" s="33">
        <f t="shared" si="2"/>
        <v>0</v>
      </c>
      <c r="AD13" s="12">
        <f t="shared" si="3"/>
        <v>0</v>
      </c>
      <c r="AE13" s="39"/>
      <c r="AF13" s="39"/>
      <c r="AG13" s="39"/>
      <c r="AH13" s="39"/>
      <c r="AI13" s="39"/>
      <c r="AJ13"/>
    </row>
    <row r="14" spans="1:36" x14ac:dyDescent="0.2">
      <c r="A14" s="5">
        <f>DAY(Kalenteri!A100)</f>
        <v>10</v>
      </c>
      <c r="B14" s="3" t="str">
        <f>IF(Kalenteri!B100=1,"su",IF(Kalenteri!B100=2,"ma",IF(Kalenteri!B100=3,"ti",IF(Kalenteri!B100=4,"ke",IF(Kalenteri!B100=5,"to",IF(Kalenteri!B100=6,"pe",IF(Kalenteri!B100=7,"la",)))))))</f>
        <v>ke</v>
      </c>
      <c r="C14" s="18"/>
      <c r="D14" s="10"/>
      <c r="E14" s="10"/>
      <c r="F14" s="11"/>
      <c r="G14" s="18"/>
      <c r="H14" s="11"/>
      <c r="I14" s="18"/>
      <c r="J14" s="11"/>
      <c r="K14" s="33">
        <f t="shared" si="0"/>
        <v>0</v>
      </c>
      <c r="L14" s="10"/>
      <c r="M14" s="10"/>
      <c r="N14" s="10"/>
      <c r="O14" s="11"/>
      <c r="P14" s="10"/>
      <c r="Q14" s="11"/>
      <c r="R14" s="30"/>
      <c r="S14" s="30"/>
      <c r="T14" s="33">
        <f t="shared" si="1"/>
        <v>0</v>
      </c>
      <c r="U14" s="10"/>
      <c r="V14" s="10"/>
      <c r="W14" s="10"/>
      <c r="X14" s="11"/>
      <c r="Y14" s="10"/>
      <c r="Z14" s="11"/>
      <c r="AA14" s="30"/>
      <c r="AB14" s="30"/>
      <c r="AC14" s="33">
        <f t="shared" si="2"/>
        <v>0</v>
      </c>
      <c r="AD14" s="12">
        <f t="shared" si="3"/>
        <v>0</v>
      </c>
      <c r="AE14" s="39"/>
      <c r="AF14" s="39"/>
      <c r="AG14" s="39"/>
      <c r="AH14" s="39"/>
      <c r="AI14" s="39"/>
      <c r="AJ14"/>
    </row>
    <row r="15" spans="1:36" x14ac:dyDescent="0.2">
      <c r="A15" s="5">
        <f>DAY(Kalenteri!A101)</f>
        <v>11</v>
      </c>
      <c r="B15" s="3" t="str">
        <f>IF(Kalenteri!B101=1,"su",IF(Kalenteri!B101=2,"ma",IF(Kalenteri!B101=3,"ti",IF(Kalenteri!B101=4,"ke",IF(Kalenteri!B101=5,"to",IF(Kalenteri!B101=6,"pe",IF(Kalenteri!B101=7,"la",)))))))</f>
        <v>to</v>
      </c>
      <c r="C15" s="18"/>
      <c r="D15" s="10"/>
      <c r="E15" s="10"/>
      <c r="F15" s="11"/>
      <c r="G15" s="18"/>
      <c r="H15" s="11"/>
      <c r="I15" s="18"/>
      <c r="J15" s="11"/>
      <c r="K15" s="33">
        <f t="shared" si="0"/>
        <v>0</v>
      </c>
      <c r="L15" s="10"/>
      <c r="M15" s="10"/>
      <c r="N15" s="10"/>
      <c r="O15" s="11"/>
      <c r="P15" s="10"/>
      <c r="Q15" s="11"/>
      <c r="R15" s="30"/>
      <c r="S15" s="30"/>
      <c r="T15" s="33">
        <f t="shared" si="1"/>
        <v>0</v>
      </c>
      <c r="U15" s="10"/>
      <c r="V15" s="10"/>
      <c r="W15" s="10"/>
      <c r="X15" s="11"/>
      <c r="Y15" s="10"/>
      <c r="Z15" s="11"/>
      <c r="AA15" s="30"/>
      <c r="AB15" s="30"/>
      <c r="AC15" s="33">
        <f t="shared" si="2"/>
        <v>0</v>
      </c>
      <c r="AD15" s="12">
        <f t="shared" si="3"/>
        <v>0</v>
      </c>
      <c r="AE15" s="39"/>
      <c r="AF15" s="39"/>
      <c r="AG15" s="39"/>
      <c r="AH15" s="39"/>
      <c r="AI15" s="39"/>
      <c r="AJ15"/>
    </row>
    <row r="16" spans="1:36" x14ac:dyDescent="0.2">
      <c r="A16" s="5">
        <f>DAY(Kalenteri!A102)</f>
        <v>12</v>
      </c>
      <c r="B16" s="3" t="str">
        <f>IF(Kalenteri!B102=1,"su",IF(Kalenteri!B102=2,"ma",IF(Kalenteri!B102=3,"ti",IF(Kalenteri!B102=4,"ke",IF(Kalenteri!B102=5,"to",IF(Kalenteri!B102=6,"pe",IF(Kalenteri!B102=7,"la",)))))))</f>
        <v>pe</v>
      </c>
      <c r="C16" s="18"/>
      <c r="D16" s="10"/>
      <c r="E16" s="10"/>
      <c r="F16" s="11"/>
      <c r="G16" s="18"/>
      <c r="H16" s="11"/>
      <c r="I16" s="18"/>
      <c r="J16" s="11"/>
      <c r="K16" s="33">
        <f t="shared" si="0"/>
        <v>0</v>
      </c>
      <c r="L16" s="10"/>
      <c r="M16" s="10"/>
      <c r="N16" s="10"/>
      <c r="O16" s="11"/>
      <c r="P16" s="10"/>
      <c r="Q16" s="11"/>
      <c r="R16" s="30"/>
      <c r="S16" s="30"/>
      <c r="T16" s="33">
        <f t="shared" si="1"/>
        <v>0</v>
      </c>
      <c r="U16" s="10"/>
      <c r="V16" s="10"/>
      <c r="W16" s="10"/>
      <c r="X16" s="11"/>
      <c r="Y16" s="10"/>
      <c r="Z16" s="11"/>
      <c r="AA16" s="30"/>
      <c r="AB16" s="30"/>
      <c r="AC16" s="33">
        <f t="shared" si="2"/>
        <v>0</v>
      </c>
      <c r="AD16" s="12">
        <f t="shared" si="3"/>
        <v>0</v>
      </c>
      <c r="AE16" s="39"/>
      <c r="AF16" s="39"/>
      <c r="AG16" s="39"/>
      <c r="AH16" s="39"/>
      <c r="AI16" s="39"/>
      <c r="AJ16"/>
    </row>
    <row r="17" spans="1:36" x14ac:dyDescent="0.2">
      <c r="A17" s="5">
        <f>DAY(Kalenteri!A103)</f>
        <v>13</v>
      </c>
      <c r="B17" s="3" t="str">
        <f>IF(Kalenteri!B103=1,"su",IF(Kalenteri!B103=2,"ma",IF(Kalenteri!B103=3,"ti",IF(Kalenteri!B103=4,"ke",IF(Kalenteri!B103=5,"to",IF(Kalenteri!B103=6,"pe",IF(Kalenteri!B103=7,"la",)))))))</f>
        <v>la</v>
      </c>
      <c r="C17" s="18"/>
      <c r="D17" s="10"/>
      <c r="E17" s="10"/>
      <c r="F17" s="11"/>
      <c r="G17" s="18"/>
      <c r="H17" s="11"/>
      <c r="I17" s="18"/>
      <c r="J17" s="11"/>
      <c r="K17" s="33">
        <f t="shared" si="0"/>
        <v>0</v>
      </c>
      <c r="L17" s="10"/>
      <c r="M17" s="10"/>
      <c r="N17" s="10"/>
      <c r="O17" s="11"/>
      <c r="P17" s="10"/>
      <c r="Q17" s="11"/>
      <c r="R17" s="30"/>
      <c r="S17" s="30"/>
      <c r="T17" s="33">
        <f t="shared" si="1"/>
        <v>0</v>
      </c>
      <c r="U17" s="10"/>
      <c r="V17" s="10"/>
      <c r="W17" s="10"/>
      <c r="X17" s="11"/>
      <c r="Y17" s="10"/>
      <c r="Z17" s="11"/>
      <c r="AA17" s="30"/>
      <c r="AB17" s="30"/>
      <c r="AC17" s="33">
        <f t="shared" si="2"/>
        <v>0</v>
      </c>
      <c r="AD17" s="12">
        <f t="shared" si="3"/>
        <v>0</v>
      </c>
      <c r="AE17" s="39"/>
      <c r="AF17" s="39"/>
      <c r="AG17" s="39"/>
      <c r="AH17" s="39"/>
      <c r="AI17" s="39"/>
      <c r="AJ17"/>
    </row>
    <row r="18" spans="1:36" x14ac:dyDescent="0.2">
      <c r="A18" s="5">
        <f>DAY(Kalenteri!A104)</f>
        <v>14</v>
      </c>
      <c r="B18" s="3" t="str">
        <f>IF(Kalenteri!B104=1,"su",IF(Kalenteri!B104=2,"ma",IF(Kalenteri!B104=3,"ti",IF(Kalenteri!B104=4,"ke",IF(Kalenteri!B104=5,"to",IF(Kalenteri!B104=6,"pe",IF(Kalenteri!B104=7,"la",)))))))</f>
        <v>su</v>
      </c>
      <c r="C18" s="18"/>
      <c r="D18" s="10"/>
      <c r="E18" s="10"/>
      <c r="F18" s="11"/>
      <c r="G18" s="18"/>
      <c r="H18" s="11"/>
      <c r="I18" s="18"/>
      <c r="J18" s="11"/>
      <c r="K18" s="33">
        <f t="shared" si="0"/>
        <v>0</v>
      </c>
      <c r="L18" s="10"/>
      <c r="M18" s="10"/>
      <c r="N18" s="10"/>
      <c r="O18" s="11"/>
      <c r="P18" s="10"/>
      <c r="Q18" s="11"/>
      <c r="R18" s="30"/>
      <c r="S18" s="30"/>
      <c r="T18" s="33">
        <f t="shared" si="1"/>
        <v>0</v>
      </c>
      <c r="U18" s="10"/>
      <c r="V18" s="10"/>
      <c r="W18" s="10"/>
      <c r="X18" s="11"/>
      <c r="Y18" s="10"/>
      <c r="Z18" s="11"/>
      <c r="AA18" s="30"/>
      <c r="AB18" s="30"/>
      <c r="AC18" s="33">
        <f t="shared" si="2"/>
        <v>0</v>
      </c>
      <c r="AD18" s="12">
        <f t="shared" si="3"/>
        <v>0</v>
      </c>
      <c r="AE18" s="39"/>
      <c r="AF18" s="39"/>
      <c r="AG18" s="39"/>
      <c r="AH18" s="39"/>
      <c r="AI18" s="39"/>
      <c r="AJ18"/>
    </row>
    <row r="19" spans="1:36" x14ac:dyDescent="0.2">
      <c r="A19" s="5">
        <f>DAY(Kalenteri!A105)</f>
        <v>15</v>
      </c>
      <c r="B19" s="3" t="str">
        <f>IF(Kalenteri!B105=1,"su",IF(Kalenteri!B105=2,"ma",IF(Kalenteri!B105=3,"ti",IF(Kalenteri!B105=4,"ke",IF(Kalenteri!B105=5,"to",IF(Kalenteri!B105=6,"pe",IF(Kalenteri!B105=7,"la",)))))))</f>
        <v>ma</v>
      </c>
      <c r="C19" s="18" t="s">
        <v>197</v>
      </c>
      <c r="D19" s="10"/>
      <c r="E19" s="10"/>
      <c r="F19" s="11"/>
      <c r="G19" s="18"/>
      <c r="H19" s="11">
        <v>70</v>
      </c>
      <c r="I19" s="18">
        <v>98</v>
      </c>
      <c r="J19" s="11"/>
      <c r="K19" s="33">
        <f t="shared" si="0"/>
        <v>168</v>
      </c>
      <c r="L19" s="10"/>
      <c r="M19" s="10"/>
      <c r="N19" s="10"/>
      <c r="O19" s="11"/>
      <c r="P19" s="10"/>
      <c r="Q19" s="11"/>
      <c r="R19" s="30"/>
      <c r="S19" s="30"/>
      <c r="T19" s="33">
        <f t="shared" si="1"/>
        <v>0</v>
      </c>
      <c r="U19" s="10"/>
      <c r="V19" s="10"/>
      <c r="W19" s="10"/>
      <c r="X19" s="11"/>
      <c r="Y19" s="10"/>
      <c r="Z19" s="11"/>
      <c r="AA19" s="30"/>
      <c r="AB19" s="30"/>
      <c r="AC19" s="33">
        <f t="shared" si="2"/>
        <v>0</v>
      </c>
      <c r="AD19" s="12">
        <f t="shared" si="3"/>
        <v>168</v>
      </c>
      <c r="AE19" s="39"/>
      <c r="AF19" s="39"/>
      <c r="AG19" s="39"/>
      <c r="AH19" s="39"/>
      <c r="AI19" s="39"/>
      <c r="AJ19"/>
    </row>
    <row r="20" spans="1:36" x14ac:dyDescent="0.2">
      <c r="A20" s="5">
        <f>DAY(Kalenteri!A106)</f>
        <v>16</v>
      </c>
      <c r="B20" s="3" t="str">
        <f>IF(Kalenteri!B106=1,"su",IF(Kalenteri!B106=2,"ma",IF(Kalenteri!B106=3,"ti",IF(Kalenteri!B106=4,"ke",IF(Kalenteri!B106=5,"to",IF(Kalenteri!B106=6,"pe",IF(Kalenteri!B106=7,"la",)))))))</f>
        <v>ti</v>
      </c>
      <c r="C20" s="18"/>
      <c r="D20" s="10"/>
      <c r="E20" s="10"/>
      <c r="F20" s="11"/>
      <c r="G20" s="18"/>
      <c r="H20" s="11"/>
      <c r="I20" s="18"/>
      <c r="J20" s="11"/>
      <c r="K20" s="33">
        <f t="shared" si="0"/>
        <v>0</v>
      </c>
      <c r="L20" s="10"/>
      <c r="M20" s="10"/>
      <c r="N20" s="10"/>
      <c r="O20" s="11"/>
      <c r="P20" s="10"/>
      <c r="Q20" s="11"/>
      <c r="R20" s="30"/>
      <c r="S20" s="30"/>
      <c r="T20" s="33">
        <f t="shared" si="1"/>
        <v>0</v>
      </c>
      <c r="U20" s="10"/>
      <c r="V20" s="10"/>
      <c r="W20" s="10"/>
      <c r="X20" s="11"/>
      <c r="Y20" s="10"/>
      <c r="Z20" s="11"/>
      <c r="AA20" s="30"/>
      <c r="AB20" s="30"/>
      <c r="AC20" s="33">
        <f t="shared" si="2"/>
        <v>0</v>
      </c>
      <c r="AD20" s="12">
        <f t="shared" si="3"/>
        <v>0</v>
      </c>
      <c r="AE20" s="39"/>
      <c r="AF20" s="39"/>
      <c r="AG20" s="39"/>
      <c r="AH20" s="39"/>
      <c r="AI20" s="39"/>
      <c r="AJ20"/>
    </row>
    <row r="21" spans="1:36" x14ac:dyDescent="0.2">
      <c r="A21" s="5">
        <f>DAY(Kalenteri!A107)</f>
        <v>17</v>
      </c>
      <c r="B21" s="3" t="str">
        <f>IF(Kalenteri!B107=1,"su",IF(Kalenteri!B107=2,"ma",IF(Kalenteri!B107=3,"ti",IF(Kalenteri!B107=4,"ke",IF(Kalenteri!B107=5,"to",IF(Kalenteri!B107=6,"pe",IF(Kalenteri!B107=7,"la",)))))))</f>
        <v>ke</v>
      </c>
      <c r="C21" s="18"/>
      <c r="D21" s="10"/>
      <c r="E21" s="10"/>
      <c r="F21" s="11"/>
      <c r="G21" s="18"/>
      <c r="H21" s="11"/>
      <c r="I21" s="18"/>
      <c r="J21" s="11"/>
      <c r="K21" s="33">
        <f t="shared" si="0"/>
        <v>0</v>
      </c>
      <c r="L21" s="10"/>
      <c r="M21" s="10"/>
      <c r="N21" s="10"/>
      <c r="O21" s="11"/>
      <c r="P21" s="10"/>
      <c r="Q21" s="11"/>
      <c r="R21" s="30"/>
      <c r="S21" s="30"/>
      <c r="T21" s="33">
        <f t="shared" si="1"/>
        <v>0</v>
      </c>
      <c r="U21" s="10"/>
      <c r="V21" s="10"/>
      <c r="W21" s="10"/>
      <c r="X21" s="11"/>
      <c r="Y21" s="10"/>
      <c r="Z21" s="11"/>
      <c r="AA21" s="30"/>
      <c r="AB21" s="30"/>
      <c r="AC21" s="33">
        <f t="shared" si="2"/>
        <v>0</v>
      </c>
      <c r="AD21" s="12">
        <f t="shared" si="3"/>
        <v>0</v>
      </c>
      <c r="AE21" s="39"/>
      <c r="AF21" s="39"/>
      <c r="AG21" s="39"/>
      <c r="AH21" s="39"/>
      <c r="AI21" s="39"/>
      <c r="AJ21"/>
    </row>
    <row r="22" spans="1:36" x14ac:dyDescent="0.2">
      <c r="A22" s="5">
        <f>DAY(Kalenteri!A108)</f>
        <v>18</v>
      </c>
      <c r="B22" s="3" t="str">
        <f>IF(Kalenteri!B108=1,"su",IF(Kalenteri!B108=2,"ma",IF(Kalenteri!B108=3,"ti",IF(Kalenteri!B108=4,"ke",IF(Kalenteri!B108=5,"to",IF(Kalenteri!B108=6,"pe",IF(Kalenteri!B108=7,"la",)))))))</f>
        <v>to</v>
      </c>
      <c r="C22" s="18"/>
      <c r="D22" s="10"/>
      <c r="E22" s="10"/>
      <c r="F22" s="11"/>
      <c r="G22" s="18"/>
      <c r="H22" s="11"/>
      <c r="I22" s="18"/>
      <c r="J22" s="11"/>
      <c r="K22" s="33">
        <f t="shared" si="0"/>
        <v>0</v>
      </c>
      <c r="L22" s="10"/>
      <c r="M22" s="10"/>
      <c r="N22" s="10"/>
      <c r="O22" s="11"/>
      <c r="P22" s="10"/>
      <c r="Q22" s="11"/>
      <c r="R22" s="30"/>
      <c r="S22" s="30"/>
      <c r="T22" s="33">
        <f t="shared" si="1"/>
        <v>0</v>
      </c>
      <c r="U22" s="10"/>
      <c r="V22" s="10"/>
      <c r="W22" s="10"/>
      <c r="X22" s="11"/>
      <c r="Y22" s="10"/>
      <c r="Z22" s="11"/>
      <c r="AA22" s="30"/>
      <c r="AB22" s="30"/>
      <c r="AC22" s="33">
        <f t="shared" si="2"/>
        <v>0</v>
      </c>
      <c r="AD22" s="12">
        <f t="shared" si="3"/>
        <v>0</v>
      </c>
      <c r="AE22" s="39"/>
      <c r="AF22" s="39"/>
      <c r="AG22" s="39"/>
      <c r="AH22" s="39"/>
      <c r="AI22" s="39"/>
      <c r="AJ22"/>
    </row>
    <row r="23" spans="1:36" x14ac:dyDescent="0.2">
      <c r="A23" s="5">
        <f>DAY(Kalenteri!A109)</f>
        <v>19</v>
      </c>
      <c r="B23" s="3" t="str">
        <f>IF(Kalenteri!B109=1,"su",IF(Kalenteri!B109=2,"ma",IF(Kalenteri!B109=3,"ti",IF(Kalenteri!B109=4,"ke",IF(Kalenteri!B109=5,"to",IF(Kalenteri!B109=6,"pe",IF(Kalenteri!B109=7,"la",)))))))</f>
        <v>pe</v>
      </c>
      <c r="C23" s="18"/>
      <c r="D23" s="10"/>
      <c r="E23" s="10"/>
      <c r="F23" s="11"/>
      <c r="G23" s="18"/>
      <c r="H23" s="11"/>
      <c r="I23" s="18"/>
      <c r="J23" s="11"/>
      <c r="K23" s="33">
        <f t="shared" si="0"/>
        <v>0</v>
      </c>
      <c r="L23" s="10"/>
      <c r="M23" s="10"/>
      <c r="N23" s="10"/>
      <c r="O23" s="11"/>
      <c r="P23" s="10"/>
      <c r="Q23" s="11"/>
      <c r="R23" s="30"/>
      <c r="S23" s="30"/>
      <c r="T23" s="33">
        <f t="shared" si="1"/>
        <v>0</v>
      </c>
      <c r="U23" s="10"/>
      <c r="V23" s="10"/>
      <c r="W23" s="10"/>
      <c r="X23" s="11"/>
      <c r="Y23" s="10"/>
      <c r="Z23" s="11"/>
      <c r="AA23" s="30"/>
      <c r="AB23" s="30"/>
      <c r="AC23" s="33">
        <f t="shared" si="2"/>
        <v>0</v>
      </c>
      <c r="AD23" s="12">
        <f t="shared" si="3"/>
        <v>0</v>
      </c>
      <c r="AE23" s="39"/>
      <c r="AF23" s="39"/>
      <c r="AG23" s="39"/>
      <c r="AH23" s="39"/>
      <c r="AI23" s="39"/>
      <c r="AJ23"/>
    </row>
    <row r="24" spans="1:36" x14ac:dyDescent="0.2">
      <c r="A24" s="5">
        <f>DAY(Kalenteri!A110)</f>
        <v>20</v>
      </c>
      <c r="B24" s="3" t="str">
        <f>IF(Kalenteri!B110=1,"su",IF(Kalenteri!B110=2,"ma",IF(Kalenteri!B110=3,"ti",IF(Kalenteri!B110=4,"ke",IF(Kalenteri!B110=5,"to",IF(Kalenteri!B110=6,"pe",IF(Kalenteri!B110=7,"la",)))))))</f>
        <v>la</v>
      </c>
      <c r="C24" s="18"/>
      <c r="D24" s="10"/>
      <c r="E24" s="10"/>
      <c r="F24" s="11"/>
      <c r="G24" s="18"/>
      <c r="H24" s="11"/>
      <c r="I24" s="18"/>
      <c r="J24" s="11"/>
      <c r="K24" s="33">
        <f t="shared" si="0"/>
        <v>0</v>
      </c>
      <c r="L24" s="10"/>
      <c r="M24" s="10"/>
      <c r="N24" s="10"/>
      <c r="O24" s="11"/>
      <c r="P24" s="10"/>
      <c r="Q24" s="11"/>
      <c r="R24" s="30"/>
      <c r="S24" s="30"/>
      <c r="T24" s="33">
        <f t="shared" si="1"/>
        <v>0</v>
      </c>
      <c r="U24" s="10"/>
      <c r="V24" s="10"/>
      <c r="W24" s="10"/>
      <c r="X24" s="11"/>
      <c r="Y24" s="10"/>
      <c r="Z24" s="11"/>
      <c r="AA24" s="30"/>
      <c r="AB24" s="30"/>
      <c r="AC24" s="33">
        <f t="shared" si="2"/>
        <v>0</v>
      </c>
      <c r="AD24" s="12">
        <f t="shared" si="3"/>
        <v>0</v>
      </c>
      <c r="AE24" s="39"/>
      <c r="AF24" s="39"/>
      <c r="AG24" s="39"/>
      <c r="AH24" s="39"/>
      <c r="AI24" s="39"/>
      <c r="AJ24" s="39"/>
    </row>
    <row r="25" spans="1:36" x14ac:dyDescent="0.2">
      <c r="A25" s="5">
        <f>DAY(Kalenteri!A111)</f>
        <v>21</v>
      </c>
      <c r="B25" s="3" t="str">
        <f>IF(Kalenteri!B111=1,"su",IF(Kalenteri!B111=2,"ma",IF(Kalenteri!B111=3,"ti",IF(Kalenteri!B111=4,"ke",IF(Kalenteri!B111=5,"to",IF(Kalenteri!B111=6,"pe",IF(Kalenteri!B111=7,"la",)))))))</f>
        <v>su</v>
      </c>
      <c r="C25" s="18" t="s">
        <v>199</v>
      </c>
      <c r="D25" s="10">
        <v>1</v>
      </c>
      <c r="E25" s="10"/>
      <c r="F25" s="11"/>
      <c r="G25" s="18"/>
      <c r="H25" s="11"/>
      <c r="I25" s="18"/>
      <c r="J25" s="11"/>
      <c r="K25" s="33">
        <f t="shared" si="0"/>
        <v>1</v>
      </c>
      <c r="L25" s="10"/>
      <c r="M25" s="10"/>
      <c r="N25" s="10"/>
      <c r="O25" s="11"/>
      <c r="P25" s="10"/>
      <c r="Q25" s="11"/>
      <c r="R25" s="30"/>
      <c r="S25" s="30"/>
      <c r="T25" s="33">
        <f t="shared" si="1"/>
        <v>0</v>
      </c>
      <c r="U25" s="10"/>
      <c r="V25" s="10"/>
      <c r="W25" s="10"/>
      <c r="X25" s="11"/>
      <c r="Y25" s="10"/>
      <c r="Z25" s="11"/>
      <c r="AA25" s="30"/>
      <c r="AB25" s="30"/>
      <c r="AC25" s="33">
        <f t="shared" si="2"/>
        <v>0</v>
      </c>
      <c r="AD25" s="12">
        <f t="shared" si="3"/>
        <v>1</v>
      </c>
      <c r="AE25" s="39"/>
      <c r="AF25" s="39"/>
      <c r="AG25" s="39"/>
      <c r="AH25" s="39"/>
      <c r="AI25" s="39"/>
      <c r="AJ25" s="39"/>
    </row>
    <row r="26" spans="1:36" x14ac:dyDescent="0.2">
      <c r="A26" s="5">
        <f>DAY(Kalenteri!A112)</f>
        <v>22</v>
      </c>
      <c r="B26" s="3" t="str">
        <f>IF(Kalenteri!B112=1,"su",IF(Kalenteri!B112=2,"ma",IF(Kalenteri!B112=3,"ti",IF(Kalenteri!B112=4,"ke",IF(Kalenteri!B112=5,"to",IF(Kalenteri!B112=6,"pe",IF(Kalenteri!B112=7,"la",)))))))</f>
        <v>ma</v>
      </c>
      <c r="C26" s="18" t="s">
        <v>183</v>
      </c>
      <c r="D26" s="10">
        <v>117</v>
      </c>
      <c r="E26" s="10" t="s">
        <v>193</v>
      </c>
      <c r="F26" s="11">
        <v>57</v>
      </c>
      <c r="G26" s="18" t="s">
        <v>187</v>
      </c>
      <c r="H26" s="11">
        <v>6</v>
      </c>
      <c r="I26" s="18">
        <v>9</v>
      </c>
      <c r="J26" s="11"/>
      <c r="K26" s="33">
        <f t="shared" si="0"/>
        <v>189</v>
      </c>
      <c r="L26" s="10"/>
      <c r="M26" s="10"/>
      <c r="N26" s="10"/>
      <c r="O26" s="11"/>
      <c r="P26" s="10"/>
      <c r="Q26" s="11"/>
      <c r="R26" s="30"/>
      <c r="S26" s="30"/>
      <c r="T26" s="33">
        <f t="shared" si="1"/>
        <v>0</v>
      </c>
      <c r="U26" s="10"/>
      <c r="V26" s="10"/>
      <c r="W26" s="10"/>
      <c r="X26" s="11"/>
      <c r="Y26" s="10"/>
      <c r="Z26" s="11"/>
      <c r="AA26" s="30"/>
      <c r="AB26" s="30"/>
      <c r="AC26" s="33">
        <f t="shared" si="2"/>
        <v>0</v>
      </c>
      <c r="AD26" s="12">
        <f t="shared" si="3"/>
        <v>189</v>
      </c>
      <c r="AE26" s="39"/>
      <c r="AF26" s="39"/>
      <c r="AG26" s="39"/>
      <c r="AH26" s="39"/>
      <c r="AI26" s="39"/>
      <c r="AJ26" s="39"/>
    </row>
    <row r="27" spans="1:36" x14ac:dyDescent="0.2">
      <c r="A27" s="5">
        <f>DAY(Kalenteri!A113)</f>
        <v>23</v>
      </c>
      <c r="B27" s="3" t="str">
        <f>IF(Kalenteri!B113=1,"su",IF(Kalenteri!B113=2,"ma",IF(Kalenteri!B113=3,"ti",IF(Kalenteri!B113=4,"ke",IF(Kalenteri!B113=5,"to",IF(Kalenteri!B113=6,"pe",IF(Kalenteri!B113=7,"la",)))))))</f>
        <v>ti</v>
      </c>
      <c r="C27" s="18"/>
      <c r="D27" s="10"/>
      <c r="E27" s="10"/>
      <c r="F27" s="11"/>
      <c r="G27" s="18"/>
      <c r="H27" s="11"/>
      <c r="I27" s="18"/>
      <c r="J27" s="11"/>
      <c r="K27" s="33">
        <f t="shared" si="0"/>
        <v>0</v>
      </c>
      <c r="L27" s="10"/>
      <c r="M27" s="10"/>
      <c r="N27" s="10"/>
      <c r="O27" s="11"/>
      <c r="P27" s="10"/>
      <c r="Q27" s="11"/>
      <c r="R27" s="30"/>
      <c r="S27" s="30"/>
      <c r="T27" s="33">
        <f t="shared" si="1"/>
        <v>0</v>
      </c>
      <c r="U27" s="10"/>
      <c r="V27" s="10"/>
      <c r="W27" s="10"/>
      <c r="X27" s="11"/>
      <c r="Y27" s="10"/>
      <c r="Z27" s="11"/>
      <c r="AA27" s="30"/>
      <c r="AB27" s="30"/>
      <c r="AC27" s="33">
        <f t="shared" si="2"/>
        <v>0</v>
      </c>
      <c r="AD27" s="12">
        <f t="shared" si="3"/>
        <v>0</v>
      </c>
      <c r="AE27" s="39"/>
      <c r="AF27" s="39"/>
      <c r="AG27" s="39"/>
      <c r="AH27" s="39"/>
      <c r="AI27" s="39"/>
      <c r="AJ27" s="39"/>
    </row>
    <row r="28" spans="1:36" x14ac:dyDescent="0.2">
      <c r="A28" s="5">
        <f>DAY(Kalenteri!A114)</f>
        <v>24</v>
      </c>
      <c r="B28" s="3" t="str">
        <f>IF(Kalenteri!B114=1,"su",IF(Kalenteri!B114=2,"ma",IF(Kalenteri!B114=3,"ti",IF(Kalenteri!B114=4,"ke",IF(Kalenteri!B114=5,"to",IF(Kalenteri!B114=6,"pe",IF(Kalenteri!B114=7,"la",)))))))</f>
        <v>ke</v>
      </c>
      <c r="C28" s="18"/>
      <c r="D28" s="10"/>
      <c r="E28" s="10"/>
      <c r="F28" s="11"/>
      <c r="G28" s="18"/>
      <c r="H28" s="11"/>
      <c r="I28" s="18"/>
      <c r="J28" s="11"/>
      <c r="K28" s="33">
        <f t="shared" si="0"/>
        <v>0</v>
      </c>
      <c r="L28" s="10"/>
      <c r="M28" s="10"/>
      <c r="N28" s="10"/>
      <c r="O28" s="11"/>
      <c r="P28" s="10"/>
      <c r="Q28" s="11"/>
      <c r="R28" s="30"/>
      <c r="S28" s="30"/>
      <c r="T28" s="33">
        <f t="shared" si="1"/>
        <v>0</v>
      </c>
      <c r="U28" s="10"/>
      <c r="V28" s="10"/>
      <c r="W28" s="10"/>
      <c r="X28" s="11"/>
      <c r="Y28" s="10"/>
      <c r="Z28" s="11"/>
      <c r="AA28" s="30"/>
      <c r="AB28" s="30"/>
      <c r="AC28" s="33">
        <f t="shared" si="2"/>
        <v>0</v>
      </c>
      <c r="AD28" s="12">
        <f t="shared" si="3"/>
        <v>0</v>
      </c>
      <c r="AE28" s="39"/>
      <c r="AF28" s="39"/>
      <c r="AG28" s="39"/>
      <c r="AH28" s="39"/>
      <c r="AI28" s="39"/>
      <c r="AJ28" s="39"/>
    </row>
    <row r="29" spans="1:36" x14ac:dyDescent="0.2">
      <c r="A29" s="5">
        <f>DAY(Kalenteri!A115)</f>
        <v>25</v>
      </c>
      <c r="B29" s="3" t="str">
        <f>IF(Kalenteri!B115=1,"su",IF(Kalenteri!B115=2,"ma",IF(Kalenteri!B115=3,"ti",IF(Kalenteri!B115=4,"ke",IF(Kalenteri!B115=5,"to",IF(Kalenteri!B115=6,"pe",IF(Kalenteri!B115=7,"la",)))))))</f>
        <v>to</v>
      </c>
      <c r="C29" s="18"/>
      <c r="D29" s="10"/>
      <c r="E29" s="10"/>
      <c r="F29" s="11"/>
      <c r="G29" s="18"/>
      <c r="H29" s="11"/>
      <c r="I29" s="18"/>
      <c r="J29" s="11"/>
      <c r="K29" s="33">
        <f t="shared" si="0"/>
        <v>0</v>
      </c>
      <c r="L29" s="10"/>
      <c r="M29" s="10"/>
      <c r="N29" s="10"/>
      <c r="O29" s="11"/>
      <c r="P29" s="10"/>
      <c r="Q29" s="11"/>
      <c r="R29" s="30"/>
      <c r="S29" s="30"/>
      <c r="T29" s="33">
        <f t="shared" si="1"/>
        <v>0</v>
      </c>
      <c r="U29" s="10"/>
      <c r="V29" s="10"/>
      <c r="W29" s="10"/>
      <c r="X29" s="11"/>
      <c r="Y29" s="10"/>
      <c r="Z29" s="11"/>
      <c r="AA29" s="30"/>
      <c r="AB29" s="30"/>
      <c r="AC29" s="33">
        <f t="shared" si="2"/>
        <v>0</v>
      </c>
      <c r="AD29" s="12">
        <f t="shared" si="3"/>
        <v>0</v>
      </c>
      <c r="AE29" s="39"/>
      <c r="AF29" s="39"/>
      <c r="AG29" s="39"/>
      <c r="AH29" s="39"/>
      <c r="AI29" s="39"/>
      <c r="AJ29" s="39"/>
    </row>
    <row r="30" spans="1:36" x14ac:dyDescent="0.2">
      <c r="A30" s="5">
        <f>DAY(Kalenteri!A116)</f>
        <v>26</v>
      </c>
      <c r="B30" s="3" t="str">
        <f>IF(Kalenteri!B116=1,"su",IF(Kalenteri!B116=2,"ma",IF(Kalenteri!B116=3,"ti",IF(Kalenteri!B116=4,"ke",IF(Kalenteri!B116=5,"to",IF(Kalenteri!B116=6,"pe",IF(Kalenteri!B116=7,"la",)))))))</f>
        <v>pe</v>
      </c>
      <c r="C30" s="18"/>
      <c r="D30" s="10"/>
      <c r="E30" s="10"/>
      <c r="F30" s="11"/>
      <c r="G30" s="18"/>
      <c r="H30" s="11"/>
      <c r="I30" s="18"/>
      <c r="J30" s="11"/>
      <c r="K30" s="33">
        <f t="shared" si="0"/>
        <v>0</v>
      </c>
      <c r="L30" s="10"/>
      <c r="M30" s="10"/>
      <c r="N30" s="10"/>
      <c r="O30" s="11"/>
      <c r="P30" s="10"/>
      <c r="Q30" s="11"/>
      <c r="R30" s="30"/>
      <c r="S30" s="30"/>
      <c r="T30" s="33">
        <f t="shared" si="1"/>
        <v>0</v>
      </c>
      <c r="U30" s="10"/>
      <c r="V30" s="10"/>
      <c r="W30" s="10"/>
      <c r="X30" s="11"/>
      <c r="Y30" s="10"/>
      <c r="Z30" s="11"/>
      <c r="AA30" s="30"/>
      <c r="AB30" s="30"/>
      <c r="AC30" s="33">
        <f t="shared" si="2"/>
        <v>0</v>
      </c>
      <c r="AD30" s="12">
        <f t="shared" si="3"/>
        <v>0</v>
      </c>
      <c r="AE30" s="39"/>
      <c r="AF30" s="39"/>
      <c r="AG30" s="39"/>
      <c r="AH30" s="39"/>
      <c r="AI30" s="39"/>
      <c r="AJ30" s="39"/>
    </row>
    <row r="31" spans="1:36" x14ac:dyDescent="0.2">
      <c r="A31" s="5">
        <f>DAY(Kalenteri!A117)</f>
        <v>27</v>
      </c>
      <c r="B31" s="3" t="str">
        <f>IF(Kalenteri!B117=1,"su",IF(Kalenteri!B117=2,"ma",IF(Kalenteri!B117=3,"ti",IF(Kalenteri!B117=4,"ke",IF(Kalenteri!B117=5,"to",IF(Kalenteri!B117=6,"pe",IF(Kalenteri!B117=7,"la",)))))))</f>
        <v>la</v>
      </c>
      <c r="C31" s="18"/>
      <c r="D31" s="10"/>
      <c r="E31" s="10"/>
      <c r="F31" s="11"/>
      <c r="G31" s="18"/>
      <c r="H31" s="11"/>
      <c r="I31" s="18"/>
      <c r="J31" s="11"/>
      <c r="K31" s="33">
        <f t="shared" si="0"/>
        <v>0</v>
      </c>
      <c r="L31" s="10"/>
      <c r="M31" s="10"/>
      <c r="N31" s="10"/>
      <c r="O31" s="11"/>
      <c r="P31" s="10"/>
      <c r="Q31" s="11"/>
      <c r="R31" s="30"/>
      <c r="S31" s="30"/>
      <c r="T31" s="33">
        <f t="shared" si="1"/>
        <v>0</v>
      </c>
      <c r="U31" s="10"/>
      <c r="V31" s="10"/>
      <c r="W31" s="10"/>
      <c r="X31" s="11"/>
      <c r="Y31" s="10"/>
      <c r="Z31" s="11"/>
      <c r="AA31" s="30"/>
      <c r="AB31" s="30"/>
      <c r="AC31" s="33">
        <f t="shared" si="2"/>
        <v>0</v>
      </c>
      <c r="AD31" s="12">
        <f t="shared" si="3"/>
        <v>0</v>
      </c>
      <c r="AE31" s="39"/>
      <c r="AF31" s="39"/>
      <c r="AG31" s="39"/>
      <c r="AH31" s="39"/>
      <c r="AI31" s="39"/>
      <c r="AJ31" s="39"/>
    </row>
    <row r="32" spans="1:36" x14ac:dyDescent="0.2">
      <c r="A32" s="5">
        <f>DAY(Kalenteri!A118)</f>
        <v>28</v>
      </c>
      <c r="B32" s="3" t="str">
        <f>IF(Kalenteri!B118=1,"su",IF(Kalenteri!B118=2,"ma",IF(Kalenteri!B118=3,"ti",IF(Kalenteri!B118=4,"ke",IF(Kalenteri!B118=5,"to",IF(Kalenteri!B118=6,"pe",IF(Kalenteri!B118=7,"la",)))))))</f>
        <v>su</v>
      </c>
      <c r="C32" s="18"/>
      <c r="D32" s="10"/>
      <c r="E32" s="10"/>
      <c r="F32" s="11"/>
      <c r="G32" s="18"/>
      <c r="H32" s="11"/>
      <c r="I32" s="18"/>
      <c r="J32" s="11"/>
      <c r="K32" s="33">
        <f t="shared" si="0"/>
        <v>0</v>
      </c>
      <c r="L32" s="10"/>
      <c r="M32" s="10"/>
      <c r="N32" s="10"/>
      <c r="O32" s="11"/>
      <c r="P32" s="10"/>
      <c r="Q32" s="11"/>
      <c r="R32" s="30"/>
      <c r="S32" s="30"/>
      <c r="T32" s="33">
        <f t="shared" si="1"/>
        <v>0</v>
      </c>
      <c r="U32" s="10"/>
      <c r="V32" s="10"/>
      <c r="W32" s="10"/>
      <c r="X32" s="11"/>
      <c r="Y32" s="10"/>
      <c r="Z32" s="11"/>
      <c r="AA32" s="30"/>
      <c r="AB32" s="30"/>
      <c r="AC32" s="33">
        <f t="shared" si="2"/>
        <v>0</v>
      </c>
      <c r="AD32" s="12">
        <f t="shared" si="3"/>
        <v>0</v>
      </c>
      <c r="AE32" s="39"/>
      <c r="AF32" s="39"/>
      <c r="AG32" s="39"/>
      <c r="AH32" s="39"/>
      <c r="AI32" s="39"/>
      <c r="AJ32" s="39"/>
    </row>
    <row r="33" spans="1:36" x14ac:dyDescent="0.2">
      <c r="A33" s="5">
        <f>DAY(Kalenteri!A119)</f>
        <v>29</v>
      </c>
      <c r="B33" s="3" t="str">
        <f>IF(Kalenteri!B119=1,"su",IF(Kalenteri!B119=2,"ma",IF(Kalenteri!B119=3,"ti",IF(Kalenteri!B119=4,"ke",IF(Kalenteri!B119=5,"to",IF(Kalenteri!B119=6,"pe",IF(Kalenteri!B119=7,"la",)))))))</f>
        <v>ma</v>
      </c>
      <c r="C33" s="18" t="s">
        <v>200</v>
      </c>
      <c r="D33" s="10" t="s">
        <v>193</v>
      </c>
      <c r="E33" s="10">
        <v>31</v>
      </c>
      <c r="F33" s="11"/>
      <c r="G33" s="18"/>
      <c r="H33" s="11"/>
      <c r="I33" s="18"/>
      <c r="J33" s="11"/>
      <c r="K33" s="33">
        <f t="shared" si="0"/>
        <v>31</v>
      </c>
      <c r="L33" s="10"/>
      <c r="M33" s="10"/>
      <c r="N33" s="10"/>
      <c r="O33" s="11"/>
      <c r="P33" s="10"/>
      <c r="Q33" s="11"/>
      <c r="R33" s="30"/>
      <c r="S33" s="30"/>
      <c r="T33" s="33">
        <f t="shared" si="1"/>
        <v>0</v>
      </c>
      <c r="U33" s="10"/>
      <c r="V33" s="10"/>
      <c r="W33" s="10"/>
      <c r="X33" s="11"/>
      <c r="Y33" s="10"/>
      <c r="Z33" s="11"/>
      <c r="AA33" s="30"/>
      <c r="AB33" s="30"/>
      <c r="AC33" s="33">
        <f t="shared" si="2"/>
        <v>0</v>
      </c>
      <c r="AD33" s="12">
        <f t="shared" si="3"/>
        <v>31</v>
      </c>
      <c r="AE33" s="39"/>
      <c r="AF33" s="39"/>
      <c r="AG33" s="39"/>
      <c r="AH33" s="39"/>
      <c r="AI33" s="39"/>
      <c r="AJ33" s="39"/>
    </row>
    <row r="34" spans="1:36" x14ac:dyDescent="0.2">
      <c r="A34" s="5">
        <f>DAY(Kalenteri!A120)</f>
        <v>30</v>
      </c>
      <c r="B34" s="3" t="str">
        <f>IF(Kalenteri!B120=1,"su",IF(Kalenteri!B120=2,"ma",IF(Kalenteri!B120=3,"ti",IF(Kalenteri!B120=4,"ke",IF(Kalenteri!B120=5,"to",IF(Kalenteri!B120=6,"pe",IF(Kalenteri!B120=7,"la",)))))))</f>
        <v>ti</v>
      </c>
      <c r="C34" s="18"/>
      <c r="D34" s="10"/>
      <c r="E34" s="10"/>
      <c r="F34" s="11"/>
      <c r="G34" s="18"/>
      <c r="H34" s="11"/>
      <c r="I34" s="18"/>
      <c r="J34" s="11"/>
      <c r="K34" s="33">
        <f t="shared" si="0"/>
        <v>0</v>
      </c>
      <c r="L34" s="10"/>
      <c r="M34" s="10"/>
      <c r="N34" s="10"/>
      <c r="O34" s="11"/>
      <c r="P34" s="10"/>
      <c r="Q34" s="11"/>
      <c r="R34" s="30"/>
      <c r="S34" s="30"/>
      <c r="T34" s="33">
        <f t="shared" si="1"/>
        <v>0</v>
      </c>
      <c r="U34" s="10"/>
      <c r="V34" s="10"/>
      <c r="W34" s="10"/>
      <c r="X34" s="11"/>
      <c r="Y34" s="10"/>
      <c r="Z34" s="11"/>
      <c r="AA34" s="30"/>
      <c r="AB34" s="30"/>
      <c r="AC34" s="33">
        <f t="shared" si="2"/>
        <v>0</v>
      </c>
      <c r="AD34" s="12">
        <f t="shared" si="3"/>
        <v>0</v>
      </c>
      <c r="AE34" s="39"/>
      <c r="AF34" s="39"/>
      <c r="AG34" s="39"/>
      <c r="AH34" s="39"/>
      <c r="AI34" s="39"/>
      <c r="AJ34" s="39"/>
    </row>
    <row r="35" spans="1:36" x14ac:dyDescent="0.2">
      <c r="A35" s="5"/>
      <c r="B35" s="3"/>
      <c r="C35" s="79"/>
      <c r="D35" s="80"/>
      <c r="E35" s="80"/>
      <c r="F35" s="81"/>
      <c r="G35" s="79"/>
      <c r="H35" s="81"/>
      <c r="I35" s="79"/>
      <c r="J35" s="81"/>
      <c r="K35" s="34">
        <f t="shared" si="0"/>
        <v>0</v>
      </c>
      <c r="L35" s="20"/>
      <c r="M35" s="20"/>
      <c r="N35" s="20"/>
      <c r="O35" s="21"/>
      <c r="P35" s="20"/>
      <c r="Q35" s="21"/>
      <c r="R35" s="31"/>
      <c r="S35" s="31"/>
      <c r="T35" s="34">
        <f t="shared" si="1"/>
        <v>0</v>
      </c>
      <c r="U35" s="20"/>
      <c r="V35" s="20"/>
      <c r="W35" s="20"/>
      <c r="X35" s="21"/>
      <c r="Y35" s="20"/>
      <c r="Z35" s="21"/>
      <c r="AA35" s="31"/>
      <c r="AB35" s="31"/>
      <c r="AC35" s="34">
        <f t="shared" si="2"/>
        <v>0</v>
      </c>
      <c r="AD35" s="19">
        <f t="shared" si="3"/>
        <v>0</v>
      </c>
      <c r="AE35" s="39"/>
      <c r="AF35" s="39"/>
      <c r="AG35" s="39"/>
      <c r="AH35" s="39"/>
      <c r="AI35" s="39"/>
      <c r="AJ35" s="39"/>
    </row>
    <row r="36" spans="1:36" x14ac:dyDescent="0.2">
      <c r="A36" s="6"/>
      <c r="B36"/>
      <c r="C36" s="82">
        <f t="shared" ref="C36:J36" si="4">SUM(C5:C35)</f>
        <v>0</v>
      </c>
      <c r="D36" s="83">
        <f t="shared" si="4"/>
        <v>118</v>
      </c>
      <c r="E36" s="83">
        <f t="shared" si="4"/>
        <v>31</v>
      </c>
      <c r="F36" s="84">
        <f t="shared" si="4"/>
        <v>57</v>
      </c>
      <c r="G36" s="83">
        <f t="shared" si="4"/>
        <v>46</v>
      </c>
      <c r="H36" s="84">
        <f t="shared" si="4"/>
        <v>83</v>
      </c>
      <c r="I36" s="83">
        <f t="shared" si="4"/>
        <v>107</v>
      </c>
      <c r="J36" s="84">
        <f t="shared" si="4"/>
        <v>0</v>
      </c>
      <c r="K36" s="85">
        <f t="shared" si="0"/>
        <v>442</v>
      </c>
      <c r="L36" s="83">
        <f t="shared" ref="L36:S36" si="5">SUM(L5:L35)</f>
        <v>0</v>
      </c>
      <c r="M36" s="83">
        <f t="shared" si="5"/>
        <v>0</v>
      </c>
      <c r="N36" s="83">
        <f t="shared" si="5"/>
        <v>0</v>
      </c>
      <c r="O36" s="84">
        <f t="shared" si="5"/>
        <v>0</v>
      </c>
      <c r="P36" s="83">
        <f t="shared" si="5"/>
        <v>0</v>
      </c>
      <c r="Q36" s="84">
        <f t="shared" si="5"/>
        <v>0</v>
      </c>
      <c r="R36" s="86">
        <f t="shared" si="5"/>
        <v>0</v>
      </c>
      <c r="S36" s="86">
        <f t="shared" si="5"/>
        <v>0</v>
      </c>
      <c r="T36" s="85">
        <f t="shared" si="1"/>
        <v>0</v>
      </c>
      <c r="U36" s="83">
        <f t="shared" ref="U36:AB36" si="6">SUM(U5:U35)</f>
        <v>0</v>
      </c>
      <c r="V36" s="83">
        <f t="shared" si="6"/>
        <v>0</v>
      </c>
      <c r="W36" s="83">
        <f t="shared" si="6"/>
        <v>0</v>
      </c>
      <c r="X36" s="84">
        <f t="shared" si="6"/>
        <v>0</v>
      </c>
      <c r="Y36" s="83">
        <f t="shared" si="6"/>
        <v>0</v>
      </c>
      <c r="Z36" s="84">
        <f t="shared" si="6"/>
        <v>0</v>
      </c>
      <c r="AA36" s="86">
        <f t="shared" si="6"/>
        <v>0</v>
      </c>
      <c r="AB36" s="86">
        <f t="shared" si="6"/>
        <v>0</v>
      </c>
      <c r="AC36" s="85">
        <f t="shared" si="2"/>
        <v>0</v>
      </c>
      <c r="AD36" s="87">
        <f t="shared" si="3"/>
        <v>442</v>
      </c>
      <c r="AE36" s="66"/>
      <c r="AF36" s="66"/>
      <c r="AG36" s="66"/>
      <c r="AH36" s="66"/>
      <c r="AI36" s="66"/>
      <c r="AJ36" s="66"/>
    </row>
    <row r="37" spans="1:36" ht="8.1" customHeight="1" thickBot="1" x14ac:dyDescent="0.25">
      <c r="A37" s="6"/>
      <c r="B37"/>
      <c r="C37" s="2"/>
      <c r="D37" s="5"/>
      <c r="E37" s="5"/>
      <c r="F37" s="2"/>
      <c r="G37" s="2"/>
      <c r="H37" s="2"/>
      <c r="I37" s="5"/>
      <c r="J37" s="2"/>
      <c r="K37" s="2"/>
      <c r="L37" s="5"/>
      <c r="M37" s="2"/>
      <c r="N37" s="5"/>
      <c r="O37" s="5"/>
      <c r="P37" s="2"/>
      <c r="Q37" s="5"/>
      <c r="R37" s="42"/>
      <c r="S37" s="42"/>
      <c r="T37" s="2"/>
      <c r="U37" s="2"/>
      <c r="V37" s="2"/>
      <c r="W37" s="2"/>
      <c r="X37" s="5"/>
      <c r="Y37" s="2"/>
      <c r="Z37" s="2"/>
      <c r="AA37" s="39"/>
      <c r="AB37" s="39"/>
      <c r="AC37" s="5"/>
      <c r="AD37" s="40"/>
      <c r="AE37" s="40"/>
      <c r="AF37" s="40"/>
      <c r="AG37" s="40"/>
      <c r="AH37" s="40"/>
      <c r="AI37" s="40"/>
      <c r="AJ37" s="40"/>
    </row>
    <row r="38" spans="1:36" ht="24.95" customHeight="1" thickTop="1" x14ac:dyDescent="0.3">
      <c r="A38" s="6"/>
      <c r="B38"/>
      <c r="C38" s="171" t="str">
        <f>Kalenteri!E38</f>
        <v>Lippujen hinnat:</v>
      </c>
      <c r="D38" s="5"/>
      <c r="E38" s="5"/>
      <c r="F38" s="2"/>
      <c r="G38" s="2"/>
      <c r="H38" s="2"/>
      <c r="I38" s="5"/>
      <c r="J38" s="2"/>
      <c r="K38" s="2"/>
      <c r="L38" s="5"/>
      <c r="M38" s="2"/>
      <c r="N38" s="5"/>
      <c r="O38" s="5"/>
      <c r="P38" s="2"/>
      <c r="Q38"/>
      <c r="R38"/>
      <c r="S38"/>
      <c r="T38"/>
      <c r="U38" s="49" t="s">
        <v>40</v>
      </c>
      <c r="V38" s="50"/>
      <c r="W38" s="43"/>
      <c r="X38" s="44"/>
      <c r="Y38" s="43"/>
      <c r="Z38" s="43"/>
      <c r="AA38" s="44"/>
      <c r="AB38" s="44"/>
      <c r="AC38" s="47"/>
      <c r="AD38" s="45">
        <f>AD36</f>
        <v>442</v>
      </c>
      <c r="AE38" s="41"/>
      <c r="AF38" s="41"/>
      <c r="AG38" s="41"/>
      <c r="AH38" s="41"/>
      <c r="AI38" s="41"/>
      <c r="AJ38" s="41"/>
    </row>
    <row r="39" spans="1:36" ht="24.95" customHeight="1" x14ac:dyDescent="0.3">
      <c r="A39" s="6"/>
      <c r="B39"/>
      <c r="C39" s="193" t="str">
        <f>Kalenteri!E39</f>
        <v>Mustikkamaan kautta: 1.9.-30.4. aik. 10 €, lapset 5 €, kimppalippu 30 €    1.5.-30.8. aik. 12 €, lapset 6 €, kimppalippu 36 €</v>
      </c>
      <c r="D39" s="89"/>
      <c r="E39" s="89"/>
      <c r="F39" s="90"/>
      <c r="G39" s="102"/>
      <c r="H39" s="174"/>
      <c r="I39" s="89"/>
      <c r="J39" s="90"/>
      <c r="K39" s="90"/>
      <c r="L39" s="89"/>
      <c r="M39" s="90"/>
      <c r="N39" s="89"/>
      <c r="O39" s="89"/>
      <c r="P39" s="90"/>
      <c r="Q39" s="104"/>
      <c r="R39" s="103"/>
      <c r="S39"/>
      <c r="T39"/>
      <c r="U39" s="62" t="s">
        <v>13</v>
      </c>
      <c r="V39" s="52"/>
      <c r="W39" s="53"/>
      <c r="X39" s="54"/>
      <c r="Y39" s="53"/>
      <c r="Z39" s="53"/>
      <c r="AA39" s="54"/>
      <c r="AB39" s="54"/>
      <c r="AC39" s="55"/>
      <c r="AD39" s="56">
        <f>AD36-Edellisvuosi!E8</f>
        <v>-2436</v>
      </c>
      <c r="AE39" s="67"/>
      <c r="AF39" s="67"/>
      <c r="AG39" s="67"/>
      <c r="AH39" s="67"/>
      <c r="AI39" s="67"/>
      <c r="AJ39" s="67"/>
    </row>
    <row r="40" spans="1:36" ht="24.95" customHeight="1" x14ac:dyDescent="0.3">
      <c r="A40" s="6"/>
      <c r="B40" s="6"/>
      <c r="C40" s="194" t="str">
        <f>Kalenteri!E40</f>
        <v xml:space="preserve">                                    Vuosikortti:     aik. 50 €, lapset 20 €, perhekortti 100 €</v>
      </c>
      <c r="D40" s="39"/>
      <c r="E40" s="39"/>
      <c r="F40" s="42"/>
      <c r="G40" s="65"/>
      <c r="H40" s="176"/>
      <c r="I40" s="39"/>
      <c r="J40" s="42"/>
      <c r="K40" s="42"/>
      <c r="L40" s="39"/>
      <c r="M40" s="42"/>
      <c r="N40" s="39"/>
      <c r="O40" s="39"/>
      <c r="P40" s="39"/>
      <c r="Q40" s="23"/>
      <c r="R40" s="97"/>
      <c r="S40"/>
      <c r="T40"/>
      <c r="U40" s="63" t="s">
        <v>41</v>
      </c>
      <c r="V40" s="37"/>
      <c r="W40" s="51"/>
      <c r="X40" s="41"/>
      <c r="Y40" s="51"/>
      <c r="Z40" s="41"/>
      <c r="AA40" s="41"/>
      <c r="AB40" s="41"/>
      <c r="AC40" s="48"/>
      <c r="AD40" s="46">
        <f>AD36+'K1'!AD36+'K2'!AD36+'K3'!AD36</f>
        <v>2634</v>
      </c>
      <c r="AE40" s="41"/>
      <c r="AF40" s="41"/>
      <c r="AG40" s="41"/>
      <c r="AH40" s="41"/>
      <c r="AI40" s="41"/>
      <c r="AJ40" s="41"/>
    </row>
    <row r="41" spans="1:36" ht="24.95" customHeight="1" thickBot="1" x14ac:dyDescent="0.35">
      <c r="A41" s="4"/>
      <c r="B41" s="4"/>
      <c r="C41" s="195" t="str">
        <f>Kalenteri!E41</f>
        <v>Vesibusseilla:             1.9.-30.4. aik. 16 €, lapset 8 €, kimppalippu 47 €    1.5.-31.8. aik. 18 €, lapset 9 €, kimppalippu 53 €</v>
      </c>
      <c r="D41" s="93"/>
      <c r="E41" s="93"/>
      <c r="F41" s="94"/>
      <c r="G41" s="94"/>
      <c r="H41" s="175"/>
      <c r="I41" s="93"/>
      <c r="J41" s="96"/>
      <c r="K41" s="96"/>
      <c r="L41" s="93"/>
      <c r="M41" s="95"/>
      <c r="N41" s="95"/>
      <c r="O41" s="93"/>
      <c r="P41" s="95"/>
      <c r="Q41" s="95"/>
      <c r="R41" s="98"/>
      <c r="S41"/>
      <c r="T41"/>
      <c r="U41" s="64" t="s">
        <v>13</v>
      </c>
      <c r="V41" s="57"/>
      <c r="W41" s="58"/>
      <c r="X41" s="59"/>
      <c r="Y41" s="59"/>
      <c r="Z41" s="59"/>
      <c r="AA41" s="59"/>
      <c r="AB41" s="59"/>
      <c r="AC41" s="60"/>
      <c r="AD41" s="61">
        <f>AD40-Edellisvuosi!B8-Edellisvuosi!C8-Edellisvuosi!D8-Edellisvuosi!E8</f>
        <v>-770</v>
      </c>
      <c r="AE41" s="68"/>
      <c r="AF41" s="68"/>
      <c r="AG41" s="68"/>
      <c r="AH41" s="68"/>
      <c r="AI41" s="68"/>
      <c r="AJ41" s="68"/>
    </row>
    <row r="42" spans="1:36" ht="13.5" thickTop="1" x14ac:dyDescent="0.2"/>
  </sheetData>
  <sheetProtection password="C4AC" sheet="1" objects="1" scenarios="1"/>
  <phoneticPr fontId="4" type="noConversion"/>
  <pageMargins left="0" right="0" top="0.27559055118110237" bottom="0" header="0" footer="0"/>
  <pageSetup paperSize="9" scale="75" fitToHeight="0" orientation="landscape" horizontalDpi="4294967292" verticalDpi="4294967292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4033" r:id="rId4" name="Button 1">
              <controlPr defaultSize="0" print="0" autoFill="0" autoLine="0" autoPict="0" macro="[1]!TAMMI">
                <anchor moveWithCells="1" sizeWithCells="1">
                  <from>
                    <xdr:col>35</xdr:col>
                    <xdr:colOff>0</xdr:colOff>
                    <xdr:row>3</xdr:row>
                    <xdr:rowOff>9525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34" r:id="rId5" name="Button 2">
              <controlPr defaultSize="0" print="0" autoFill="0" autoLine="0" autoPict="0" macro="[1]KTMAKRO!$A$1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35" r:id="rId6" name="Button 3">
              <controlPr defaultSize="0" print="0" autoFill="0" autoLine="0" autoPict="0" macro="[1]!MAALIS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36" r:id="rId7" name="Button 4">
              <controlPr defaultSize="0" print="0" autoFill="0" autoLine="0" autoPict="0" macro="[1]KTMAKRO!$D$1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37" r:id="rId8" name="Button 5">
              <controlPr defaultSize="0" print="0" autoFill="0" autoLine="0" autoPict="0" macro="[1]KTMAKRO!$E$1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38" r:id="rId9" name="Button 6">
              <controlPr defaultSize="0" print="0" autoFill="0" autoLine="0" autoPict="0" macro="[1]!KESÄ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39" r:id="rId10" name="Button 7">
              <controlPr defaultSize="0" print="0" autoFill="0" autoLine="0" autoPict="0" macro="[1]!HELMI">
                <anchor moveWithCells="1" sizeWithCells="1">
                  <from>
                    <xdr:col>35</xdr:col>
                    <xdr:colOff>0</xdr:colOff>
                    <xdr:row>3</xdr:row>
                    <xdr:rowOff>9525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40" r:id="rId11" name="Button 8">
              <controlPr defaultSize="0" print="0" autoFill="0" autoLine="0" autoPict="0" macro="[1]KTMAKRO!$G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41" r:id="rId12" name="Button 9">
              <controlPr defaultSize="0" print="0" autoFill="0" autoLine="0" autoPict="0" macro="[1]KTMAKRO!$I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42" r:id="rId13" name="Button 10">
              <controlPr defaultSize="0" print="0" autoFill="0" autoLine="0" autoPict="0" macro="[1]KTMAKRO!$J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43" r:id="rId14" name="Button 11">
              <controlPr defaultSize="0" print="0" autoFill="0" autoLine="0" autoPict="0" macro="[1]KTMAKRO!$K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44" r:id="rId15" name="Button 12">
              <controlPr defaultSize="0" print="0" autoFill="0" autoLine="0" autoPict="0" macro="[1]KTMAKRO!$L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45" r:id="rId16" name="Button 13">
              <controlPr defaultSize="0" print="0" autoFill="0" autoLine="0" autoPict="0" macro="[1]KTMAKRO!$H$1">
                <anchor moveWithCells="1" sizeWithCells="1">
                  <from>
                    <xdr:col>35</xdr:col>
                    <xdr:colOff>0</xdr:colOff>
                    <xdr:row>5</xdr:row>
                    <xdr:rowOff>0</xdr:rowOff>
                  </from>
                  <to>
                    <xdr:col>35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46" r:id="rId17" name="Button 14">
              <controlPr defaultSize="0" print="0" autoFill="0" autoLine="0" autoPict="0" macro="[1]!Yhteenveto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5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47" r:id="rId18" name="Button 15">
              <controlPr defaultSize="0" print="0" autoFill="0" autoLine="0" autoPict="0" macro="[1]!GRAFIIKKA1">
                <anchor moveWithCells="1" sizeWithCells="1">
                  <from>
                    <xdr:col>35</xdr:col>
                    <xdr:colOff>0</xdr:colOff>
                    <xdr:row>8</xdr:row>
                    <xdr:rowOff>142875</xdr:rowOff>
                  </from>
                  <to>
                    <xdr:col>35</xdr:col>
                    <xdr:colOff>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48" r:id="rId19" name="Button 16">
              <controlPr defaultSize="0" print="0" autoFill="0" autoLine="0" autoPict="0" macro="[1]!Grafiikka2">
                <anchor moveWithCells="1" sizeWithCells="1">
                  <from>
                    <xdr:col>35</xdr:col>
                    <xdr:colOff>0</xdr:colOff>
                    <xdr:row>8</xdr:row>
                    <xdr:rowOff>152400</xdr:rowOff>
                  </from>
                  <to>
                    <xdr:col>35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49" r:id="rId20" name="Button 17">
              <controlPr defaultSize="0" print="0" autoFill="0" autoLine="0" autoPict="0" macro="[1]!Grafiikka4">
                <anchor moveWithCells="1" sizeWithCells="1">
                  <from>
                    <xdr:col>35</xdr:col>
                    <xdr:colOff>0</xdr:colOff>
                    <xdr:row>8</xdr:row>
                    <xdr:rowOff>142875</xdr:rowOff>
                  </from>
                  <to>
                    <xdr:col>35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50" r:id="rId21" name="Button 18">
              <controlPr defaultSize="0" print="0" autoFill="0" autoLine="0" autoPict="0" macro="[1]!Grafiikka4">
                <anchor moveWithCells="1" sizeWithCells="1">
                  <from>
                    <xdr:col>35</xdr:col>
                    <xdr:colOff>0</xdr:colOff>
                    <xdr:row>8</xdr:row>
                    <xdr:rowOff>152400</xdr:rowOff>
                  </from>
                  <to>
                    <xdr:col>35</xdr:col>
                    <xdr:colOff>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51" r:id="rId22" name="Button 19">
              <controlPr defaultSize="0" print="0" autoFill="0" autoLine="0" autoPict="0" macro="[1]!Grafiikka5">
                <anchor moveWithCells="1" sizeWithCells="1">
                  <from>
                    <xdr:col>35</xdr:col>
                    <xdr:colOff>0</xdr:colOff>
                    <xdr:row>8</xdr:row>
                    <xdr:rowOff>152400</xdr:rowOff>
                  </from>
                  <to>
                    <xdr:col>35</xdr:col>
                    <xdr:colOff>0</xdr:colOff>
                    <xdr:row>12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52" r:id="rId23" name="Button 20">
              <controlPr defaultSize="0" print="0" autoFill="0" autoLine="0" autoPict="0" macro="[1]!Perusikkuna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12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/>
  <dimension ref="A1:AJ42"/>
  <sheetViews>
    <sheetView showGridLines="0" zoomScale="80" zoomScaleNormal="80" workbookViewId="0"/>
  </sheetViews>
  <sheetFormatPr defaultColWidth="9.75" defaultRowHeight="12.75" x14ac:dyDescent="0.2"/>
  <cols>
    <col min="1" max="1" width="3.75" style="1" customWidth="1"/>
    <col min="2" max="2" width="2.75" style="1" customWidth="1"/>
    <col min="3" max="4" width="6.125" style="1" customWidth="1"/>
    <col min="5" max="5" width="4" style="1" customWidth="1"/>
    <col min="6" max="6" width="4.5" style="1" customWidth="1"/>
    <col min="7" max="10" width="6.125" style="1" customWidth="1"/>
    <col min="11" max="11" width="5.875" style="1" customWidth="1"/>
    <col min="12" max="13" width="6.125" style="1" customWidth="1"/>
    <col min="14" max="14" width="5.25" style="1" customWidth="1"/>
    <col min="15" max="15" width="4.5" style="1" customWidth="1"/>
    <col min="16" max="16" width="6.125" style="1" customWidth="1"/>
    <col min="17" max="17" width="5.5" style="1" customWidth="1"/>
    <col min="18" max="19" width="6.125" style="1" customWidth="1"/>
    <col min="20" max="20" width="5.875" style="1" customWidth="1"/>
    <col min="21" max="22" width="6.125" style="1" customWidth="1"/>
    <col min="23" max="23" width="4.375" style="1" customWidth="1"/>
    <col min="24" max="24" width="4.25" style="1" customWidth="1"/>
    <col min="25" max="29" width="6.125" style="1" customWidth="1"/>
    <col min="30" max="36" width="15.625" style="1" customWidth="1"/>
  </cols>
  <sheetData>
    <row r="1" spans="1:36" ht="30" customHeight="1" x14ac:dyDescent="0.35">
      <c r="A1" s="22"/>
      <c r="B1" s="4"/>
      <c r="C1" s="105" t="s">
        <v>15</v>
      </c>
      <c r="D1" s="106"/>
      <c r="E1" s="106"/>
      <c r="F1" s="106"/>
      <c r="G1" s="106"/>
      <c r="H1" s="106"/>
      <c r="I1" s="106"/>
      <c r="J1" s="106"/>
      <c r="K1" s="106"/>
      <c r="L1" s="105" t="str">
        <f>Kalenteri!$H$1</f>
        <v>KÄVIJÄTILASTO 2013</v>
      </c>
      <c r="M1" s="107"/>
      <c r="N1" s="107"/>
      <c r="O1" s="107"/>
      <c r="P1" s="106"/>
      <c r="Q1" s="106"/>
      <c r="R1" s="105" t="s">
        <v>74</v>
      </c>
      <c r="S1" s="108"/>
      <c r="T1" s="106"/>
      <c r="U1" s="109"/>
      <c r="V1" s="105" t="s">
        <v>39</v>
      </c>
      <c r="W1" s="109"/>
      <c r="X1" s="106"/>
      <c r="Y1" s="106"/>
      <c r="Z1" s="106"/>
      <c r="AA1" s="106"/>
      <c r="AB1" s="106"/>
      <c r="AC1" s="106"/>
      <c r="AD1" s="110"/>
      <c r="AE1" s="4"/>
      <c r="AF1" s="4"/>
      <c r="AG1" s="4"/>
      <c r="AH1" s="4"/>
      <c r="AI1" s="4"/>
      <c r="AJ1" s="4"/>
    </row>
    <row r="2" spans="1:36" ht="30" customHeight="1" x14ac:dyDescent="0.3">
      <c r="A2" s="3"/>
      <c r="B2" s="4"/>
      <c r="C2" s="72"/>
      <c r="D2" s="73"/>
      <c r="E2" s="74" t="s">
        <v>1</v>
      </c>
      <c r="F2" s="75"/>
      <c r="G2" s="75"/>
      <c r="H2" s="75"/>
      <c r="I2" s="75"/>
      <c r="J2" s="75"/>
      <c r="K2" s="76"/>
      <c r="L2" s="72"/>
      <c r="M2" s="77"/>
      <c r="N2" s="73"/>
      <c r="O2" s="74" t="s">
        <v>2</v>
      </c>
      <c r="P2" s="75"/>
      <c r="Q2" s="75"/>
      <c r="R2" s="75"/>
      <c r="S2" s="75"/>
      <c r="T2" s="76"/>
      <c r="U2" s="72"/>
      <c r="V2" s="75"/>
      <c r="W2" s="73"/>
      <c r="X2" s="74" t="s">
        <v>3</v>
      </c>
      <c r="Y2" s="75"/>
      <c r="Z2" s="75"/>
      <c r="AA2" s="75"/>
      <c r="AB2" s="75"/>
      <c r="AC2" s="76"/>
      <c r="AD2" s="13"/>
      <c r="AE2" s="35"/>
      <c r="AF2" s="69"/>
      <c r="AG2" s="69"/>
      <c r="AH2" s="69"/>
      <c r="AI2" s="69"/>
      <c r="AJ2" s="69"/>
    </row>
    <row r="3" spans="1:36" x14ac:dyDescent="0.2">
      <c r="A3" s="4"/>
      <c r="B3" s="4"/>
      <c r="C3" s="24" t="s">
        <v>4</v>
      </c>
      <c r="D3" s="25"/>
      <c r="E3" s="25"/>
      <c r="F3" s="26"/>
      <c r="G3" s="24" t="s">
        <v>5</v>
      </c>
      <c r="H3" s="26"/>
      <c r="I3" s="25" t="s">
        <v>6</v>
      </c>
      <c r="J3" s="25"/>
      <c r="K3" s="27"/>
      <c r="L3" s="24" t="s">
        <v>4</v>
      </c>
      <c r="M3" s="25"/>
      <c r="N3" s="25"/>
      <c r="O3" s="26"/>
      <c r="P3" s="24" t="s">
        <v>5</v>
      </c>
      <c r="Q3" s="26"/>
      <c r="R3" s="25" t="s">
        <v>6</v>
      </c>
      <c r="S3" s="25"/>
      <c r="T3" s="27"/>
      <c r="U3" s="24" t="s">
        <v>4</v>
      </c>
      <c r="V3" s="25"/>
      <c r="W3" s="25"/>
      <c r="X3" s="26"/>
      <c r="Y3" s="24" t="s">
        <v>5</v>
      </c>
      <c r="Z3" s="26"/>
      <c r="AA3" s="25" t="s">
        <v>6</v>
      </c>
      <c r="AB3" s="25"/>
      <c r="AC3" s="27"/>
      <c r="AD3" s="36" t="s">
        <v>7</v>
      </c>
      <c r="AE3" s="38"/>
      <c r="AF3" s="70"/>
      <c r="AG3" s="70"/>
      <c r="AH3" s="70"/>
      <c r="AI3" s="70"/>
      <c r="AJ3"/>
    </row>
    <row r="4" spans="1:36" x14ac:dyDescent="0.2">
      <c r="A4" s="6"/>
      <c r="B4" s="4"/>
      <c r="C4" s="7" t="s">
        <v>8</v>
      </c>
      <c r="D4" s="8" t="s">
        <v>9</v>
      </c>
      <c r="E4" s="8" t="s">
        <v>10</v>
      </c>
      <c r="F4" s="9" t="s">
        <v>11</v>
      </c>
      <c r="G4" s="7" t="s">
        <v>8</v>
      </c>
      <c r="H4" s="9" t="s">
        <v>9</v>
      </c>
      <c r="I4" s="8" t="s">
        <v>8</v>
      </c>
      <c r="J4" s="8" t="s">
        <v>9</v>
      </c>
      <c r="K4" s="14" t="s">
        <v>0</v>
      </c>
      <c r="L4" s="7" t="s">
        <v>8</v>
      </c>
      <c r="M4" s="8" t="s">
        <v>9</v>
      </c>
      <c r="N4" s="8" t="s">
        <v>10</v>
      </c>
      <c r="O4" s="9" t="s">
        <v>11</v>
      </c>
      <c r="P4" s="7" t="s">
        <v>8</v>
      </c>
      <c r="Q4" s="9" t="s">
        <v>9</v>
      </c>
      <c r="R4" s="8" t="s">
        <v>8</v>
      </c>
      <c r="S4" s="8" t="s">
        <v>9</v>
      </c>
      <c r="T4" s="14" t="s">
        <v>0</v>
      </c>
      <c r="U4" s="7" t="s">
        <v>8</v>
      </c>
      <c r="V4" s="8" t="s">
        <v>9</v>
      </c>
      <c r="W4" s="8" t="s">
        <v>10</v>
      </c>
      <c r="X4" s="9" t="s">
        <v>11</v>
      </c>
      <c r="Y4" s="7" t="s">
        <v>8</v>
      </c>
      <c r="Z4" s="9" t="s">
        <v>9</v>
      </c>
      <c r="AA4" s="8" t="s">
        <v>8</v>
      </c>
      <c r="AB4" s="8" t="s">
        <v>9</v>
      </c>
      <c r="AC4" s="14" t="s">
        <v>0</v>
      </c>
      <c r="AD4" s="28"/>
      <c r="AE4" s="23"/>
      <c r="AF4" s="23"/>
      <c r="AG4" s="23"/>
      <c r="AH4" s="23"/>
      <c r="AI4" s="23"/>
      <c r="AJ4"/>
    </row>
    <row r="5" spans="1:36" x14ac:dyDescent="0.2">
      <c r="A5" s="5">
        <f>DAY(Kalenteri!A121)</f>
        <v>1</v>
      </c>
      <c r="B5" s="3" t="str">
        <f>IF(Kalenteri!B121=1,"su",IF(Kalenteri!B121=2,"ma",IF(Kalenteri!B121=3,"ti",IF(Kalenteri!B121=4,"ke",IF(Kalenteri!B121=5,"to",IF(Kalenteri!B121=6,"pe",IF(Kalenteri!B121=7,"la",)))))))</f>
        <v>ke</v>
      </c>
      <c r="C5" s="78" t="s">
        <v>201</v>
      </c>
      <c r="D5" s="15"/>
      <c r="E5" s="15"/>
      <c r="F5" s="16"/>
      <c r="G5" s="78">
        <v>5</v>
      </c>
      <c r="H5" s="16">
        <v>7</v>
      </c>
      <c r="I5" s="78">
        <v>2</v>
      </c>
      <c r="J5" s="16">
        <v>3</v>
      </c>
      <c r="K5" s="32">
        <f t="shared" ref="K5:K36" si="0">SUM(C5:J5)</f>
        <v>17</v>
      </c>
      <c r="L5" s="15"/>
      <c r="M5" s="15"/>
      <c r="N5" s="15"/>
      <c r="O5" s="16"/>
      <c r="P5" s="15"/>
      <c r="Q5" s="16"/>
      <c r="R5" s="29"/>
      <c r="S5" s="29"/>
      <c r="T5" s="32">
        <f t="shared" ref="T5:T36" si="1">SUM(L5:S5)</f>
        <v>0</v>
      </c>
      <c r="U5" s="15"/>
      <c r="V5" s="15"/>
      <c r="W5" s="15"/>
      <c r="X5" s="16"/>
      <c r="Y5" s="15"/>
      <c r="Z5" s="16"/>
      <c r="AA5" s="29"/>
      <c r="AB5" s="29"/>
      <c r="AC5" s="32">
        <f t="shared" ref="AC5:AC36" si="2">SUM(U5:AB5)</f>
        <v>0</v>
      </c>
      <c r="AD5" s="17">
        <f t="shared" ref="AD5:AD36" si="3">SUM(K5,T5,AC5)</f>
        <v>17</v>
      </c>
      <c r="AE5" s="39"/>
      <c r="AF5" s="39"/>
      <c r="AG5" s="39"/>
      <c r="AH5" s="39"/>
      <c r="AI5" s="39"/>
      <c r="AJ5"/>
    </row>
    <row r="6" spans="1:36" x14ac:dyDescent="0.2">
      <c r="A6" s="5">
        <f>DAY(Kalenteri!A122)</f>
        <v>2</v>
      </c>
      <c r="B6" s="3" t="str">
        <f>IF(Kalenteri!B122=1,"su",IF(Kalenteri!B122=2,"ma",IF(Kalenteri!B122=3,"ti",IF(Kalenteri!B122=4,"ke",IF(Kalenteri!B122=5,"to",IF(Kalenteri!B122=6,"pe",IF(Kalenteri!B122=7,"la",)))))))</f>
        <v>to</v>
      </c>
      <c r="C6" s="18" t="s">
        <v>202</v>
      </c>
      <c r="D6" s="10"/>
      <c r="E6" s="10"/>
      <c r="F6" s="11"/>
      <c r="G6" s="18">
        <v>5</v>
      </c>
      <c r="H6" s="11">
        <v>1</v>
      </c>
      <c r="I6" s="18"/>
      <c r="J6" s="11"/>
      <c r="K6" s="33">
        <f t="shared" si="0"/>
        <v>6</v>
      </c>
      <c r="L6" s="10"/>
      <c r="M6" s="10"/>
      <c r="N6" s="10"/>
      <c r="O6" s="11"/>
      <c r="P6" s="10"/>
      <c r="Q6" s="11"/>
      <c r="R6" s="30"/>
      <c r="S6" s="30"/>
      <c r="T6" s="33">
        <f t="shared" si="1"/>
        <v>0</v>
      </c>
      <c r="U6" s="10"/>
      <c r="V6" s="10"/>
      <c r="W6" s="10"/>
      <c r="X6" s="11"/>
      <c r="Y6" s="10"/>
      <c r="Z6" s="11"/>
      <c r="AA6" s="30"/>
      <c r="AB6" s="30"/>
      <c r="AC6" s="33">
        <f t="shared" si="2"/>
        <v>0</v>
      </c>
      <c r="AD6" s="12">
        <f t="shared" si="3"/>
        <v>6</v>
      </c>
      <c r="AE6" s="39"/>
      <c r="AF6" s="39"/>
      <c r="AG6" s="39"/>
      <c r="AH6" s="39"/>
      <c r="AI6" s="39"/>
      <c r="AJ6"/>
    </row>
    <row r="7" spans="1:36" x14ac:dyDescent="0.2">
      <c r="A7" s="5">
        <f>DAY(Kalenteri!A123)</f>
        <v>3</v>
      </c>
      <c r="B7" s="3" t="str">
        <f>IF(Kalenteri!B123=1,"su",IF(Kalenteri!B123=2,"ma",IF(Kalenteri!B123=3,"ti",IF(Kalenteri!B123=4,"ke",IF(Kalenteri!B123=5,"to",IF(Kalenteri!B123=6,"pe",IF(Kalenteri!B123=7,"la",)))))))</f>
        <v>pe</v>
      </c>
      <c r="C7" s="18" t="s">
        <v>203</v>
      </c>
      <c r="D7" s="10"/>
      <c r="E7" s="10"/>
      <c r="F7" s="11"/>
      <c r="G7" s="18">
        <v>122</v>
      </c>
      <c r="H7" s="11"/>
      <c r="I7" s="18"/>
      <c r="J7" s="11"/>
      <c r="K7" s="33">
        <f t="shared" si="0"/>
        <v>122</v>
      </c>
      <c r="L7" s="10"/>
      <c r="M7" s="10"/>
      <c r="N7" s="10"/>
      <c r="O7" s="11"/>
      <c r="P7" s="10"/>
      <c r="Q7" s="11"/>
      <c r="R7" s="30"/>
      <c r="S7" s="30"/>
      <c r="T7" s="33">
        <f t="shared" si="1"/>
        <v>0</v>
      </c>
      <c r="U7" s="10"/>
      <c r="V7" s="10"/>
      <c r="W7" s="10"/>
      <c r="X7" s="11"/>
      <c r="Y7" s="10"/>
      <c r="Z7" s="11"/>
      <c r="AA7" s="30"/>
      <c r="AB7" s="30"/>
      <c r="AC7" s="33">
        <f t="shared" si="2"/>
        <v>0</v>
      </c>
      <c r="AD7" s="12">
        <f t="shared" si="3"/>
        <v>122</v>
      </c>
      <c r="AE7" s="39"/>
      <c r="AF7" s="39"/>
      <c r="AG7" s="39"/>
      <c r="AH7" s="39"/>
      <c r="AI7" s="39"/>
      <c r="AJ7"/>
    </row>
    <row r="8" spans="1:36" x14ac:dyDescent="0.2">
      <c r="A8" s="5">
        <f>DAY(Kalenteri!A124)</f>
        <v>4</v>
      </c>
      <c r="B8" s="3" t="str">
        <f>IF(Kalenteri!B124=1,"su",IF(Kalenteri!B124=2,"ma",IF(Kalenteri!B124=3,"ti",IF(Kalenteri!B124=4,"ke",IF(Kalenteri!B124=5,"to",IF(Kalenteri!B124=6,"pe",IF(Kalenteri!B124=7,"la",)))))))</f>
        <v>la</v>
      </c>
      <c r="C8" s="18" t="s">
        <v>204</v>
      </c>
      <c r="D8" s="10"/>
      <c r="E8" s="10"/>
      <c r="F8" s="11"/>
      <c r="G8" s="18">
        <v>21</v>
      </c>
      <c r="H8" s="11">
        <v>5</v>
      </c>
      <c r="I8" s="18"/>
      <c r="J8" s="11"/>
      <c r="K8" s="33">
        <f t="shared" si="0"/>
        <v>26</v>
      </c>
      <c r="L8" s="10"/>
      <c r="M8" s="10"/>
      <c r="N8" s="10"/>
      <c r="O8" s="11"/>
      <c r="P8" s="10"/>
      <c r="Q8" s="11"/>
      <c r="R8" s="30"/>
      <c r="S8" s="30"/>
      <c r="T8" s="33">
        <f t="shared" si="1"/>
        <v>0</v>
      </c>
      <c r="U8" s="10"/>
      <c r="V8" s="10"/>
      <c r="W8" s="10"/>
      <c r="X8" s="11"/>
      <c r="Y8" s="10"/>
      <c r="Z8" s="11"/>
      <c r="AA8" s="30"/>
      <c r="AB8" s="30"/>
      <c r="AC8" s="33">
        <f t="shared" si="2"/>
        <v>0</v>
      </c>
      <c r="AD8" s="12">
        <f t="shared" si="3"/>
        <v>26</v>
      </c>
      <c r="AE8" s="39"/>
      <c r="AF8" s="39"/>
      <c r="AG8" s="39"/>
      <c r="AH8" s="39"/>
      <c r="AI8" s="39"/>
      <c r="AJ8"/>
    </row>
    <row r="9" spans="1:36" x14ac:dyDescent="0.2">
      <c r="A9" s="5">
        <f>DAY(Kalenteri!A125)</f>
        <v>5</v>
      </c>
      <c r="B9" s="3" t="str">
        <f>IF(Kalenteri!B125=1,"su",IF(Kalenteri!B125=2,"ma",IF(Kalenteri!B125=3,"ti",IF(Kalenteri!B125=4,"ke",IF(Kalenteri!B125=5,"to",IF(Kalenteri!B125=6,"pe",IF(Kalenteri!B125=7,"la",)))))))</f>
        <v>su</v>
      </c>
      <c r="C9" s="18" t="s">
        <v>205</v>
      </c>
      <c r="D9" s="10"/>
      <c r="E9" s="10" t="s">
        <v>208</v>
      </c>
      <c r="F9" s="11"/>
      <c r="G9" s="18">
        <v>2</v>
      </c>
      <c r="H9" s="11">
        <v>1</v>
      </c>
      <c r="I9" s="18"/>
      <c r="J9" s="11"/>
      <c r="K9" s="33">
        <f t="shared" si="0"/>
        <v>3</v>
      </c>
      <c r="L9" s="10"/>
      <c r="M9" s="10"/>
      <c r="N9" s="10"/>
      <c r="O9" s="11"/>
      <c r="P9" s="10"/>
      <c r="Q9" s="11"/>
      <c r="R9" s="30"/>
      <c r="S9" s="30"/>
      <c r="T9" s="33">
        <f t="shared" si="1"/>
        <v>0</v>
      </c>
      <c r="U9" s="10"/>
      <c r="V9" s="10"/>
      <c r="W9" s="10"/>
      <c r="X9" s="11"/>
      <c r="Y9" s="10"/>
      <c r="Z9" s="11"/>
      <c r="AA9" s="30"/>
      <c r="AB9" s="30"/>
      <c r="AC9" s="33">
        <f t="shared" si="2"/>
        <v>0</v>
      </c>
      <c r="AD9" s="12">
        <f t="shared" si="3"/>
        <v>3</v>
      </c>
      <c r="AE9" s="39"/>
      <c r="AF9" s="39"/>
      <c r="AG9" s="39"/>
      <c r="AH9" s="39"/>
      <c r="AI9" s="39"/>
      <c r="AJ9"/>
    </row>
    <row r="10" spans="1:36" x14ac:dyDescent="0.2">
      <c r="A10" s="5">
        <f>DAY(Kalenteri!A126)</f>
        <v>6</v>
      </c>
      <c r="B10" s="3" t="str">
        <f>IF(Kalenteri!B126=1,"su",IF(Kalenteri!B126=2,"ma",IF(Kalenteri!B126=3,"ti",IF(Kalenteri!B126=4,"ke",IF(Kalenteri!B126=5,"to",IF(Kalenteri!B126=6,"pe",IF(Kalenteri!B126=7,"la",)))))))</f>
        <v>ma</v>
      </c>
      <c r="C10" s="18" t="s">
        <v>206</v>
      </c>
      <c r="D10" s="10"/>
      <c r="E10" s="10"/>
      <c r="F10" s="11"/>
      <c r="G10" s="18">
        <v>17</v>
      </c>
      <c r="H10" s="11">
        <v>2</v>
      </c>
      <c r="I10" s="18"/>
      <c r="J10" s="11"/>
      <c r="K10" s="33">
        <f t="shared" si="0"/>
        <v>19</v>
      </c>
      <c r="L10" s="10"/>
      <c r="M10" s="10"/>
      <c r="N10" s="10"/>
      <c r="O10" s="11"/>
      <c r="P10" s="10"/>
      <c r="Q10" s="11"/>
      <c r="R10" s="30"/>
      <c r="S10" s="30"/>
      <c r="T10" s="33">
        <f t="shared" si="1"/>
        <v>0</v>
      </c>
      <c r="U10" s="10"/>
      <c r="V10" s="10"/>
      <c r="W10" s="10"/>
      <c r="X10" s="11"/>
      <c r="Y10" s="10"/>
      <c r="Z10" s="11"/>
      <c r="AA10" s="30"/>
      <c r="AB10" s="30"/>
      <c r="AC10" s="33">
        <f t="shared" si="2"/>
        <v>0</v>
      </c>
      <c r="AD10" s="12">
        <f t="shared" si="3"/>
        <v>19</v>
      </c>
      <c r="AE10" s="39"/>
      <c r="AF10" s="39"/>
      <c r="AG10" s="39"/>
      <c r="AH10" s="39"/>
      <c r="AI10" s="39"/>
      <c r="AJ10"/>
    </row>
    <row r="11" spans="1:36" x14ac:dyDescent="0.2">
      <c r="A11" s="5">
        <f>DAY(Kalenteri!A127)</f>
        <v>7</v>
      </c>
      <c r="B11" s="3" t="str">
        <f>IF(Kalenteri!B127=1,"su",IF(Kalenteri!B127=2,"ma",IF(Kalenteri!B127=3,"ti",IF(Kalenteri!B127=4,"ke",IF(Kalenteri!B127=5,"to",IF(Kalenteri!B127=6,"pe",IF(Kalenteri!B127=7,"la",)))))))</f>
        <v>ti</v>
      </c>
      <c r="C11" s="18" t="s">
        <v>207</v>
      </c>
      <c r="D11" s="10"/>
      <c r="E11" s="10"/>
      <c r="F11" s="11"/>
      <c r="G11" s="18">
        <v>9</v>
      </c>
      <c r="H11" s="11">
        <v>3</v>
      </c>
      <c r="I11" s="18"/>
      <c r="J11" s="11"/>
      <c r="K11" s="33">
        <f t="shared" si="0"/>
        <v>12</v>
      </c>
      <c r="L11" s="10"/>
      <c r="M11" s="10"/>
      <c r="N11" s="10"/>
      <c r="O11" s="11"/>
      <c r="P11" s="10"/>
      <c r="Q11" s="11"/>
      <c r="R11" s="30"/>
      <c r="S11" s="30"/>
      <c r="T11" s="33">
        <f t="shared" si="1"/>
        <v>0</v>
      </c>
      <c r="U11" s="10"/>
      <c r="V11" s="10"/>
      <c r="W11" s="10"/>
      <c r="X11" s="11"/>
      <c r="Y11" s="10"/>
      <c r="Z11" s="11"/>
      <c r="AA11" s="30"/>
      <c r="AB11" s="30"/>
      <c r="AC11" s="33">
        <f t="shared" si="2"/>
        <v>0</v>
      </c>
      <c r="AD11" s="12">
        <f t="shared" si="3"/>
        <v>12</v>
      </c>
      <c r="AE11" s="39"/>
      <c r="AF11" s="39"/>
      <c r="AG11" s="39"/>
      <c r="AH11" s="39"/>
      <c r="AI11" s="39"/>
      <c r="AJ11"/>
    </row>
    <row r="12" spans="1:36" x14ac:dyDescent="0.2">
      <c r="A12" s="5">
        <f>DAY(Kalenteri!A128)</f>
        <v>8</v>
      </c>
      <c r="B12" s="3" t="str">
        <f>IF(Kalenteri!B128=1,"su",IF(Kalenteri!B128=2,"ma",IF(Kalenteri!B128=3,"ti",IF(Kalenteri!B128=4,"ke",IF(Kalenteri!B128=5,"to",IF(Kalenteri!B128=6,"pe",IF(Kalenteri!B128=7,"la",)))))))</f>
        <v>ke</v>
      </c>
      <c r="C12" s="18" t="s">
        <v>209</v>
      </c>
      <c r="D12" s="10"/>
      <c r="E12" s="10"/>
      <c r="F12" s="11"/>
      <c r="G12" s="18">
        <v>9</v>
      </c>
      <c r="H12" s="11"/>
      <c r="I12" s="18">
        <v>2</v>
      </c>
      <c r="J12" s="11">
        <v>3</v>
      </c>
      <c r="K12" s="33">
        <f t="shared" si="0"/>
        <v>14</v>
      </c>
      <c r="L12" s="10"/>
      <c r="M12" s="10"/>
      <c r="N12" s="10"/>
      <c r="O12" s="11"/>
      <c r="P12" s="10"/>
      <c r="Q12" s="11"/>
      <c r="R12" s="30"/>
      <c r="S12" s="30"/>
      <c r="T12" s="33">
        <f t="shared" si="1"/>
        <v>0</v>
      </c>
      <c r="U12" s="10"/>
      <c r="V12" s="10"/>
      <c r="W12" s="10"/>
      <c r="X12" s="11"/>
      <c r="Y12" s="10"/>
      <c r="Z12" s="11"/>
      <c r="AA12" s="30"/>
      <c r="AB12" s="30"/>
      <c r="AC12" s="33">
        <f t="shared" si="2"/>
        <v>0</v>
      </c>
      <c r="AD12" s="12">
        <f t="shared" si="3"/>
        <v>14</v>
      </c>
      <c r="AE12" s="39"/>
      <c r="AF12" s="39"/>
      <c r="AG12" s="39"/>
      <c r="AH12" s="39"/>
      <c r="AI12" s="39"/>
      <c r="AJ12"/>
    </row>
    <row r="13" spans="1:36" x14ac:dyDescent="0.2">
      <c r="A13" s="5">
        <f>DAY(Kalenteri!A129)</f>
        <v>9</v>
      </c>
      <c r="B13" s="3" t="str">
        <f>IF(Kalenteri!B129=1,"su",IF(Kalenteri!B129=2,"ma",IF(Kalenteri!B129=3,"ti",IF(Kalenteri!B129=4,"ke",IF(Kalenteri!B129=5,"to",IF(Kalenteri!B129=6,"pe",IF(Kalenteri!B129=7,"la",)))))))</f>
        <v>to</v>
      </c>
      <c r="C13" s="18" t="s">
        <v>210</v>
      </c>
      <c r="D13" s="10"/>
      <c r="E13" s="10"/>
      <c r="F13" s="11"/>
      <c r="G13" s="18">
        <v>7</v>
      </c>
      <c r="H13" s="11">
        <v>1</v>
      </c>
      <c r="I13" s="18"/>
      <c r="J13" s="11"/>
      <c r="K13" s="33">
        <f t="shared" si="0"/>
        <v>8</v>
      </c>
      <c r="L13" s="10"/>
      <c r="M13" s="10"/>
      <c r="N13" s="10"/>
      <c r="O13" s="11"/>
      <c r="P13" s="10"/>
      <c r="Q13" s="11"/>
      <c r="R13" s="30"/>
      <c r="S13" s="30"/>
      <c r="T13" s="33">
        <f t="shared" si="1"/>
        <v>0</v>
      </c>
      <c r="U13" s="10"/>
      <c r="V13" s="10"/>
      <c r="W13" s="10"/>
      <c r="X13" s="11"/>
      <c r="Y13" s="10"/>
      <c r="Z13" s="11"/>
      <c r="AA13" s="30"/>
      <c r="AB13" s="30"/>
      <c r="AC13" s="33">
        <f t="shared" si="2"/>
        <v>0</v>
      </c>
      <c r="AD13" s="12">
        <f t="shared" si="3"/>
        <v>8</v>
      </c>
      <c r="AE13" s="39"/>
      <c r="AF13" s="39"/>
      <c r="AG13" s="39"/>
      <c r="AH13" s="39"/>
      <c r="AI13" s="39"/>
      <c r="AJ13"/>
    </row>
    <row r="14" spans="1:36" x14ac:dyDescent="0.2">
      <c r="A14" s="5">
        <f>DAY(Kalenteri!A130)</f>
        <v>10</v>
      </c>
      <c r="B14" s="3" t="str">
        <f>IF(Kalenteri!B130=1,"su",IF(Kalenteri!B130=2,"ma",IF(Kalenteri!B130=3,"ti",IF(Kalenteri!B130=4,"ke",IF(Kalenteri!B130=5,"to",IF(Kalenteri!B130=6,"pe",IF(Kalenteri!B130=7,"la",)))))))</f>
        <v>pe</v>
      </c>
      <c r="C14" s="18" t="s">
        <v>212</v>
      </c>
      <c r="D14" s="10"/>
      <c r="E14" s="10"/>
      <c r="F14" s="11"/>
      <c r="G14" s="18">
        <v>3</v>
      </c>
      <c r="H14" s="11"/>
      <c r="I14" s="18">
        <v>4</v>
      </c>
      <c r="J14" s="11">
        <v>6</v>
      </c>
      <c r="K14" s="33">
        <f t="shared" si="0"/>
        <v>13</v>
      </c>
      <c r="L14" s="10"/>
      <c r="M14" s="10"/>
      <c r="N14" s="10"/>
      <c r="O14" s="11"/>
      <c r="P14" s="10"/>
      <c r="Q14" s="11"/>
      <c r="R14" s="30"/>
      <c r="S14" s="30"/>
      <c r="T14" s="33">
        <f t="shared" si="1"/>
        <v>0</v>
      </c>
      <c r="U14" s="10"/>
      <c r="V14" s="10"/>
      <c r="W14" s="10"/>
      <c r="X14" s="11"/>
      <c r="Y14" s="10"/>
      <c r="Z14" s="11"/>
      <c r="AA14" s="30"/>
      <c r="AB14" s="30"/>
      <c r="AC14" s="33">
        <f t="shared" si="2"/>
        <v>0</v>
      </c>
      <c r="AD14" s="12">
        <f t="shared" si="3"/>
        <v>13</v>
      </c>
      <c r="AE14" s="39"/>
      <c r="AF14" s="39"/>
      <c r="AG14" s="39"/>
      <c r="AH14" s="39"/>
      <c r="AI14" s="39"/>
      <c r="AJ14"/>
    </row>
    <row r="15" spans="1:36" x14ac:dyDescent="0.2">
      <c r="A15" s="5">
        <f>DAY(Kalenteri!A131)</f>
        <v>11</v>
      </c>
      <c r="B15" s="3" t="str">
        <f>IF(Kalenteri!B131=1,"su",IF(Kalenteri!B131=2,"ma",IF(Kalenteri!B131=3,"ti",IF(Kalenteri!B131=4,"ke",IF(Kalenteri!B131=5,"to",IF(Kalenteri!B131=6,"pe",IF(Kalenteri!B131=7,"la",)))))))</f>
        <v>la</v>
      </c>
      <c r="C15" s="18" t="s">
        <v>211</v>
      </c>
      <c r="D15" s="10"/>
      <c r="E15" s="10" t="s">
        <v>213</v>
      </c>
      <c r="F15" s="11"/>
      <c r="G15" s="18">
        <v>13</v>
      </c>
      <c r="H15" s="11">
        <v>2</v>
      </c>
      <c r="I15" s="18">
        <v>4</v>
      </c>
      <c r="J15" s="11">
        <v>6</v>
      </c>
      <c r="K15" s="33">
        <f t="shared" si="0"/>
        <v>25</v>
      </c>
      <c r="L15" s="10"/>
      <c r="M15" s="10"/>
      <c r="N15" s="10"/>
      <c r="O15" s="11"/>
      <c r="P15" s="10"/>
      <c r="Q15" s="11"/>
      <c r="R15" s="30"/>
      <c r="S15" s="30"/>
      <c r="T15" s="33">
        <f t="shared" si="1"/>
        <v>0</v>
      </c>
      <c r="U15" s="10"/>
      <c r="V15" s="10"/>
      <c r="W15" s="10"/>
      <c r="X15" s="11"/>
      <c r="Y15" s="10"/>
      <c r="Z15" s="11"/>
      <c r="AA15" s="30"/>
      <c r="AB15" s="30"/>
      <c r="AC15" s="33">
        <f t="shared" si="2"/>
        <v>0</v>
      </c>
      <c r="AD15" s="12">
        <f t="shared" si="3"/>
        <v>25</v>
      </c>
      <c r="AE15" s="39"/>
      <c r="AF15" s="39"/>
      <c r="AG15" s="39"/>
      <c r="AH15" s="39"/>
      <c r="AI15" s="39"/>
      <c r="AJ15"/>
    </row>
    <row r="16" spans="1:36" x14ac:dyDescent="0.2">
      <c r="A16" s="5">
        <f>DAY(Kalenteri!A132)</f>
        <v>12</v>
      </c>
      <c r="B16" s="3" t="str">
        <f>IF(Kalenteri!B132=1,"su",IF(Kalenteri!B132=2,"ma",IF(Kalenteri!B132=3,"ti",IF(Kalenteri!B132=4,"ke",IF(Kalenteri!B132=5,"to",IF(Kalenteri!B132=6,"pe",IF(Kalenteri!B132=7,"la",)))))))</f>
        <v>su</v>
      </c>
      <c r="C16" s="18" t="s">
        <v>214</v>
      </c>
      <c r="D16" s="10"/>
      <c r="E16" s="10"/>
      <c r="F16" s="11"/>
      <c r="G16" s="18">
        <v>2</v>
      </c>
      <c r="H16" s="11"/>
      <c r="I16" s="18"/>
      <c r="J16" s="11"/>
      <c r="K16" s="33">
        <f t="shared" si="0"/>
        <v>2</v>
      </c>
      <c r="L16" s="10"/>
      <c r="M16" s="10"/>
      <c r="N16" s="10"/>
      <c r="O16" s="11"/>
      <c r="P16" s="10"/>
      <c r="Q16" s="11"/>
      <c r="R16" s="30"/>
      <c r="S16" s="30"/>
      <c r="T16" s="33">
        <f t="shared" si="1"/>
        <v>0</v>
      </c>
      <c r="U16" s="10"/>
      <c r="V16" s="10"/>
      <c r="W16" s="10"/>
      <c r="X16" s="11"/>
      <c r="Y16" s="10"/>
      <c r="Z16" s="11"/>
      <c r="AA16" s="30"/>
      <c r="AB16" s="30"/>
      <c r="AC16" s="33">
        <f t="shared" si="2"/>
        <v>0</v>
      </c>
      <c r="AD16" s="12">
        <f t="shared" si="3"/>
        <v>2</v>
      </c>
      <c r="AE16" s="39"/>
      <c r="AF16" s="39"/>
      <c r="AG16" s="39"/>
      <c r="AH16" s="39"/>
      <c r="AI16" s="39"/>
      <c r="AJ16"/>
    </row>
    <row r="17" spans="1:36" x14ac:dyDescent="0.2">
      <c r="A17" s="5">
        <f>DAY(Kalenteri!A133)</f>
        <v>13</v>
      </c>
      <c r="B17" s="3" t="str">
        <f>IF(Kalenteri!B133=1,"su",IF(Kalenteri!B133=2,"ma",IF(Kalenteri!B133=3,"ti",IF(Kalenteri!B133=4,"ke",IF(Kalenteri!B133=5,"to",IF(Kalenteri!B133=6,"pe",IF(Kalenteri!B133=7,"la",)))))))</f>
        <v>ma</v>
      </c>
      <c r="C17" s="18" t="s">
        <v>215</v>
      </c>
      <c r="D17" s="10"/>
      <c r="E17" s="10"/>
      <c r="F17" s="11"/>
      <c r="G17" s="18">
        <v>6</v>
      </c>
      <c r="H17" s="11"/>
      <c r="I17" s="18"/>
      <c r="J17" s="11"/>
      <c r="K17" s="33">
        <f t="shared" si="0"/>
        <v>6</v>
      </c>
      <c r="L17" s="10"/>
      <c r="M17" s="10"/>
      <c r="N17" s="10"/>
      <c r="O17" s="11"/>
      <c r="P17" s="10"/>
      <c r="Q17" s="11"/>
      <c r="R17" s="30"/>
      <c r="S17" s="30"/>
      <c r="T17" s="33">
        <f t="shared" si="1"/>
        <v>0</v>
      </c>
      <c r="U17" s="10"/>
      <c r="V17" s="10"/>
      <c r="W17" s="10"/>
      <c r="X17" s="11"/>
      <c r="Y17" s="10"/>
      <c r="Z17" s="11"/>
      <c r="AA17" s="30"/>
      <c r="AB17" s="30"/>
      <c r="AC17" s="33">
        <f t="shared" si="2"/>
        <v>0</v>
      </c>
      <c r="AD17" s="12">
        <f t="shared" si="3"/>
        <v>6</v>
      </c>
      <c r="AE17" s="39"/>
      <c r="AF17" s="39"/>
      <c r="AG17" s="39"/>
      <c r="AH17" s="39"/>
      <c r="AI17" s="39"/>
      <c r="AJ17"/>
    </row>
    <row r="18" spans="1:36" x14ac:dyDescent="0.2">
      <c r="A18" s="5">
        <f>DAY(Kalenteri!A134)</f>
        <v>14</v>
      </c>
      <c r="B18" s="3" t="str">
        <f>IF(Kalenteri!B134=1,"su",IF(Kalenteri!B134=2,"ma",IF(Kalenteri!B134=3,"ti",IF(Kalenteri!B134=4,"ke",IF(Kalenteri!B134=5,"to",IF(Kalenteri!B134=6,"pe",IF(Kalenteri!B134=7,"la",)))))))</f>
        <v>ti</v>
      </c>
      <c r="C18" s="18" t="s">
        <v>215</v>
      </c>
      <c r="D18" s="10"/>
      <c r="E18" s="10"/>
      <c r="F18" s="11"/>
      <c r="G18" s="18">
        <v>6</v>
      </c>
      <c r="H18" s="11"/>
      <c r="I18" s="18"/>
      <c r="J18" s="11"/>
      <c r="K18" s="33">
        <f t="shared" si="0"/>
        <v>6</v>
      </c>
      <c r="L18" s="10"/>
      <c r="M18" s="10"/>
      <c r="N18" s="10"/>
      <c r="O18" s="11"/>
      <c r="P18" s="10"/>
      <c r="Q18" s="11"/>
      <c r="R18" s="30"/>
      <c r="S18" s="30"/>
      <c r="T18" s="33">
        <f t="shared" si="1"/>
        <v>0</v>
      </c>
      <c r="U18" s="10"/>
      <c r="V18" s="10"/>
      <c r="W18" s="10"/>
      <c r="X18" s="11"/>
      <c r="Y18" s="10"/>
      <c r="Z18" s="11"/>
      <c r="AA18" s="30"/>
      <c r="AB18" s="30"/>
      <c r="AC18" s="33">
        <f t="shared" si="2"/>
        <v>0</v>
      </c>
      <c r="AD18" s="12">
        <f t="shared" si="3"/>
        <v>6</v>
      </c>
      <c r="AE18" s="39"/>
      <c r="AF18" s="39"/>
      <c r="AG18" s="39"/>
      <c r="AH18" s="39"/>
      <c r="AI18" s="39"/>
      <c r="AJ18"/>
    </row>
    <row r="19" spans="1:36" x14ac:dyDescent="0.2">
      <c r="A19" s="5">
        <f>DAY(Kalenteri!A135)</f>
        <v>15</v>
      </c>
      <c r="B19" s="3" t="str">
        <f>IF(Kalenteri!B135=1,"su",IF(Kalenteri!B135=2,"ma",IF(Kalenteri!B135=3,"ti",IF(Kalenteri!B135=4,"ke",IF(Kalenteri!B135=5,"to",IF(Kalenteri!B135=6,"pe",IF(Kalenteri!B135=7,"la",)))))))</f>
        <v>ke</v>
      </c>
      <c r="C19" s="18" t="s">
        <v>216</v>
      </c>
      <c r="D19" s="10"/>
      <c r="E19" s="10"/>
      <c r="F19" s="11" t="s">
        <v>217</v>
      </c>
      <c r="G19" s="18">
        <v>2</v>
      </c>
      <c r="H19" s="11"/>
      <c r="I19" s="18">
        <v>2</v>
      </c>
      <c r="J19" s="11">
        <v>3</v>
      </c>
      <c r="K19" s="33">
        <f t="shared" si="0"/>
        <v>7</v>
      </c>
      <c r="L19" s="10"/>
      <c r="M19" s="10"/>
      <c r="N19" s="10"/>
      <c r="O19" s="11"/>
      <c r="P19" s="10"/>
      <c r="Q19" s="11"/>
      <c r="R19" s="30"/>
      <c r="S19" s="30"/>
      <c r="T19" s="33">
        <f t="shared" si="1"/>
        <v>0</v>
      </c>
      <c r="U19" s="10"/>
      <c r="V19" s="10"/>
      <c r="W19" s="10"/>
      <c r="X19" s="11"/>
      <c r="Y19" s="10"/>
      <c r="Z19" s="11"/>
      <c r="AA19" s="30"/>
      <c r="AB19" s="30"/>
      <c r="AC19" s="33">
        <f t="shared" si="2"/>
        <v>0</v>
      </c>
      <c r="AD19" s="12">
        <f t="shared" si="3"/>
        <v>7</v>
      </c>
      <c r="AE19" s="39"/>
      <c r="AF19" s="39"/>
      <c r="AG19" s="39"/>
      <c r="AH19" s="39"/>
      <c r="AI19" s="39"/>
      <c r="AJ19"/>
    </row>
    <row r="20" spans="1:36" x14ac:dyDescent="0.2">
      <c r="A20" s="5">
        <f>DAY(Kalenteri!A136)</f>
        <v>16</v>
      </c>
      <c r="B20" s="3" t="str">
        <f>IF(Kalenteri!B136=1,"su",IF(Kalenteri!B136=2,"ma",IF(Kalenteri!B136=3,"ti",IF(Kalenteri!B136=4,"ke",IF(Kalenteri!B136=5,"to",IF(Kalenteri!B136=6,"pe",IF(Kalenteri!B136=7,"la",)))))))</f>
        <v>to</v>
      </c>
      <c r="C20" s="18" t="s">
        <v>218</v>
      </c>
      <c r="D20" s="10"/>
      <c r="E20" s="10"/>
      <c r="F20" s="11"/>
      <c r="G20" s="18">
        <v>3</v>
      </c>
      <c r="H20" s="11"/>
      <c r="I20" s="18">
        <v>2</v>
      </c>
      <c r="J20" s="11">
        <v>3</v>
      </c>
      <c r="K20" s="33">
        <f t="shared" si="0"/>
        <v>8</v>
      </c>
      <c r="L20" s="10"/>
      <c r="M20" s="10"/>
      <c r="N20" s="10"/>
      <c r="O20" s="11"/>
      <c r="P20" s="10"/>
      <c r="Q20" s="11"/>
      <c r="R20" s="30"/>
      <c r="S20" s="30"/>
      <c r="T20" s="33">
        <f t="shared" si="1"/>
        <v>0</v>
      </c>
      <c r="U20" s="10"/>
      <c r="V20" s="10"/>
      <c r="W20" s="10"/>
      <c r="X20" s="11"/>
      <c r="Y20" s="10"/>
      <c r="Z20" s="11"/>
      <c r="AA20" s="30"/>
      <c r="AB20" s="30"/>
      <c r="AC20" s="33">
        <f t="shared" si="2"/>
        <v>0</v>
      </c>
      <c r="AD20" s="12">
        <f t="shared" si="3"/>
        <v>8</v>
      </c>
      <c r="AE20" s="39"/>
      <c r="AF20" s="39"/>
      <c r="AG20" s="39"/>
      <c r="AH20" s="39"/>
      <c r="AI20" s="39"/>
      <c r="AJ20"/>
    </row>
    <row r="21" spans="1:36" x14ac:dyDescent="0.2">
      <c r="A21" s="5">
        <f>DAY(Kalenteri!A137)</f>
        <v>17</v>
      </c>
      <c r="B21" s="3" t="str">
        <f>IF(Kalenteri!B137=1,"su",IF(Kalenteri!B137=2,"ma",IF(Kalenteri!B137=3,"ti",IF(Kalenteri!B137=4,"ke",IF(Kalenteri!B137=5,"to",IF(Kalenteri!B137=6,"pe",IF(Kalenteri!B137=7,"la",)))))))</f>
        <v>pe</v>
      </c>
      <c r="C21" s="18" t="s">
        <v>219</v>
      </c>
      <c r="D21" s="10"/>
      <c r="E21" s="10"/>
      <c r="F21" s="11"/>
      <c r="G21" s="18">
        <v>10</v>
      </c>
      <c r="H21" s="11">
        <v>1</v>
      </c>
      <c r="I21" s="18"/>
      <c r="J21" s="11"/>
      <c r="K21" s="33">
        <f t="shared" si="0"/>
        <v>11</v>
      </c>
      <c r="L21" s="10"/>
      <c r="M21" s="10"/>
      <c r="N21" s="10"/>
      <c r="O21" s="11"/>
      <c r="P21" s="10"/>
      <c r="Q21" s="11"/>
      <c r="R21" s="30"/>
      <c r="S21" s="30"/>
      <c r="T21" s="33">
        <f t="shared" si="1"/>
        <v>0</v>
      </c>
      <c r="U21" s="10"/>
      <c r="V21" s="10"/>
      <c r="W21" s="10"/>
      <c r="X21" s="11"/>
      <c r="Y21" s="10"/>
      <c r="Z21" s="11"/>
      <c r="AA21" s="30"/>
      <c r="AB21" s="30"/>
      <c r="AC21" s="33">
        <f t="shared" si="2"/>
        <v>0</v>
      </c>
      <c r="AD21" s="12">
        <f t="shared" si="3"/>
        <v>11</v>
      </c>
      <c r="AE21" s="39"/>
      <c r="AF21" s="39"/>
      <c r="AG21" s="39"/>
      <c r="AH21" s="39"/>
      <c r="AI21" s="39"/>
      <c r="AJ21"/>
    </row>
    <row r="22" spans="1:36" x14ac:dyDescent="0.2">
      <c r="A22" s="5">
        <f>DAY(Kalenteri!A138)</f>
        <v>18</v>
      </c>
      <c r="B22" s="3" t="str">
        <f>IF(Kalenteri!B138=1,"su",IF(Kalenteri!B138=2,"ma",IF(Kalenteri!B138=3,"ti",IF(Kalenteri!B138=4,"ke",IF(Kalenteri!B138=5,"to",IF(Kalenteri!B138=6,"pe",IF(Kalenteri!B138=7,"la",)))))))</f>
        <v>la</v>
      </c>
      <c r="C22" s="18" t="s">
        <v>220</v>
      </c>
      <c r="D22" s="10"/>
      <c r="E22" s="10"/>
      <c r="F22" s="11"/>
      <c r="G22" s="18">
        <v>2</v>
      </c>
      <c r="H22" s="11">
        <v>2</v>
      </c>
      <c r="I22" s="18"/>
      <c r="J22" s="11"/>
      <c r="K22" s="33">
        <f t="shared" si="0"/>
        <v>4</v>
      </c>
      <c r="L22" s="10"/>
      <c r="M22" s="10"/>
      <c r="N22" s="10"/>
      <c r="O22" s="11"/>
      <c r="P22" s="10"/>
      <c r="Q22" s="11"/>
      <c r="R22" s="30"/>
      <c r="S22" s="30"/>
      <c r="T22" s="33">
        <f t="shared" si="1"/>
        <v>0</v>
      </c>
      <c r="U22" s="10"/>
      <c r="V22" s="10"/>
      <c r="W22" s="10"/>
      <c r="X22" s="11"/>
      <c r="Y22" s="10"/>
      <c r="Z22" s="11"/>
      <c r="AA22" s="30"/>
      <c r="AB22" s="30"/>
      <c r="AC22" s="33">
        <f t="shared" si="2"/>
        <v>0</v>
      </c>
      <c r="AD22" s="12">
        <f t="shared" si="3"/>
        <v>4</v>
      </c>
      <c r="AE22" s="39"/>
      <c r="AF22" s="39"/>
      <c r="AG22" s="39"/>
      <c r="AH22" s="39"/>
      <c r="AI22" s="39"/>
      <c r="AJ22"/>
    </row>
    <row r="23" spans="1:36" x14ac:dyDescent="0.2">
      <c r="A23" s="5">
        <f>DAY(Kalenteri!A139)</f>
        <v>19</v>
      </c>
      <c r="B23" s="3" t="str">
        <f>IF(Kalenteri!B139=1,"su",IF(Kalenteri!B139=2,"ma",IF(Kalenteri!B139=3,"ti",IF(Kalenteri!B139=4,"ke",IF(Kalenteri!B139=5,"to",IF(Kalenteri!B139=6,"pe",IF(Kalenteri!B139=7,"la",)))))))</f>
        <v>su</v>
      </c>
      <c r="C23" s="18" t="s">
        <v>221</v>
      </c>
      <c r="D23" s="10"/>
      <c r="E23" s="10"/>
      <c r="F23" s="11"/>
      <c r="G23" s="18">
        <v>10</v>
      </c>
      <c r="H23" s="11"/>
      <c r="I23" s="18"/>
      <c r="J23" s="11"/>
      <c r="K23" s="33">
        <f t="shared" si="0"/>
        <v>10</v>
      </c>
      <c r="L23" s="10"/>
      <c r="M23" s="10"/>
      <c r="N23" s="10"/>
      <c r="O23" s="11"/>
      <c r="P23" s="10"/>
      <c r="Q23" s="11"/>
      <c r="R23" s="30"/>
      <c r="S23" s="30"/>
      <c r="T23" s="33">
        <f t="shared" si="1"/>
        <v>0</v>
      </c>
      <c r="U23" s="10"/>
      <c r="V23" s="10"/>
      <c r="W23" s="10"/>
      <c r="X23" s="11"/>
      <c r="Y23" s="10"/>
      <c r="Z23" s="11"/>
      <c r="AA23" s="30"/>
      <c r="AB23" s="30"/>
      <c r="AC23" s="33">
        <f t="shared" si="2"/>
        <v>0</v>
      </c>
      <c r="AD23" s="12">
        <f t="shared" si="3"/>
        <v>10</v>
      </c>
      <c r="AE23" s="39"/>
      <c r="AF23" s="39"/>
      <c r="AG23" s="39"/>
      <c r="AH23" s="39"/>
      <c r="AI23" s="39"/>
      <c r="AJ23"/>
    </row>
    <row r="24" spans="1:36" x14ac:dyDescent="0.2">
      <c r="A24" s="5">
        <f>DAY(Kalenteri!A140)</f>
        <v>20</v>
      </c>
      <c r="B24" s="3" t="str">
        <f>IF(Kalenteri!B140=1,"su",IF(Kalenteri!B140=2,"ma",IF(Kalenteri!B140=3,"ti",IF(Kalenteri!B140=4,"ke",IF(Kalenteri!B140=5,"to",IF(Kalenteri!B140=6,"pe",IF(Kalenteri!B140=7,"la",)))))))</f>
        <v>ma</v>
      </c>
      <c r="C24" s="18" t="s">
        <v>222</v>
      </c>
      <c r="D24" s="10"/>
      <c r="E24" s="10"/>
      <c r="F24" s="11"/>
      <c r="G24" s="18">
        <v>9</v>
      </c>
      <c r="H24" s="11">
        <v>2</v>
      </c>
      <c r="I24" s="18"/>
      <c r="J24" s="11"/>
      <c r="K24" s="33">
        <f t="shared" si="0"/>
        <v>11</v>
      </c>
      <c r="L24" s="10"/>
      <c r="M24" s="10"/>
      <c r="N24" s="10"/>
      <c r="O24" s="11"/>
      <c r="P24" s="10"/>
      <c r="Q24" s="11"/>
      <c r="R24" s="30"/>
      <c r="S24" s="30"/>
      <c r="T24" s="33">
        <f t="shared" si="1"/>
        <v>0</v>
      </c>
      <c r="U24" s="10"/>
      <c r="V24" s="10"/>
      <c r="W24" s="10"/>
      <c r="X24" s="11"/>
      <c r="Y24" s="10"/>
      <c r="Z24" s="11"/>
      <c r="AA24" s="30"/>
      <c r="AB24" s="30"/>
      <c r="AC24" s="33">
        <f t="shared" si="2"/>
        <v>0</v>
      </c>
      <c r="AD24" s="12">
        <f t="shared" si="3"/>
        <v>11</v>
      </c>
      <c r="AE24" s="39"/>
      <c r="AF24" s="39"/>
      <c r="AG24" s="39"/>
      <c r="AH24" s="39"/>
      <c r="AI24" s="39"/>
      <c r="AJ24" s="39"/>
    </row>
    <row r="25" spans="1:36" x14ac:dyDescent="0.2">
      <c r="A25" s="5">
        <f>DAY(Kalenteri!A141)</f>
        <v>21</v>
      </c>
      <c r="B25" s="3" t="str">
        <f>IF(Kalenteri!B141=1,"su",IF(Kalenteri!B141=2,"ma",IF(Kalenteri!B141=3,"ti",IF(Kalenteri!B141=4,"ke",IF(Kalenteri!B141=5,"to",IF(Kalenteri!B141=6,"pe",IF(Kalenteri!B141=7,"la",)))))))</f>
        <v>ti</v>
      </c>
      <c r="C25" s="18" t="s">
        <v>223</v>
      </c>
      <c r="D25" s="10"/>
      <c r="E25" s="10"/>
      <c r="F25" s="11"/>
      <c r="G25" s="18">
        <v>9</v>
      </c>
      <c r="H25" s="11"/>
      <c r="I25" s="18"/>
      <c r="J25" s="11"/>
      <c r="K25" s="33">
        <f t="shared" si="0"/>
        <v>9</v>
      </c>
      <c r="L25" s="10"/>
      <c r="M25" s="10"/>
      <c r="N25" s="10"/>
      <c r="O25" s="11"/>
      <c r="P25" s="10"/>
      <c r="Q25" s="11"/>
      <c r="R25" s="30"/>
      <c r="S25" s="30"/>
      <c r="T25" s="33">
        <f t="shared" si="1"/>
        <v>0</v>
      </c>
      <c r="U25" s="10"/>
      <c r="V25" s="10"/>
      <c r="W25" s="10"/>
      <c r="X25" s="11"/>
      <c r="Y25" s="10"/>
      <c r="Z25" s="11"/>
      <c r="AA25" s="30"/>
      <c r="AB25" s="30"/>
      <c r="AC25" s="33">
        <f t="shared" si="2"/>
        <v>0</v>
      </c>
      <c r="AD25" s="12">
        <f t="shared" si="3"/>
        <v>9</v>
      </c>
      <c r="AE25" s="39"/>
      <c r="AF25" s="39"/>
      <c r="AG25" s="39"/>
      <c r="AH25" s="39"/>
      <c r="AI25" s="39"/>
      <c r="AJ25" s="39"/>
    </row>
    <row r="26" spans="1:36" x14ac:dyDescent="0.2">
      <c r="A26" s="5">
        <f>DAY(Kalenteri!A142)</f>
        <v>22</v>
      </c>
      <c r="B26" s="3" t="str">
        <f>IF(Kalenteri!B142=1,"su",IF(Kalenteri!B142=2,"ma",IF(Kalenteri!B142=3,"ti",IF(Kalenteri!B142=4,"ke",IF(Kalenteri!B142=5,"to",IF(Kalenteri!B142=6,"pe",IF(Kalenteri!B142=7,"la",)))))))</f>
        <v>ke</v>
      </c>
      <c r="C26" s="18" t="s">
        <v>224</v>
      </c>
      <c r="D26" s="10"/>
      <c r="E26" s="10"/>
      <c r="F26" s="11"/>
      <c r="G26" s="18">
        <v>3</v>
      </c>
      <c r="H26" s="11"/>
      <c r="I26" s="18"/>
      <c r="J26" s="11"/>
      <c r="K26" s="33">
        <f t="shared" si="0"/>
        <v>3</v>
      </c>
      <c r="L26" s="10"/>
      <c r="M26" s="10"/>
      <c r="N26" s="10"/>
      <c r="O26" s="11"/>
      <c r="P26" s="10"/>
      <c r="Q26" s="11"/>
      <c r="R26" s="30"/>
      <c r="S26" s="30"/>
      <c r="T26" s="33">
        <f t="shared" si="1"/>
        <v>0</v>
      </c>
      <c r="U26" s="10"/>
      <c r="V26" s="10"/>
      <c r="W26" s="10"/>
      <c r="X26" s="11"/>
      <c r="Y26" s="10"/>
      <c r="Z26" s="11"/>
      <c r="AA26" s="30"/>
      <c r="AB26" s="30"/>
      <c r="AC26" s="33">
        <f t="shared" si="2"/>
        <v>0</v>
      </c>
      <c r="AD26" s="12">
        <f t="shared" si="3"/>
        <v>3</v>
      </c>
      <c r="AE26" s="39"/>
      <c r="AF26" s="39"/>
      <c r="AG26" s="39"/>
      <c r="AH26" s="39"/>
      <c r="AI26" s="39"/>
      <c r="AJ26" s="39"/>
    </row>
    <row r="27" spans="1:36" x14ac:dyDescent="0.2">
      <c r="A27" s="5">
        <f>DAY(Kalenteri!A143)</f>
        <v>23</v>
      </c>
      <c r="B27" s="3" t="str">
        <f>IF(Kalenteri!B143=1,"su",IF(Kalenteri!B143=2,"ma",IF(Kalenteri!B143=3,"ti",IF(Kalenteri!B143=4,"ke",IF(Kalenteri!B143=5,"to",IF(Kalenteri!B143=6,"pe",IF(Kalenteri!B143=7,"la",)))))))</f>
        <v>to</v>
      </c>
      <c r="C27" s="18" t="s">
        <v>225</v>
      </c>
      <c r="D27" s="10"/>
      <c r="E27" s="10"/>
      <c r="F27" s="11"/>
      <c r="G27" s="18">
        <v>1</v>
      </c>
      <c r="H27" s="11"/>
      <c r="I27" s="18"/>
      <c r="J27" s="11"/>
      <c r="K27" s="33">
        <f t="shared" si="0"/>
        <v>1</v>
      </c>
      <c r="L27" s="10"/>
      <c r="M27" s="10"/>
      <c r="N27" s="10"/>
      <c r="O27" s="11"/>
      <c r="P27" s="10"/>
      <c r="Q27" s="11"/>
      <c r="R27" s="30"/>
      <c r="S27" s="30"/>
      <c r="T27" s="33">
        <f t="shared" si="1"/>
        <v>0</v>
      </c>
      <c r="U27" s="10"/>
      <c r="V27" s="10"/>
      <c r="W27" s="10"/>
      <c r="X27" s="11"/>
      <c r="Y27" s="10"/>
      <c r="Z27" s="11"/>
      <c r="AA27" s="30"/>
      <c r="AB27" s="30"/>
      <c r="AC27" s="33">
        <f t="shared" si="2"/>
        <v>0</v>
      </c>
      <c r="AD27" s="12">
        <f t="shared" si="3"/>
        <v>1</v>
      </c>
      <c r="AE27" s="39"/>
      <c r="AF27" s="39"/>
      <c r="AG27" s="39"/>
      <c r="AH27" s="39"/>
      <c r="AI27" s="39"/>
      <c r="AJ27" s="39"/>
    </row>
    <row r="28" spans="1:36" x14ac:dyDescent="0.2">
      <c r="A28" s="5">
        <f>DAY(Kalenteri!A144)</f>
        <v>24</v>
      </c>
      <c r="B28" s="3" t="str">
        <f>IF(Kalenteri!B144=1,"su",IF(Kalenteri!B144=2,"ma",IF(Kalenteri!B144=3,"ti",IF(Kalenteri!B144=4,"ke",IF(Kalenteri!B144=5,"to",IF(Kalenteri!B144=6,"pe",IF(Kalenteri!B144=7,"la",)))))))</f>
        <v>pe</v>
      </c>
      <c r="C28" s="18" t="s">
        <v>226</v>
      </c>
      <c r="D28" s="10"/>
      <c r="E28" s="10"/>
      <c r="F28" s="11"/>
      <c r="G28" s="18">
        <v>10</v>
      </c>
      <c r="H28" s="11">
        <v>1</v>
      </c>
      <c r="I28" s="18"/>
      <c r="J28" s="11"/>
      <c r="K28" s="33">
        <f t="shared" si="0"/>
        <v>11</v>
      </c>
      <c r="L28" s="10"/>
      <c r="M28" s="10"/>
      <c r="N28" s="10"/>
      <c r="O28" s="11"/>
      <c r="P28" s="10"/>
      <c r="Q28" s="11"/>
      <c r="R28" s="30"/>
      <c r="S28" s="30"/>
      <c r="T28" s="33">
        <f t="shared" si="1"/>
        <v>0</v>
      </c>
      <c r="U28" s="10"/>
      <c r="V28" s="10"/>
      <c r="W28" s="10"/>
      <c r="X28" s="11"/>
      <c r="Y28" s="10"/>
      <c r="Z28" s="11"/>
      <c r="AA28" s="30"/>
      <c r="AB28" s="30"/>
      <c r="AC28" s="33">
        <f t="shared" si="2"/>
        <v>0</v>
      </c>
      <c r="AD28" s="12">
        <f t="shared" si="3"/>
        <v>11</v>
      </c>
      <c r="AE28" s="39"/>
      <c r="AF28" s="39"/>
      <c r="AG28" s="39"/>
      <c r="AH28" s="39"/>
      <c r="AI28" s="39"/>
      <c r="AJ28" s="39"/>
    </row>
    <row r="29" spans="1:36" x14ac:dyDescent="0.2">
      <c r="A29" s="5">
        <f>DAY(Kalenteri!A145)</f>
        <v>25</v>
      </c>
      <c r="B29" s="3" t="str">
        <f>IF(Kalenteri!B145=1,"su",IF(Kalenteri!B145=2,"ma",IF(Kalenteri!B145=3,"ti",IF(Kalenteri!B145=4,"ke",IF(Kalenteri!B145=5,"to",IF(Kalenteri!B145=6,"pe",IF(Kalenteri!B145=7,"la",)))))))</f>
        <v>la</v>
      </c>
      <c r="C29" s="18" t="s">
        <v>227</v>
      </c>
      <c r="D29" s="10"/>
      <c r="E29" s="10"/>
      <c r="F29" s="11"/>
      <c r="G29" s="18">
        <v>16</v>
      </c>
      <c r="H29" s="11">
        <v>1</v>
      </c>
      <c r="I29" s="18">
        <v>2</v>
      </c>
      <c r="J29" s="11">
        <v>3</v>
      </c>
      <c r="K29" s="33">
        <f t="shared" si="0"/>
        <v>22</v>
      </c>
      <c r="L29" s="10"/>
      <c r="M29" s="10"/>
      <c r="N29" s="10"/>
      <c r="O29" s="11"/>
      <c r="P29" s="10"/>
      <c r="Q29" s="11"/>
      <c r="R29" s="30"/>
      <c r="S29" s="30"/>
      <c r="T29" s="33">
        <f t="shared" si="1"/>
        <v>0</v>
      </c>
      <c r="U29" s="10"/>
      <c r="V29" s="10"/>
      <c r="W29" s="10"/>
      <c r="X29" s="11"/>
      <c r="Y29" s="10"/>
      <c r="Z29" s="11"/>
      <c r="AA29" s="30"/>
      <c r="AB29" s="30"/>
      <c r="AC29" s="33">
        <f t="shared" si="2"/>
        <v>0</v>
      </c>
      <c r="AD29" s="12">
        <f t="shared" si="3"/>
        <v>22</v>
      </c>
      <c r="AE29" s="39"/>
      <c r="AF29" s="39"/>
      <c r="AG29" s="39"/>
      <c r="AH29" s="39"/>
      <c r="AI29" s="39"/>
      <c r="AJ29" s="39"/>
    </row>
    <row r="30" spans="1:36" x14ac:dyDescent="0.2">
      <c r="A30" s="5">
        <f>DAY(Kalenteri!A146)</f>
        <v>26</v>
      </c>
      <c r="B30" s="3" t="str">
        <f>IF(Kalenteri!B146=1,"su",IF(Kalenteri!B146=2,"ma",IF(Kalenteri!B146=3,"ti",IF(Kalenteri!B146=4,"ke",IF(Kalenteri!B146=5,"to",IF(Kalenteri!B146=6,"pe",IF(Kalenteri!B146=7,"la",)))))))</f>
        <v>su</v>
      </c>
      <c r="C30" s="18" t="s">
        <v>228</v>
      </c>
      <c r="D30" s="10"/>
      <c r="E30" s="10"/>
      <c r="F30" s="11"/>
      <c r="G30" s="18">
        <v>14</v>
      </c>
      <c r="H30" s="11">
        <v>3</v>
      </c>
      <c r="I30" s="18"/>
      <c r="J30" s="11"/>
      <c r="K30" s="33">
        <f t="shared" si="0"/>
        <v>17</v>
      </c>
      <c r="L30" s="10"/>
      <c r="M30" s="10"/>
      <c r="N30" s="10"/>
      <c r="O30" s="11"/>
      <c r="P30" s="10"/>
      <c r="Q30" s="11"/>
      <c r="R30" s="30"/>
      <c r="S30" s="30"/>
      <c r="T30" s="33">
        <f t="shared" si="1"/>
        <v>0</v>
      </c>
      <c r="U30" s="10"/>
      <c r="V30" s="10"/>
      <c r="W30" s="10"/>
      <c r="X30" s="11"/>
      <c r="Y30" s="10"/>
      <c r="Z30" s="11"/>
      <c r="AA30" s="30"/>
      <c r="AB30" s="30"/>
      <c r="AC30" s="33">
        <f t="shared" si="2"/>
        <v>0</v>
      </c>
      <c r="AD30" s="12">
        <f t="shared" si="3"/>
        <v>17</v>
      </c>
      <c r="AE30" s="39"/>
      <c r="AF30" s="39"/>
      <c r="AG30" s="39"/>
      <c r="AH30" s="39"/>
      <c r="AI30" s="39"/>
      <c r="AJ30" s="39"/>
    </row>
    <row r="31" spans="1:36" x14ac:dyDescent="0.2">
      <c r="A31" s="5">
        <f>DAY(Kalenteri!A147)</f>
        <v>27</v>
      </c>
      <c r="B31" s="3" t="str">
        <f>IF(Kalenteri!B147=1,"su",IF(Kalenteri!B147=2,"ma",IF(Kalenteri!B147=3,"ti",IF(Kalenteri!B147=4,"ke",IF(Kalenteri!B147=5,"to",IF(Kalenteri!B147=6,"pe",IF(Kalenteri!B147=7,"la",)))))))</f>
        <v>ma</v>
      </c>
      <c r="C31" s="18" t="s">
        <v>229</v>
      </c>
      <c r="D31" s="10"/>
      <c r="E31" s="10"/>
      <c r="F31" s="11"/>
      <c r="G31" s="18">
        <v>14</v>
      </c>
      <c r="H31" s="11"/>
      <c r="I31" s="18"/>
      <c r="J31" s="11"/>
      <c r="K31" s="33">
        <f t="shared" si="0"/>
        <v>14</v>
      </c>
      <c r="L31" s="10"/>
      <c r="M31" s="10"/>
      <c r="N31" s="10"/>
      <c r="O31" s="11"/>
      <c r="P31" s="10"/>
      <c r="Q31" s="11"/>
      <c r="R31" s="30"/>
      <c r="S31" s="30"/>
      <c r="T31" s="33">
        <f t="shared" si="1"/>
        <v>0</v>
      </c>
      <c r="U31" s="10"/>
      <c r="V31" s="10"/>
      <c r="W31" s="10"/>
      <c r="X31" s="11"/>
      <c r="Y31" s="10"/>
      <c r="Z31" s="11"/>
      <c r="AA31" s="30"/>
      <c r="AB31" s="30"/>
      <c r="AC31" s="33">
        <f t="shared" si="2"/>
        <v>0</v>
      </c>
      <c r="AD31" s="12">
        <f t="shared" si="3"/>
        <v>14</v>
      </c>
      <c r="AE31" s="39"/>
      <c r="AF31" s="39"/>
      <c r="AG31" s="39"/>
      <c r="AH31" s="39"/>
      <c r="AI31" s="39"/>
      <c r="AJ31" s="39"/>
    </row>
    <row r="32" spans="1:36" x14ac:dyDescent="0.2">
      <c r="A32" s="5">
        <f>DAY(Kalenteri!A148)</f>
        <v>28</v>
      </c>
      <c r="B32" s="3" t="str">
        <f>IF(Kalenteri!B148=1,"su",IF(Kalenteri!B148=2,"ma",IF(Kalenteri!B148=3,"ti",IF(Kalenteri!B148=4,"ke",IF(Kalenteri!B148=5,"to",IF(Kalenteri!B148=6,"pe",IF(Kalenteri!B148=7,"la",)))))))</f>
        <v>ti</v>
      </c>
      <c r="C32" s="18" t="s">
        <v>211</v>
      </c>
      <c r="D32" s="10"/>
      <c r="E32" s="10"/>
      <c r="F32" s="11"/>
      <c r="G32" s="18">
        <v>13</v>
      </c>
      <c r="H32" s="11">
        <v>2</v>
      </c>
      <c r="I32" s="18"/>
      <c r="J32" s="11"/>
      <c r="K32" s="33">
        <f t="shared" si="0"/>
        <v>15</v>
      </c>
      <c r="L32" s="10"/>
      <c r="M32" s="10"/>
      <c r="N32" s="10"/>
      <c r="O32" s="11"/>
      <c r="P32" s="10"/>
      <c r="Q32" s="11"/>
      <c r="R32" s="30"/>
      <c r="S32" s="30"/>
      <c r="T32" s="33">
        <f t="shared" si="1"/>
        <v>0</v>
      </c>
      <c r="U32" s="10"/>
      <c r="V32" s="10"/>
      <c r="W32" s="10"/>
      <c r="X32" s="11"/>
      <c r="Y32" s="10"/>
      <c r="Z32" s="11"/>
      <c r="AA32" s="30"/>
      <c r="AB32" s="30"/>
      <c r="AC32" s="33">
        <f t="shared" si="2"/>
        <v>0</v>
      </c>
      <c r="AD32" s="12">
        <f t="shared" si="3"/>
        <v>15</v>
      </c>
      <c r="AE32" s="39"/>
      <c r="AF32" s="39"/>
      <c r="AG32" s="39"/>
      <c r="AH32" s="39"/>
      <c r="AI32" s="39"/>
      <c r="AJ32" s="39"/>
    </row>
    <row r="33" spans="1:36" x14ac:dyDescent="0.2">
      <c r="A33" s="5">
        <f>DAY(Kalenteri!A149)</f>
        <v>29</v>
      </c>
      <c r="B33" s="3" t="str">
        <f>IF(Kalenteri!B149=1,"su",IF(Kalenteri!B149=2,"ma",IF(Kalenteri!B149=3,"ti",IF(Kalenteri!B149=4,"ke",IF(Kalenteri!B149=5,"to",IF(Kalenteri!B149=6,"pe",IF(Kalenteri!B149=7,"la",)))))))</f>
        <v>ke</v>
      </c>
      <c r="C33" s="18" t="s">
        <v>231</v>
      </c>
      <c r="D33" s="10"/>
      <c r="E33" s="10"/>
      <c r="F33" s="11"/>
      <c r="G33" s="18">
        <v>5</v>
      </c>
      <c r="H33" s="11">
        <v>2</v>
      </c>
      <c r="I33" s="18"/>
      <c r="J33" s="11"/>
      <c r="K33" s="33">
        <f t="shared" si="0"/>
        <v>7</v>
      </c>
      <c r="L33" s="10"/>
      <c r="M33" s="10"/>
      <c r="N33" s="10"/>
      <c r="O33" s="11"/>
      <c r="P33" s="10"/>
      <c r="Q33" s="11"/>
      <c r="R33" s="30"/>
      <c r="S33" s="30"/>
      <c r="T33" s="33">
        <f t="shared" si="1"/>
        <v>0</v>
      </c>
      <c r="U33" s="10"/>
      <c r="V33" s="10"/>
      <c r="W33" s="10"/>
      <c r="X33" s="11"/>
      <c r="Y33" s="10"/>
      <c r="Z33" s="11"/>
      <c r="AA33" s="30"/>
      <c r="AB33" s="30"/>
      <c r="AC33" s="33">
        <f t="shared" si="2"/>
        <v>0</v>
      </c>
      <c r="AD33" s="12">
        <f t="shared" si="3"/>
        <v>7</v>
      </c>
      <c r="AE33" s="39"/>
      <c r="AF33" s="39"/>
      <c r="AG33" s="39"/>
      <c r="AH33" s="39"/>
      <c r="AI33" s="39"/>
      <c r="AJ33" s="39"/>
    </row>
    <row r="34" spans="1:36" x14ac:dyDescent="0.2">
      <c r="A34" s="5">
        <f>DAY(Kalenteri!A150)</f>
        <v>30</v>
      </c>
      <c r="B34" s="3" t="str">
        <f>IF(Kalenteri!B150=1,"su",IF(Kalenteri!B150=2,"ma",IF(Kalenteri!B150=3,"ti",IF(Kalenteri!B150=4,"ke",IF(Kalenteri!B150=5,"to",IF(Kalenteri!B150=6,"pe",IF(Kalenteri!B150=7,"la",)))))))</f>
        <v>to</v>
      </c>
      <c r="C34" s="18" t="s">
        <v>237</v>
      </c>
      <c r="D34" s="10"/>
      <c r="E34" s="10"/>
      <c r="F34" s="11"/>
      <c r="G34" s="18">
        <v>11</v>
      </c>
      <c r="H34" s="11">
        <v>1</v>
      </c>
      <c r="I34" s="18"/>
      <c r="J34" s="11"/>
      <c r="K34" s="33">
        <f t="shared" si="0"/>
        <v>12</v>
      </c>
      <c r="L34" s="10"/>
      <c r="M34" s="10"/>
      <c r="N34" s="10"/>
      <c r="O34" s="11"/>
      <c r="P34" s="10"/>
      <c r="Q34" s="11"/>
      <c r="R34" s="30"/>
      <c r="S34" s="30"/>
      <c r="T34" s="33">
        <f t="shared" si="1"/>
        <v>0</v>
      </c>
      <c r="U34" s="10"/>
      <c r="V34" s="10"/>
      <c r="W34" s="10"/>
      <c r="X34" s="11"/>
      <c r="Y34" s="10"/>
      <c r="Z34" s="11"/>
      <c r="AA34" s="30"/>
      <c r="AB34" s="30"/>
      <c r="AC34" s="33">
        <f t="shared" si="2"/>
        <v>0</v>
      </c>
      <c r="AD34" s="12">
        <f t="shared" si="3"/>
        <v>12</v>
      </c>
      <c r="AE34" s="39"/>
      <c r="AF34" s="39"/>
      <c r="AG34" s="39"/>
      <c r="AH34" s="39"/>
      <c r="AI34" s="39"/>
      <c r="AJ34" s="39"/>
    </row>
    <row r="35" spans="1:36" x14ac:dyDescent="0.2">
      <c r="A35" s="5">
        <f>DAY(Kalenteri!A151)</f>
        <v>31</v>
      </c>
      <c r="B35" s="3" t="str">
        <f>IF(Kalenteri!B151=1,"su",IF(Kalenteri!B151=2,"ma",IF(Kalenteri!B151=3,"ti",IF(Kalenteri!B151=4,"ke",IF(Kalenteri!B151=5,"to",IF(Kalenteri!B151=6,"pe",IF(Kalenteri!B151=7,"la",)))))))</f>
        <v>pe</v>
      </c>
      <c r="C35" s="79" t="s">
        <v>238</v>
      </c>
      <c r="D35" s="80"/>
      <c r="E35" s="80"/>
      <c r="F35" s="81"/>
      <c r="G35" s="79">
        <v>21</v>
      </c>
      <c r="H35" s="81">
        <v>8</v>
      </c>
      <c r="I35" s="79">
        <v>2</v>
      </c>
      <c r="J35" s="81">
        <v>3</v>
      </c>
      <c r="K35" s="34">
        <f t="shared" si="0"/>
        <v>34</v>
      </c>
      <c r="L35" s="20"/>
      <c r="M35" s="20"/>
      <c r="N35" s="20"/>
      <c r="O35" s="21"/>
      <c r="P35" s="20"/>
      <c r="Q35" s="21"/>
      <c r="R35" s="31"/>
      <c r="S35" s="31"/>
      <c r="T35" s="34">
        <f t="shared" si="1"/>
        <v>0</v>
      </c>
      <c r="U35" s="20"/>
      <c r="V35" s="20"/>
      <c r="W35" s="20"/>
      <c r="X35" s="21"/>
      <c r="Y35" s="20"/>
      <c r="Z35" s="21"/>
      <c r="AA35" s="31"/>
      <c r="AB35" s="31"/>
      <c r="AC35" s="34">
        <f t="shared" si="2"/>
        <v>0</v>
      </c>
      <c r="AD35" s="19">
        <f t="shared" si="3"/>
        <v>34</v>
      </c>
      <c r="AE35" s="39"/>
      <c r="AF35" s="39"/>
      <c r="AG35" s="39"/>
      <c r="AH35" s="39"/>
      <c r="AI35" s="39"/>
      <c r="AJ35" s="39"/>
    </row>
    <row r="36" spans="1:36" x14ac:dyDescent="0.2">
      <c r="A36" s="6"/>
      <c r="B36"/>
      <c r="C36" s="82">
        <f t="shared" ref="C36:J36" si="4">SUM(C5:C35)</f>
        <v>0</v>
      </c>
      <c r="D36" s="83">
        <f t="shared" si="4"/>
        <v>0</v>
      </c>
      <c r="E36" s="83">
        <f t="shared" si="4"/>
        <v>0</v>
      </c>
      <c r="F36" s="84">
        <f t="shared" si="4"/>
        <v>0</v>
      </c>
      <c r="G36" s="83">
        <f t="shared" si="4"/>
        <v>380</v>
      </c>
      <c r="H36" s="84">
        <f t="shared" si="4"/>
        <v>45</v>
      </c>
      <c r="I36" s="83">
        <f t="shared" si="4"/>
        <v>20</v>
      </c>
      <c r="J36" s="84">
        <f t="shared" si="4"/>
        <v>30</v>
      </c>
      <c r="K36" s="85">
        <f t="shared" si="0"/>
        <v>475</v>
      </c>
      <c r="L36" s="83">
        <f t="shared" ref="L36:S36" si="5">SUM(L5:L35)</f>
        <v>0</v>
      </c>
      <c r="M36" s="83">
        <f t="shared" si="5"/>
        <v>0</v>
      </c>
      <c r="N36" s="83">
        <f t="shared" si="5"/>
        <v>0</v>
      </c>
      <c r="O36" s="84">
        <f t="shared" si="5"/>
        <v>0</v>
      </c>
      <c r="P36" s="83">
        <f t="shared" si="5"/>
        <v>0</v>
      </c>
      <c r="Q36" s="84">
        <f t="shared" si="5"/>
        <v>0</v>
      </c>
      <c r="R36" s="86">
        <f t="shared" si="5"/>
        <v>0</v>
      </c>
      <c r="S36" s="86">
        <f t="shared" si="5"/>
        <v>0</v>
      </c>
      <c r="T36" s="85">
        <f t="shared" si="1"/>
        <v>0</v>
      </c>
      <c r="U36" s="83">
        <f t="shared" ref="U36:AB36" si="6">SUM(U5:U35)</f>
        <v>0</v>
      </c>
      <c r="V36" s="83">
        <f t="shared" si="6"/>
        <v>0</v>
      </c>
      <c r="W36" s="83">
        <f t="shared" si="6"/>
        <v>0</v>
      </c>
      <c r="X36" s="84">
        <f t="shared" si="6"/>
        <v>0</v>
      </c>
      <c r="Y36" s="83">
        <f t="shared" si="6"/>
        <v>0</v>
      </c>
      <c r="Z36" s="84">
        <f t="shared" si="6"/>
        <v>0</v>
      </c>
      <c r="AA36" s="86">
        <f t="shared" si="6"/>
        <v>0</v>
      </c>
      <c r="AB36" s="86">
        <f t="shared" si="6"/>
        <v>0</v>
      </c>
      <c r="AC36" s="85">
        <f t="shared" si="2"/>
        <v>0</v>
      </c>
      <c r="AD36" s="87">
        <f t="shared" si="3"/>
        <v>475</v>
      </c>
      <c r="AE36" s="66"/>
      <c r="AF36" s="66"/>
      <c r="AG36" s="66"/>
      <c r="AH36" s="66"/>
      <c r="AI36" s="66"/>
      <c r="AJ36" s="66"/>
    </row>
    <row r="37" spans="1:36" ht="8.1" customHeight="1" thickBot="1" x14ac:dyDescent="0.25">
      <c r="A37" s="6"/>
      <c r="B37"/>
      <c r="C37" s="2"/>
      <c r="D37" s="5"/>
      <c r="E37" s="5"/>
      <c r="F37" s="2"/>
      <c r="G37" s="2"/>
      <c r="H37" s="2"/>
      <c r="I37" s="5"/>
      <c r="J37" s="2"/>
      <c r="K37" s="2"/>
      <c r="L37" s="5"/>
      <c r="M37" s="2"/>
      <c r="N37" s="5"/>
      <c r="O37" s="5"/>
      <c r="P37" s="2"/>
      <c r="Q37" s="5"/>
      <c r="R37" s="42"/>
      <c r="S37" s="42"/>
      <c r="T37" s="2"/>
      <c r="U37" s="2"/>
      <c r="V37" s="2"/>
      <c r="W37" s="2"/>
      <c r="X37" s="5"/>
      <c r="Y37" s="2"/>
      <c r="Z37" s="2"/>
      <c r="AA37" s="39"/>
      <c r="AB37" s="39"/>
      <c r="AC37" s="5"/>
      <c r="AD37" s="40"/>
      <c r="AE37" s="40"/>
      <c r="AF37" s="40"/>
      <c r="AG37" s="40"/>
      <c r="AH37" s="40"/>
      <c r="AI37" s="40"/>
      <c r="AJ37" s="40"/>
    </row>
    <row r="38" spans="1:36" ht="24.95" customHeight="1" thickTop="1" x14ac:dyDescent="0.3">
      <c r="A38" s="6"/>
      <c r="B38"/>
      <c r="C38" s="171" t="str">
        <f>Kalenteri!E38</f>
        <v>Lippujen hinnat:</v>
      </c>
      <c r="D38" s="5"/>
      <c r="E38" s="5"/>
      <c r="F38" s="2"/>
      <c r="G38" s="2"/>
      <c r="H38" s="2"/>
      <c r="I38" s="5"/>
      <c r="J38" s="2"/>
      <c r="K38" s="2"/>
      <c r="L38" s="5"/>
      <c r="M38" s="2"/>
      <c r="N38" s="5"/>
      <c r="O38" s="5"/>
      <c r="P38" s="2"/>
      <c r="Q38"/>
      <c r="R38"/>
      <c r="S38"/>
      <c r="T38"/>
      <c r="U38" s="49" t="s">
        <v>40</v>
      </c>
      <c r="V38" s="50"/>
      <c r="W38" s="43"/>
      <c r="X38" s="44"/>
      <c r="Y38" s="43"/>
      <c r="Z38" s="43"/>
      <c r="AA38" s="44"/>
      <c r="AB38" s="44"/>
      <c r="AC38" s="47"/>
      <c r="AD38" s="45">
        <f>AD36</f>
        <v>475</v>
      </c>
      <c r="AE38" s="41"/>
      <c r="AF38" s="41"/>
      <c r="AG38" s="41"/>
      <c r="AH38" s="41"/>
      <c r="AI38" s="41"/>
      <c r="AJ38" s="41"/>
    </row>
    <row r="39" spans="1:36" ht="24.95" customHeight="1" x14ac:dyDescent="0.3">
      <c r="A39" s="6"/>
      <c r="B39"/>
      <c r="C39" s="193" t="str">
        <f>Kalenteri!E39</f>
        <v>Mustikkamaan kautta: 1.9.-30.4. aik. 10 €, lapset 5 €, kimppalippu 30 €    1.5.-30.8. aik. 12 €, lapset 6 €, kimppalippu 36 €</v>
      </c>
      <c r="D39" s="89"/>
      <c r="E39" s="89"/>
      <c r="F39" s="90"/>
      <c r="G39" s="102"/>
      <c r="H39" s="174"/>
      <c r="I39" s="89"/>
      <c r="J39" s="90"/>
      <c r="K39" s="90"/>
      <c r="L39" s="89"/>
      <c r="M39" s="90"/>
      <c r="N39" s="89"/>
      <c r="O39" s="89"/>
      <c r="P39" s="89"/>
      <c r="Q39" s="104"/>
      <c r="R39" s="103"/>
      <c r="S39"/>
      <c r="T39"/>
      <c r="U39" s="62" t="s">
        <v>13</v>
      </c>
      <c r="V39" s="52"/>
      <c r="W39" s="53"/>
      <c r="X39" s="54"/>
      <c r="Y39" s="53"/>
      <c r="Z39" s="53"/>
      <c r="AA39" s="54"/>
      <c r="AB39" s="54"/>
      <c r="AC39" s="55"/>
      <c r="AD39" s="56">
        <f>AD36-Edellisvuosi!F8</f>
        <v>-1790</v>
      </c>
      <c r="AE39" s="67"/>
      <c r="AF39" s="67"/>
      <c r="AG39" s="67"/>
      <c r="AH39" s="67"/>
      <c r="AI39" s="67"/>
      <c r="AJ39" s="67"/>
    </row>
    <row r="40" spans="1:36" ht="24.95" customHeight="1" x14ac:dyDescent="0.3">
      <c r="A40" s="6"/>
      <c r="B40" s="6"/>
      <c r="C40" s="194" t="str">
        <f>Kalenteri!E40</f>
        <v xml:space="preserve">                                    Vuosikortti:     aik. 50 €, lapset 20 €, perhekortti 100 €</v>
      </c>
      <c r="D40" s="39"/>
      <c r="E40" s="39"/>
      <c r="F40" s="42"/>
      <c r="G40" s="65"/>
      <c r="H40" s="176"/>
      <c r="I40" s="39"/>
      <c r="J40" s="42"/>
      <c r="K40" s="42"/>
      <c r="L40" s="39"/>
      <c r="M40" s="42"/>
      <c r="N40" s="39"/>
      <c r="O40" s="39"/>
      <c r="P40" s="39"/>
      <c r="Q40" s="23"/>
      <c r="R40" s="97"/>
      <c r="S40"/>
      <c r="T40"/>
      <c r="U40" s="63" t="s">
        <v>41</v>
      </c>
      <c r="V40" s="37"/>
      <c r="W40" s="51"/>
      <c r="X40" s="41"/>
      <c r="Y40" s="51"/>
      <c r="Z40" s="41"/>
      <c r="AA40" s="41"/>
      <c r="AB40" s="41"/>
      <c r="AC40" s="48"/>
      <c r="AD40" s="46">
        <f>AD36+'K1'!AD36+'K2'!AD36+'K3'!AD36+'K4'!AD36</f>
        <v>3109</v>
      </c>
      <c r="AE40" s="41"/>
      <c r="AF40" s="41"/>
      <c r="AG40" s="41"/>
      <c r="AH40" s="41"/>
      <c r="AI40" s="41"/>
      <c r="AJ40" s="41"/>
    </row>
    <row r="41" spans="1:36" ht="24.95" customHeight="1" thickBot="1" x14ac:dyDescent="0.35">
      <c r="A41" s="4"/>
      <c r="B41" s="4"/>
      <c r="C41" s="195" t="str">
        <f>Kalenteri!E41</f>
        <v>Vesibusseilla:             1.9.-30.4. aik. 16 €, lapset 8 €, kimppalippu 47 €    1.5.-31.8. aik. 18 €, lapset 9 €, kimppalippu 53 €</v>
      </c>
      <c r="D41" s="93"/>
      <c r="E41" s="93"/>
      <c r="F41" s="94"/>
      <c r="G41" s="94"/>
      <c r="H41" s="175"/>
      <c r="I41" s="93"/>
      <c r="J41" s="96"/>
      <c r="K41" s="96"/>
      <c r="L41" s="93"/>
      <c r="M41" s="95"/>
      <c r="N41" s="95"/>
      <c r="O41" s="93"/>
      <c r="P41" s="93"/>
      <c r="Q41" s="95"/>
      <c r="R41" s="98"/>
      <c r="S41"/>
      <c r="T41"/>
      <c r="U41" s="64" t="s">
        <v>13</v>
      </c>
      <c r="V41" s="57"/>
      <c r="W41" s="58"/>
      <c r="X41" s="59"/>
      <c r="Y41" s="59"/>
      <c r="Z41" s="59"/>
      <c r="AA41" s="59"/>
      <c r="AB41" s="59"/>
      <c r="AC41" s="60"/>
      <c r="AD41" s="61">
        <f>AD40-Edellisvuosi!B8-Edellisvuosi!C8-Edellisvuosi!D8-Edellisvuosi!E8-Edellisvuosi!F8</f>
        <v>-2560</v>
      </c>
      <c r="AE41" s="68"/>
      <c r="AF41" s="68"/>
      <c r="AG41" s="68"/>
      <c r="AH41" s="68"/>
      <c r="AI41" s="68"/>
      <c r="AJ41" s="68"/>
    </row>
    <row r="42" spans="1:36" ht="13.5" thickTop="1" x14ac:dyDescent="0.2"/>
  </sheetData>
  <sheetProtection password="C4AC" sheet="1" objects="1" scenarios="1"/>
  <phoneticPr fontId="4" type="noConversion"/>
  <pageMargins left="0" right="0" top="0.27559055118110237" bottom="0" header="0" footer="0"/>
  <pageSetup paperSize="9" scale="75" fitToHeight="0" orientation="landscape" horizontalDpi="4294967292" verticalDpi="4294967292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7105" r:id="rId4" name="Button 1">
              <controlPr defaultSize="0" print="0" autoFill="0" autoLine="0" autoPict="0" macro="[1]!TAMMI">
                <anchor moveWithCells="1" sizeWithCells="1">
                  <from>
                    <xdr:col>35</xdr:col>
                    <xdr:colOff>0</xdr:colOff>
                    <xdr:row>3</xdr:row>
                    <xdr:rowOff>9525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106" r:id="rId5" name="Button 2">
              <controlPr defaultSize="0" print="0" autoFill="0" autoLine="0" autoPict="0" macro="[1]KTMAKRO!$A$1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107" r:id="rId6" name="Button 3">
              <controlPr defaultSize="0" print="0" autoFill="0" autoLine="0" autoPict="0" macro="[1]!MAALIS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108" r:id="rId7" name="Button 4">
              <controlPr defaultSize="0" print="0" autoFill="0" autoLine="0" autoPict="0" macro="[1]KTMAKRO!$D$1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109" r:id="rId8" name="Button 5">
              <controlPr defaultSize="0" print="0" autoFill="0" autoLine="0" autoPict="0" macro="[1]KTMAKRO!$E$1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110" r:id="rId9" name="Button 6">
              <controlPr defaultSize="0" print="0" autoFill="0" autoLine="0" autoPict="0" macro="[1]!KESÄ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111" r:id="rId10" name="Button 7">
              <controlPr defaultSize="0" print="0" autoFill="0" autoLine="0" autoPict="0" macro="[1]!HELMI">
                <anchor moveWithCells="1" sizeWithCells="1">
                  <from>
                    <xdr:col>35</xdr:col>
                    <xdr:colOff>0</xdr:colOff>
                    <xdr:row>3</xdr:row>
                    <xdr:rowOff>9525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112" r:id="rId11" name="Button 8">
              <controlPr defaultSize="0" print="0" autoFill="0" autoLine="0" autoPict="0" macro="[1]KTMAKRO!$G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113" r:id="rId12" name="Button 9">
              <controlPr defaultSize="0" print="0" autoFill="0" autoLine="0" autoPict="0" macro="[1]KTMAKRO!$I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114" r:id="rId13" name="Button 10">
              <controlPr defaultSize="0" print="0" autoFill="0" autoLine="0" autoPict="0" macro="[1]KTMAKRO!$J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115" r:id="rId14" name="Button 11">
              <controlPr defaultSize="0" print="0" autoFill="0" autoLine="0" autoPict="0" macro="[1]KTMAKRO!$K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116" r:id="rId15" name="Button 12">
              <controlPr defaultSize="0" print="0" autoFill="0" autoLine="0" autoPict="0" macro="[1]KTMAKRO!$L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117" r:id="rId16" name="Button 13">
              <controlPr defaultSize="0" print="0" autoFill="0" autoLine="0" autoPict="0" macro="[1]KTMAKRO!$H$1">
                <anchor moveWithCells="1" sizeWithCells="1">
                  <from>
                    <xdr:col>35</xdr:col>
                    <xdr:colOff>0</xdr:colOff>
                    <xdr:row>5</xdr:row>
                    <xdr:rowOff>0</xdr:rowOff>
                  </from>
                  <to>
                    <xdr:col>35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118" r:id="rId17" name="Button 14">
              <controlPr defaultSize="0" print="0" autoFill="0" autoLine="0" autoPict="0" macro="[1]!Yhteenveto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5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119" r:id="rId18" name="Button 15">
              <controlPr defaultSize="0" print="0" autoFill="0" autoLine="0" autoPict="0" macro="[1]!GRAFIIKKA1">
                <anchor moveWithCells="1" sizeWithCells="1">
                  <from>
                    <xdr:col>35</xdr:col>
                    <xdr:colOff>0</xdr:colOff>
                    <xdr:row>8</xdr:row>
                    <xdr:rowOff>142875</xdr:rowOff>
                  </from>
                  <to>
                    <xdr:col>35</xdr:col>
                    <xdr:colOff>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120" r:id="rId19" name="Button 16">
              <controlPr defaultSize="0" print="0" autoFill="0" autoLine="0" autoPict="0" macro="[1]!Grafiikka2">
                <anchor moveWithCells="1" sizeWithCells="1">
                  <from>
                    <xdr:col>35</xdr:col>
                    <xdr:colOff>0</xdr:colOff>
                    <xdr:row>8</xdr:row>
                    <xdr:rowOff>152400</xdr:rowOff>
                  </from>
                  <to>
                    <xdr:col>35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121" r:id="rId20" name="Button 17">
              <controlPr defaultSize="0" print="0" autoFill="0" autoLine="0" autoPict="0" macro="[1]!Grafiikka4">
                <anchor moveWithCells="1" sizeWithCells="1">
                  <from>
                    <xdr:col>35</xdr:col>
                    <xdr:colOff>0</xdr:colOff>
                    <xdr:row>8</xdr:row>
                    <xdr:rowOff>142875</xdr:rowOff>
                  </from>
                  <to>
                    <xdr:col>35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122" r:id="rId21" name="Button 18">
              <controlPr defaultSize="0" print="0" autoFill="0" autoLine="0" autoPict="0" macro="[1]!Grafiikka4">
                <anchor moveWithCells="1" sizeWithCells="1">
                  <from>
                    <xdr:col>35</xdr:col>
                    <xdr:colOff>0</xdr:colOff>
                    <xdr:row>8</xdr:row>
                    <xdr:rowOff>152400</xdr:rowOff>
                  </from>
                  <to>
                    <xdr:col>35</xdr:col>
                    <xdr:colOff>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123" r:id="rId22" name="Button 19">
              <controlPr defaultSize="0" print="0" autoFill="0" autoLine="0" autoPict="0" macro="[1]!Grafiikka5">
                <anchor moveWithCells="1" sizeWithCells="1">
                  <from>
                    <xdr:col>35</xdr:col>
                    <xdr:colOff>0</xdr:colOff>
                    <xdr:row>8</xdr:row>
                    <xdr:rowOff>152400</xdr:rowOff>
                  </from>
                  <to>
                    <xdr:col>35</xdr:col>
                    <xdr:colOff>0</xdr:colOff>
                    <xdr:row>12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124" r:id="rId23" name="Button 20">
              <controlPr defaultSize="0" print="0" autoFill="0" autoLine="0" autoPict="0" macro="[1]!Perusikkuna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12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/>
  <dimension ref="A1:AJ42"/>
  <sheetViews>
    <sheetView showGridLines="0" zoomScale="80" zoomScaleNormal="80" workbookViewId="0"/>
  </sheetViews>
  <sheetFormatPr defaultColWidth="9.75" defaultRowHeight="12.75" x14ac:dyDescent="0.2"/>
  <cols>
    <col min="1" max="1" width="3.75" style="1" customWidth="1"/>
    <col min="2" max="2" width="2.75" style="1" customWidth="1"/>
    <col min="3" max="4" width="6.125" style="1" customWidth="1"/>
    <col min="5" max="5" width="4" style="1" customWidth="1"/>
    <col min="6" max="6" width="4.5" style="1" customWidth="1"/>
    <col min="7" max="10" width="6.125" style="1" customWidth="1"/>
    <col min="11" max="11" width="5.875" style="1" customWidth="1"/>
    <col min="12" max="13" width="6.125" style="1" customWidth="1"/>
    <col min="14" max="14" width="5.25" style="1" customWidth="1"/>
    <col min="15" max="15" width="4.5" style="1" customWidth="1"/>
    <col min="16" max="16" width="6.125" style="1" customWidth="1"/>
    <col min="17" max="17" width="5.5" style="1" customWidth="1"/>
    <col min="18" max="19" width="6.125" style="1" customWidth="1"/>
    <col min="20" max="20" width="5.875" style="1" customWidth="1"/>
    <col min="21" max="22" width="6.125" style="1" customWidth="1"/>
    <col min="23" max="23" width="4.375" style="1" customWidth="1"/>
    <col min="24" max="24" width="4.25" style="1" customWidth="1"/>
    <col min="25" max="29" width="6.125" style="1" customWidth="1"/>
    <col min="30" max="36" width="15.625" style="1" customWidth="1"/>
  </cols>
  <sheetData>
    <row r="1" spans="1:36" ht="30" customHeight="1" x14ac:dyDescent="0.35">
      <c r="A1" s="22"/>
      <c r="B1" s="4"/>
      <c r="C1" s="105" t="s">
        <v>15</v>
      </c>
      <c r="D1" s="106"/>
      <c r="E1" s="106"/>
      <c r="F1" s="106"/>
      <c r="G1" s="106"/>
      <c r="H1" s="106"/>
      <c r="I1" s="106"/>
      <c r="J1" s="106"/>
      <c r="K1" s="106"/>
      <c r="L1" s="105" t="str">
        <f>Kalenteri!$H$1</f>
        <v>KÄVIJÄTILASTO 2013</v>
      </c>
      <c r="M1" s="107"/>
      <c r="N1" s="107"/>
      <c r="O1" s="107"/>
      <c r="P1" s="106"/>
      <c r="Q1" s="106"/>
      <c r="R1" s="105" t="s">
        <v>75</v>
      </c>
      <c r="S1" s="108"/>
      <c r="T1" s="106"/>
      <c r="U1" s="109"/>
      <c r="V1" s="105" t="s">
        <v>39</v>
      </c>
      <c r="W1" s="109"/>
      <c r="X1" s="106"/>
      <c r="Y1" s="106"/>
      <c r="Z1" s="106"/>
      <c r="AA1" s="106"/>
      <c r="AB1" s="106"/>
      <c r="AC1" s="106"/>
      <c r="AD1" s="110"/>
      <c r="AE1" s="4"/>
      <c r="AF1" s="4"/>
      <c r="AG1" s="4"/>
      <c r="AH1" s="4"/>
      <c r="AI1" s="4"/>
      <c r="AJ1" s="4"/>
    </row>
    <row r="2" spans="1:36" ht="30" customHeight="1" x14ac:dyDescent="0.3">
      <c r="A2" s="3"/>
      <c r="B2" s="4"/>
      <c r="C2" s="72"/>
      <c r="D2" s="73"/>
      <c r="E2" s="74" t="s">
        <v>1</v>
      </c>
      <c r="F2" s="75"/>
      <c r="G2" s="75"/>
      <c r="H2" s="75"/>
      <c r="I2" s="75"/>
      <c r="J2" s="75"/>
      <c r="K2" s="76"/>
      <c r="L2" s="72"/>
      <c r="M2" s="77"/>
      <c r="N2" s="73"/>
      <c r="O2" s="74" t="s">
        <v>2</v>
      </c>
      <c r="P2" s="75"/>
      <c r="Q2" s="75"/>
      <c r="R2" s="75"/>
      <c r="S2" s="75"/>
      <c r="T2" s="76"/>
      <c r="U2" s="72"/>
      <c r="V2" s="75"/>
      <c r="W2" s="73"/>
      <c r="X2" s="74" t="s">
        <v>3</v>
      </c>
      <c r="Y2" s="75"/>
      <c r="Z2" s="75"/>
      <c r="AA2" s="75"/>
      <c r="AB2" s="75"/>
      <c r="AC2" s="76"/>
      <c r="AD2" s="13"/>
      <c r="AE2" s="35"/>
      <c r="AF2" s="69"/>
      <c r="AG2" s="69"/>
      <c r="AH2" s="69"/>
      <c r="AI2" s="69"/>
      <c r="AJ2" s="69"/>
    </row>
    <row r="3" spans="1:36" x14ac:dyDescent="0.2">
      <c r="A3" s="4"/>
      <c r="B3" s="4"/>
      <c r="C3" s="24" t="s">
        <v>4</v>
      </c>
      <c r="D3" s="25"/>
      <c r="E3" s="25"/>
      <c r="F3" s="26"/>
      <c r="G3" s="24" t="s">
        <v>5</v>
      </c>
      <c r="H3" s="26"/>
      <c r="I3" s="25" t="s">
        <v>6</v>
      </c>
      <c r="J3" s="25"/>
      <c r="K3" s="27"/>
      <c r="L3" s="24" t="s">
        <v>4</v>
      </c>
      <c r="M3" s="25"/>
      <c r="N3" s="25"/>
      <c r="O3" s="26"/>
      <c r="P3" s="24" t="s">
        <v>5</v>
      </c>
      <c r="Q3" s="26"/>
      <c r="R3" s="25" t="s">
        <v>6</v>
      </c>
      <c r="S3" s="25"/>
      <c r="T3" s="27"/>
      <c r="U3" s="24" t="s">
        <v>4</v>
      </c>
      <c r="V3" s="25"/>
      <c r="W3" s="25"/>
      <c r="X3" s="26"/>
      <c r="Y3" s="24" t="s">
        <v>5</v>
      </c>
      <c r="Z3" s="26"/>
      <c r="AA3" s="25" t="s">
        <v>6</v>
      </c>
      <c r="AB3" s="25"/>
      <c r="AC3" s="27"/>
      <c r="AD3" s="36" t="s">
        <v>7</v>
      </c>
      <c r="AE3" s="38"/>
      <c r="AF3" s="70"/>
      <c r="AG3" s="70"/>
      <c r="AH3" s="70"/>
      <c r="AI3" s="70"/>
      <c r="AJ3"/>
    </row>
    <row r="4" spans="1:36" x14ac:dyDescent="0.2">
      <c r="A4" s="6"/>
      <c r="B4" s="4"/>
      <c r="C4" s="7" t="s">
        <v>8</v>
      </c>
      <c r="D4" s="8" t="s">
        <v>9</v>
      </c>
      <c r="E4" s="8" t="s">
        <v>10</v>
      </c>
      <c r="F4" s="9" t="s">
        <v>11</v>
      </c>
      <c r="G4" s="7" t="s">
        <v>8</v>
      </c>
      <c r="H4" s="9" t="s">
        <v>9</v>
      </c>
      <c r="I4" s="8" t="s">
        <v>8</v>
      </c>
      <c r="J4" s="8" t="s">
        <v>9</v>
      </c>
      <c r="K4" s="14" t="s">
        <v>0</v>
      </c>
      <c r="L4" s="7" t="s">
        <v>8</v>
      </c>
      <c r="M4" s="8" t="s">
        <v>9</v>
      </c>
      <c r="N4" s="8" t="s">
        <v>10</v>
      </c>
      <c r="O4" s="9" t="s">
        <v>11</v>
      </c>
      <c r="P4" s="7" t="s">
        <v>8</v>
      </c>
      <c r="Q4" s="9" t="s">
        <v>9</v>
      </c>
      <c r="R4" s="8" t="s">
        <v>8</v>
      </c>
      <c r="S4" s="8" t="s">
        <v>9</v>
      </c>
      <c r="T4" s="14" t="s">
        <v>0</v>
      </c>
      <c r="U4" s="7" t="s">
        <v>8</v>
      </c>
      <c r="V4" s="8" t="s">
        <v>9</v>
      </c>
      <c r="W4" s="8" t="s">
        <v>10</v>
      </c>
      <c r="X4" s="9" t="s">
        <v>11</v>
      </c>
      <c r="Y4" s="7" t="s">
        <v>8</v>
      </c>
      <c r="Z4" s="9" t="s">
        <v>9</v>
      </c>
      <c r="AA4" s="8" t="s">
        <v>8</v>
      </c>
      <c r="AB4" s="8" t="s">
        <v>9</v>
      </c>
      <c r="AC4" s="14" t="s">
        <v>0</v>
      </c>
      <c r="AD4" s="28"/>
      <c r="AE4" s="23"/>
      <c r="AF4" s="23"/>
      <c r="AG4" s="23"/>
      <c r="AH4" s="23"/>
      <c r="AI4" s="23"/>
      <c r="AJ4"/>
    </row>
    <row r="5" spans="1:36" x14ac:dyDescent="0.2">
      <c r="A5" s="5">
        <f>DAY(Kalenteri!A152)</f>
        <v>1</v>
      </c>
      <c r="B5" s="3" t="str">
        <f>IF(Kalenteri!B152=1,"su",IF(Kalenteri!B152=2,"ma",IF(Kalenteri!B152=3,"ti",IF(Kalenteri!B152=4,"ke",IF(Kalenteri!B152=5,"to",IF(Kalenteri!B152=6,"pe",IF(Kalenteri!B152=7,"la",)))))))</f>
        <v>la</v>
      </c>
      <c r="C5" s="78" t="s">
        <v>239</v>
      </c>
      <c r="D5" s="15"/>
      <c r="E5" s="15"/>
      <c r="F5" s="16"/>
      <c r="G5" s="78">
        <v>10</v>
      </c>
      <c r="H5" s="16"/>
      <c r="I5" s="78"/>
      <c r="J5" s="16"/>
      <c r="K5" s="32">
        <f t="shared" ref="K5:K36" si="0">SUM(C5:J5)</f>
        <v>10</v>
      </c>
      <c r="L5" s="15" t="s">
        <v>234</v>
      </c>
      <c r="M5" s="15">
        <v>2</v>
      </c>
      <c r="N5" s="15"/>
      <c r="O5" s="16"/>
      <c r="P5" s="15" t="s">
        <v>233</v>
      </c>
      <c r="Q5" s="16">
        <v>3</v>
      </c>
      <c r="R5" s="29"/>
      <c r="S5" s="29"/>
      <c r="T5" s="32">
        <f t="shared" ref="T5:T36" si="1">SUM(L5:S5)</f>
        <v>5</v>
      </c>
      <c r="U5" s="15"/>
      <c r="V5" s="15"/>
      <c r="W5" s="15"/>
      <c r="X5" s="16"/>
      <c r="Y5" s="15"/>
      <c r="Z5" s="16"/>
      <c r="AA5" s="29"/>
      <c r="AB5" s="29"/>
      <c r="AC5" s="32">
        <f t="shared" ref="AC5:AC36" si="2">SUM(U5:AB5)</f>
        <v>0</v>
      </c>
      <c r="AD5" s="17">
        <f t="shared" ref="AD5:AD36" si="3">SUM(K5,T5,AC5)</f>
        <v>15</v>
      </c>
      <c r="AE5" s="39"/>
      <c r="AF5" s="39"/>
      <c r="AG5" s="39"/>
      <c r="AH5" s="39"/>
      <c r="AI5" s="39"/>
      <c r="AJ5"/>
    </row>
    <row r="6" spans="1:36" x14ac:dyDescent="0.2">
      <c r="A6" s="5">
        <f>DAY(Kalenteri!A153)</f>
        <v>2</v>
      </c>
      <c r="B6" s="3" t="str">
        <f>IF(Kalenteri!B153=1,"su",IF(Kalenteri!B153=2,"ma",IF(Kalenteri!B153=3,"ti",IF(Kalenteri!B153=4,"ke",IF(Kalenteri!B153=5,"to",IF(Kalenteri!B153=6,"pe",IF(Kalenteri!B153=7,"la",)))))))</f>
        <v>su</v>
      </c>
      <c r="C6" s="18" t="s">
        <v>240</v>
      </c>
      <c r="D6" s="10"/>
      <c r="E6" s="10"/>
      <c r="F6" s="11"/>
      <c r="G6" s="18">
        <v>1</v>
      </c>
      <c r="H6" s="11">
        <v>3</v>
      </c>
      <c r="I6" s="18">
        <v>2</v>
      </c>
      <c r="J6" s="11">
        <v>3</v>
      </c>
      <c r="K6" s="33">
        <f t="shared" si="0"/>
        <v>9</v>
      </c>
      <c r="L6" s="10" t="s">
        <v>232</v>
      </c>
      <c r="M6" s="10">
        <v>2</v>
      </c>
      <c r="N6" s="10"/>
      <c r="O6" s="11"/>
      <c r="P6" s="10"/>
      <c r="Q6" s="11"/>
      <c r="R6" s="30"/>
      <c r="S6" s="30"/>
      <c r="T6" s="33">
        <f t="shared" si="1"/>
        <v>2</v>
      </c>
      <c r="U6" s="10"/>
      <c r="V6" s="10"/>
      <c r="W6" s="10"/>
      <c r="X6" s="11"/>
      <c r="Y6" s="10"/>
      <c r="Z6" s="11"/>
      <c r="AA6" s="30"/>
      <c r="AB6" s="30"/>
      <c r="AC6" s="33">
        <f t="shared" si="2"/>
        <v>0</v>
      </c>
      <c r="AD6" s="12">
        <f t="shared" si="3"/>
        <v>11</v>
      </c>
      <c r="AE6" s="39"/>
      <c r="AF6" s="39"/>
      <c r="AG6" s="39"/>
      <c r="AH6" s="39"/>
      <c r="AI6" s="39"/>
      <c r="AJ6"/>
    </row>
    <row r="7" spans="1:36" x14ac:dyDescent="0.2">
      <c r="A7" s="5">
        <f>DAY(Kalenteri!A154)</f>
        <v>3</v>
      </c>
      <c r="B7" s="3" t="str">
        <f>IF(Kalenteri!B154=1,"su",IF(Kalenteri!B154=2,"ma",IF(Kalenteri!B154=3,"ti",IF(Kalenteri!B154=4,"ke",IF(Kalenteri!B154=5,"to",IF(Kalenteri!B154=6,"pe",IF(Kalenteri!B154=7,"la",)))))))</f>
        <v>ma</v>
      </c>
      <c r="C7" s="18" t="s">
        <v>241</v>
      </c>
      <c r="D7" s="10"/>
      <c r="E7" s="10"/>
      <c r="F7" s="11"/>
      <c r="G7" s="18"/>
      <c r="H7" s="11"/>
      <c r="I7" s="18"/>
      <c r="J7" s="11"/>
      <c r="K7" s="33">
        <f t="shared" si="0"/>
        <v>0</v>
      </c>
      <c r="L7" s="10"/>
      <c r="M7" s="10"/>
      <c r="N7" s="10"/>
      <c r="O7" s="11"/>
      <c r="P7" s="10"/>
      <c r="Q7" s="11"/>
      <c r="R7" s="30"/>
      <c r="S7" s="30"/>
      <c r="T7" s="33">
        <f t="shared" si="1"/>
        <v>0</v>
      </c>
      <c r="U7" s="10"/>
      <c r="V7" s="10"/>
      <c r="W7" s="10"/>
      <c r="X7" s="11"/>
      <c r="Y7" s="10"/>
      <c r="Z7" s="11"/>
      <c r="AA7" s="30"/>
      <c r="AB7" s="30"/>
      <c r="AC7" s="33">
        <f t="shared" si="2"/>
        <v>0</v>
      </c>
      <c r="AD7" s="12">
        <f t="shared" si="3"/>
        <v>0</v>
      </c>
      <c r="AE7" s="39"/>
      <c r="AF7" s="39"/>
      <c r="AG7" s="39"/>
      <c r="AH7" s="39"/>
      <c r="AI7" s="39"/>
      <c r="AJ7"/>
    </row>
    <row r="8" spans="1:36" x14ac:dyDescent="0.2">
      <c r="A8" s="5">
        <f>DAY(Kalenteri!A155)</f>
        <v>4</v>
      </c>
      <c r="B8" s="3" t="str">
        <f>IF(Kalenteri!B155=1,"su",IF(Kalenteri!B155=2,"ma",IF(Kalenteri!B155=3,"ti",IF(Kalenteri!B155=4,"ke",IF(Kalenteri!B155=5,"to",IF(Kalenteri!B155=6,"pe",IF(Kalenteri!B155=7,"la",)))))))</f>
        <v>ti</v>
      </c>
      <c r="C8" s="18" t="s">
        <v>228</v>
      </c>
      <c r="D8" s="10"/>
      <c r="E8" s="10"/>
      <c r="F8" s="11"/>
      <c r="G8" s="18">
        <v>14</v>
      </c>
      <c r="H8" s="11">
        <v>3</v>
      </c>
      <c r="I8" s="18"/>
      <c r="J8" s="11"/>
      <c r="K8" s="33">
        <f t="shared" si="0"/>
        <v>17</v>
      </c>
      <c r="L8" s="10"/>
      <c r="M8" s="10"/>
      <c r="N8" s="10"/>
      <c r="O8" s="11"/>
      <c r="P8" s="10"/>
      <c r="Q8" s="11"/>
      <c r="R8" s="30"/>
      <c r="S8" s="30"/>
      <c r="T8" s="33">
        <f t="shared" si="1"/>
        <v>0</v>
      </c>
      <c r="U8" s="10"/>
      <c r="V8" s="10"/>
      <c r="W8" s="10"/>
      <c r="X8" s="11"/>
      <c r="Y8" s="10"/>
      <c r="Z8" s="11"/>
      <c r="AA8" s="30"/>
      <c r="AB8" s="30"/>
      <c r="AC8" s="33">
        <f t="shared" si="2"/>
        <v>0</v>
      </c>
      <c r="AD8" s="12">
        <f t="shared" si="3"/>
        <v>17</v>
      </c>
      <c r="AE8" s="39"/>
      <c r="AF8" s="39"/>
      <c r="AG8" s="39"/>
      <c r="AH8" s="39"/>
      <c r="AI8" s="39"/>
      <c r="AJ8"/>
    </row>
    <row r="9" spans="1:36" x14ac:dyDescent="0.2">
      <c r="A9" s="5">
        <f>DAY(Kalenteri!A156)</f>
        <v>5</v>
      </c>
      <c r="B9" s="3" t="str">
        <f>IF(Kalenteri!B156=1,"su",IF(Kalenteri!B156=2,"ma",IF(Kalenteri!B156=3,"ti",IF(Kalenteri!B156=4,"ke",IF(Kalenteri!B156=5,"to",IF(Kalenteri!B156=6,"pe",IF(Kalenteri!B156=7,"la",)))))))</f>
        <v>ke</v>
      </c>
      <c r="C9" s="18" t="s">
        <v>242</v>
      </c>
      <c r="D9" s="10"/>
      <c r="E9" s="10"/>
      <c r="F9" s="11"/>
      <c r="G9" s="18">
        <v>5</v>
      </c>
      <c r="H9" s="11">
        <v>2</v>
      </c>
      <c r="I9" s="18"/>
      <c r="J9" s="11"/>
      <c r="K9" s="33">
        <f t="shared" si="0"/>
        <v>7</v>
      </c>
      <c r="L9" s="10"/>
      <c r="M9" s="10"/>
      <c r="N9" s="10"/>
      <c r="O9" s="11"/>
      <c r="P9" s="10"/>
      <c r="Q9" s="11"/>
      <c r="R9" s="30"/>
      <c r="S9" s="30"/>
      <c r="T9" s="33">
        <f t="shared" si="1"/>
        <v>0</v>
      </c>
      <c r="U9" s="10"/>
      <c r="V9" s="10"/>
      <c r="W9" s="10"/>
      <c r="X9" s="11"/>
      <c r="Y9" s="10"/>
      <c r="Z9" s="11"/>
      <c r="AA9" s="30"/>
      <c r="AB9" s="30"/>
      <c r="AC9" s="33">
        <f t="shared" si="2"/>
        <v>0</v>
      </c>
      <c r="AD9" s="12">
        <f t="shared" si="3"/>
        <v>7</v>
      </c>
      <c r="AE9" s="39"/>
      <c r="AF9" s="39"/>
      <c r="AG9" s="39"/>
      <c r="AH9" s="39"/>
      <c r="AI9" s="39"/>
      <c r="AJ9"/>
    </row>
    <row r="10" spans="1:36" x14ac:dyDescent="0.2">
      <c r="A10" s="5">
        <f>DAY(Kalenteri!A157)</f>
        <v>6</v>
      </c>
      <c r="B10" s="3" t="str">
        <f>IF(Kalenteri!B157=1,"su",IF(Kalenteri!B157=2,"ma",IF(Kalenteri!B157=3,"ti",IF(Kalenteri!B157=4,"ke",IF(Kalenteri!B157=5,"to",IF(Kalenteri!B157=6,"pe",IF(Kalenteri!B157=7,"la",)))))))</f>
        <v>to</v>
      </c>
      <c r="C10" s="18" t="s">
        <v>243</v>
      </c>
      <c r="D10" s="10"/>
      <c r="E10" s="10"/>
      <c r="F10" s="11"/>
      <c r="G10" s="18">
        <v>12</v>
      </c>
      <c r="H10" s="11"/>
      <c r="I10" s="18"/>
      <c r="J10" s="11"/>
      <c r="K10" s="33">
        <f t="shared" si="0"/>
        <v>12</v>
      </c>
      <c r="L10" s="10"/>
      <c r="M10" s="10"/>
      <c r="N10" s="10"/>
      <c r="O10" s="11"/>
      <c r="P10" s="10"/>
      <c r="Q10" s="11"/>
      <c r="R10" s="30"/>
      <c r="S10" s="30"/>
      <c r="T10" s="33">
        <f t="shared" si="1"/>
        <v>0</v>
      </c>
      <c r="U10" s="10"/>
      <c r="V10" s="10"/>
      <c r="W10" s="10"/>
      <c r="X10" s="11"/>
      <c r="Y10" s="10"/>
      <c r="Z10" s="11"/>
      <c r="AA10" s="30"/>
      <c r="AB10" s="30"/>
      <c r="AC10" s="33">
        <f t="shared" si="2"/>
        <v>0</v>
      </c>
      <c r="AD10" s="12">
        <f t="shared" si="3"/>
        <v>12</v>
      </c>
      <c r="AE10" s="39"/>
      <c r="AF10" s="39"/>
      <c r="AG10" s="39"/>
      <c r="AH10" s="39"/>
      <c r="AI10" s="39"/>
      <c r="AJ10"/>
    </row>
    <row r="11" spans="1:36" x14ac:dyDescent="0.2">
      <c r="A11" s="5">
        <f>DAY(Kalenteri!A158)</f>
        <v>7</v>
      </c>
      <c r="B11" s="3" t="str">
        <f>IF(Kalenteri!B158=1,"su",IF(Kalenteri!B158=2,"ma",IF(Kalenteri!B158=3,"ti",IF(Kalenteri!B158=4,"ke",IF(Kalenteri!B158=5,"to",IF(Kalenteri!B158=6,"pe",IF(Kalenteri!B158=7,"la",)))))))</f>
        <v>pe</v>
      </c>
      <c r="C11" s="18" t="s">
        <v>222</v>
      </c>
      <c r="D11" s="10"/>
      <c r="E11" s="10"/>
      <c r="F11" s="11"/>
      <c r="G11" s="18">
        <v>9</v>
      </c>
      <c r="H11" s="11">
        <v>2</v>
      </c>
      <c r="I11" s="18"/>
      <c r="J11" s="11"/>
      <c r="K11" s="33">
        <f t="shared" si="0"/>
        <v>11</v>
      </c>
      <c r="L11" s="10"/>
      <c r="M11" s="10"/>
      <c r="N11" s="10"/>
      <c r="O11" s="11"/>
      <c r="P11" s="10"/>
      <c r="Q11" s="11"/>
      <c r="R11" s="30"/>
      <c r="S11" s="30"/>
      <c r="T11" s="33">
        <f t="shared" si="1"/>
        <v>0</v>
      </c>
      <c r="U11" s="10"/>
      <c r="V11" s="10"/>
      <c r="W11" s="10"/>
      <c r="X11" s="11"/>
      <c r="Y11" s="10"/>
      <c r="Z11" s="11"/>
      <c r="AA11" s="30"/>
      <c r="AB11" s="30"/>
      <c r="AC11" s="33">
        <f t="shared" si="2"/>
        <v>0</v>
      </c>
      <c r="AD11" s="12">
        <f t="shared" si="3"/>
        <v>11</v>
      </c>
      <c r="AE11" s="39"/>
      <c r="AF11" s="39"/>
      <c r="AG11" s="39"/>
      <c r="AH11" s="39"/>
      <c r="AI11" s="39"/>
      <c r="AJ11"/>
    </row>
    <row r="12" spans="1:36" x14ac:dyDescent="0.2">
      <c r="A12" s="5">
        <f>DAY(Kalenteri!A159)</f>
        <v>8</v>
      </c>
      <c r="B12" s="3" t="str">
        <f>IF(Kalenteri!B159=1,"su",IF(Kalenteri!B159=2,"ma",IF(Kalenteri!B159=3,"ti",IF(Kalenteri!B159=4,"ke",IF(Kalenteri!B159=5,"to",IF(Kalenteri!B159=6,"pe",IF(Kalenteri!B159=7,"la",)))))))</f>
        <v>la</v>
      </c>
      <c r="C12" s="18" t="s">
        <v>244</v>
      </c>
      <c r="D12" s="10"/>
      <c r="E12" s="10"/>
      <c r="F12" s="11"/>
      <c r="G12" s="18">
        <v>37</v>
      </c>
      <c r="H12" s="11">
        <v>7</v>
      </c>
      <c r="I12" s="18">
        <v>2</v>
      </c>
      <c r="J12" s="11">
        <v>3</v>
      </c>
      <c r="K12" s="33">
        <f t="shared" si="0"/>
        <v>49</v>
      </c>
      <c r="L12" s="10">
        <v>2</v>
      </c>
      <c r="M12" s="10">
        <v>1</v>
      </c>
      <c r="N12" s="10" t="s">
        <v>235</v>
      </c>
      <c r="O12" s="11"/>
      <c r="P12" s="10"/>
      <c r="Q12" s="11"/>
      <c r="R12" s="30"/>
      <c r="S12" s="30"/>
      <c r="T12" s="33">
        <f t="shared" si="1"/>
        <v>3</v>
      </c>
      <c r="U12" s="10"/>
      <c r="V12" s="10"/>
      <c r="W12" s="10"/>
      <c r="X12" s="11"/>
      <c r="Y12" s="10"/>
      <c r="Z12" s="11"/>
      <c r="AA12" s="30"/>
      <c r="AB12" s="30"/>
      <c r="AC12" s="33">
        <f t="shared" si="2"/>
        <v>0</v>
      </c>
      <c r="AD12" s="12">
        <f t="shared" si="3"/>
        <v>52</v>
      </c>
      <c r="AE12" s="39"/>
      <c r="AF12" s="39"/>
      <c r="AG12" s="39"/>
      <c r="AH12" s="39"/>
      <c r="AI12" s="39"/>
      <c r="AJ12"/>
    </row>
    <row r="13" spans="1:36" x14ac:dyDescent="0.2">
      <c r="A13" s="5">
        <f>DAY(Kalenteri!A160)</f>
        <v>9</v>
      </c>
      <c r="B13" s="3" t="str">
        <f>IF(Kalenteri!B160=1,"su",IF(Kalenteri!B160=2,"ma",IF(Kalenteri!B160=3,"ti",IF(Kalenteri!B160=4,"ke",IF(Kalenteri!B160=5,"to",IF(Kalenteri!B160=6,"pe",IF(Kalenteri!B160=7,"la",)))))))</f>
        <v>su</v>
      </c>
      <c r="C13" s="18" t="s">
        <v>245</v>
      </c>
      <c r="D13" s="10"/>
      <c r="E13" s="10"/>
      <c r="F13" s="11"/>
      <c r="G13" s="18">
        <v>17</v>
      </c>
      <c r="H13" s="11">
        <v>1</v>
      </c>
      <c r="I13" s="18">
        <v>2</v>
      </c>
      <c r="J13" s="11">
        <v>3</v>
      </c>
      <c r="K13" s="33">
        <f t="shared" si="0"/>
        <v>23</v>
      </c>
      <c r="L13" s="10">
        <v>6</v>
      </c>
      <c r="M13" s="10">
        <v>2</v>
      </c>
      <c r="N13" s="10" t="s">
        <v>236</v>
      </c>
      <c r="O13" s="11"/>
      <c r="P13" s="10"/>
      <c r="Q13" s="11"/>
      <c r="R13" s="30"/>
      <c r="S13" s="30"/>
      <c r="T13" s="33">
        <f t="shared" si="1"/>
        <v>8</v>
      </c>
      <c r="U13" s="10"/>
      <c r="V13" s="10"/>
      <c r="W13" s="10"/>
      <c r="X13" s="11"/>
      <c r="Y13" s="10"/>
      <c r="Z13" s="11"/>
      <c r="AA13" s="30"/>
      <c r="AB13" s="30"/>
      <c r="AC13" s="33">
        <f t="shared" si="2"/>
        <v>0</v>
      </c>
      <c r="AD13" s="12">
        <f t="shared" si="3"/>
        <v>31</v>
      </c>
      <c r="AE13" s="39"/>
      <c r="AF13" s="39"/>
      <c r="AG13" s="39"/>
      <c r="AH13" s="39"/>
      <c r="AI13" s="39"/>
      <c r="AJ13"/>
    </row>
    <row r="14" spans="1:36" x14ac:dyDescent="0.2">
      <c r="A14" s="5">
        <f>DAY(Kalenteri!A161)</f>
        <v>10</v>
      </c>
      <c r="B14" s="3" t="str">
        <f>IF(Kalenteri!B161=1,"su",IF(Kalenteri!B161=2,"ma",IF(Kalenteri!B161=3,"ti",IF(Kalenteri!B161=4,"ke",IF(Kalenteri!B161=5,"to",IF(Kalenteri!B161=6,"pe",IF(Kalenteri!B161=7,"la",)))))))</f>
        <v>ma</v>
      </c>
      <c r="C14" s="18" t="s">
        <v>246</v>
      </c>
      <c r="D14" s="10"/>
      <c r="E14" s="10"/>
      <c r="F14" s="11"/>
      <c r="G14" s="18">
        <v>22</v>
      </c>
      <c r="H14" s="11">
        <v>6</v>
      </c>
      <c r="I14" s="18"/>
      <c r="J14" s="11"/>
      <c r="K14" s="33">
        <f t="shared" si="0"/>
        <v>28</v>
      </c>
      <c r="L14" s="10"/>
      <c r="M14" s="10"/>
      <c r="N14" s="10"/>
      <c r="O14" s="11"/>
      <c r="P14" s="10"/>
      <c r="Q14" s="11"/>
      <c r="R14" s="30"/>
      <c r="S14" s="30"/>
      <c r="T14" s="33">
        <f t="shared" si="1"/>
        <v>0</v>
      </c>
      <c r="U14" s="10"/>
      <c r="V14" s="10"/>
      <c r="W14" s="10"/>
      <c r="X14" s="11"/>
      <c r="Y14" s="10"/>
      <c r="Z14" s="11"/>
      <c r="AA14" s="30"/>
      <c r="AB14" s="30"/>
      <c r="AC14" s="33">
        <f t="shared" si="2"/>
        <v>0</v>
      </c>
      <c r="AD14" s="12">
        <f t="shared" si="3"/>
        <v>28</v>
      </c>
      <c r="AE14" s="39"/>
      <c r="AF14" s="39"/>
      <c r="AG14" s="39"/>
      <c r="AH14" s="39"/>
      <c r="AI14" s="39"/>
      <c r="AJ14"/>
    </row>
    <row r="15" spans="1:36" x14ac:dyDescent="0.2">
      <c r="A15" s="5">
        <f>DAY(Kalenteri!A162)</f>
        <v>11</v>
      </c>
      <c r="B15" s="3" t="str">
        <f>IF(Kalenteri!B162=1,"su",IF(Kalenteri!B162=2,"ma",IF(Kalenteri!B162=3,"ti",IF(Kalenteri!B162=4,"ke",IF(Kalenteri!B162=5,"to",IF(Kalenteri!B162=6,"pe",IF(Kalenteri!B162=7,"la",)))))))</f>
        <v>ti</v>
      </c>
      <c r="C15" s="18" t="s">
        <v>247</v>
      </c>
      <c r="D15" s="10"/>
      <c r="E15" s="10"/>
      <c r="F15" s="11"/>
      <c r="G15" s="18">
        <v>13</v>
      </c>
      <c r="H15" s="11">
        <v>6</v>
      </c>
      <c r="I15" s="18"/>
      <c r="J15" s="11"/>
      <c r="K15" s="33">
        <f t="shared" si="0"/>
        <v>19</v>
      </c>
      <c r="L15" s="10">
        <v>6</v>
      </c>
      <c r="M15" s="10">
        <v>3</v>
      </c>
      <c r="N15" s="10" t="s">
        <v>236</v>
      </c>
      <c r="O15" s="11"/>
      <c r="P15" s="10"/>
      <c r="Q15" s="11"/>
      <c r="R15" s="30"/>
      <c r="S15" s="30"/>
      <c r="T15" s="33">
        <f t="shared" si="1"/>
        <v>9</v>
      </c>
      <c r="U15" s="10"/>
      <c r="V15" s="10"/>
      <c r="W15" s="10"/>
      <c r="X15" s="11"/>
      <c r="Y15" s="10"/>
      <c r="Z15" s="11"/>
      <c r="AA15" s="30"/>
      <c r="AB15" s="30"/>
      <c r="AC15" s="33">
        <f t="shared" si="2"/>
        <v>0</v>
      </c>
      <c r="AD15" s="12">
        <f t="shared" si="3"/>
        <v>28</v>
      </c>
      <c r="AE15" s="39"/>
      <c r="AF15" s="39"/>
      <c r="AG15" s="39"/>
      <c r="AH15" s="39"/>
      <c r="AI15" s="39"/>
      <c r="AJ15"/>
    </row>
    <row r="16" spans="1:36" x14ac:dyDescent="0.2">
      <c r="A16" s="5">
        <f>DAY(Kalenteri!A163)</f>
        <v>12</v>
      </c>
      <c r="B16" s="3" t="str">
        <f>IF(Kalenteri!B163=1,"su",IF(Kalenteri!B163=2,"ma",IF(Kalenteri!B163=3,"ti",IF(Kalenteri!B163=4,"ke",IF(Kalenteri!B163=5,"to",IF(Kalenteri!B163=6,"pe",IF(Kalenteri!B163=7,"la",)))))))</f>
        <v>ke</v>
      </c>
      <c r="C16" s="18" t="s">
        <v>248</v>
      </c>
      <c r="D16" s="10"/>
      <c r="E16" s="10"/>
      <c r="F16" s="11"/>
      <c r="G16" s="18">
        <v>2</v>
      </c>
      <c r="H16" s="11"/>
      <c r="I16" s="18"/>
      <c r="J16" s="11"/>
      <c r="K16" s="33">
        <f t="shared" si="0"/>
        <v>2</v>
      </c>
      <c r="L16" s="10"/>
      <c r="M16" s="10"/>
      <c r="N16" s="10"/>
      <c r="O16" s="11"/>
      <c r="P16" s="10"/>
      <c r="Q16" s="11"/>
      <c r="R16" s="30"/>
      <c r="S16" s="30"/>
      <c r="T16" s="33">
        <f t="shared" si="1"/>
        <v>0</v>
      </c>
      <c r="U16" s="10"/>
      <c r="V16" s="10"/>
      <c r="W16" s="10"/>
      <c r="X16" s="11"/>
      <c r="Y16" s="10"/>
      <c r="Z16" s="11"/>
      <c r="AA16" s="30"/>
      <c r="AB16" s="30"/>
      <c r="AC16" s="33">
        <f t="shared" si="2"/>
        <v>0</v>
      </c>
      <c r="AD16" s="12">
        <f t="shared" si="3"/>
        <v>2</v>
      </c>
      <c r="AE16" s="39"/>
      <c r="AF16" s="39"/>
      <c r="AG16" s="39"/>
      <c r="AH16" s="39"/>
      <c r="AI16" s="39"/>
      <c r="AJ16"/>
    </row>
    <row r="17" spans="1:36" x14ac:dyDescent="0.2">
      <c r="A17" s="5">
        <f>DAY(Kalenteri!A164)</f>
        <v>13</v>
      </c>
      <c r="B17" s="3" t="str">
        <f>IF(Kalenteri!B164=1,"su",IF(Kalenteri!B164=2,"ma",IF(Kalenteri!B164=3,"ti",IF(Kalenteri!B164=4,"ke",IF(Kalenteri!B164=5,"to",IF(Kalenteri!B164=6,"pe",IF(Kalenteri!B164=7,"la",)))))))</f>
        <v>to</v>
      </c>
      <c r="C17" s="18" t="s">
        <v>249</v>
      </c>
      <c r="D17" s="10"/>
      <c r="E17" s="10"/>
      <c r="F17" s="11"/>
      <c r="G17" s="18">
        <v>4</v>
      </c>
      <c r="H17" s="11">
        <v>1</v>
      </c>
      <c r="I17" s="18">
        <v>2</v>
      </c>
      <c r="J17" s="11">
        <v>3</v>
      </c>
      <c r="K17" s="33">
        <f t="shared" si="0"/>
        <v>10</v>
      </c>
      <c r="L17" s="10"/>
      <c r="M17" s="10"/>
      <c r="N17" s="10"/>
      <c r="O17" s="11"/>
      <c r="P17" s="10"/>
      <c r="Q17" s="11"/>
      <c r="R17" s="30"/>
      <c r="S17" s="30"/>
      <c r="T17" s="33">
        <f t="shared" si="1"/>
        <v>0</v>
      </c>
      <c r="U17" s="10"/>
      <c r="V17" s="10"/>
      <c r="W17" s="10"/>
      <c r="X17" s="11"/>
      <c r="Y17" s="10"/>
      <c r="Z17" s="11"/>
      <c r="AA17" s="30"/>
      <c r="AB17" s="30"/>
      <c r="AC17" s="33">
        <f t="shared" si="2"/>
        <v>0</v>
      </c>
      <c r="AD17" s="12">
        <f t="shared" si="3"/>
        <v>10</v>
      </c>
      <c r="AE17" s="39"/>
      <c r="AF17" s="39"/>
      <c r="AG17" s="39"/>
      <c r="AH17" s="39"/>
      <c r="AI17" s="39"/>
      <c r="AJ17"/>
    </row>
    <row r="18" spans="1:36" x14ac:dyDescent="0.2">
      <c r="A18" s="5">
        <f>DAY(Kalenteri!A165)</f>
        <v>14</v>
      </c>
      <c r="B18" s="3" t="str">
        <f>IF(Kalenteri!B165=1,"su",IF(Kalenteri!B165=2,"ma",IF(Kalenteri!B165=3,"ti",IF(Kalenteri!B165=4,"ke",IF(Kalenteri!B165=5,"to",IF(Kalenteri!B165=6,"pe",IF(Kalenteri!B165=7,"la",)))))))</f>
        <v>pe</v>
      </c>
      <c r="C18" s="18" t="s">
        <v>241</v>
      </c>
      <c r="D18" s="10"/>
      <c r="E18" s="10"/>
      <c r="F18" s="11"/>
      <c r="G18" s="18"/>
      <c r="H18" s="11"/>
      <c r="I18" s="18"/>
      <c r="J18" s="11"/>
      <c r="K18" s="33">
        <f t="shared" si="0"/>
        <v>0</v>
      </c>
      <c r="L18" s="10"/>
      <c r="M18" s="10"/>
      <c r="N18" s="10"/>
      <c r="O18" s="11"/>
      <c r="P18" s="10"/>
      <c r="Q18" s="11"/>
      <c r="R18" s="30"/>
      <c r="S18" s="30"/>
      <c r="T18" s="33">
        <f t="shared" si="1"/>
        <v>0</v>
      </c>
      <c r="U18" s="10"/>
      <c r="V18" s="10"/>
      <c r="W18" s="10"/>
      <c r="X18" s="11"/>
      <c r="Y18" s="10"/>
      <c r="Z18" s="11"/>
      <c r="AA18" s="30"/>
      <c r="AB18" s="30"/>
      <c r="AC18" s="33">
        <f t="shared" si="2"/>
        <v>0</v>
      </c>
      <c r="AD18" s="12">
        <f t="shared" si="3"/>
        <v>0</v>
      </c>
      <c r="AE18" s="39"/>
      <c r="AF18" s="39"/>
      <c r="AG18" s="39"/>
      <c r="AH18" s="39"/>
      <c r="AI18" s="39"/>
      <c r="AJ18"/>
    </row>
    <row r="19" spans="1:36" x14ac:dyDescent="0.2">
      <c r="A19" s="5">
        <f>DAY(Kalenteri!A166)</f>
        <v>15</v>
      </c>
      <c r="B19" s="3" t="str">
        <f>IF(Kalenteri!B166=1,"su",IF(Kalenteri!B166=2,"ma",IF(Kalenteri!B166=3,"ti",IF(Kalenteri!B166=4,"ke",IF(Kalenteri!B166=5,"to",IF(Kalenteri!B166=6,"pe",IF(Kalenteri!B166=7,"la",)))))))</f>
        <v>la</v>
      </c>
      <c r="C19" s="18" t="s">
        <v>252</v>
      </c>
      <c r="D19" s="10"/>
      <c r="E19" s="10"/>
      <c r="F19" s="11"/>
      <c r="G19" s="18">
        <v>4</v>
      </c>
      <c r="H19" s="11">
        <v>2</v>
      </c>
      <c r="I19" s="18"/>
      <c r="J19" s="11"/>
      <c r="K19" s="33">
        <f t="shared" si="0"/>
        <v>6</v>
      </c>
      <c r="L19" s="10">
        <v>4</v>
      </c>
      <c r="M19" s="10"/>
      <c r="N19" s="10" t="s">
        <v>236</v>
      </c>
      <c r="O19" s="11"/>
      <c r="P19" s="10"/>
      <c r="Q19" s="11"/>
      <c r="R19" s="30"/>
      <c r="S19" s="30"/>
      <c r="T19" s="33">
        <f t="shared" si="1"/>
        <v>4</v>
      </c>
      <c r="U19" s="10"/>
      <c r="V19" s="10"/>
      <c r="W19" s="10"/>
      <c r="X19" s="11"/>
      <c r="Y19" s="10"/>
      <c r="Z19" s="11"/>
      <c r="AA19" s="30"/>
      <c r="AB19" s="30"/>
      <c r="AC19" s="33">
        <f t="shared" si="2"/>
        <v>0</v>
      </c>
      <c r="AD19" s="12">
        <f t="shared" si="3"/>
        <v>10</v>
      </c>
      <c r="AE19" s="39"/>
      <c r="AF19" s="39"/>
      <c r="AG19" s="39"/>
      <c r="AH19" s="39"/>
      <c r="AI19" s="39"/>
      <c r="AJ19"/>
    </row>
    <row r="20" spans="1:36" x14ac:dyDescent="0.2">
      <c r="A20" s="5">
        <f>DAY(Kalenteri!A167)</f>
        <v>16</v>
      </c>
      <c r="B20" s="3" t="str">
        <f>IF(Kalenteri!B167=1,"su",IF(Kalenteri!B167=2,"ma",IF(Kalenteri!B167=3,"ti",IF(Kalenteri!B167=4,"ke",IF(Kalenteri!B167=5,"to",IF(Kalenteri!B167=6,"pe",IF(Kalenteri!B167=7,"la",)))))))</f>
        <v>su</v>
      </c>
      <c r="C20" s="18" t="s">
        <v>241</v>
      </c>
      <c r="D20" s="10"/>
      <c r="E20" s="10"/>
      <c r="F20" s="11"/>
      <c r="G20" s="18"/>
      <c r="H20" s="11"/>
      <c r="I20" s="18"/>
      <c r="J20" s="11"/>
      <c r="K20" s="33">
        <f t="shared" si="0"/>
        <v>0</v>
      </c>
      <c r="L20" s="10">
        <v>2</v>
      </c>
      <c r="M20" s="10">
        <v>1</v>
      </c>
      <c r="N20" s="10" t="s">
        <v>236</v>
      </c>
      <c r="O20" s="11"/>
      <c r="P20" s="10"/>
      <c r="Q20" s="11"/>
      <c r="R20" s="30"/>
      <c r="S20" s="30"/>
      <c r="T20" s="33">
        <f t="shared" si="1"/>
        <v>3</v>
      </c>
      <c r="U20" s="10"/>
      <c r="V20" s="10"/>
      <c r="W20" s="10"/>
      <c r="X20" s="11"/>
      <c r="Y20" s="10"/>
      <c r="Z20" s="11"/>
      <c r="AA20" s="30"/>
      <c r="AB20" s="30"/>
      <c r="AC20" s="33">
        <f t="shared" si="2"/>
        <v>0</v>
      </c>
      <c r="AD20" s="12">
        <f t="shared" si="3"/>
        <v>3</v>
      </c>
      <c r="AE20" s="39"/>
      <c r="AF20" s="39"/>
      <c r="AG20" s="39"/>
      <c r="AH20" s="39"/>
      <c r="AI20" s="39"/>
      <c r="AJ20"/>
    </row>
    <row r="21" spans="1:36" x14ac:dyDescent="0.2">
      <c r="A21" s="5">
        <f>DAY(Kalenteri!A168)</f>
        <v>17</v>
      </c>
      <c r="B21" s="3" t="str">
        <f>IF(Kalenteri!B168=1,"su",IF(Kalenteri!B168=2,"ma",IF(Kalenteri!B168=3,"ti",IF(Kalenteri!B168=4,"ke",IF(Kalenteri!B168=5,"to",IF(Kalenteri!B168=6,"pe",IF(Kalenteri!B168=7,"la",)))))))</f>
        <v>ma</v>
      </c>
      <c r="C21" s="18" t="s">
        <v>253</v>
      </c>
      <c r="D21" s="10"/>
      <c r="E21" s="10"/>
      <c r="F21" s="11"/>
      <c r="G21" s="18">
        <v>2</v>
      </c>
      <c r="H21" s="11">
        <v>1</v>
      </c>
      <c r="I21" s="18"/>
      <c r="J21" s="11"/>
      <c r="K21" s="33">
        <f t="shared" si="0"/>
        <v>3</v>
      </c>
      <c r="L21" s="10"/>
      <c r="M21" s="10"/>
      <c r="N21" s="10"/>
      <c r="O21" s="11"/>
      <c r="P21" s="10"/>
      <c r="Q21" s="11"/>
      <c r="R21" s="30"/>
      <c r="S21" s="30"/>
      <c r="T21" s="33">
        <f t="shared" si="1"/>
        <v>0</v>
      </c>
      <c r="U21" s="10"/>
      <c r="V21" s="10"/>
      <c r="W21" s="10"/>
      <c r="X21" s="11"/>
      <c r="Y21" s="10"/>
      <c r="Z21" s="11"/>
      <c r="AA21" s="30"/>
      <c r="AB21" s="30"/>
      <c r="AC21" s="33">
        <f t="shared" si="2"/>
        <v>0</v>
      </c>
      <c r="AD21" s="12">
        <f t="shared" si="3"/>
        <v>3</v>
      </c>
      <c r="AE21" s="39"/>
      <c r="AF21" s="39"/>
      <c r="AG21" s="39"/>
      <c r="AH21" s="39"/>
      <c r="AI21" s="39"/>
      <c r="AJ21"/>
    </row>
    <row r="22" spans="1:36" x14ac:dyDescent="0.2">
      <c r="A22" s="5">
        <f>DAY(Kalenteri!A169)</f>
        <v>18</v>
      </c>
      <c r="B22" s="3" t="str">
        <f>IF(Kalenteri!B169=1,"su",IF(Kalenteri!B169=2,"ma",IF(Kalenteri!B169=3,"ti",IF(Kalenteri!B169=4,"ke",IF(Kalenteri!B169=5,"to",IF(Kalenteri!B169=6,"pe",IF(Kalenteri!B169=7,"la",)))))))</f>
        <v>ti</v>
      </c>
      <c r="C22" s="18" t="s">
        <v>254</v>
      </c>
      <c r="D22" s="10"/>
      <c r="E22" s="10"/>
      <c r="F22" s="11"/>
      <c r="G22" s="18">
        <v>12</v>
      </c>
      <c r="H22" s="11">
        <v>5</v>
      </c>
      <c r="I22" s="18">
        <v>2</v>
      </c>
      <c r="J22" s="11">
        <v>3</v>
      </c>
      <c r="K22" s="33">
        <f t="shared" si="0"/>
        <v>22</v>
      </c>
      <c r="L22" s="10"/>
      <c r="M22" s="10"/>
      <c r="N22" s="10"/>
      <c r="O22" s="11"/>
      <c r="P22" s="10"/>
      <c r="Q22" s="11"/>
      <c r="R22" s="30"/>
      <c r="S22" s="30"/>
      <c r="T22" s="33">
        <f t="shared" si="1"/>
        <v>0</v>
      </c>
      <c r="U22" s="10"/>
      <c r="V22" s="10"/>
      <c r="W22" s="10"/>
      <c r="X22" s="11"/>
      <c r="Y22" s="10"/>
      <c r="Z22" s="11"/>
      <c r="AA22" s="30"/>
      <c r="AB22" s="30"/>
      <c r="AC22" s="33">
        <f t="shared" si="2"/>
        <v>0</v>
      </c>
      <c r="AD22" s="12">
        <f t="shared" si="3"/>
        <v>22</v>
      </c>
      <c r="AE22" s="39"/>
      <c r="AF22" s="39"/>
      <c r="AG22" s="39"/>
      <c r="AH22" s="39"/>
      <c r="AI22" s="39"/>
      <c r="AJ22"/>
    </row>
    <row r="23" spans="1:36" x14ac:dyDescent="0.2">
      <c r="A23" s="5">
        <f>DAY(Kalenteri!A170)</f>
        <v>19</v>
      </c>
      <c r="B23" s="3" t="str">
        <f>IF(Kalenteri!B170=1,"su",IF(Kalenteri!B170=2,"ma",IF(Kalenteri!B170=3,"ti",IF(Kalenteri!B170=4,"ke",IF(Kalenteri!B170=5,"to",IF(Kalenteri!B170=6,"pe",IF(Kalenteri!B170=7,"la",)))))))</f>
        <v>ke</v>
      </c>
      <c r="C23" s="18" t="s">
        <v>255</v>
      </c>
      <c r="D23" s="10"/>
      <c r="E23" s="10"/>
      <c r="F23" s="11"/>
      <c r="G23" s="18">
        <v>7</v>
      </c>
      <c r="H23" s="11">
        <v>3</v>
      </c>
      <c r="I23" s="18"/>
      <c r="J23" s="11"/>
      <c r="K23" s="33">
        <f t="shared" si="0"/>
        <v>10</v>
      </c>
      <c r="L23" s="10">
        <v>2</v>
      </c>
      <c r="M23" s="10">
        <v>1</v>
      </c>
      <c r="N23" s="10" t="s">
        <v>236</v>
      </c>
      <c r="O23" s="11"/>
      <c r="P23" s="10"/>
      <c r="Q23" s="11"/>
      <c r="R23" s="30"/>
      <c r="S23" s="30"/>
      <c r="T23" s="33">
        <f t="shared" si="1"/>
        <v>3</v>
      </c>
      <c r="U23" s="10"/>
      <c r="V23" s="10"/>
      <c r="W23" s="10"/>
      <c r="X23" s="11"/>
      <c r="Y23" s="10"/>
      <c r="Z23" s="11"/>
      <c r="AA23" s="30"/>
      <c r="AB23" s="30"/>
      <c r="AC23" s="33">
        <f t="shared" si="2"/>
        <v>0</v>
      </c>
      <c r="AD23" s="12">
        <f t="shared" si="3"/>
        <v>13</v>
      </c>
      <c r="AE23" s="39"/>
      <c r="AF23" s="39"/>
      <c r="AG23" s="39"/>
      <c r="AH23" s="39"/>
      <c r="AI23" s="39"/>
      <c r="AJ23"/>
    </row>
    <row r="24" spans="1:36" x14ac:dyDescent="0.2">
      <c r="A24" s="5">
        <f>DAY(Kalenteri!A171)</f>
        <v>20</v>
      </c>
      <c r="B24" s="3" t="str">
        <f>IF(Kalenteri!B171=1,"su",IF(Kalenteri!B171=2,"ma",IF(Kalenteri!B171=3,"ti",IF(Kalenteri!B171=4,"ke",IF(Kalenteri!B171=5,"to",IF(Kalenteri!B171=6,"pe",IF(Kalenteri!B171=7,"la",)))))))</f>
        <v>to</v>
      </c>
      <c r="C24" s="18" t="s">
        <v>256</v>
      </c>
      <c r="D24" s="10"/>
      <c r="E24" s="10"/>
      <c r="F24" s="11"/>
      <c r="G24" s="18">
        <v>8</v>
      </c>
      <c r="H24" s="11">
        <v>1</v>
      </c>
      <c r="I24" s="18"/>
      <c r="J24" s="11"/>
      <c r="K24" s="33">
        <f t="shared" si="0"/>
        <v>9</v>
      </c>
      <c r="L24" s="10"/>
      <c r="M24" s="10"/>
      <c r="N24" s="10"/>
      <c r="O24" s="11"/>
      <c r="P24" s="10"/>
      <c r="Q24" s="11"/>
      <c r="R24" s="30"/>
      <c r="S24" s="30"/>
      <c r="T24" s="33">
        <f t="shared" si="1"/>
        <v>0</v>
      </c>
      <c r="U24" s="10"/>
      <c r="V24" s="10"/>
      <c r="W24" s="10"/>
      <c r="X24" s="11"/>
      <c r="Y24" s="10"/>
      <c r="Z24" s="11"/>
      <c r="AA24" s="30"/>
      <c r="AB24" s="30"/>
      <c r="AC24" s="33">
        <f t="shared" si="2"/>
        <v>0</v>
      </c>
      <c r="AD24" s="12">
        <f t="shared" si="3"/>
        <v>9</v>
      </c>
      <c r="AE24" s="39"/>
      <c r="AF24" s="39"/>
      <c r="AG24" s="39"/>
      <c r="AH24" s="39"/>
      <c r="AI24" s="39"/>
      <c r="AJ24" s="39"/>
    </row>
    <row r="25" spans="1:36" x14ac:dyDescent="0.2">
      <c r="A25" s="5">
        <f>DAY(Kalenteri!A172)</f>
        <v>21</v>
      </c>
      <c r="B25" s="3" t="str">
        <f>IF(Kalenteri!B172=1,"su",IF(Kalenteri!B172=2,"ma",IF(Kalenteri!B172=3,"ti",IF(Kalenteri!B172=4,"ke",IF(Kalenteri!B172=5,"to",IF(Kalenteri!B172=6,"pe",IF(Kalenteri!B172=7,"la",)))))))</f>
        <v>pe</v>
      </c>
      <c r="C25" s="18" t="s">
        <v>257</v>
      </c>
      <c r="D25" s="10"/>
      <c r="E25" s="10"/>
      <c r="F25" s="11"/>
      <c r="G25" s="18"/>
      <c r="H25" s="11"/>
      <c r="I25" s="18"/>
      <c r="J25" s="11"/>
      <c r="K25" s="33">
        <f t="shared" si="0"/>
        <v>0</v>
      </c>
      <c r="L25" s="10"/>
      <c r="M25" s="10"/>
      <c r="N25" s="10"/>
      <c r="O25" s="11"/>
      <c r="P25" s="10"/>
      <c r="Q25" s="11"/>
      <c r="R25" s="30"/>
      <c r="S25" s="30"/>
      <c r="T25" s="33">
        <f t="shared" si="1"/>
        <v>0</v>
      </c>
      <c r="U25" s="10"/>
      <c r="V25" s="10"/>
      <c r="W25" s="10"/>
      <c r="X25" s="11"/>
      <c r="Y25" s="10"/>
      <c r="Z25" s="11"/>
      <c r="AA25" s="30"/>
      <c r="AB25" s="30"/>
      <c r="AC25" s="33">
        <f t="shared" si="2"/>
        <v>0</v>
      </c>
      <c r="AD25" s="12">
        <f t="shared" si="3"/>
        <v>0</v>
      </c>
      <c r="AE25" s="39"/>
      <c r="AF25" s="39"/>
      <c r="AG25" s="39"/>
      <c r="AH25" s="39"/>
      <c r="AI25" s="39"/>
      <c r="AJ25" s="39"/>
    </row>
    <row r="26" spans="1:36" x14ac:dyDescent="0.2">
      <c r="A26" s="5">
        <f>DAY(Kalenteri!A173)</f>
        <v>22</v>
      </c>
      <c r="B26" s="3" t="str">
        <f>IF(Kalenteri!B173=1,"su",IF(Kalenteri!B173=2,"ma",IF(Kalenteri!B173=3,"ti",IF(Kalenteri!B173=4,"ke",IF(Kalenteri!B173=5,"to",IF(Kalenteri!B173=6,"pe",IF(Kalenteri!B173=7,"la",)))))))</f>
        <v>la</v>
      </c>
      <c r="C26" s="18" t="s">
        <v>257</v>
      </c>
      <c r="D26" s="10"/>
      <c r="E26" s="10"/>
      <c r="F26" s="11"/>
      <c r="G26" s="18">
        <v>11</v>
      </c>
      <c r="H26" s="11">
        <v>1</v>
      </c>
      <c r="I26" s="18"/>
      <c r="J26" s="11"/>
      <c r="K26" s="33">
        <f t="shared" si="0"/>
        <v>12</v>
      </c>
      <c r="L26" s="10">
        <v>6</v>
      </c>
      <c r="M26" s="10">
        <v>4</v>
      </c>
      <c r="N26" s="10" t="s">
        <v>236</v>
      </c>
      <c r="O26" s="11"/>
      <c r="P26" s="10">
        <v>2</v>
      </c>
      <c r="Q26" s="11" t="s">
        <v>251</v>
      </c>
      <c r="R26" s="30">
        <v>3</v>
      </c>
      <c r="S26" s="30" t="s">
        <v>250</v>
      </c>
      <c r="T26" s="33">
        <f t="shared" si="1"/>
        <v>15</v>
      </c>
      <c r="U26" s="10"/>
      <c r="V26" s="10"/>
      <c r="W26" s="10"/>
      <c r="X26" s="11"/>
      <c r="Y26" s="10"/>
      <c r="Z26" s="11"/>
      <c r="AA26" s="30"/>
      <c r="AB26" s="30"/>
      <c r="AC26" s="33">
        <f t="shared" si="2"/>
        <v>0</v>
      </c>
      <c r="AD26" s="12">
        <f t="shared" si="3"/>
        <v>27</v>
      </c>
      <c r="AE26" s="39"/>
      <c r="AF26" s="39"/>
      <c r="AG26" s="39"/>
      <c r="AH26" s="39"/>
      <c r="AI26" s="39"/>
      <c r="AJ26" s="39"/>
    </row>
    <row r="27" spans="1:36" x14ac:dyDescent="0.2">
      <c r="A27" s="5">
        <f>DAY(Kalenteri!A174)</f>
        <v>23</v>
      </c>
      <c r="B27" s="3" t="str">
        <f>IF(Kalenteri!B174=1,"su",IF(Kalenteri!B174=2,"ma",IF(Kalenteri!B174=3,"ti",IF(Kalenteri!B174=4,"ke",IF(Kalenteri!B174=5,"to",IF(Kalenteri!B174=6,"pe",IF(Kalenteri!B174=7,"la",)))))))</f>
        <v>su</v>
      </c>
      <c r="C27" s="18" t="s">
        <v>257</v>
      </c>
      <c r="D27" s="10"/>
      <c r="E27" s="10"/>
      <c r="F27" s="11"/>
      <c r="G27" s="18">
        <v>9</v>
      </c>
      <c r="H27" s="11">
        <v>4</v>
      </c>
      <c r="I27" s="18"/>
      <c r="J27" s="11"/>
      <c r="K27" s="33">
        <f t="shared" si="0"/>
        <v>13</v>
      </c>
      <c r="L27" s="10"/>
      <c r="M27" s="10"/>
      <c r="N27" s="10"/>
      <c r="O27" s="11"/>
      <c r="P27" s="10"/>
      <c r="Q27" s="11"/>
      <c r="R27" s="30"/>
      <c r="S27" s="30"/>
      <c r="T27" s="33">
        <f t="shared" si="1"/>
        <v>0</v>
      </c>
      <c r="U27" s="10"/>
      <c r="V27" s="10"/>
      <c r="W27" s="10"/>
      <c r="X27" s="11"/>
      <c r="Y27" s="10"/>
      <c r="Z27" s="11"/>
      <c r="AA27" s="30"/>
      <c r="AB27" s="30"/>
      <c r="AC27" s="33">
        <f t="shared" si="2"/>
        <v>0</v>
      </c>
      <c r="AD27" s="12">
        <f t="shared" si="3"/>
        <v>13</v>
      </c>
      <c r="AE27" s="39"/>
      <c r="AF27" s="39"/>
      <c r="AG27" s="39"/>
      <c r="AH27" s="39"/>
      <c r="AI27" s="39"/>
      <c r="AJ27" s="39"/>
    </row>
    <row r="28" spans="1:36" x14ac:dyDescent="0.2">
      <c r="A28" s="5">
        <f>DAY(Kalenteri!A175)</f>
        <v>24</v>
      </c>
      <c r="B28" s="3" t="str">
        <f>IF(Kalenteri!B175=1,"su",IF(Kalenteri!B175=2,"ma",IF(Kalenteri!B175=3,"ti",IF(Kalenteri!B175=4,"ke",IF(Kalenteri!B175=5,"to",IF(Kalenteri!B175=6,"pe",IF(Kalenteri!B175=7,"la",)))))))</f>
        <v>ma</v>
      </c>
      <c r="C28" s="18" t="s">
        <v>257</v>
      </c>
      <c r="D28" s="10"/>
      <c r="E28" s="10"/>
      <c r="F28" s="11"/>
      <c r="G28" s="18">
        <v>6</v>
      </c>
      <c r="H28" s="11">
        <v>4</v>
      </c>
      <c r="I28" s="18"/>
      <c r="J28" s="11"/>
      <c r="K28" s="33">
        <f t="shared" si="0"/>
        <v>10</v>
      </c>
      <c r="L28" s="10"/>
      <c r="M28" s="10"/>
      <c r="N28" s="10"/>
      <c r="O28" s="11"/>
      <c r="P28" s="10"/>
      <c r="Q28" s="11"/>
      <c r="R28" s="30"/>
      <c r="S28" s="30"/>
      <c r="T28" s="33">
        <f t="shared" si="1"/>
        <v>0</v>
      </c>
      <c r="U28" s="10"/>
      <c r="V28" s="10"/>
      <c r="W28" s="10"/>
      <c r="X28" s="11"/>
      <c r="Y28" s="10"/>
      <c r="Z28" s="11"/>
      <c r="AA28" s="30"/>
      <c r="AB28" s="30"/>
      <c r="AC28" s="33">
        <f t="shared" si="2"/>
        <v>0</v>
      </c>
      <c r="AD28" s="12">
        <f t="shared" si="3"/>
        <v>10</v>
      </c>
      <c r="AE28" s="39"/>
      <c r="AF28" s="39"/>
      <c r="AG28" s="39"/>
      <c r="AH28" s="39"/>
      <c r="AI28" s="39"/>
      <c r="AJ28" s="39"/>
    </row>
    <row r="29" spans="1:36" x14ac:dyDescent="0.2">
      <c r="A29" s="5">
        <f>DAY(Kalenteri!A176)</f>
        <v>25</v>
      </c>
      <c r="B29" s="3" t="str">
        <f>IF(Kalenteri!B176=1,"su",IF(Kalenteri!B176=2,"ma",IF(Kalenteri!B176=3,"ti",IF(Kalenteri!B176=4,"ke",IF(Kalenteri!B176=5,"to",IF(Kalenteri!B176=6,"pe",IF(Kalenteri!B176=7,"la",)))))))</f>
        <v>ti</v>
      </c>
      <c r="C29" s="18" t="s">
        <v>257</v>
      </c>
      <c r="D29" s="10"/>
      <c r="E29" s="10"/>
      <c r="F29" s="11"/>
      <c r="G29" s="18">
        <v>12</v>
      </c>
      <c r="H29" s="11">
        <v>5</v>
      </c>
      <c r="I29" s="18"/>
      <c r="J29" s="11"/>
      <c r="K29" s="33">
        <f t="shared" si="0"/>
        <v>17</v>
      </c>
      <c r="L29" s="10">
        <v>5</v>
      </c>
      <c r="M29" s="10">
        <v>3</v>
      </c>
      <c r="N29" s="10" t="s">
        <v>236</v>
      </c>
      <c r="O29" s="11"/>
      <c r="P29" s="10"/>
      <c r="Q29" s="11"/>
      <c r="R29" s="30"/>
      <c r="S29" s="30"/>
      <c r="T29" s="33">
        <f t="shared" si="1"/>
        <v>8</v>
      </c>
      <c r="U29" s="10"/>
      <c r="V29" s="10"/>
      <c r="W29" s="10"/>
      <c r="X29" s="11"/>
      <c r="Y29" s="10"/>
      <c r="Z29" s="11"/>
      <c r="AA29" s="30"/>
      <c r="AB29" s="30"/>
      <c r="AC29" s="33">
        <f t="shared" si="2"/>
        <v>0</v>
      </c>
      <c r="AD29" s="12">
        <f t="shared" si="3"/>
        <v>25</v>
      </c>
      <c r="AE29" s="39"/>
      <c r="AF29" s="39"/>
      <c r="AG29" s="39"/>
      <c r="AH29" s="39"/>
      <c r="AI29" s="39"/>
      <c r="AJ29" s="39"/>
    </row>
    <row r="30" spans="1:36" x14ac:dyDescent="0.2">
      <c r="A30" s="5">
        <f>DAY(Kalenteri!A177)</f>
        <v>26</v>
      </c>
      <c r="B30" s="3" t="str">
        <f>IF(Kalenteri!B177=1,"su",IF(Kalenteri!B177=2,"ma",IF(Kalenteri!B177=3,"ti",IF(Kalenteri!B177=4,"ke",IF(Kalenteri!B177=5,"to",IF(Kalenteri!B177=6,"pe",IF(Kalenteri!B177=7,"la",)))))))</f>
        <v>ke</v>
      </c>
      <c r="C30" s="18" t="s">
        <v>257</v>
      </c>
      <c r="D30" s="10"/>
      <c r="E30" s="10"/>
      <c r="F30" s="11"/>
      <c r="G30" s="18">
        <v>14</v>
      </c>
      <c r="H30" s="11">
        <v>1</v>
      </c>
      <c r="I30" s="18"/>
      <c r="J30" s="11"/>
      <c r="K30" s="33">
        <f t="shared" si="0"/>
        <v>15</v>
      </c>
      <c r="L30" s="10"/>
      <c r="M30" s="10"/>
      <c r="N30" s="10"/>
      <c r="O30" s="11"/>
      <c r="P30" s="10"/>
      <c r="Q30" s="11"/>
      <c r="R30" s="30"/>
      <c r="S30" s="30"/>
      <c r="T30" s="33">
        <f t="shared" si="1"/>
        <v>0</v>
      </c>
      <c r="U30" s="10"/>
      <c r="V30" s="10"/>
      <c r="W30" s="10"/>
      <c r="X30" s="11"/>
      <c r="Y30" s="10"/>
      <c r="Z30" s="11"/>
      <c r="AA30" s="30"/>
      <c r="AB30" s="30"/>
      <c r="AC30" s="33">
        <f t="shared" si="2"/>
        <v>0</v>
      </c>
      <c r="AD30" s="12">
        <f t="shared" si="3"/>
        <v>15</v>
      </c>
      <c r="AE30" s="39"/>
      <c r="AF30" s="39"/>
      <c r="AG30" s="39"/>
      <c r="AH30" s="39"/>
      <c r="AI30" s="39"/>
      <c r="AJ30" s="39"/>
    </row>
    <row r="31" spans="1:36" x14ac:dyDescent="0.2">
      <c r="A31" s="5">
        <f>DAY(Kalenteri!A178)</f>
        <v>27</v>
      </c>
      <c r="B31" s="3" t="str">
        <f>IF(Kalenteri!B178=1,"su",IF(Kalenteri!B178=2,"ma",IF(Kalenteri!B178=3,"ti",IF(Kalenteri!B178=4,"ke",IF(Kalenteri!B178=5,"to",IF(Kalenteri!B178=6,"pe",IF(Kalenteri!B178=7,"la",)))))))</f>
        <v>to</v>
      </c>
      <c r="C31" s="18" t="s">
        <v>257</v>
      </c>
      <c r="D31" s="10"/>
      <c r="E31" s="10"/>
      <c r="F31" s="11"/>
      <c r="G31" s="18">
        <v>11</v>
      </c>
      <c r="H31" s="11">
        <v>1</v>
      </c>
      <c r="I31" s="18"/>
      <c r="J31" s="11"/>
      <c r="K31" s="33">
        <f t="shared" si="0"/>
        <v>12</v>
      </c>
      <c r="L31" s="10"/>
      <c r="M31" s="10"/>
      <c r="N31" s="10"/>
      <c r="O31" s="11"/>
      <c r="P31" s="10"/>
      <c r="Q31" s="11"/>
      <c r="R31" s="30"/>
      <c r="S31" s="30"/>
      <c r="T31" s="33">
        <f t="shared" si="1"/>
        <v>0</v>
      </c>
      <c r="U31" s="10"/>
      <c r="V31" s="10"/>
      <c r="W31" s="10"/>
      <c r="X31" s="11"/>
      <c r="Y31" s="10"/>
      <c r="Z31" s="11"/>
      <c r="AA31" s="30"/>
      <c r="AB31" s="30"/>
      <c r="AC31" s="33">
        <f t="shared" si="2"/>
        <v>0</v>
      </c>
      <c r="AD31" s="12">
        <f t="shared" si="3"/>
        <v>12</v>
      </c>
      <c r="AE31" s="39"/>
      <c r="AF31" s="39"/>
      <c r="AG31" s="39"/>
      <c r="AH31" s="39"/>
      <c r="AI31" s="39"/>
      <c r="AJ31" s="39"/>
    </row>
    <row r="32" spans="1:36" x14ac:dyDescent="0.2">
      <c r="A32" s="5">
        <f>DAY(Kalenteri!A179)</f>
        <v>28</v>
      </c>
      <c r="B32" s="3" t="str">
        <f>IF(Kalenteri!B179=1,"su",IF(Kalenteri!B179=2,"ma",IF(Kalenteri!B179=3,"ti",IF(Kalenteri!B179=4,"ke",IF(Kalenteri!B179=5,"to",IF(Kalenteri!B179=6,"pe",IF(Kalenteri!B179=7,"la",)))))))</f>
        <v>pe</v>
      </c>
      <c r="C32" s="18" t="s">
        <v>257</v>
      </c>
      <c r="D32" s="10"/>
      <c r="E32" s="10"/>
      <c r="F32" s="11"/>
      <c r="G32" s="18">
        <v>14</v>
      </c>
      <c r="H32" s="11">
        <v>6</v>
      </c>
      <c r="I32" s="18"/>
      <c r="J32" s="11"/>
      <c r="K32" s="33">
        <f t="shared" si="0"/>
        <v>20</v>
      </c>
      <c r="L32" s="10">
        <v>2</v>
      </c>
      <c r="M32" s="10">
        <v>2</v>
      </c>
      <c r="N32" s="10" t="s">
        <v>236</v>
      </c>
      <c r="O32" s="11"/>
      <c r="P32" s="10">
        <v>5</v>
      </c>
      <c r="Q32" s="11" t="s">
        <v>250</v>
      </c>
      <c r="R32" s="30">
        <v>1</v>
      </c>
      <c r="S32" s="30" t="s">
        <v>251</v>
      </c>
      <c r="T32" s="33">
        <f t="shared" si="1"/>
        <v>10</v>
      </c>
      <c r="U32" s="10"/>
      <c r="V32" s="10"/>
      <c r="W32" s="10"/>
      <c r="X32" s="11"/>
      <c r="Y32" s="10"/>
      <c r="Z32" s="11"/>
      <c r="AA32" s="30"/>
      <c r="AB32" s="30"/>
      <c r="AC32" s="33">
        <f t="shared" si="2"/>
        <v>0</v>
      </c>
      <c r="AD32" s="12">
        <f t="shared" si="3"/>
        <v>30</v>
      </c>
      <c r="AE32" s="39"/>
      <c r="AF32" s="39"/>
      <c r="AG32" s="39"/>
      <c r="AH32" s="39"/>
      <c r="AI32" s="39"/>
      <c r="AJ32" s="39"/>
    </row>
    <row r="33" spans="1:36" x14ac:dyDescent="0.2">
      <c r="A33" s="5">
        <f>DAY(Kalenteri!A180)</f>
        <v>29</v>
      </c>
      <c r="B33" s="3" t="str">
        <f>IF(Kalenteri!B180=1,"su",IF(Kalenteri!B180=2,"ma",IF(Kalenteri!B180=3,"ti",IF(Kalenteri!B180=4,"ke",IF(Kalenteri!B180=5,"to",IF(Kalenteri!B180=6,"pe",IF(Kalenteri!B180=7,"la",)))))))</f>
        <v>la</v>
      </c>
      <c r="C33" s="18" t="s">
        <v>257</v>
      </c>
      <c r="D33" s="10"/>
      <c r="E33" s="10"/>
      <c r="F33" s="11"/>
      <c r="G33" s="18">
        <v>20</v>
      </c>
      <c r="H33" s="11">
        <v>5</v>
      </c>
      <c r="I33" s="18"/>
      <c r="J33" s="11"/>
      <c r="K33" s="33">
        <f t="shared" si="0"/>
        <v>25</v>
      </c>
      <c r="L33" s="10">
        <v>3</v>
      </c>
      <c r="M33" s="10">
        <v>2</v>
      </c>
      <c r="N33" s="10" t="s">
        <v>236</v>
      </c>
      <c r="O33" s="11"/>
      <c r="P33" s="10">
        <v>6</v>
      </c>
      <c r="Q33" s="11" t="s">
        <v>250</v>
      </c>
      <c r="R33" s="30"/>
      <c r="S33" s="30"/>
      <c r="T33" s="33">
        <f t="shared" si="1"/>
        <v>11</v>
      </c>
      <c r="U33" s="10"/>
      <c r="V33" s="10"/>
      <c r="W33" s="10"/>
      <c r="X33" s="11"/>
      <c r="Y33" s="10"/>
      <c r="Z33" s="11"/>
      <c r="AA33" s="30"/>
      <c r="AB33" s="30"/>
      <c r="AC33" s="33">
        <f t="shared" si="2"/>
        <v>0</v>
      </c>
      <c r="AD33" s="12">
        <f t="shared" si="3"/>
        <v>36</v>
      </c>
      <c r="AE33" s="39"/>
      <c r="AF33" s="39"/>
      <c r="AG33" s="39"/>
      <c r="AH33" s="39"/>
      <c r="AI33" s="39"/>
      <c r="AJ33" s="39"/>
    </row>
    <row r="34" spans="1:36" x14ac:dyDescent="0.2">
      <c r="A34" s="5">
        <f>DAY(Kalenteri!A181)</f>
        <v>30</v>
      </c>
      <c r="B34" s="3" t="str">
        <f>IF(Kalenteri!B181=1,"su",IF(Kalenteri!B181=2,"ma",IF(Kalenteri!B181=3,"ti",IF(Kalenteri!B181=4,"ke",IF(Kalenteri!B181=5,"to",IF(Kalenteri!B181=6,"pe",IF(Kalenteri!B181=7,"la",)))))))</f>
        <v>su</v>
      </c>
      <c r="C34" s="18" t="s">
        <v>257</v>
      </c>
      <c r="D34" s="10"/>
      <c r="E34" s="10"/>
      <c r="F34" s="11"/>
      <c r="G34" s="18">
        <v>24</v>
      </c>
      <c r="H34" s="11">
        <v>11</v>
      </c>
      <c r="I34" s="18"/>
      <c r="J34" s="11"/>
      <c r="K34" s="33">
        <f t="shared" si="0"/>
        <v>35</v>
      </c>
      <c r="L34" s="10">
        <v>5</v>
      </c>
      <c r="M34" s="10">
        <v>2</v>
      </c>
      <c r="N34" s="10" t="s">
        <v>236</v>
      </c>
      <c r="O34" s="11"/>
      <c r="P34" s="10">
        <v>2</v>
      </c>
      <c r="Q34" s="11" t="s">
        <v>250</v>
      </c>
      <c r="R34" s="30"/>
      <c r="S34" s="30"/>
      <c r="T34" s="33">
        <f t="shared" si="1"/>
        <v>9</v>
      </c>
      <c r="U34" s="10"/>
      <c r="V34" s="10"/>
      <c r="W34" s="10"/>
      <c r="X34" s="11"/>
      <c r="Y34" s="10"/>
      <c r="Z34" s="11"/>
      <c r="AA34" s="30"/>
      <c r="AB34" s="30"/>
      <c r="AC34" s="33">
        <f t="shared" si="2"/>
        <v>0</v>
      </c>
      <c r="AD34" s="12">
        <f t="shared" si="3"/>
        <v>44</v>
      </c>
      <c r="AE34" s="39"/>
      <c r="AF34" s="39"/>
      <c r="AG34" s="39"/>
      <c r="AH34" s="39"/>
      <c r="AI34" s="39"/>
      <c r="AJ34" s="39"/>
    </row>
    <row r="35" spans="1:36" x14ac:dyDescent="0.2">
      <c r="A35" s="5"/>
      <c r="B35" s="3"/>
      <c r="C35" s="79"/>
      <c r="D35" s="80"/>
      <c r="E35" s="80"/>
      <c r="F35" s="81"/>
      <c r="G35" s="79"/>
      <c r="H35" s="81"/>
      <c r="I35" s="79"/>
      <c r="J35" s="81"/>
      <c r="K35" s="34">
        <f t="shared" si="0"/>
        <v>0</v>
      </c>
      <c r="L35" s="20"/>
      <c r="M35" s="20"/>
      <c r="N35" s="20"/>
      <c r="O35" s="21"/>
      <c r="P35" s="20"/>
      <c r="Q35" s="21"/>
      <c r="R35" s="31"/>
      <c r="S35" s="31"/>
      <c r="T35" s="34">
        <f t="shared" si="1"/>
        <v>0</v>
      </c>
      <c r="U35" s="20"/>
      <c r="V35" s="20"/>
      <c r="W35" s="20"/>
      <c r="X35" s="21"/>
      <c r="Y35" s="20"/>
      <c r="Z35" s="21"/>
      <c r="AA35" s="31"/>
      <c r="AB35" s="31"/>
      <c r="AC35" s="34">
        <f t="shared" si="2"/>
        <v>0</v>
      </c>
      <c r="AD35" s="19">
        <f t="shared" si="3"/>
        <v>0</v>
      </c>
      <c r="AE35" s="39"/>
      <c r="AF35" s="39"/>
      <c r="AG35" s="39"/>
      <c r="AH35" s="39"/>
      <c r="AI35" s="39"/>
      <c r="AJ35" s="39"/>
    </row>
    <row r="36" spans="1:36" x14ac:dyDescent="0.2">
      <c r="A36" s="6"/>
      <c r="B36"/>
      <c r="C36" s="82">
        <f t="shared" ref="C36:J36" si="4">SUM(C5:C35)</f>
        <v>0</v>
      </c>
      <c r="D36" s="83">
        <f t="shared" si="4"/>
        <v>0</v>
      </c>
      <c r="E36" s="83">
        <f t="shared" si="4"/>
        <v>0</v>
      </c>
      <c r="F36" s="84">
        <f t="shared" si="4"/>
        <v>0</v>
      </c>
      <c r="G36" s="83">
        <f t="shared" si="4"/>
        <v>300</v>
      </c>
      <c r="H36" s="84">
        <f t="shared" si="4"/>
        <v>81</v>
      </c>
      <c r="I36" s="83">
        <f t="shared" si="4"/>
        <v>10</v>
      </c>
      <c r="J36" s="84">
        <f t="shared" si="4"/>
        <v>15</v>
      </c>
      <c r="K36" s="85">
        <f t="shared" si="0"/>
        <v>406</v>
      </c>
      <c r="L36" s="83">
        <f t="shared" ref="L36:S36" si="5">SUM(L5:L35)</f>
        <v>43</v>
      </c>
      <c r="M36" s="83">
        <f t="shared" si="5"/>
        <v>25</v>
      </c>
      <c r="N36" s="83">
        <f t="shared" si="5"/>
        <v>0</v>
      </c>
      <c r="O36" s="84">
        <f t="shared" si="5"/>
        <v>0</v>
      </c>
      <c r="P36" s="83">
        <f t="shared" si="5"/>
        <v>15</v>
      </c>
      <c r="Q36" s="84">
        <f t="shared" si="5"/>
        <v>3</v>
      </c>
      <c r="R36" s="86">
        <f t="shared" si="5"/>
        <v>4</v>
      </c>
      <c r="S36" s="86">
        <f t="shared" si="5"/>
        <v>0</v>
      </c>
      <c r="T36" s="85">
        <f t="shared" si="1"/>
        <v>90</v>
      </c>
      <c r="U36" s="83">
        <f t="shared" ref="U36:AB36" si="6">SUM(U5:U35)</f>
        <v>0</v>
      </c>
      <c r="V36" s="83">
        <f t="shared" si="6"/>
        <v>0</v>
      </c>
      <c r="W36" s="83">
        <f t="shared" si="6"/>
        <v>0</v>
      </c>
      <c r="X36" s="84">
        <f t="shared" si="6"/>
        <v>0</v>
      </c>
      <c r="Y36" s="83">
        <f t="shared" si="6"/>
        <v>0</v>
      </c>
      <c r="Z36" s="84">
        <f t="shared" si="6"/>
        <v>0</v>
      </c>
      <c r="AA36" s="86">
        <f t="shared" si="6"/>
        <v>0</v>
      </c>
      <c r="AB36" s="86">
        <f t="shared" si="6"/>
        <v>0</v>
      </c>
      <c r="AC36" s="85">
        <f t="shared" si="2"/>
        <v>0</v>
      </c>
      <c r="AD36" s="87">
        <f t="shared" si="3"/>
        <v>496</v>
      </c>
      <c r="AE36" s="66"/>
      <c r="AF36" s="66"/>
      <c r="AG36" s="66"/>
      <c r="AH36" s="66"/>
      <c r="AI36" s="66"/>
      <c r="AJ36" s="66"/>
    </row>
    <row r="37" spans="1:36" ht="8.1" customHeight="1" thickBot="1" x14ac:dyDescent="0.25">
      <c r="A37" s="6"/>
      <c r="B37"/>
      <c r="C37" s="2"/>
      <c r="D37" s="5"/>
      <c r="E37" s="5"/>
      <c r="F37" s="2"/>
      <c r="G37" s="2"/>
      <c r="H37" s="2"/>
      <c r="I37" s="5"/>
      <c r="J37" s="2"/>
      <c r="K37" s="2"/>
      <c r="L37" s="5"/>
      <c r="M37" s="2"/>
      <c r="N37" s="5"/>
      <c r="O37" s="5"/>
      <c r="P37" s="2"/>
      <c r="Q37" s="5"/>
      <c r="R37" s="42"/>
      <c r="S37" s="42"/>
      <c r="T37" s="2"/>
      <c r="U37" s="2"/>
      <c r="V37" s="2"/>
      <c r="W37" s="2"/>
      <c r="X37" s="5"/>
      <c r="Y37" s="2"/>
      <c r="Z37" s="2"/>
      <c r="AA37" s="39"/>
      <c r="AB37" s="39"/>
      <c r="AC37" s="5"/>
      <c r="AD37" s="40"/>
      <c r="AE37" s="40"/>
      <c r="AF37" s="40"/>
      <c r="AG37" s="40"/>
      <c r="AH37" s="40"/>
      <c r="AI37" s="40"/>
      <c r="AJ37" s="40"/>
    </row>
    <row r="38" spans="1:36" ht="24.95" customHeight="1" thickTop="1" x14ac:dyDescent="0.3">
      <c r="A38" s="6"/>
      <c r="B38"/>
      <c r="C38" s="171" t="str">
        <f>Kalenteri!E38</f>
        <v>Lippujen hinnat:</v>
      </c>
      <c r="D38" s="5"/>
      <c r="E38" s="5"/>
      <c r="F38" s="2"/>
      <c r="G38" s="2"/>
      <c r="H38" s="2"/>
      <c r="I38" s="5"/>
      <c r="J38" s="2"/>
      <c r="K38" s="2"/>
      <c r="L38" s="5"/>
      <c r="M38" s="2"/>
      <c r="N38" s="5"/>
      <c r="O38" s="5"/>
      <c r="P38" s="2"/>
      <c r="Q38"/>
      <c r="R38"/>
      <c r="S38"/>
      <c r="T38"/>
      <c r="U38" s="49" t="s">
        <v>40</v>
      </c>
      <c r="V38" s="50"/>
      <c r="W38" s="43"/>
      <c r="X38" s="44"/>
      <c r="Y38" s="43"/>
      <c r="Z38" s="43"/>
      <c r="AA38" s="44"/>
      <c r="AB38" s="44"/>
      <c r="AC38" s="47"/>
      <c r="AD38" s="45">
        <f>AD36</f>
        <v>496</v>
      </c>
      <c r="AE38" s="41"/>
      <c r="AF38" s="41"/>
      <c r="AG38" s="41"/>
      <c r="AH38" s="41"/>
      <c r="AI38" s="41"/>
      <c r="AJ38" s="41"/>
    </row>
    <row r="39" spans="1:36" ht="24.95" customHeight="1" x14ac:dyDescent="0.3">
      <c r="A39" s="6"/>
      <c r="B39"/>
      <c r="C39" s="193" t="str">
        <f>Kalenteri!E39</f>
        <v>Mustikkamaan kautta: 1.9.-30.4. aik. 10 €, lapset 5 €, kimppalippu 30 €    1.5.-30.8. aik. 12 €, lapset 6 €, kimppalippu 36 €</v>
      </c>
      <c r="D39" s="89"/>
      <c r="E39" s="89"/>
      <c r="F39" s="90"/>
      <c r="G39" s="102"/>
      <c r="H39" s="174"/>
      <c r="I39" s="89"/>
      <c r="J39" s="90"/>
      <c r="K39" s="90"/>
      <c r="L39" s="89"/>
      <c r="M39" s="90"/>
      <c r="N39" s="89"/>
      <c r="O39" s="89"/>
      <c r="P39" s="89"/>
      <c r="Q39" s="104"/>
      <c r="R39" s="103"/>
      <c r="S39"/>
      <c r="T39"/>
      <c r="U39" s="62" t="s">
        <v>13</v>
      </c>
      <c r="V39" s="52"/>
      <c r="W39" s="53"/>
      <c r="X39" s="54"/>
      <c r="Y39" s="53"/>
      <c r="Z39" s="53"/>
      <c r="AA39" s="54"/>
      <c r="AB39" s="54"/>
      <c r="AC39" s="55"/>
      <c r="AD39" s="56">
        <f>AD36-Edellisvuosi!G8</f>
        <v>-98</v>
      </c>
      <c r="AE39" s="67"/>
      <c r="AF39" s="67"/>
      <c r="AG39" s="67"/>
      <c r="AH39" s="67"/>
      <c r="AI39" s="67"/>
      <c r="AJ39" s="67"/>
    </row>
    <row r="40" spans="1:36" ht="24.95" customHeight="1" x14ac:dyDescent="0.3">
      <c r="A40" s="6"/>
      <c r="B40" s="6"/>
      <c r="C40" s="194" t="str">
        <f>Kalenteri!E40</f>
        <v xml:space="preserve">                                    Vuosikortti:     aik. 50 €, lapset 20 €, perhekortti 100 €</v>
      </c>
      <c r="D40" s="39"/>
      <c r="E40" s="39"/>
      <c r="F40" s="42"/>
      <c r="G40" s="65"/>
      <c r="H40" s="176"/>
      <c r="I40" s="39"/>
      <c r="J40" s="42"/>
      <c r="K40" s="42"/>
      <c r="L40" s="39"/>
      <c r="M40" s="42"/>
      <c r="N40" s="39"/>
      <c r="O40" s="39"/>
      <c r="P40" s="39"/>
      <c r="Q40" s="23"/>
      <c r="R40" s="97"/>
      <c r="S40"/>
      <c r="T40"/>
      <c r="U40" s="63" t="s">
        <v>41</v>
      </c>
      <c r="V40" s="37"/>
      <c r="W40" s="51"/>
      <c r="X40" s="41"/>
      <c r="Y40" s="51"/>
      <c r="Z40" s="41"/>
      <c r="AA40" s="41"/>
      <c r="AB40" s="41"/>
      <c r="AC40" s="48"/>
      <c r="AD40" s="46">
        <f>AD36+'K1'!AD36+'K2'!AD36+'K3'!AD36+'K4'!AD36+'K5'!AD36</f>
        <v>3605</v>
      </c>
      <c r="AE40" s="41"/>
      <c r="AF40" s="41"/>
      <c r="AG40" s="41"/>
      <c r="AH40" s="41"/>
      <c r="AI40" s="41"/>
      <c r="AJ40" s="41"/>
    </row>
    <row r="41" spans="1:36" ht="24.95" customHeight="1" thickBot="1" x14ac:dyDescent="0.35">
      <c r="A41" s="4"/>
      <c r="B41" s="4"/>
      <c r="C41" s="195" t="str">
        <f>Kalenteri!E41</f>
        <v>Vesibusseilla:             1.9.-30.4. aik. 16 €, lapset 8 €, kimppalippu 47 €    1.5.-31.8. aik. 18 €, lapset 9 €, kimppalippu 53 €</v>
      </c>
      <c r="D41" s="93"/>
      <c r="E41" s="93"/>
      <c r="F41" s="94"/>
      <c r="G41" s="94"/>
      <c r="H41" s="175"/>
      <c r="I41" s="93"/>
      <c r="J41" s="96"/>
      <c r="K41" s="96"/>
      <c r="L41" s="93"/>
      <c r="M41" s="95"/>
      <c r="N41" s="95"/>
      <c r="O41" s="93"/>
      <c r="P41" s="93"/>
      <c r="Q41" s="95"/>
      <c r="R41" s="98"/>
      <c r="S41"/>
      <c r="T41"/>
      <c r="U41" s="64" t="s">
        <v>13</v>
      </c>
      <c r="V41" s="57"/>
      <c r="W41" s="58"/>
      <c r="X41" s="59"/>
      <c r="Y41" s="59"/>
      <c r="Z41" s="59"/>
      <c r="AA41" s="59"/>
      <c r="AB41" s="59"/>
      <c r="AC41" s="60"/>
      <c r="AD41" s="61">
        <f>AD40-Edellisvuosi!B8-Edellisvuosi!C8-Edellisvuosi!D8-Edellisvuosi!E8-Edellisvuosi!F8-Edellisvuosi!G8</f>
        <v>-2658</v>
      </c>
      <c r="AE41" s="68"/>
      <c r="AF41" s="68"/>
      <c r="AG41" s="68"/>
      <c r="AH41" s="68"/>
      <c r="AI41" s="68"/>
      <c r="AJ41" s="68"/>
    </row>
    <row r="42" spans="1:36" ht="13.5" thickTop="1" x14ac:dyDescent="0.2"/>
  </sheetData>
  <sheetProtection password="C4AC" sheet="1" objects="1" scenarios="1"/>
  <phoneticPr fontId="4" type="noConversion"/>
  <pageMargins left="0" right="0" top="0.27559055118110237" bottom="0" header="0" footer="0"/>
  <pageSetup paperSize="9" scale="75" fitToHeight="0" orientation="landscape" horizontalDpi="4294967292" verticalDpi="4294967292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3969" r:id="rId4" name="Button 1">
              <controlPr defaultSize="0" print="0" autoFill="0" autoLine="0" autoPict="0" macro="[1]!TAMMI">
                <anchor moveWithCells="1" sizeWithCells="1">
                  <from>
                    <xdr:col>35</xdr:col>
                    <xdr:colOff>0</xdr:colOff>
                    <xdr:row>3</xdr:row>
                    <xdr:rowOff>9525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970" r:id="rId5" name="Button 2">
              <controlPr defaultSize="0" print="0" autoFill="0" autoLine="0" autoPict="0" macro="[1]KTMAKRO!$A$1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971" r:id="rId6" name="Button 3">
              <controlPr defaultSize="0" print="0" autoFill="0" autoLine="0" autoPict="0" macro="[1]!MAALIS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972" r:id="rId7" name="Button 4">
              <controlPr defaultSize="0" print="0" autoFill="0" autoLine="0" autoPict="0" macro="[1]KTMAKRO!$D$1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973" r:id="rId8" name="Button 5">
              <controlPr defaultSize="0" print="0" autoFill="0" autoLine="0" autoPict="0" macro="[1]KTMAKRO!$E$1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974" r:id="rId9" name="Button 6">
              <controlPr defaultSize="0" print="0" autoFill="0" autoLine="0" autoPict="0" macro="[1]!KESÄ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975" r:id="rId10" name="Button 7">
              <controlPr defaultSize="0" print="0" autoFill="0" autoLine="0" autoPict="0" macro="[1]!HELMI">
                <anchor moveWithCells="1" sizeWithCells="1">
                  <from>
                    <xdr:col>35</xdr:col>
                    <xdr:colOff>0</xdr:colOff>
                    <xdr:row>3</xdr:row>
                    <xdr:rowOff>9525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976" r:id="rId11" name="Button 8">
              <controlPr defaultSize="0" print="0" autoFill="0" autoLine="0" autoPict="0" macro="[1]KTMAKRO!$G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977" r:id="rId12" name="Button 9">
              <controlPr defaultSize="0" print="0" autoFill="0" autoLine="0" autoPict="0" macro="[1]KTMAKRO!$I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978" r:id="rId13" name="Button 10">
              <controlPr defaultSize="0" print="0" autoFill="0" autoLine="0" autoPict="0" macro="[1]KTMAKRO!$J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979" r:id="rId14" name="Button 11">
              <controlPr defaultSize="0" print="0" autoFill="0" autoLine="0" autoPict="0" macro="[1]KTMAKRO!$K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980" r:id="rId15" name="Button 12">
              <controlPr defaultSize="0" print="0" autoFill="0" autoLine="0" autoPict="0" macro="[1]KTMAKRO!$L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981" r:id="rId16" name="Button 13">
              <controlPr defaultSize="0" print="0" autoFill="0" autoLine="0" autoPict="0" macro="[1]KTMAKRO!$H$1">
                <anchor moveWithCells="1" sizeWithCells="1">
                  <from>
                    <xdr:col>35</xdr:col>
                    <xdr:colOff>0</xdr:colOff>
                    <xdr:row>5</xdr:row>
                    <xdr:rowOff>0</xdr:rowOff>
                  </from>
                  <to>
                    <xdr:col>35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982" r:id="rId17" name="Button 14">
              <controlPr defaultSize="0" print="0" autoFill="0" autoLine="0" autoPict="0" macro="[1]!Yhteenveto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5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983" r:id="rId18" name="Button 15">
              <controlPr defaultSize="0" print="0" autoFill="0" autoLine="0" autoPict="0" macro="[1]!GRAFIIKKA1">
                <anchor moveWithCells="1" sizeWithCells="1">
                  <from>
                    <xdr:col>35</xdr:col>
                    <xdr:colOff>0</xdr:colOff>
                    <xdr:row>8</xdr:row>
                    <xdr:rowOff>142875</xdr:rowOff>
                  </from>
                  <to>
                    <xdr:col>35</xdr:col>
                    <xdr:colOff>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984" r:id="rId19" name="Button 16">
              <controlPr defaultSize="0" print="0" autoFill="0" autoLine="0" autoPict="0" macro="[1]!Grafiikka2">
                <anchor moveWithCells="1" sizeWithCells="1">
                  <from>
                    <xdr:col>35</xdr:col>
                    <xdr:colOff>0</xdr:colOff>
                    <xdr:row>8</xdr:row>
                    <xdr:rowOff>152400</xdr:rowOff>
                  </from>
                  <to>
                    <xdr:col>35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985" r:id="rId20" name="Button 17">
              <controlPr defaultSize="0" print="0" autoFill="0" autoLine="0" autoPict="0" macro="[1]!Grafiikka4">
                <anchor moveWithCells="1" sizeWithCells="1">
                  <from>
                    <xdr:col>35</xdr:col>
                    <xdr:colOff>0</xdr:colOff>
                    <xdr:row>8</xdr:row>
                    <xdr:rowOff>142875</xdr:rowOff>
                  </from>
                  <to>
                    <xdr:col>35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986" r:id="rId21" name="Button 18">
              <controlPr defaultSize="0" print="0" autoFill="0" autoLine="0" autoPict="0" macro="[1]!Grafiikka4">
                <anchor moveWithCells="1" sizeWithCells="1">
                  <from>
                    <xdr:col>35</xdr:col>
                    <xdr:colOff>0</xdr:colOff>
                    <xdr:row>8</xdr:row>
                    <xdr:rowOff>152400</xdr:rowOff>
                  </from>
                  <to>
                    <xdr:col>35</xdr:col>
                    <xdr:colOff>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987" r:id="rId22" name="Button 19">
              <controlPr defaultSize="0" print="0" autoFill="0" autoLine="0" autoPict="0" macro="[1]!Grafiikka5">
                <anchor moveWithCells="1" sizeWithCells="1">
                  <from>
                    <xdr:col>35</xdr:col>
                    <xdr:colOff>0</xdr:colOff>
                    <xdr:row>8</xdr:row>
                    <xdr:rowOff>152400</xdr:rowOff>
                  </from>
                  <to>
                    <xdr:col>35</xdr:col>
                    <xdr:colOff>0</xdr:colOff>
                    <xdr:row>12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988" r:id="rId23" name="Button 20">
              <controlPr defaultSize="0" print="0" autoFill="0" autoLine="0" autoPict="0" macro="[1]!Perusikkuna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12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/>
  <dimension ref="A1:AK42"/>
  <sheetViews>
    <sheetView showGridLines="0" zoomScale="80" zoomScaleNormal="80" workbookViewId="0"/>
  </sheetViews>
  <sheetFormatPr defaultColWidth="9.75" defaultRowHeight="12.75" x14ac:dyDescent="0.2"/>
  <cols>
    <col min="1" max="1" width="3.75" style="1" customWidth="1"/>
    <col min="2" max="2" width="2.75" style="1" customWidth="1"/>
    <col min="3" max="4" width="6.125" style="1" customWidth="1"/>
    <col min="5" max="5" width="4" style="1" customWidth="1"/>
    <col min="6" max="6" width="4.5" style="1" customWidth="1"/>
    <col min="7" max="10" width="6.125" style="1" customWidth="1"/>
    <col min="11" max="11" width="5.875" style="1" customWidth="1"/>
    <col min="12" max="13" width="6.125" style="1" customWidth="1"/>
    <col min="14" max="14" width="5.25" style="1" customWidth="1"/>
    <col min="15" max="15" width="4.5" style="1" customWidth="1"/>
    <col min="16" max="16" width="6.125" style="1" customWidth="1"/>
    <col min="17" max="17" width="5.5" style="1" customWidth="1"/>
    <col min="18" max="19" width="6.125" style="1" customWidth="1"/>
    <col min="20" max="20" width="5.875" style="1" customWidth="1"/>
    <col min="21" max="22" width="6.125" style="1" customWidth="1"/>
    <col min="23" max="23" width="4.375" style="1" customWidth="1"/>
    <col min="24" max="24" width="4.25" style="1" customWidth="1"/>
    <col min="25" max="29" width="6.125" style="1" customWidth="1"/>
    <col min="30" max="36" width="15.625" style="1" customWidth="1"/>
  </cols>
  <sheetData>
    <row r="1" spans="1:37" ht="30" customHeight="1" x14ac:dyDescent="0.35">
      <c r="A1" s="22"/>
      <c r="B1" s="4"/>
      <c r="C1" s="105" t="s">
        <v>15</v>
      </c>
      <c r="D1" s="106"/>
      <c r="E1" s="106"/>
      <c r="F1" s="106"/>
      <c r="G1" s="106"/>
      <c r="H1" s="106"/>
      <c r="I1" s="106"/>
      <c r="J1" s="106"/>
      <c r="K1" s="106"/>
      <c r="L1" s="105" t="str">
        <f>Kalenteri!$H$1</f>
        <v>KÄVIJÄTILASTO 2013</v>
      </c>
      <c r="M1" s="107"/>
      <c r="N1" s="107"/>
      <c r="O1" s="107"/>
      <c r="P1" s="105"/>
      <c r="Q1" s="106"/>
      <c r="R1" s="105" t="s">
        <v>21</v>
      </c>
      <c r="S1" s="108"/>
      <c r="T1" s="106"/>
      <c r="U1" s="109"/>
      <c r="V1" s="105" t="s">
        <v>20</v>
      </c>
      <c r="W1" s="109"/>
      <c r="X1" s="106"/>
      <c r="Y1" s="106"/>
      <c r="Z1" s="106"/>
      <c r="AA1" s="106"/>
      <c r="AB1" s="106"/>
      <c r="AC1" s="106"/>
      <c r="AD1" s="110"/>
      <c r="AE1" s="4"/>
      <c r="AF1" s="4"/>
      <c r="AG1" s="4"/>
      <c r="AH1" s="4"/>
      <c r="AI1" s="4"/>
      <c r="AJ1" s="4"/>
    </row>
    <row r="2" spans="1:37" ht="30" customHeight="1" x14ac:dyDescent="0.3">
      <c r="A2" s="3"/>
      <c r="B2" s="4"/>
      <c r="C2" s="72"/>
      <c r="D2" s="73"/>
      <c r="E2" s="74" t="s">
        <v>1</v>
      </c>
      <c r="F2" s="75"/>
      <c r="G2" s="75"/>
      <c r="H2" s="75"/>
      <c r="I2" s="75"/>
      <c r="J2" s="75"/>
      <c r="K2" s="76"/>
      <c r="L2" s="72"/>
      <c r="M2" s="77"/>
      <c r="N2" s="73"/>
      <c r="O2" s="74" t="s">
        <v>2</v>
      </c>
      <c r="P2" s="75"/>
      <c r="Q2" s="75"/>
      <c r="R2" s="75"/>
      <c r="S2" s="75"/>
      <c r="T2" s="76"/>
      <c r="U2" s="72"/>
      <c r="V2" s="75"/>
      <c r="W2" s="73"/>
      <c r="X2" s="74" t="s">
        <v>3</v>
      </c>
      <c r="Y2" s="75"/>
      <c r="Z2" s="75"/>
      <c r="AA2" s="75"/>
      <c r="AB2" s="75"/>
      <c r="AC2" s="76"/>
      <c r="AD2" s="13"/>
      <c r="AE2" s="35"/>
      <c r="AF2" s="69"/>
      <c r="AG2" s="69"/>
      <c r="AH2" s="69"/>
      <c r="AI2" s="69"/>
      <c r="AJ2" s="69"/>
    </row>
    <row r="3" spans="1:37" x14ac:dyDescent="0.2">
      <c r="A3" s="4"/>
      <c r="B3" s="4"/>
      <c r="C3" s="24" t="s">
        <v>4</v>
      </c>
      <c r="D3" s="25"/>
      <c r="E3" s="25"/>
      <c r="F3" s="26"/>
      <c r="G3" s="24" t="s">
        <v>5</v>
      </c>
      <c r="H3" s="26"/>
      <c r="I3" s="25" t="s">
        <v>6</v>
      </c>
      <c r="J3" s="25"/>
      <c r="K3" s="27"/>
      <c r="L3" s="24" t="s">
        <v>4</v>
      </c>
      <c r="M3" s="25"/>
      <c r="N3" s="25"/>
      <c r="O3" s="26"/>
      <c r="P3" s="24" t="s">
        <v>5</v>
      </c>
      <c r="Q3" s="26"/>
      <c r="R3" s="25" t="s">
        <v>6</v>
      </c>
      <c r="S3" s="25"/>
      <c r="T3" s="27"/>
      <c r="U3" s="24" t="s">
        <v>4</v>
      </c>
      <c r="V3" s="25"/>
      <c r="W3" s="25"/>
      <c r="X3" s="26"/>
      <c r="Y3" s="24" t="s">
        <v>5</v>
      </c>
      <c r="Z3" s="26"/>
      <c r="AA3" s="25" t="s">
        <v>6</v>
      </c>
      <c r="AB3" s="25"/>
      <c r="AC3" s="27"/>
      <c r="AD3" s="36" t="s">
        <v>7</v>
      </c>
      <c r="AE3" s="38"/>
      <c r="AF3" s="70"/>
      <c r="AG3" s="70"/>
      <c r="AH3" s="70"/>
      <c r="AI3" s="70"/>
      <c r="AJ3"/>
    </row>
    <row r="4" spans="1:37" x14ac:dyDescent="0.2">
      <c r="A4" s="6"/>
      <c r="B4" s="4"/>
      <c r="C4" s="7" t="s">
        <v>8</v>
      </c>
      <c r="D4" s="8" t="s">
        <v>9</v>
      </c>
      <c r="E4" s="8" t="s">
        <v>10</v>
      </c>
      <c r="F4" s="9" t="s">
        <v>11</v>
      </c>
      <c r="G4" s="7" t="s">
        <v>8</v>
      </c>
      <c r="H4" s="9" t="s">
        <v>9</v>
      </c>
      <c r="I4" s="8" t="s">
        <v>8</v>
      </c>
      <c r="J4" s="8" t="s">
        <v>9</v>
      </c>
      <c r="K4" s="14" t="s">
        <v>0</v>
      </c>
      <c r="L4" s="7" t="s">
        <v>8</v>
      </c>
      <c r="M4" s="8" t="s">
        <v>9</v>
      </c>
      <c r="N4" s="8" t="s">
        <v>10</v>
      </c>
      <c r="O4" s="9" t="s">
        <v>11</v>
      </c>
      <c r="P4" s="7" t="s">
        <v>8</v>
      </c>
      <c r="Q4" s="9" t="s">
        <v>9</v>
      </c>
      <c r="R4" s="8" t="s">
        <v>8</v>
      </c>
      <c r="S4" s="8" t="s">
        <v>9</v>
      </c>
      <c r="T4" s="14" t="s">
        <v>0</v>
      </c>
      <c r="U4" s="7" t="s">
        <v>8</v>
      </c>
      <c r="V4" s="8" t="s">
        <v>9</v>
      </c>
      <c r="W4" s="8" t="s">
        <v>10</v>
      </c>
      <c r="X4" s="9" t="s">
        <v>11</v>
      </c>
      <c r="Y4" s="7" t="s">
        <v>8</v>
      </c>
      <c r="Z4" s="9" t="s">
        <v>9</v>
      </c>
      <c r="AA4" s="8" t="s">
        <v>8</v>
      </c>
      <c r="AB4" s="8" t="s">
        <v>9</v>
      </c>
      <c r="AC4" s="14" t="s">
        <v>0</v>
      </c>
      <c r="AD4" s="28"/>
      <c r="AE4" s="23"/>
      <c r="AF4" s="23"/>
      <c r="AG4" s="23"/>
      <c r="AH4" s="23"/>
      <c r="AI4" s="23"/>
      <c r="AJ4" s="23"/>
    </row>
    <row r="5" spans="1:37" x14ac:dyDescent="0.2">
      <c r="A5" s="5">
        <f>DAY(Kalenteri!A1)</f>
        <v>1</v>
      </c>
      <c r="B5" s="3" t="str">
        <f>IF(Kalenteri!B1=1,"su",IF(Kalenteri!B1=2,"ma",IF(Kalenteri!B1=3,"ti",IF(Kalenteri!B1=4,"ke",IF(Kalenteri!B1=5,"to",IF(Kalenteri!B1=6,"pe",IF(Kalenteri!B1=7,"la",)))))))</f>
        <v>ti</v>
      </c>
      <c r="C5" s="78">
        <v>132</v>
      </c>
      <c r="D5" s="15">
        <v>26</v>
      </c>
      <c r="E5" s="15">
        <v>6</v>
      </c>
      <c r="F5" s="16">
        <v>2</v>
      </c>
      <c r="G5" s="78"/>
      <c r="H5" s="16">
        <v>35</v>
      </c>
      <c r="I5" s="78"/>
      <c r="J5" s="16"/>
      <c r="K5" s="32">
        <f t="shared" ref="K5:K36" si="0">SUM(C5:J5)</f>
        <v>201</v>
      </c>
      <c r="L5" s="15"/>
      <c r="M5" s="15"/>
      <c r="N5" s="15"/>
      <c r="O5" s="16"/>
      <c r="P5" s="15"/>
      <c r="Q5" s="16"/>
      <c r="R5" s="29"/>
      <c r="S5" s="29"/>
      <c r="T5" s="32">
        <f t="shared" ref="T5:T36" si="1">SUM(L5:S5)</f>
        <v>0</v>
      </c>
      <c r="U5" s="15"/>
      <c r="V5" s="15"/>
      <c r="W5" s="15"/>
      <c r="X5" s="16"/>
      <c r="Y5" s="15"/>
      <c r="Z5" s="16"/>
      <c r="AA5" s="29"/>
      <c r="AB5" s="29"/>
      <c r="AC5" s="32">
        <f t="shared" ref="AC5:AC36" si="2">SUM(U5:AB5)</f>
        <v>0</v>
      </c>
      <c r="AD5" s="17">
        <f t="shared" ref="AD5:AD36" si="3">SUM(K5,T5,AC5)</f>
        <v>201</v>
      </c>
      <c r="AE5" s="39"/>
      <c r="AF5" s="39"/>
      <c r="AG5" s="39"/>
      <c r="AH5" s="39"/>
      <c r="AI5" s="39"/>
      <c r="AJ5" s="23"/>
    </row>
    <row r="6" spans="1:37" x14ac:dyDescent="0.2">
      <c r="A6" s="5">
        <f>DAY(Kalenteri!A2)</f>
        <v>2</v>
      </c>
      <c r="B6" s="3" t="str">
        <f>IF(Kalenteri!B2=1,"su",IF(Kalenteri!B2=2,"ma",IF(Kalenteri!B2=3,"ti",IF(Kalenteri!B2=4,"ke",IF(Kalenteri!B2=5,"to",IF(Kalenteri!B2=6,"pe",IF(Kalenteri!B2=7,"la",)))))))</f>
        <v>ke</v>
      </c>
      <c r="C6" s="18">
        <v>189</v>
      </c>
      <c r="D6" s="10">
        <v>46</v>
      </c>
      <c r="E6" s="10">
        <v>2</v>
      </c>
      <c r="F6" s="11">
        <v>10</v>
      </c>
      <c r="G6" s="18"/>
      <c r="H6" s="11">
        <v>37</v>
      </c>
      <c r="I6" s="18"/>
      <c r="J6" s="11"/>
      <c r="K6" s="33">
        <f t="shared" si="0"/>
        <v>284</v>
      </c>
      <c r="L6" s="10"/>
      <c r="M6" s="10"/>
      <c r="N6" s="10"/>
      <c r="O6" s="11"/>
      <c r="P6" s="10"/>
      <c r="Q6" s="11"/>
      <c r="R6" s="30"/>
      <c r="S6" s="30"/>
      <c r="T6" s="33">
        <f t="shared" si="1"/>
        <v>0</v>
      </c>
      <c r="U6" s="10"/>
      <c r="V6" s="10"/>
      <c r="W6" s="10"/>
      <c r="X6" s="11"/>
      <c r="Y6" s="10"/>
      <c r="Z6" s="11"/>
      <c r="AA6" s="30"/>
      <c r="AB6" s="30"/>
      <c r="AC6" s="33">
        <f t="shared" si="2"/>
        <v>0</v>
      </c>
      <c r="AD6" s="12">
        <f t="shared" si="3"/>
        <v>284</v>
      </c>
      <c r="AE6" s="39"/>
      <c r="AF6" s="39"/>
      <c r="AG6" s="39"/>
      <c r="AH6" s="39"/>
      <c r="AI6" s="39"/>
      <c r="AJ6" s="23"/>
    </row>
    <row r="7" spans="1:37" x14ac:dyDescent="0.2">
      <c r="A7" s="5">
        <f>DAY(Kalenteri!A3)</f>
        <v>3</v>
      </c>
      <c r="B7" s="3" t="str">
        <f>IF(Kalenteri!B3=1,"su",IF(Kalenteri!B3=2,"ma",IF(Kalenteri!B3=3,"ti",IF(Kalenteri!B3=4,"ke",IF(Kalenteri!B3=5,"to",IF(Kalenteri!B3=6,"pe",IF(Kalenteri!B3=7,"la",)))))))</f>
        <v>to</v>
      </c>
      <c r="C7" s="18">
        <v>413</v>
      </c>
      <c r="D7" s="10">
        <v>123</v>
      </c>
      <c r="E7" s="10">
        <v>16</v>
      </c>
      <c r="F7" s="11">
        <v>12</v>
      </c>
      <c r="G7" s="18">
        <v>2</v>
      </c>
      <c r="H7" s="11">
        <v>102</v>
      </c>
      <c r="I7" s="18">
        <v>2</v>
      </c>
      <c r="J7" s="11">
        <v>3</v>
      </c>
      <c r="K7" s="33">
        <f t="shared" si="0"/>
        <v>673</v>
      </c>
      <c r="L7" s="10"/>
      <c r="M7" s="10"/>
      <c r="N7" s="10"/>
      <c r="O7" s="11"/>
      <c r="P7" s="10"/>
      <c r="Q7" s="11"/>
      <c r="R7" s="30"/>
      <c r="S7" s="30"/>
      <c r="T7" s="33">
        <f t="shared" si="1"/>
        <v>0</v>
      </c>
      <c r="U7" s="10"/>
      <c r="V7" s="10"/>
      <c r="W7" s="10"/>
      <c r="X7" s="11"/>
      <c r="Y7" s="10"/>
      <c r="Z7" s="11"/>
      <c r="AA7" s="30"/>
      <c r="AB7" s="30"/>
      <c r="AC7" s="33">
        <f t="shared" si="2"/>
        <v>0</v>
      </c>
      <c r="AD7" s="12">
        <f t="shared" si="3"/>
        <v>673</v>
      </c>
      <c r="AE7" s="39"/>
      <c r="AF7" s="39"/>
      <c r="AG7" s="39"/>
      <c r="AH7" s="39"/>
      <c r="AI7" s="39"/>
      <c r="AJ7" s="23"/>
    </row>
    <row r="8" spans="1:37" x14ac:dyDescent="0.2">
      <c r="A8" s="5">
        <f>DAY(Kalenteri!A4)</f>
        <v>4</v>
      </c>
      <c r="B8" s="3" t="str">
        <f>IF(Kalenteri!B4=1,"su",IF(Kalenteri!B4=2,"ma",IF(Kalenteri!B4=3,"ti",IF(Kalenteri!B4=4,"ke",IF(Kalenteri!B4=5,"to",IF(Kalenteri!B4=6,"pe",IF(Kalenteri!B4=7,"la",)))))))</f>
        <v>pe</v>
      </c>
      <c r="C8" s="18">
        <v>372</v>
      </c>
      <c r="D8" s="10">
        <v>104</v>
      </c>
      <c r="E8" s="10">
        <v>2</v>
      </c>
      <c r="F8" s="11">
        <v>13</v>
      </c>
      <c r="G8" s="18">
        <v>1</v>
      </c>
      <c r="H8" s="11">
        <v>90</v>
      </c>
      <c r="I8" s="18">
        <v>4</v>
      </c>
      <c r="J8" s="11">
        <v>6</v>
      </c>
      <c r="K8" s="33">
        <f t="shared" si="0"/>
        <v>592</v>
      </c>
      <c r="L8" s="10"/>
      <c r="M8" s="10"/>
      <c r="N8" s="10"/>
      <c r="O8" s="11"/>
      <c r="P8" s="10"/>
      <c r="Q8" s="11"/>
      <c r="R8" s="30"/>
      <c r="S8" s="30"/>
      <c r="T8" s="33">
        <f t="shared" si="1"/>
        <v>0</v>
      </c>
      <c r="U8" s="10"/>
      <c r="V8" s="10"/>
      <c r="W8" s="10"/>
      <c r="X8" s="11"/>
      <c r="Y8" s="10"/>
      <c r="Z8" s="11"/>
      <c r="AA8" s="30"/>
      <c r="AB8" s="30"/>
      <c r="AC8" s="33">
        <f t="shared" si="2"/>
        <v>0</v>
      </c>
      <c r="AD8" s="12">
        <f t="shared" si="3"/>
        <v>592</v>
      </c>
      <c r="AE8" s="39"/>
      <c r="AF8" s="39"/>
      <c r="AG8" s="39"/>
      <c r="AH8" s="39"/>
      <c r="AI8" s="39"/>
      <c r="AJ8" s="23"/>
    </row>
    <row r="9" spans="1:37" x14ac:dyDescent="0.2">
      <c r="A9" s="5">
        <f>DAY(Kalenteri!A5)</f>
        <v>5</v>
      </c>
      <c r="B9" s="3" t="str">
        <f>IF(Kalenteri!B5=1,"su",IF(Kalenteri!B5=2,"ma",IF(Kalenteri!B5=3,"ti",IF(Kalenteri!B5=4,"ke",IF(Kalenteri!B5=5,"to",IF(Kalenteri!B5=6,"pe",IF(Kalenteri!B5=7,"la",)))))))</f>
        <v>la</v>
      </c>
      <c r="C9" s="18">
        <v>529</v>
      </c>
      <c r="D9" s="10">
        <v>148</v>
      </c>
      <c r="E9" s="10">
        <v>12</v>
      </c>
      <c r="F9" s="11">
        <v>42</v>
      </c>
      <c r="G9" s="18">
        <v>3</v>
      </c>
      <c r="H9" s="11">
        <v>160</v>
      </c>
      <c r="I9" s="18">
        <v>4</v>
      </c>
      <c r="J9" s="11">
        <v>6</v>
      </c>
      <c r="K9" s="33">
        <f t="shared" si="0"/>
        <v>904</v>
      </c>
      <c r="L9" s="10"/>
      <c r="M9" s="10"/>
      <c r="N9" s="10"/>
      <c r="O9" s="11"/>
      <c r="P9" s="10"/>
      <c r="Q9" s="11"/>
      <c r="R9" s="30"/>
      <c r="S9" s="30"/>
      <c r="T9" s="33">
        <f t="shared" si="1"/>
        <v>0</v>
      </c>
      <c r="U9" s="10"/>
      <c r="V9" s="10"/>
      <c r="W9" s="10"/>
      <c r="X9" s="11"/>
      <c r="Y9" s="10"/>
      <c r="Z9" s="11"/>
      <c r="AA9" s="30"/>
      <c r="AB9" s="30"/>
      <c r="AC9" s="33">
        <f t="shared" si="2"/>
        <v>0</v>
      </c>
      <c r="AD9" s="12">
        <f t="shared" si="3"/>
        <v>904</v>
      </c>
      <c r="AE9" s="39"/>
      <c r="AF9" s="39"/>
      <c r="AG9" s="39"/>
      <c r="AH9" s="39"/>
      <c r="AI9" s="39"/>
      <c r="AJ9" s="23"/>
    </row>
    <row r="10" spans="1:37" x14ac:dyDescent="0.2">
      <c r="A10" s="5">
        <f>DAY(Kalenteri!A6)</f>
        <v>6</v>
      </c>
      <c r="B10" s="3" t="str">
        <f>IF(Kalenteri!B6=1,"su",IF(Kalenteri!B6=2,"ma",IF(Kalenteri!B6=3,"ti",IF(Kalenteri!B6=4,"ke",IF(Kalenteri!B6=5,"to",IF(Kalenteri!B6=6,"pe",IF(Kalenteri!B6=7,"la",)))))))</f>
        <v>su</v>
      </c>
      <c r="C10" s="18">
        <v>363</v>
      </c>
      <c r="D10" s="10">
        <v>117</v>
      </c>
      <c r="E10" s="10">
        <v>7</v>
      </c>
      <c r="F10" s="11">
        <v>52</v>
      </c>
      <c r="G10" s="18">
        <v>2</v>
      </c>
      <c r="H10" s="11">
        <v>89</v>
      </c>
      <c r="I10" s="18">
        <v>2</v>
      </c>
      <c r="J10" s="11">
        <v>3</v>
      </c>
      <c r="K10" s="33">
        <f t="shared" si="0"/>
        <v>635</v>
      </c>
      <c r="L10" s="10"/>
      <c r="M10" s="10"/>
      <c r="N10" s="10"/>
      <c r="O10" s="11"/>
      <c r="P10" s="10"/>
      <c r="Q10" s="11"/>
      <c r="R10" s="30"/>
      <c r="S10" s="30"/>
      <c r="T10" s="33">
        <f t="shared" si="1"/>
        <v>0</v>
      </c>
      <c r="U10" s="10"/>
      <c r="V10" s="10"/>
      <c r="W10" s="10"/>
      <c r="X10" s="11"/>
      <c r="Y10" s="10"/>
      <c r="Z10" s="11"/>
      <c r="AA10" s="30"/>
      <c r="AB10" s="30"/>
      <c r="AC10" s="33">
        <f t="shared" si="2"/>
        <v>0</v>
      </c>
      <c r="AD10" s="12">
        <f t="shared" si="3"/>
        <v>635</v>
      </c>
      <c r="AE10" s="39"/>
      <c r="AF10" s="39"/>
      <c r="AG10" s="39"/>
      <c r="AH10" s="39"/>
      <c r="AI10" s="39"/>
      <c r="AJ10" s="23"/>
    </row>
    <row r="11" spans="1:37" x14ac:dyDescent="0.2">
      <c r="A11" s="5">
        <f>DAY(Kalenteri!A7)</f>
        <v>7</v>
      </c>
      <c r="B11" s="3" t="str">
        <f>IF(Kalenteri!B7=1,"su",IF(Kalenteri!B7=2,"ma",IF(Kalenteri!B7=3,"ti",IF(Kalenteri!B7=4,"ke",IF(Kalenteri!B7=5,"to",IF(Kalenteri!B7=6,"pe",IF(Kalenteri!B7=7,"la",)))))))</f>
        <v>ma</v>
      </c>
      <c r="C11" s="18">
        <v>90</v>
      </c>
      <c r="D11" s="10">
        <v>21</v>
      </c>
      <c r="E11" s="10">
        <v>5</v>
      </c>
      <c r="F11" s="11">
        <v>3</v>
      </c>
      <c r="G11" s="18">
        <v>1</v>
      </c>
      <c r="H11" s="11">
        <v>31</v>
      </c>
      <c r="I11" s="18"/>
      <c r="J11" s="11"/>
      <c r="K11" s="33">
        <f t="shared" si="0"/>
        <v>151</v>
      </c>
      <c r="L11" s="10"/>
      <c r="M11" s="10"/>
      <c r="N11" s="10"/>
      <c r="O11" s="11"/>
      <c r="P11" s="10"/>
      <c r="Q11" s="11"/>
      <c r="R11" s="30"/>
      <c r="S11" s="30"/>
      <c r="T11" s="33">
        <f t="shared" si="1"/>
        <v>0</v>
      </c>
      <c r="U11" s="10"/>
      <c r="V11" s="10"/>
      <c r="W11" s="10"/>
      <c r="X11" s="11"/>
      <c r="Y11" s="10"/>
      <c r="Z11" s="11"/>
      <c r="AA11" s="30"/>
      <c r="AB11" s="30"/>
      <c r="AC11" s="33">
        <f t="shared" si="2"/>
        <v>0</v>
      </c>
      <c r="AD11" s="12">
        <f t="shared" si="3"/>
        <v>151</v>
      </c>
      <c r="AE11" s="39"/>
      <c r="AF11" s="39"/>
      <c r="AG11" s="39"/>
      <c r="AH11" s="39"/>
      <c r="AI11" s="39"/>
      <c r="AJ11" s="23"/>
    </row>
    <row r="12" spans="1:37" x14ac:dyDescent="0.2">
      <c r="A12" s="5">
        <f>DAY(Kalenteri!A8)</f>
        <v>8</v>
      </c>
      <c r="B12" s="3" t="str">
        <f>IF(Kalenteri!B8=1,"su",IF(Kalenteri!B8=2,"ma",IF(Kalenteri!B8=3,"ti",IF(Kalenteri!B8=4,"ke",IF(Kalenteri!B8=5,"to",IF(Kalenteri!B8=6,"pe",IF(Kalenteri!B8=7,"la",)))))))</f>
        <v>ti</v>
      </c>
      <c r="C12" s="18">
        <v>61</v>
      </c>
      <c r="D12" s="10">
        <v>14</v>
      </c>
      <c r="E12" s="10"/>
      <c r="F12" s="11">
        <v>2</v>
      </c>
      <c r="G12" s="18">
        <v>1</v>
      </c>
      <c r="H12" s="11">
        <v>8</v>
      </c>
      <c r="I12" s="18"/>
      <c r="J12" s="11"/>
      <c r="K12" s="33">
        <f t="shared" si="0"/>
        <v>86</v>
      </c>
      <c r="L12" s="10"/>
      <c r="M12" s="10"/>
      <c r="N12" s="10"/>
      <c r="O12" s="11"/>
      <c r="P12" s="10"/>
      <c r="Q12" s="11"/>
      <c r="R12" s="30"/>
      <c r="S12" s="30"/>
      <c r="T12" s="33">
        <f t="shared" si="1"/>
        <v>0</v>
      </c>
      <c r="U12" s="10"/>
      <c r="V12" s="10"/>
      <c r="W12" s="10"/>
      <c r="X12" s="11"/>
      <c r="Y12" s="10"/>
      <c r="Z12" s="11"/>
      <c r="AA12" s="30"/>
      <c r="AB12" s="30"/>
      <c r="AC12" s="33">
        <f t="shared" si="2"/>
        <v>0</v>
      </c>
      <c r="AD12" s="12">
        <f t="shared" si="3"/>
        <v>86</v>
      </c>
      <c r="AE12" s="39"/>
      <c r="AF12" s="39"/>
      <c r="AG12" s="39"/>
      <c r="AH12" s="39"/>
      <c r="AI12" s="39"/>
      <c r="AJ12" s="23"/>
    </row>
    <row r="13" spans="1:37" x14ac:dyDescent="0.2">
      <c r="A13" s="5">
        <f>DAY(Kalenteri!A9)</f>
        <v>9</v>
      </c>
      <c r="B13" s="3" t="str">
        <f>IF(Kalenteri!B9=1,"su",IF(Kalenteri!B9=2,"ma",IF(Kalenteri!B9=3,"ti",IF(Kalenteri!B9=4,"ke",IF(Kalenteri!B9=5,"to",IF(Kalenteri!B9=6,"pe",IF(Kalenteri!B9=7,"la",)))))))</f>
        <v>ke</v>
      </c>
      <c r="C13" s="18">
        <v>42</v>
      </c>
      <c r="D13" s="10">
        <v>12</v>
      </c>
      <c r="E13" s="10"/>
      <c r="F13" s="11">
        <v>4</v>
      </c>
      <c r="G13" s="18">
        <v>3</v>
      </c>
      <c r="H13" s="11">
        <v>7</v>
      </c>
      <c r="I13" s="18"/>
      <c r="J13" s="11"/>
      <c r="K13" s="33">
        <f t="shared" si="0"/>
        <v>68</v>
      </c>
      <c r="L13" s="10"/>
      <c r="M13" s="10"/>
      <c r="N13" s="10"/>
      <c r="O13" s="11"/>
      <c r="P13" s="10"/>
      <c r="Q13" s="11"/>
      <c r="R13" s="30"/>
      <c r="S13" s="30"/>
      <c r="T13" s="33">
        <f t="shared" si="1"/>
        <v>0</v>
      </c>
      <c r="U13" s="10"/>
      <c r="V13" s="10"/>
      <c r="W13" s="10"/>
      <c r="X13" s="11"/>
      <c r="Y13" s="10"/>
      <c r="Z13" s="11"/>
      <c r="AA13" s="30"/>
      <c r="AB13" s="30"/>
      <c r="AC13" s="33">
        <f t="shared" si="2"/>
        <v>0</v>
      </c>
      <c r="AD13" s="12">
        <f t="shared" si="3"/>
        <v>68</v>
      </c>
      <c r="AE13" s="39"/>
      <c r="AF13" s="39"/>
      <c r="AG13" s="39"/>
      <c r="AH13" s="39"/>
      <c r="AI13" s="39"/>
      <c r="AJ13" s="23"/>
    </row>
    <row r="14" spans="1:37" x14ac:dyDescent="0.2">
      <c r="A14" s="5">
        <f>DAY(Kalenteri!A10)</f>
        <v>10</v>
      </c>
      <c r="B14" s="3" t="str">
        <f>IF(Kalenteri!B10=1,"su",IF(Kalenteri!B10=2,"ma",IF(Kalenteri!B10=3,"ti",IF(Kalenteri!B10=4,"ke",IF(Kalenteri!B10=5,"to",IF(Kalenteri!B10=6,"pe",IF(Kalenteri!B10=7,"la",)))))))</f>
        <v>to</v>
      </c>
      <c r="C14" s="18">
        <v>29</v>
      </c>
      <c r="D14" s="10">
        <v>7</v>
      </c>
      <c r="E14" s="10"/>
      <c r="F14" s="11">
        <v>7</v>
      </c>
      <c r="G14" s="18">
        <v>2</v>
      </c>
      <c r="H14" s="11">
        <v>11</v>
      </c>
      <c r="I14" s="18"/>
      <c r="J14" s="11"/>
      <c r="K14" s="33">
        <f t="shared" si="0"/>
        <v>56</v>
      </c>
      <c r="L14" s="10"/>
      <c r="M14" s="10"/>
      <c r="N14" s="10"/>
      <c r="O14" s="11"/>
      <c r="P14" s="10"/>
      <c r="Q14" s="11"/>
      <c r="R14" s="30"/>
      <c r="S14" s="30"/>
      <c r="T14" s="33">
        <f t="shared" si="1"/>
        <v>0</v>
      </c>
      <c r="U14" s="10"/>
      <c r="V14" s="10"/>
      <c r="W14" s="10"/>
      <c r="X14" s="11"/>
      <c r="Y14" s="10"/>
      <c r="Z14" s="11"/>
      <c r="AA14" s="30"/>
      <c r="AB14" s="30"/>
      <c r="AC14" s="33">
        <f t="shared" si="2"/>
        <v>0</v>
      </c>
      <c r="AD14" s="12">
        <f t="shared" si="3"/>
        <v>56</v>
      </c>
      <c r="AE14" s="39"/>
      <c r="AF14" s="39"/>
      <c r="AG14" s="39"/>
      <c r="AH14" s="39"/>
      <c r="AI14" s="39"/>
      <c r="AJ14" s="23"/>
    </row>
    <row r="15" spans="1:37" x14ac:dyDescent="0.2">
      <c r="A15" s="5">
        <f>DAY(Kalenteri!A11)</f>
        <v>11</v>
      </c>
      <c r="B15" s="3" t="str">
        <f>IF(Kalenteri!B11=1,"su",IF(Kalenteri!B11=2,"ma",IF(Kalenteri!B11=3,"ti",IF(Kalenteri!B11=4,"ke",IF(Kalenteri!B11=5,"to",IF(Kalenteri!B11=6,"pe",IF(Kalenteri!B11=7,"la",)))))))</f>
        <v>pe</v>
      </c>
      <c r="C15" s="18">
        <v>26</v>
      </c>
      <c r="D15" s="10">
        <v>4</v>
      </c>
      <c r="E15" s="10">
        <v>5</v>
      </c>
      <c r="F15" s="11">
        <v>3</v>
      </c>
      <c r="G15" s="18">
        <v>2</v>
      </c>
      <c r="H15" s="11">
        <v>16</v>
      </c>
      <c r="I15" s="18"/>
      <c r="J15" s="11"/>
      <c r="K15" s="33">
        <f t="shared" si="0"/>
        <v>56</v>
      </c>
      <c r="L15" s="10"/>
      <c r="M15" s="10"/>
      <c r="N15" s="10"/>
      <c r="O15" s="11"/>
      <c r="P15" s="10"/>
      <c r="Q15" s="11"/>
      <c r="R15" s="30"/>
      <c r="S15" s="30"/>
      <c r="T15" s="33">
        <f t="shared" si="1"/>
        <v>0</v>
      </c>
      <c r="U15" s="10"/>
      <c r="V15" s="10"/>
      <c r="W15" s="10"/>
      <c r="X15" s="11"/>
      <c r="Y15" s="10"/>
      <c r="Z15" s="11"/>
      <c r="AA15" s="30"/>
      <c r="AB15" s="30"/>
      <c r="AC15" s="33">
        <f t="shared" si="2"/>
        <v>0</v>
      </c>
      <c r="AD15" s="12">
        <f t="shared" si="3"/>
        <v>56</v>
      </c>
      <c r="AE15" s="39"/>
      <c r="AF15" s="39"/>
      <c r="AG15" s="39"/>
      <c r="AH15" s="39"/>
      <c r="AI15" s="39"/>
      <c r="AJ15" s="23"/>
      <c r="AK15" s="23"/>
    </row>
    <row r="16" spans="1:37" x14ac:dyDescent="0.2">
      <c r="A16" s="5">
        <f>DAY(Kalenteri!A12)</f>
        <v>12</v>
      </c>
      <c r="B16" s="3" t="str">
        <f>IF(Kalenteri!B12=1,"su",IF(Kalenteri!B12=2,"ma",IF(Kalenteri!B12=3,"ti",IF(Kalenteri!B12=4,"ke",IF(Kalenteri!B12=5,"to",IF(Kalenteri!B12=6,"pe",IF(Kalenteri!B12=7,"la",)))))))</f>
        <v>la</v>
      </c>
      <c r="C16" s="18">
        <v>76</v>
      </c>
      <c r="D16" s="10">
        <v>16</v>
      </c>
      <c r="E16" s="10">
        <v>1</v>
      </c>
      <c r="F16" s="11">
        <v>3</v>
      </c>
      <c r="G16" s="18">
        <v>14</v>
      </c>
      <c r="H16" s="11">
        <v>33</v>
      </c>
      <c r="I16" s="18"/>
      <c r="J16" s="11"/>
      <c r="K16" s="33">
        <f t="shared" si="0"/>
        <v>143</v>
      </c>
      <c r="L16" s="10"/>
      <c r="M16" s="10"/>
      <c r="N16" s="10"/>
      <c r="O16" s="11"/>
      <c r="P16" s="10"/>
      <c r="Q16" s="11"/>
      <c r="R16" s="30"/>
      <c r="S16" s="30"/>
      <c r="T16" s="33">
        <f t="shared" si="1"/>
        <v>0</v>
      </c>
      <c r="U16" s="10"/>
      <c r="V16" s="10"/>
      <c r="W16" s="10"/>
      <c r="X16" s="11"/>
      <c r="Y16" s="10"/>
      <c r="Z16" s="11"/>
      <c r="AA16" s="30"/>
      <c r="AB16" s="30"/>
      <c r="AC16" s="33">
        <f t="shared" si="2"/>
        <v>0</v>
      </c>
      <c r="AD16" s="12">
        <f t="shared" si="3"/>
        <v>143</v>
      </c>
      <c r="AE16" s="39"/>
      <c r="AF16" s="39"/>
      <c r="AG16" s="39"/>
      <c r="AH16" s="39"/>
      <c r="AI16" s="39"/>
      <c r="AJ16" s="23"/>
      <c r="AK16" s="23"/>
    </row>
    <row r="17" spans="1:37" x14ac:dyDescent="0.2">
      <c r="A17" s="5">
        <f>DAY(Kalenteri!A13)</f>
        <v>13</v>
      </c>
      <c r="B17" s="3" t="str">
        <f>IF(Kalenteri!B13=1,"su",IF(Kalenteri!B13=2,"ma",IF(Kalenteri!B13=3,"ti",IF(Kalenteri!B13=4,"ke",IF(Kalenteri!B13=5,"to",IF(Kalenteri!B13=6,"pe",IF(Kalenteri!B13=7,"la",)))))))</f>
        <v>su</v>
      </c>
      <c r="C17" s="18">
        <v>123</v>
      </c>
      <c r="D17" s="10">
        <v>26</v>
      </c>
      <c r="E17" s="10"/>
      <c r="F17" s="11">
        <v>6</v>
      </c>
      <c r="G17" s="18"/>
      <c r="H17" s="11">
        <v>46</v>
      </c>
      <c r="I17" s="18"/>
      <c r="J17" s="11"/>
      <c r="K17" s="33">
        <f t="shared" si="0"/>
        <v>201</v>
      </c>
      <c r="L17" s="10"/>
      <c r="M17" s="10"/>
      <c r="N17" s="10"/>
      <c r="O17" s="11"/>
      <c r="P17" s="10"/>
      <c r="Q17" s="11"/>
      <c r="R17" s="30"/>
      <c r="S17" s="30"/>
      <c r="T17" s="33">
        <f t="shared" si="1"/>
        <v>0</v>
      </c>
      <c r="U17" s="10"/>
      <c r="V17" s="10"/>
      <c r="W17" s="10"/>
      <c r="X17" s="11"/>
      <c r="Y17" s="10"/>
      <c r="Z17" s="11"/>
      <c r="AA17" s="30"/>
      <c r="AB17" s="30"/>
      <c r="AC17" s="33">
        <f t="shared" si="2"/>
        <v>0</v>
      </c>
      <c r="AD17" s="12">
        <f t="shared" si="3"/>
        <v>201</v>
      </c>
      <c r="AE17" s="39"/>
      <c r="AF17" s="39"/>
      <c r="AG17" s="39"/>
      <c r="AH17" s="39"/>
      <c r="AI17" s="39"/>
      <c r="AJ17" s="23"/>
      <c r="AK17" s="23"/>
    </row>
    <row r="18" spans="1:37" x14ac:dyDescent="0.2">
      <c r="A18" s="5">
        <f>DAY(Kalenteri!A14)</f>
        <v>14</v>
      </c>
      <c r="B18" s="3" t="str">
        <f>IF(Kalenteri!B14=1,"su",IF(Kalenteri!B14=2,"ma",IF(Kalenteri!B14=3,"ti",IF(Kalenteri!B14=4,"ke",IF(Kalenteri!B14=5,"to",IF(Kalenteri!B14=6,"pe",IF(Kalenteri!B14=7,"la",)))))))</f>
        <v>ma</v>
      </c>
      <c r="C18" s="18">
        <v>11</v>
      </c>
      <c r="D18" s="10">
        <v>3</v>
      </c>
      <c r="E18" s="10"/>
      <c r="F18" s="11">
        <v>4</v>
      </c>
      <c r="G18" s="18">
        <v>11</v>
      </c>
      <c r="H18" s="11">
        <v>3</v>
      </c>
      <c r="I18" s="18"/>
      <c r="J18" s="11"/>
      <c r="K18" s="33">
        <f t="shared" si="0"/>
        <v>32</v>
      </c>
      <c r="L18" s="10"/>
      <c r="M18" s="10"/>
      <c r="N18" s="10"/>
      <c r="O18" s="11"/>
      <c r="P18" s="10"/>
      <c r="Q18" s="11"/>
      <c r="R18" s="30"/>
      <c r="S18" s="30"/>
      <c r="T18" s="33">
        <f t="shared" si="1"/>
        <v>0</v>
      </c>
      <c r="U18" s="10"/>
      <c r="V18" s="10"/>
      <c r="W18" s="10"/>
      <c r="X18" s="11"/>
      <c r="Y18" s="10"/>
      <c r="Z18" s="11"/>
      <c r="AA18" s="30"/>
      <c r="AB18" s="30"/>
      <c r="AC18" s="33">
        <f t="shared" si="2"/>
        <v>0</v>
      </c>
      <c r="AD18" s="12">
        <f t="shared" si="3"/>
        <v>32</v>
      </c>
      <c r="AE18" s="39"/>
      <c r="AF18" s="39"/>
      <c r="AG18" s="39"/>
      <c r="AH18" s="39"/>
      <c r="AI18" s="39"/>
      <c r="AJ18" s="23"/>
      <c r="AK18" s="23"/>
    </row>
    <row r="19" spans="1:37" x14ac:dyDescent="0.2">
      <c r="A19" s="5">
        <f>DAY(Kalenteri!A15)</f>
        <v>15</v>
      </c>
      <c r="B19" s="3" t="str">
        <f>IF(Kalenteri!B15=1,"su",IF(Kalenteri!B15=2,"ma",IF(Kalenteri!B15=3,"ti",IF(Kalenteri!B15=4,"ke",IF(Kalenteri!B15=5,"to",IF(Kalenteri!B15=6,"pe",IF(Kalenteri!B15=7,"la",)))))))</f>
        <v>ti</v>
      </c>
      <c r="C19" s="18">
        <v>19</v>
      </c>
      <c r="D19" s="10">
        <v>2</v>
      </c>
      <c r="E19" s="10"/>
      <c r="F19" s="11"/>
      <c r="G19" s="18"/>
      <c r="H19" s="11">
        <v>1</v>
      </c>
      <c r="I19" s="18"/>
      <c r="J19" s="11"/>
      <c r="K19" s="33">
        <f t="shared" si="0"/>
        <v>22</v>
      </c>
      <c r="L19" s="10"/>
      <c r="M19" s="10"/>
      <c r="N19" s="10"/>
      <c r="O19" s="11"/>
      <c r="P19" s="10"/>
      <c r="Q19" s="11"/>
      <c r="R19" s="30"/>
      <c r="S19" s="30"/>
      <c r="T19" s="33">
        <f t="shared" si="1"/>
        <v>0</v>
      </c>
      <c r="U19" s="10"/>
      <c r="V19" s="10"/>
      <c r="W19" s="10"/>
      <c r="X19" s="11"/>
      <c r="Y19" s="10"/>
      <c r="Z19" s="11"/>
      <c r="AA19" s="30"/>
      <c r="AB19" s="30"/>
      <c r="AC19" s="33">
        <f t="shared" si="2"/>
        <v>0</v>
      </c>
      <c r="AD19" s="12">
        <f t="shared" si="3"/>
        <v>22</v>
      </c>
      <c r="AE19" s="39"/>
      <c r="AF19" s="39"/>
      <c r="AG19" s="39"/>
      <c r="AH19" s="39"/>
      <c r="AI19" s="39"/>
      <c r="AJ19" s="23"/>
      <c r="AK19" s="23"/>
    </row>
    <row r="20" spans="1:37" x14ac:dyDescent="0.2">
      <c r="A20" s="5">
        <f>DAY(Kalenteri!A16)</f>
        <v>16</v>
      </c>
      <c r="B20" s="3" t="str">
        <f>IF(Kalenteri!B16=1,"su",IF(Kalenteri!B16=2,"ma",IF(Kalenteri!B16=3,"ti",IF(Kalenteri!B16=4,"ke",IF(Kalenteri!B16=5,"to",IF(Kalenteri!B16=6,"pe",IF(Kalenteri!B16=7,"la",)))))))</f>
        <v>ke</v>
      </c>
      <c r="C20" s="18">
        <v>5</v>
      </c>
      <c r="D20" s="10"/>
      <c r="E20" s="10"/>
      <c r="F20" s="11">
        <v>1</v>
      </c>
      <c r="G20" s="18">
        <v>2</v>
      </c>
      <c r="H20" s="11">
        <v>30</v>
      </c>
      <c r="I20" s="18"/>
      <c r="J20" s="11"/>
      <c r="K20" s="33">
        <f t="shared" si="0"/>
        <v>38</v>
      </c>
      <c r="L20" s="10"/>
      <c r="M20" s="10"/>
      <c r="N20" s="10"/>
      <c r="O20" s="11"/>
      <c r="P20" s="10"/>
      <c r="Q20" s="11"/>
      <c r="R20" s="30"/>
      <c r="S20" s="30"/>
      <c r="T20" s="33">
        <f t="shared" si="1"/>
        <v>0</v>
      </c>
      <c r="U20" s="10"/>
      <c r="V20" s="10"/>
      <c r="W20" s="10"/>
      <c r="X20" s="11"/>
      <c r="Y20" s="10"/>
      <c r="Z20" s="11"/>
      <c r="AA20" s="30"/>
      <c r="AB20" s="30"/>
      <c r="AC20" s="33">
        <f t="shared" si="2"/>
        <v>0</v>
      </c>
      <c r="AD20" s="12">
        <f t="shared" si="3"/>
        <v>38</v>
      </c>
      <c r="AE20" s="39"/>
      <c r="AF20" s="39"/>
      <c r="AG20" s="39"/>
      <c r="AH20" s="39"/>
      <c r="AI20" s="39"/>
      <c r="AJ20" s="23"/>
      <c r="AK20" s="23"/>
    </row>
    <row r="21" spans="1:37" x14ac:dyDescent="0.2">
      <c r="A21" s="5">
        <f>DAY(Kalenteri!A17)</f>
        <v>17</v>
      </c>
      <c r="B21" s="3" t="str">
        <f>IF(Kalenteri!B17=1,"su",IF(Kalenteri!B17=2,"ma",IF(Kalenteri!B17=3,"ti",IF(Kalenteri!B17=4,"ke",IF(Kalenteri!B17=5,"to",IF(Kalenteri!B17=6,"pe",IF(Kalenteri!B17=7,"la",)))))))</f>
        <v>to</v>
      </c>
      <c r="C21" s="18">
        <v>23</v>
      </c>
      <c r="D21" s="10">
        <v>2</v>
      </c>
      <c r="E21" s="10"/>
      <c r="F21" s="11">
        <v>1</v>
      </c>
      <c r="G21" s="18">
        <v>2</v>
      </c>
      <c r="H21" s="11">
        <v>6</v>
      </c>
      <c r="I21" s="18"/>
      <c r="J21" s="11"/>
      <c r="K21" s="33">
        <f t="shared" si="0"/>
        <v>34</v>
      </c>
      <c r="L21" s="10"/>
      <c r="M21" s="10"/>
      <c r="N21" s="10"/>
      <c r="O21" s="11"/>
      <c r="P21" s="10"/>
      <c r="Q21" s="11"/>
      <c r="R21" s="30"/>
      <c r="S21" s="30"/>
      <c r="T21" s="33">
        <f t="shared" si="1"/>
        <v>0</v>
      </c>
      <c r="U21" s="10"/>
      <c r="V21" s="10"/>
      <c r="W21" s="10"/>
      <c r="X21" s="11"/>
      <c r="Y21" s="10"/>
      <c r="Z21" s="11"/>
      <c r="AA21" s="30"/>
      <c r="AB21" s="30"/>
      <c r="AC21" s="33">
        <f t="shared" si="2"/>
        <v>0</v>
      </c>
      <c r="AD21" s="12">
        <f t="shared" si="3"/>
        <v>34</v>
      </c>
      <c r="AE21" s="39"/>
      <c r="AF21" s="39"/>
      <c r="AG21" s="39"/>
      <c r="AH21" s="39"/>
      <c r="AI21" s="39"/>
      <c r="AJ21" s="23"/>
      <c r="AK21" s="23"/>
    </row>
    <row r="22" spans="1:37" x14ac:dyDescent="0.2">
      <c r="A22" s="5">
        <f>DAY(Kalenteri!A18)</f>
        <v>18</v>
      </c>
      <c r="B22" s="3" t="str">
        <f>IF(Kalenteri!B18=1,"su",IF(Kalenteri!B18=2,"ma",IF(Kalenteri!B18=3,"ti",IF(Kalenteri!B18=4,"ke",IF(Kalenteri!B18=5,"to",IF(Kalenteri!B18=6,"pe",IF(Kalenteri!B18=7,"la",)))))))</f>
        <v>pe</v>
      </c>
      <c r="C22" s="18">
        <v>21</v>
      </c>
      <c r="D22" s="10">
        <v>3</v>
      </c>
      <c r="E22" s="10"/>
      <c r="F22" s="11">
        <v>2</v>
      </c>
      <c r="G22" s="18">
        <v>2</v>
      </c>
      <c r="H22" s="11">
        <v>9</v>
      </c>
      <c r="I22" s="18"/>
      <c r="J22" s="11"/>
      <c r="K22" s="33">
        <f t="shared" si="0"/>
        <v>37</v>
      </c>
      <c r="L22" s="10"/>
      <c r="M22" s="10"/>
      <c r="N22" s="10"/>
      <c r="O22" s="11"/>
      <c r="P22" s="10"/>
      <c r="Q22" s="11"/>
      <c r="R22" s="30"/>
      <c r="S22" s="30"/>
      <c r="T22" s="33">
        <f t="shared" si="1"/>
        <v>0</v>
      </c>
      <c r="U22" s="10"/>
      <c r="V22" s="10"/>
      <c r="W22" s="10"/>
      <c r="X22" s="11"/>
      <c r="Y22" s="10"/>
      <c r="Z22" s="11"/>
      <c r="AA22" s="30"/>
      <c r="AB22" s="30"/>
      <c r="AC22" s="33">
        <f t="shared" si="2"/>
        <v>0</v>
      </c>
      <c r="AD22" s="12">
        <f t="shared" si="3"/>
        <v>37</v>
      </c>
      <c r="AE22" s="39"/>
      <c r="AF22" s="39"/>
      <c r="AG22" s="39"/>
      <c r="AH22" s="39"/>
      <c r="AI22" s="39"/>
      <c r="AJ22" s="23"/>
      <c r="AK22" s="23"/>
    </row>
    <row r="23" spans="1:37" x14ac:dyDescent="0.2">
      <c r="A23" s="5">
        <f>DAY(Kalenteri!A19)</f>
        <v>19</v>
      </c>
      <c r="B23" s="3" t="str">
        <f>IF(Kalenteri!B19=1,"su",IF(Kalenteri!B19=2,"ma",IF(Kalenteri!B19=3,"ti",IF(Kalenteri!B19=4,"ke",IF(Kalenteri!B19=5,"to",IF(Kalenteri!B19=6,"pe",IF(Kalenteri!B19=7,"la",)))))))</f>
        <v>la</v>
      </c>
      <c r="C23" s="18">
        <v>38</v>
      </c>
      <c r="D23" s="10">
        <v>8</v>
      </c>
      <c r="E23" s="10"/>
      <c r="F23" s="11">
        <v>8</v>
      </c>
      <c r="G23" s="18"/>
      <c r="H23" s="11">
        <v>9</v>
      </c>
      <c r="I23" s="18"/>
      <c r="J23" s="11"/>
      <c r="K23" s="33">
        <f t="shared" si="0"/>
        <v>63</v>
      </c>
      <c r="L23" s="10"/>
      <c r="M23" s="10"/>
      <c r="N23" s="10"/>
      <c r="O23" s="11"/>
      <c r="P23" s="10"/>
      <c r="Q23" s="11"/>
      <c r="R23" s="30"/>
      <c r="S23" s="30"/>
      <c r="T23" s="33">
        <f t="shared" si="1"/>
        <v>0</v>
      </c>
      <c r="U23" s="10"/>
      <c r="V23" s="10"/>
      <c r="W23" s="10"/>
      <c r="X23" s="11"/>
      <c r="Y23" s="10"/>
      <c r="Z23" s="11"/>
      <c r="AA23" s="30"/>
      <c r="AB23" s="30"/>
      <c r="AC23" s="33">
        <f t="shared" si="2"/>
        <v>0</v>
      </c>
      <c r="AD23" s="12">
        <f t="shared" si="3"/>
        <v>63</v>
      </c>
      <c r="AE23" s="39"/>
      <c r="AF23" s="39"/>
      <c r="AG23" s="39"/>
      <c r="AH23" s="39"/>
      <c r="AI23" s="39"/>
      <c r="AJ23" s="23"/>
      <c r="AK23" s="23"/>
    </row>
    <row r="24" spans="1:37" x14ac:dyDescent="0.2">
      <c r="A24" s="5">
        <f>DAY(Kalenteri!A20)</f>
        <v>20</v>
      </c>
      <c r="B24" s="3" t="str">
        <f>IF(Kalenteri!B20=1,"su",IF(Kalenteri!B20=2,"ma",IF(Kalenteri!B20=3,"ti",IF(Kalenteri!B20=4,"ke",IF(Kalenteri!B20=5,"to",IF(Kalenteri!B20=6,"pe",IF(Kalenteri!B20=7,"la",)))))))</f>
        <v>su</v>
      </c>
      <c r="C24" s="18">
        <v>98</v>
      </c>
      <c r="D24" s="10">
        <v>30</v>
      </c>
      <c r="E24" s="10">
        <v>2</v>
      </c>
      <c r="F24" s="11">
        <v>49</v>
      </c>
      <c r="G24" s="18"/>
      <c r="H24" s="11">
        <v>41</v>
      </c>
      <c r="I24" s="18">
        <v>2</v>
      </c>
      <c r="J24" s="11">
        <v>3</v>
      </c>
      <c r="K24" s="33">
        <f t="shared" si="0"/>
        <v>225</v>
      </c>
      <c r="L24" s="10"/>
      <c r="M24" s="10"/>
      <c r="N24" s="10"/>
      <c r="O24" s="11"/>
      <c r="P24" s="10"/>
      <c r="Q24" s="11"/>
      <c r="R24" s="30"/>
      <c r="S24" s="30"/>
      <c r="T24" s="33">
        <f t="shared" si="1"/>
        <v>0</v>
      </c>
      <c r="U24" s="10"/>
      <c r="V24" s="10"/>
      <c r="W24" s="10"/>
      <c r="X24" s="11"/>
      <c r="Y24" s="10"/>
      <c r="Z24" s="11"/>
      <c r="AA24" s="30"/>
      <c r="AB24" s="30"/>
      <c r="AC24" s="33">
        <f t="shared" si="2"/>
        <v>0</v>
      </c>
      <c r="AD24" s="12">
        <f t="shared" si="3"/>
        <v>225</v>
      </c>
      <c r="AE24" s="39"/>
      <c r="AF24" s="39"/>
      <c r="AG24" s="39"/>
      <c r="AH24" s="39"/>
      <c r="AI24" s="39"/>
      <c r="AJ24" s="39"/>
      <c r="AK24" s="23"/>
    </row>
    <row r="25" spans="1:37" x14ac:dyDescent="0.2">
      <c r="A25" s="5">
        <f>DAY(Kalenteri!A21)</f>
        <v>21</v>
      </c>
      <c r="B25" s="3" t="str">
        <f>IF(Kalenteri!B21=1,"su",IF(Kalenteri!B21=2,"ma",IF(Kalenteri!B21=3,"ti",IF(Kalenteri!B21=4,"ke",IF(Kalenteri!B21=5,"to",IF(Kalenteri!B21=6,"pe",IF(Kalenteri!B21=7,"la",)))))))</f>
        <v>ma</v>
      </c>
      <c r="C25" s="18">
        <v>14</v>
      </c>
      <c r="D25" s="10"/>
      <c r="E25" s="10"/>
      <c r="F25" s="11">
        <v>1</v>
      </c>
      <c r="G25" s="18"/>
      <c r="H25" s="11">
        <v>13</v>
      </c>
      <c r="I25" s="18"/>
      <c r="J25" s="11"/>
      <c r="K25" s="33">
        <f t="shared" si="0"/>
        <v>28</v>
      </c>
      <c r="L25" s="10"/>
      <c r="M25" s="10"/>
      <c r="N25" s="10"/>
      <c r="O25" s="11"/>
      <c r="P25" s="10"/>
      <c r="Q25" s="11"/>
      <c r="R25" s="30"/>
      <c r="S25" s="30"/>
      <c r="T25" s="33">
        <f t="shared" si="1"/>
        <v>0</v>
      </c>
      <c r="U25" s="10"/>
      <c r="V25" s="10"/>
      <c r="W25" s="10"/>
      <c r="X25" s="11"/>
      <c r="Y25" s="10"/>
      <c r="Z25" s="11"/>
      <c r="AA25" s="30"/>
      <c r="AB25" s="30"/>
      <c r="AC25" s="33">
        <f t="shared" si="2"/>
        <v>0</v>
      </c>
      <c r="AD25" s="12">
        <f t="shared" si="3"/>
        <v>28</v>
      </c>
      <c r="AE25" s="39"/>
      <c r="AF25" s="39"/>
      <c r="AG25" s="39"/>
      <c r="AH25" s="39"/>
      <c r="AI25" s="39"/>
      <c r="AJ25" s="39"/>
      <c r="AK25" s="23"/>
    </row>
    <row r="26" spans="1:37" x14ac:dyDescent="0.2">
      <c r="A26" s="5">
        <f>DAY(Kalenteri!A22)</f>
        <v>22</v>
      </c>
      <c r="B26" s="3" t="str">
        <f>IF(Kalenteri!B22=1,"su",IF(Kalenteri!B22=2,"ma",IF(Kalenteri!B22=3,"ti",IF(Kalenteri!B22=4,"ke",IF(Kalenteri!B22=5,"to",IF(Kalenteri!B22=6,"pe",IF(Kalenteri!B22=7,"la",)))))))</f>
        <v>ti</v>
      </c>
      <c r="C26" s="18">
        <v>29</v>
      </c>
      <c r="D26" s="10">
        <v>2</v>
      </c>
      <c r="E26" s="10"/>
      <c r="F26" s="11">
        <v>1</v>
      </c>
      <c r="G26" s="18"/>
      <c r="H26" s="11">
        <v>4</v>
      </c>
      <c r="I26" s="18"/>
      <c r="J26" s="11"/>
      <c r="K26" s="33">
        <f t="shared" si="0"/>
        <v>36</v>
      </c>
      <c r="L26" s="10"/>
      <c r="M26" s="10"/>
      <c r="N26" s="10"/>
      <c r="O26" s="11"/>
      <c r="P26" s="10"/>
      <c r="Q26" s="11"/>
      <c r="R26" s="30"/>
      <c r="S26" s="30"/>
      <c r="T26" s="33">
        <f t="shared" si="1"/>
        <v>0</v>
      </c>
      <c r="U26" s="10"/>
      <c r="V26" s="10"/>
      <c r="W26" s="10"/>
      <c r="X26" s="11"/>
      <c r="Y26" s="10"/>
      <c r="Z26" s="11"/>
      <c r="AA26" s="30"/>
      <c r="AB26" s="30"/>
      <c r="AC26" s="33">
        <f t="shared" si="2"/>
        <v>0</v>
      </c>
      <c r="AD26" s="12">
        <f t="shared" si="3"/>
        <v>36</v>
      </c>
      <c r="AE26" s="39"/>
      <c r="AF26" s="39"/>
      <c r="AG26" s="39"/>
      <c r="AH26" s="39"/>
      <c r="AI26" s="39"/>
      <c r="AJ26" s="39"/>
    </row>
    <row r="27" spans="1:37" x14ac:dyDescent="0.2">
      <c r="A27" s="5">
        <f>DAY(Kalenteri!A23)</f>
        <v>23</v>
      </c>
      <c r="B27" s="3" t="str">
        <f>IF(Kalenteri!B23=1,"su",IF(Kalenteri!B23=2,"ma",IF(Kalenteri!B23=3,"ti",IF(Kalenteri!B23=4,"ke",IF(Kalenteri!B23=5,"to",IF(Kalenteri!B23=6,"pe",IF(Kalenteri!B23=7,"la",)))))))</f>
        <v>ke</v>
      </c>
      <c r="C27" s="18">
        <v>14</v>
      </c>
      <c r="D27" s="10">
        <v>1</v>
      </c>
      <c r="E27" s="10">
        <v>2</v>
      </c>
      <c r="F27" s="11">
        <v>4</v>
      </c>
      <c r="G27" s="18"/>
      <c r="H27" s="11">
        <v>1</v>
      </c>
      <c r="I27" s="18"/>
      <c r="J27" s="11"/>
      <c r="K27" s="33">
        <f t="shared" si="0"/>
        <v>22</v>
      </c>
      <c r="L27" s="10"/>
      <c r="M27" s="10"/>
      <c r="N27" s="10"/>
      <c r="O27" s="11"/>
      <c r="P27" s="10"/>
      <c r="Q27" s="11"/>
      <c r="R27" s="30"/>
      <c r="S27" s="30"/>
      <c r="T27" s="33">
        <f t="shared" si="1"/>
        <v>0</v>
      </c>
      <c r="U27" s="10"/>
      <c r="V27" s="10"/>
      <c r="W27" s="10"/>
      <c r="X27" s="11"/>
      <c r="Y27" s="10"/>
      <c r="Z27" s="11"/>
      <c r="AA27" s="30"/>
      <c r="AB27" s="30"/>
      <c r="AC27" s="33">
        <f t="shared" si="2"/>
        <v>0</v>
      </c>
      <c r="AD27" s="12">
        <f t="shared" si="3"/>
        <v>22</v>
      </c>
      <c r="AE27" s="39"/>
      <c r="AF27" s="39"/>
      <c r="AG27" s="39"/>
      <c r="AH27" s="39"/>
      <c r="AI27" s="39"/>
      <c r="AJ27" s="39"/>
    </row>
    <row r="28" spans="1:37" x14ac:dyDescent="0.2">
      <c r="A28" s="5">
        <f>DAY(Kalenteri!A24)</f>
        <v>24</v>
      </c>
      <c r="B28" s="3" t="str">
        <f>IF(Kalenteri!B24=1,"su",IF(Kalenteri!B24=2,"ma",IF(Kalenteri!B24=3,"ti",IF(Kalenteri!B24=4,"ke",IF(Kalenteri!B24=5,"to",IF(Kalenteri!B24=6,"pe",IF(Kalenteri!B24=7,"la",)))))))</f>
        <v>to</v>
      </c>
      <c r="C28" s="18">
        <v>28</v>
      </c>
      <c r="D28" s="10">
        <v>6</v>
      </c>
      <c r="E28" s="10"/>
      <c r="F28" s="11">
        <v>2</v>
      </c>
      <c r="G28" s="18">
        <v>2</v>
      </c>
      <c r="H28" s="11">
        <v>26</v>
      </c>
      <c r="I28" s="18"/>
      <c r="J28" s="11"/>
      <c r="K28" s="33">
        <f t="shared" si="0"/>
        <v>64</v>
      </c>
      <c r="L28" s="10"/>
      <c r="M28" s="10"/>
      <c r="N28" s="10"/>
      <c r="O28" s="11"/>
      <c r="P28" s="10"/>
      <c r="Q28" s="11"/>
      <c r="R28" s="30"/>
      <c r="S28" s="30"/>
      <c r="T28" s="33">
        <f t="shared" si="1"/>
        <v>0</v>
      </c>
      <c r="U28" s="10"/>
      <c r="V28" s="10"/>
      <c r="W28" s="10"/>
      <c r="X28" s="11"/>
      <c r="Y28" s="10"/>
      <c r="Z28" s="11"/>
      <c r="AA28" s="30"/>
      <c r="AB28" s="30"/>
      <c r="AC28" s="33">
        <f t="shared" si="2"/>
        <v>0</v>
      </c>
      <c r="AD28" s="12">
        <f t="shared" si="3"/>
        <v>64</v>
      </c>
      <c r="AE28" s="39"/>
      <c r="AF28" s="39"/>
      <c r="AG28" s="39"/>
      <c r="AH28" s="39"/>
      <c r="AI28" s="39"/>
      <c r="AJ28" s="39"/>
    </row>
    <row r="29" spans="1:37" x14ac:dyDescent="0.2">
      <c r="A29" s="5">
        <f>DAY(Kalenteri!A25)</f>
        <v>25</v>
      </c>
      <c r="B29" s="3" t="str">
        <f>IF(Kalenteri!B25=1,"su",IF(Kalenteri!B25=2,"ma",IF(Kalenteri!B25=3,"ti",IF(Kalenteri!B25=4,"ke",IF(Kalenteri!B25=5,"to",IF(Kalenteri!B25=6,"pe",IF(Kalenteri!B25=7,"la",)))))))</f>
        <v>pe</v>
      </c>
      <c r="C29" s="18">
        <v>30</v>
      </c>
      <c r="D29" s="10">
        <v>6</v>
      </c>
      <c r="E29" s="10"/>
      <c r="F29" s="11">
        <v>1</v>
      </c>
      <c r="G29" s="18">
        <v>3</v>
      </c>
      <c r="H29" s="11">
        <v>30</v>
      </c>
      <c r="I29" s="18"/>
      <c r="J29" s="11"/>
      <c r="K29" s="33">
        <f t="shared" si="0"/>
        <v>70</v>
      </c>
      <c r="L29" s="10"/>
      <c r="M29" s="10"/>
      <c r="N29" s="10"/>
      <c r="O29" s="11"/>
      <c r="P29" s="10"/>
      <c r="Q29" s="11"/>
      <c r="R29" s="30"/>
      <c r="S29" s="30"/>
      <c r="T29" s="33">
        <f t="shared" si="1"/>
        <v>0</v>
      </c>
      <c r="U29" s="10"/>
      <c r="V29" s="10"/>
      <c r="W29" s="10"/>
      <c r="X29" s="11"/>
      <c r="Y29" s="10"/>
      <c r="Z29" s="11"/>
      <c r="AA29" s="30"/>
      <c r="AB29" s="30"/>
      <c r="AC29" s="33">
        <f t="shared" si="2"/>
        <v>0</v>
      </c>
      <c r="AD29" s="12">
        <f t="shared" si="3"/>
        <v>70</v>
      </c>
      <c r="AE29" s="39"/>
      <c r="AF29" s="39"/>
      <c r="AG29" s="39"/>
      <c r="AH29" s="39"/>
      <c r="AI29" s="39"/>
      <c r="AJ29" s="39"/>
    </row>
    <row r="30" spans="1:37" x14ac:dyDescent="0.2">
      <c r="A30" s="5">
        <f>DAY(Kalenteri!A26)</f>
        <v>26</v>
      </c>
      <c r="B30" s="3" t="str">
        <f>IF(Kalenteri!B26=1,"su",IF(Kalenteri!B26=2,"ma",IF(Kalenteri!B26=3,"ti",IF(Kalenteri!B26=4,"ke",IF(Kalenteri!B26=5,"to",IF(Kalenteri!B26=6,"pe",IF(Kalenteri!B26=7,"la",)))))))</f>
        <v>la</v>
      </c>
      <c r="C30" s="18">
        <v>166</v>
      </c>
      <c r="D30" s="10">
        <v>33</v>
      </c>
      <c r="E30" s="10">
        <v>2</v>
      </c>
      <c r="F30" s="11">
        <v>23</v>
      </c>
      <c r="G30" s="18">
        <v>6</v>
      </c>
      <c r="H30" s="11">
        <v>124</v>
      </c>
      <c r="I30" s="18">
        <v>4</v>
      </c>
      <c r="J30" s="11">
        <v>6</v>
      </c>
      <c r="K30" s="33">
        <f t="shared" si="0"/>
        <v>364</v>
      </c>
      <c r="L30" s="10"/>
      <c r="M30" s="10"/>
      <c r="N30" s="10"/>
      <c r="O30" s="11"/>
      <c r="P30" s="10"/>
      <c r="Q30" s="11"/>
      <c r="R30" s="30"/>
      <c r="S30" s="30"/>
      <c r="T30" s="33">
        <f t="shared" si="1"/>
        <v>0</v>
      </c>
      <c r="U30" s="10"/>
      <c r="V30" s="10"/>
      <c r="W30" s="10"/>
      <c r="X30" s="11"/>
      <c r="Y30" s="10"/>
      <c r="Z30" s="11"/>
      <c r="AA30" s="30"/>
      <c r="AB30" s="30"/>
      <c r="AC30" s="33">
        <f t="shared" si="2"/>
        <v>0</v>
      </c>
      <c r="AD30" s="12">
        <f t="shared" si="3"/>
        <v>364</v>
      </c>
      <c r="AE30" s="39"/>
      <c r="AF30" s="39"/>
      <c r="AG30" s="39"/>
      <c r="AH30" s="39"/>
      <c r="AI30" s="39"/>
      <c r="AJ30" s="39"/>
    </row>
    <row r="31" spans="1:37" x14ac:dyDescent="0.2">
      <c r="A31" s="5">
        <f>DAY(Kalenteri!A27)</f>
        <v>27</v>
      </c>
      <c r="B31" s="3" t="str">
        <f>IF(Kalenteri!B27=1,"su",IF(Kalenteri!B27=2,"ma",IF(Kalenteri!B27=3,"ti",IF(Kalenteri!B27=4,"ke",IF(Kalenteri!B27=5,"to",IF(Kalenteri!B27=6,"pe",IF(Kalenteri!B27=7,"la",)))))))</f>
        <v>su</v>
      </c>
      <c r="C31" s="18">
        <v>94</v>
      </c>
      <c r="D31" s="10">
        <v>32</v>
      </c>
      <c r="E31" s="10">
        <v>1</v>
      </c>
      <c r="F31" s="11">
        <v>21</v>
      </c>
      <c r="G31" s="18"/>
      <c r="H31" s="11">
        <v>56</v>
      </c>
      <c r="I31" s="18"/>
      <c r="J31" s="11"/>
      <c r="K31" s="33">
        <f t="shared" si="0"/>
        <v>204</v>
      </c>
      <c r="L31" s="10"/>
      <c r="M31" s="10"/>
      <c r="N31" s="10"/>
      <c r="O31" s="11"/>
      <c r="P31" s="10"/>
      <c r="Q31" s="11"/>
      <c r="R31" s="30"/>
      <c r="S31" s="30"/>
      <c r="T31" s="33">
        <f t="shared" si="1"/>
        <v>0</v>
      </c>
      <c r="U31" s="10"/>
      <c r="V31" s="10"/>
      <c r="W31" s="10"/>
      <c r="X31" s="11"/>
      <c r="Y31" s="10"/>
      <c r="Z31" s="11"/>
      <c r="AA31" s="30"/>
      <c r="AB31" s="30"/>
      <c r="AC31" s="33">
        <f t="shared" si="2"/>
        <v>0</v>
      </c>
      <c r="AD31" s="12">
        <f t="shared" si="3"/>
        <v>204</v>
      </c>
      <c r="AE31" s="39"/>
      <c r="AF31" s="39"/>
      <c r="AG31" s="39"/>
      <c r="AH31" s="39"/>
      <c r="AI31" s="39"/>
      <c r="AJ31" s="39"/>
    </row>
    <row r="32" spans="1:37" x14ac:dyDescent="0.2">
      <c r="A32" s="5">
        <f>DAY(Kalenteri!A28)</f>
        <v>28</v>
      </c>
      <c r="B32" s="3" t="str">
        <f>IF(Kalenteri!B28=1,"su",IF(Kalenteri!B28=2,"ma",IF(Kalenteri!B28=3,"ti",IF(Kalenteri!B28=4,"ke",IF(Kalenteri!B28=5,"to",IF(Kalenteri!B28=6,"pe",IF(Kalenteri!B28=7,"la",)))))))</f>
        <v>ma</v>
      </c>
      <c r="C32" s="18">
        <v>12</v>
      </c>
      <c r="D32" s="10"/>
      <c r="E32" s="10"/>
      <c r="F32" s="11">
        <v>1</v>
      </c>
      <c r="G32" s="18"/>
      <c r="H32" s="11">
        <v>2</v>
      </c>
      <c r="I32" s="18"/>
      <c r="J32" s="11"/>
      <c r="K32" s="33">
        <f t="shared" si="0"/>
        <v>15</v>
      </c>
      <c r="L32" s="10"/>
      <c r="M32" s="10"/>
      <c r="N32" s="10"/>
      <c r="O32" s="11"/>
      <c r="P32" s="10"/>
      <c r="Q32" s="11"/>
      <c r="R32" s="30"/>
      <c r="S32" s="30"/>
      <c r="T32" s="33">
        <f t="shared" si="1"/>
        <v>0</v>
      </c>
      <c r="U32" s="10"/>
      <c r="V32" s="10"/>
      <c r="W32" s="10"/>
      <c r="X32" s="11"/>
      <c r="Y32" s="10"/>
      <c r="Z32" s="11"/>
      <c r="AA32" s="30"/>
      <c r="AB32" s="30"/>
      <c r="AC32" s="33">
        <f t="shared" si="2"/>
        <v>0</v>
      </c>
      <c r="AD32" s="12">
        <f t="shared" si="3"/>
        <v>15</v>
      </c>
      <c r="AE32" s="39"/>
      <c r="AF32" s="39"/>
      <c r="AG32" s="39"/>
      <c r="AH32" s="39"/>
      <c r="AI32" s="39"/>
      <c r="AJ32" s="39"/>
    </row>
    <row r="33" spans="1:36" x14ac:dyDescent="0.2">
      <c r="A33" s="5">
        <f>DAY(Kalenteri!A29)</f>
        <v>29</v>
      </c>
      <c r="B33" s="3" t="str">
        <f>IF(Kalenteri!B29=1,"su",IF(Kalenteri!B29=2,"ma",IF(Kalenteri!B29=3,"ti",IF(Kalenteri!B29=4,"ke",IF(Kalenteri!B29=5,"to",IF(Kalenteri!B29=6,"pe",IF(Kalenteri!B29=7,"la",)))))))</f>
        <v>ti</v>
      </c>
      <c r="C33" s="18">
        <v>17</v>
      </c>
      <c r="D33" s="10">
        <v>1</v>
      </c>
      <c r="E33" s="10"/>
      <c r="F33" s="11">
        <v>2</v>
      </c>
      <c r="G33" s="18">
        <v>1</v>
      </c>
      <c r="H33" s="11">
        <v>19</v>
      </c>
      <c r="I33" s="18"/>
      <c r="J33" s="11"/>
      <c r="K33" s="33">
        <f t="shared" si="0"/>
        <v>40</v>
      </c>
      <c r="L33" s="10"/>
      <c r="M33" s="10"/>
      <c r="N33" s="10"/>
      <c r="O33" s="11"/>
      <c r="P33" s="10"/>
      <c r="Q33" s="11"/>
      <c r="R33" s="30"/>
      <c r="S33" s="30"/>
      <c r="T33" s="33">
        <f t="shared" si="1"/>
        <v>0</v>
      </c>
      <c r="U33" s="10"/>
      <c r="V33" s="10"/>
      <c r="W33" s="10"/>
      <c r="X33" s="11"/>
      <c r="Y33" s="10"/>
      <c r="Z33" s="11"/>
      <c r="AA33" s="30"/>
      <c r="AB33" s="30"/>
      <c r="AC33" s="33">
        <f t="shared" si="2"/>
        <v>0</v>
      </c>
      <c r="AD33" s="12">
        <f t="shared" si="3"/>
        <v>40</v>
      </c>
      <c r="AE33" s="39"/>
      <c r="AF33" s="39"/>
      <c r="AG33" s="39"/>
      <c r="AH33" s="39"/>
      <c r="AI33" s="39"/>
      <c r="AJ33" s="39"/>
    </row>
    <row r="34" spans="1:36" x14ac:dyDescent="0.2">
      <c r="A34" s="5">
        <f>DAY(Kalenteri!A30)</f>
        <v>30</v>
      </c>
      <c r="B34" s="3" t="str">
        <f>IF(Kalenteri!B30=1,"su",IF(Kalenteri!B30=2,"ma",IF(Kalenteri!B30=3,"ti",IF(Kalenteri!B30=4,"ke",IF(Kalenteri!B30=5,"to",IF(Kalenteri!B30=6,"pe",IF(Kalenteri!B30=7,"la",)))))))</f>
        <v>ke</v>
      </c>
      <c r="C34" s="18">
        <v>17</v>
      </c>
      <c r="D34" s="10">
        <v>2</v>
      </c>
      <c r="E34" s="10"/>
      <c r="F34" s="11">
        <v>4</v>
      </c>
      <c r="G34" s="18"/>
      <c r="H34" s="11">
        <v>6</v>
      </c>
      <c r="I34" s="18"/>
      <c r="J34" s="11"/>
      <c r="K34" s="33">
        <f t="shared" si="0"/>
        <v>29</v>
      </c>
      <c r="L34" s="10"/>
      <c r="M34" s="10"/>
      <c r="N34" s="10"/>
      <c r="O34" s="11"/>
      <c r="P34" s="10"/>
      <c r="Q34" s="11"/>
      <c r="R34" s="30"/>
      <c r="S34" s="30"/>
      <c r="T34" s="33">
        <f t="shared" si="1"/>
        <v>0</v>
      </c>
      <c r="U34" s="10"/>
      <c r="V34" s="10"/>
      <c r="W34" s="10"/>
      <c r="X34" s="11"/>
      <c r="Y34" s="10"/>
      <c r="Z34" s="11"/>
      <c r="AA34" s="30"/>
      <c r="AB34" s="30"/>
      <c r="AC34" s="33">
        <f t="shared" si="2"/>
        <v>0</v>
      </c>
      <c r="AD34" s="12">
        <f t="shared" si="3"/>
        <v>29</v>
      </c>
      <c r="AE34" s="39"/>
      <c r="AF34" s="39"/>
      <c r="AG34" s="39"/>
      <c r="AH34" s="39"/>
      <c r="AI34" s="39"/>
      <c r="AJ34" s="39"/>
    </row>
    <row r="35" spans="1:36" x14ac:dyDescent="0.2">
      <c r="A35" s="5">
        <f>DAY(Kalenteri!A31)</f>
        <v>31</v>
      </c>
      <c r="B35" s="3" t="str">
        <f>IF(Kalenteri!B31=1,"su",IF(Kalenteri!B31=2,"ma",IF(Kalenteri!B31=3,"ti",IF(Kalenteri!B31=4,"ke",IF(Kalenteri!B31=5,"to",IF(Kalenteri!B31=6,"pe",IF(Kalenteri!B31=7,"la",)))))))</f>
        <v>to</v>
      </c>
      <c r="C35" s="79">
        <v>19</v>
      </c>
      <c r="D35" s="80"/>
      <c r="E35" s="80">
        <v>2</v>
      </c>
      <c r="F35" s="81">
        <v>3</v>
      </c>
      <c r="G35" s="79">
        <v>2</v>
      </c>
      <c r="H35" s="81">
        <v>29</v>
      </c>
      <c r="I35" s="79"/>
      <c r="J35" s="81"/>
      <c r="K35" s="34">
        <f t="shared" si="0"/>
        <v>55</v>
      </c>
      <c r="L35" s="20"/>
      <c r="M35" s="20"/>
      <c r="N35" s="20"/>
      <c r="O35" s="21"/>
      <c r="P35" s="20"/>
      <c r="Q35" s="21"/>
      <c r="R35" s="31"/>
      <c r="S35" s="31"/>
      <c r="T35" s="34">
        <f t="shared" si="1"/>
        <v>0</v>
      </c>
      <c r="U35" s="20"/>
      <c r="V35" s="20"/>
      <c r="W35" s="20"/>
      <c r="X35" s="21"/>
      <c r="Y35" s="20"/>
      <c r="Z35" s="21"/>
      <c r="AA35" s="31"/>
      <c r="AB35" s="31"/>
      <c r="AC35" s="34">
        <f t="shared" si="2"/>
        <v>0</v>
      </c>
      <c r="AD35" s="19">
        <f t="shared" si="3"/>
        <v>55</v>
      </c>
      <c r="AE35" s="39"/>
      <c r="AF35" s="39"/>
      <c r="AG35" s="39"/>
      <c r="AH35" s="39"/>
      <c r="AI35" s="39"/>
      <c r="AJ35" s="39"/>
    </row>
    <row r="36" spans="1:36" x14ac:dyDescent="0.2">
      <c r="A36" s="6"/>
      <c r="B36"/>
      <c r="C36" s="82">
        <f t="shared" ref="C36:J36" si="4">SUM(C5:C35)</f>
        <v>3100</v>
      </c>
      <c r="D36" s="83">
        <f t="shared" si="4"/>
        <v>795</v>
      </c>
      <c r="E36" s="83">
        <f t="shared" si="4"/>
        <v>65</v>
      </c>
      <c r="F36" s="84">
        <f t="shared" si="4"/>
        <v>287</v>
      </c>
      <c r="G36" s="83">
        <f t="shared" si="4"/>
        <v>62</v>
      </c>
      <c r="H36" s="84">
        <f t="shared" si="4"/>
        <v>1074</v>
      </c>
      <c r="I36" s="83">
        <f t="shared" si="4"/>
        <v>18</v>
      </c>
      <c r="J36" s="84">
        <f t="shared" si="4"/>
        <v>27</v>
      </c>
      <c r="K36" s="85">
        <f t="shared" si="0"/>
        <v>5428</v>
      </c>
      <c r="L36" s="83">
        <f t="shared" ref="L36:S36" si="5">SUM(L5:L35)</f>
        <v>0</v>
      </c>
      <c r="M36" s="83">
        <f t="shared" si="5"/>
        <v>0</v>
      </c>
      <c r="N36" s="83">
        <f t="shared" si="5"/>
        <v>0</v>
      </c>
      <c r="O36" s="84">
        <f t="shared" si="5"/>
        <v>0</v>
      </c>
      <c r="P36" s="83">
        <f t="shared" si="5"/>
        <v>0</v>
      </c>
      <c r="Q36" s="84">
        <f t="shared" si="5"/>
        <v>0</v>
      </c>
      <c r="R36" s="86">
        <f t="shared" si="5"/>
        <v>0</v>
      </c>
      <c r="S36" s="86">
        <f t="shared" si="5"/>
        <v>0</v>
      </c>
      <c r="T36" s="85">
        <f t="shared" si="1"/>
        <v>0</v>
      </c>
      <c r="U36" s="83">
        <f t="shared" ref="U36:AB36" si="6">SUM(U5:U35)</f>
        <v>0</v>
      </c>
      <c r="V36" s="83">
        <f t="shared" si="6"/>
        <v>0</v>
      </c>
      <c r="W36" s="83">
        <f t="shared" si="6"/>
        <v>0</v>
      </c>
      <c r="X36" s="84">
        <f t="shared" si="6"/>
        <v>0</v>
      </c>
      <c r="Y36" s="83">
        <f t="shared" si="6"/>
        <v>0</v>
      </c>
      <c r="Z36" s="84">
        <f t="shared" si="6"/>
        <v>0</v>
      </c>
      <c r="AA36" s="86">
        <f t="shared" si="6"/>
        <v>0</v>
      </c>
      <c r="AB36" s="86">
        <f t="shared" si="6"/>
        <v>0</v>
      </c>
      <c r="AC36" s="85">
        <f t="shared" si="2"/>
        <v>0</v>
      </c>
      <c r="AD36" s="87">
        <f t="shared" si="3"/>
        <v>5428</v>
      </c>
      <c r="AE36" s="66"/>
      <c r="AF36" s="66"/>
      <c r="AG36" s="66"/>
      <c r="AH36" s="66"/>
      <c r="AI36" s="66"/>
      <c r="AJ36" s="66"/>
    </row>
    <row r="37" spans="1:36" ht="8.1" customHeight="1" thickBot="1" x14ac:dyDescent="0.25">
      <c r="A37" s="6"/>
      <c r="B37"/>
      <c r="C37" s="2"/>
      <c r="D37" s="5"/>
      <c r="E37" s="5"/>
      <c r="F37" s="2"/>
      <c r="G37" s="2"/>
      <c r="H37" s="2"/>
      <c r="I37" s="5"/>
      <c r="J37" s="2"/>
      <c r="K37" s="2"/>
      <c r="L37" s="5"/>
      <c r="M37" s="2"/>
      <c r="N37" s="5"/>
      <c r="O37" s="5"/>
      <c r="P37" s="2"/>
      <c r="Q37" s="5"/>
      <c r="R37" s="42"/>
      <c r="S37" s="42"/>
      <c r="T37" s="2"/>
      <c r="U37" s="2"/>
      <c r="V37" s="2"/>
      <c r="W37" s="2"/>
      <c r="X37" s="5"/>
      <c r="Y37" s="2"/>
      <c r="Z37" s="2"/>
      <c r="AA37" s="39"/>
      <c r="AB37" s="39"/>
      <c r="AC37" s="5"/>
      <c r="AD37" s="40"/>
      <c r="AE37" s="40"/>
      <c r="AF37" s="40"/>
      <c r="AG37" s="40"/>
      <c r="AH37" s="40"/>
      <c r="AI37" s="40"/>
      <c r="AJ37" s="40"/>
    </row>
    <row r="38" spans="1:36" ht="24.95" customHeight="1" thickTop="1" x14ac:dyDescent="0.3">
      <c r="A38" s="6"/>
      <c r="B38"/>
      <c r="C38" s="171" t="str">
        <f>Kalenteri!E38</f>
        <v>Lippujen hinnat:</v>
      </c>
      <c r="D38" s="5"/>
      <c r="E38" s="5"/>
      <c r="F38" s="2"/>
      <c r="G38" s="2"/>
      <c r="H38" s="2"/>
      <c r="I38" s="5"/>
      <c r="J38" s="2"/>
      <c r="K38" s="2"/>
      <c r="L38" s="5"/>
      <c r="M38" s="2"/>
      <c r="N38" s="5"/>
      <c r="O38" s="5"/>
      <c r="P38" s="2"/>
      <c r="Q38"/>
      <c r="R38"/>
      <c r="S38"/>
      <c r="T38"/>
      <c r="U38" s="49" t="s">
        <v>71</v>
      </c>
      <c r="V38" s="50"/>
      <c r="W38" s="43"/>
      <c r="X38" s="44"/>
      <c r="Y38" s="43"/>
      <c r="Z38" s="43"/>
      <c r="AA38" s="44"/>
      <c r="AB38" s="44"/>
      <c r="AC38" s="47"/>
      <c r="AD38" s="45">
        <f>AD36</f>
        <v>5428</v>
      </c>
      <c r="AE38" s="41"/>
      <c r="AF38" s="41"/>
      <c r="AG38" s="41"/>
      <c r="AH38" s="41"/>
      <c r="AI38" s="41"/>
      <c r="AJ38" s="41"/>
    </row>
    <row r="39" spans="1:36" ht="24.95" customHeight="1" x14ac:dyDescent="0.3">
      <c r="A39" s="6"/>
      <c r="B39"/>
      <c r="C39" s="193" t="str">
        <f>Kalenteri!E39</f>
        <v>Mustikkamaan kautta: 1.9.-30.4. aik. 10 €, lapset 5 €, kimppalippu 30 €    1.5.-30.8. aik. 12 €, lapset 6 €, kimppalippu 36 €</v>
      </c>
      <c r="D39" s="89"/>
      <c r="E39" s="89"/>
      <c r="F39" s="90"/>
      <c r="G39" s="102"/>
      <c r="H39" s="174"/>
      <c r="I39" s="89"/>
      <c r="J39" s="90"/>
      <c r="K39" s="90"/>
      <c r="L39" s="89"/>
      <c r="M39" s="90"/>
      <c r="N39" s="89"/>
      <c r="O39" s="89"/>
      <c r="P39" s="90"/>
      <c r="Q39" s="104"/>
      <c r="R39" s="103"/>
      <c r="S39"/>
      <c r="T39"/>
      <c r="U39" s="62" t="s">
        <v>13</v>
      </c>
      <c r="V39" s="52"/>
      <c r="W39" s="53"/>
      <c r="X39" s="54"/>
      <c r="Y39" s="53"/>
      <c r="Z39" s="53"/>
      <c r="AA39" s="54"/>
      <c r="AB39" s="54"/>
      <c r="AC39" s="55"/>
      <c r="AD39" s="56">
        <f>AD36-Edellisvuosi!B7</f>
        <v>81</v>
      </c>
      <c r="AE39" s="67"/>
      <c r="AF39" s="67"/>
      <c r="AG39" s="67"/>
      <c r="AH39" s="67"/>
      <c r="AI39" s="67"/>
      <c r="AJ39" s="67"/>
    </row>
    <row r="40" spans="1:36" ht="24.95" customHeight="1" x14ac:dyDescent="0.3">
      <c r="A40" s="6"/>
      <c r="B40" s="6"/>
      <c r="C40" s="194" t="str">
        <f>Kalenteri!E40</f>
        <v xml:space="preserve">                                    Vuosikortti:     aik. 50 €, lapset 20 €, perhekortti 100 €</v>
      </c>
      <c r="D40" s="39"/>
      <c r="E40" s="39"/>
      <c r="F40" s="42"/>
      <c r="G40" s="65"/>
      <c r="H40" s="176"/>
      <c r="I40" s="39"/>
      <c r="J40" s="42"/>
      <c r="K40" s="42"/>
      <c r="L40" s="39"/>
      <c r="M40" s="42"/>
      <c r="N40" s="39"/>
      <c r="O40" s="39"/>
      <c r="P40" s="39"/>
      <c r="Q40" s="23"/>
      <c r="R40" s="97"/>
      <c r="S40"/>
      <c r="T40"/>
      <c r="U40" s="63" t="s">
        <v>72</v>
      </c>
      <c r="V40" s="37"/>
      <c r="W40" s="51"/>
      <c r="X40" s="41"/>
      <c r="Y40" s="51"/>
      <c r="Z40" s="41"/>
      <c r="AA40" s="41"/>
      <c r="AB40" s="41"/>
      <c r="AC40" s="48"/>
      <c r="AD40" s="46">
        <f>AD36</f>
        <v>5428</v>
      </c>
      <c r="AE40" s="41"/>
      <c r="AF40" s="41"/>
      <c r="AG40" s="41"/>
      <c r="AH40" s="41"/>
      <c r="AI40" s="41"/>
      <c r="AJ40" s="68"/>
    </row>
    <row r="41" spans="1:36" ht="24.95" customHeight="1" thickBot="1" x14ac:dyDescent="0.35">
      <c r="A41" s="4"/>
      <c r="B41" s="4"/>
      <c r="C41" s="195" t="str">
        <f>Kalenteri!E41</f>
        <v>Vesibusseilla:             1.9.-30.4. aik. 16 €, lapset 8 €, kimppalippu 47 €    1.5.-31.8. aik. 18 €, lapset 9 €, kimppalippu 53 €</v>
      </c>
      <c r="D41" s="93"/>
      <c r="E41" s="93"/>
      <c r="F41" s="94"/>
      <c r="G41" s="94"/>
      <c r="H41" s="175"/>
      <c r="I41" s="93"/>
      <c r="J41" s="96"/>
      <c r="K41" s="96"/>
      <c r="L41" s="93"/>
      <c r="M41" s="95"/>
      <c r="N41" s="95"/>
      <c r="O41" s="93"/>
      <c r="P41" s="95"/>
      <c r="Q41" s="95"/>
      <c r="R41" s="98"/>
      <c r="S41"/>
      <c r="T41"/>
      <c r="U41" s="64" t="s">
        <v>13</v>
      </c>
      <c r="V41" s="57"/>
      <c r="W41" s="58"/>
      <c r="X41" s="59"/>
      <c r="Y41" s="59"/>
      <c r="Z41" s="59"/>
      <c r="AA41" s="59"/>
      <c r="AB41" s="59"/>
      <c r="AC41" s="60"/>
      <c r="AD41" s="61">
        <f>AD40-Edellisvuosi!B7</f>
        <v>81</v>
      </c>
      <c r="AE41" s="68"/>
      <c r="AF41" s="68"/>
      <c r="AG41" s="68"/>
      <c r="AH41" s="68"/>
      <c r="AI41" s="68"/>
      <c r="AJ41" s="68"/>
    </row>
    <row r="42" spans="1:36" ht="13.5" thickTop="1" x14ac:dyDescent="0.2"/>
  </sheetData>
  <sheetProtection password="C4AC" sheet="1" objects="1" scenarios="1"/>
  <customSheetViews>
    <customSheetView guid="{1FA7E080-DAEE-11D3-A55E-00004B48144D}" scale="75" showPageBreaks="1" showGridLines="0" showRowCol="0" showRuler="0">
      <selection activeCell="C5" sqref="C5"/>
      <rowBreaks count="12" manualBreakCount="12">
        <brk id="41" max="65535" man="1"/>
        <brk id="84" max="65535" man="1"/>
        <brk id="127" max="65535" man="1"/>
        <brk id="170" max="65535" man="1"/>
        <brk id="213" max="65535" man="1"/>
        <brk id="256" max="65535" man="1"/>
        <brk id="299" max="65535" man="1"/>
        <brk id="342" max="65535" man="1"/>
        <brk id="385" max="65535" man="1"/>
        <brk id="428" max="65535" man="1"/>
        <brk id="471" max="65535" man="1"/>
        <brk id="514" max="65535" man="1"/>
      </rowBreaks>
      <pageMargins left="0" right="0" top="1.1417322834645669" bottom="0.82677165354330717" header="0.51181102362204722" footer="0.51181102362204722"/>
      <pageSetup paperSize="9" scale="85" fitToHeight="0" orientation="landscape" horizontalDpi="4294967292" verticalDpi="4294967292" r:id="rId1"/>
      <headerFooter alignWithMargins="0">
        <oddHeader>&amp;B&amp;15KORKEASAAREN ELÄINTARHA&amp;C&amp;15KÄVIJÄTILASTO&amp;O&amp;15VUOSI 1994</oddHeader>
        <oddFooter>&amp;B&amp;BLippujen hinnat:&amp;B  Mustikkamaa: aik. 20 mk, lapset 10 mk&amp;CVesibussit: aik. 33 mk,    lapset 16 mk</oddFooter>
      </headerFooter>
    </customSheetView>
    <customSheetView guid="{1FA7E081-DAEE-11D3-A55E-00004B48144D}" scale="75" showPageBreaks="1" showGridLines="0" showRuler="0" topLeftCell="AP1">
      <selection activeCell="BH1" sqref="BH1"/>
      <rowBreaks count="12" manualBreakCount="12">
        <brk id="41" max="65535" man="1"/>
        <brk id="84" max="65535" man="1"/>
        <brk id="127" max="65535" man="1"/>
        <brk id="170" max="65535" man="1"/>
        <brk id="213" max="65535" man="1"/>
        <brk id="256" max="65535" man="1"/>
        <brk id="299" max="65535" man="1"/>
        <brk id="342" max="65535" man="1"/>
        <brk id="385" max="65535" man="1"/>
        <brk id="428" max="65535" man="1"/>
        <brk id="471" max="65535" man="1"/>
        <brk id="514" max="65535" man="1"/>
      </rowBreaks>
      <pageMargins left="0" right="0" top="1.1417322834645669" bottom="0.82677165354330717" header="0.51181102362204722" footer="0.51181102362204722"/>
      <pageSetup paperSize="9" scale="85" fitToHeight="0" orientation="landscape" horizontalDpi="4294967292" verticalDpi="4294967292" r:id="rId2"/>
      <headerFooter alignWithMargins="0">
        <oddHeader>&amp;B&amp;15KORKEASAAREN ELÄINTARHA&amp;C&amp;15KÄVIJÄTILASTO&amp;O&amp;15VUOSI 1994</oddHeader>
        <oddFooter>&amp;B&amp;BLippujen hinnat:&amp;B  Mustikkamaa: aik. 20 mk, lapset 10 mk&amp;CVesibussit: aik. 33 mk,    lapset 16 mk</oddFooter>
      </headerFooter>
    </customSheetView>
  </customSheetViews>
  <phoneticPr fontId="4" type="noConversion"/>
  <pageMargins left="0" right="0" top="0.27559055118110237" bottom="0" header="0" footer="0"/>
  <pageSetup paperSize="9" scale="75" fitToHeight="0" orientation="landscape" horizontalDpi="4294967292" verticalDpi="4294967292" r:id="rId3"/>
  <headerFooter alignWithMargins="0"/>
  <drawing r:id="rId4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/>
  <dimension ref="A1:AJ42"/>
  <sheetViews>
    <sheetView showGridLines="0" zoomScale="75" workbookViewId="0"/>
  </sheetViews>
  <sheetFormatPr defaultColWidth="9.75" defaultRowHeight="12.75" x14ac:dyDescent="0.2"/>
  <cols>
    <col min="1" max="1" width="3.75" style="1" customWidth="1"/>
    <col min="2" max="2" width="2.75" style="1" customWidth="1"/>
    <col min="3" max="4" width="6.125" style="1" customWidth="1"/>
    <col min="5" max="5" width="4" style="1" customWidth="1"/>
    <col min="6" max="6" width="4.5" style="1" customWidth="1"/>
    <col min="7" max="10" width="6.125" style="1" customWidth="1"/>
    <col min="11" max="11" width="5.875" style="1" customWidth="1"/>
    <col min="12" max="13" width="6.125" style="1" customWidth="1"/>
    <col min="14" max="14" width="5.25" style="1" customWidth="1"/>
    <col min="15" max="15" width="4.5" style="1" customWidth="1"/>
    <col min="16" max="16" width="6.125" style="1" customWidth="1"/>
    <col min="17" max="17" width="5.5" style="1" customWidth="1"/>
    <col min="18" max="19" width="6.125" style="1" customWidth="1"/>
    <col min="20" max="20" width="5.875" style="1" customWidth="1"/>
    <col min="21" max="22" width="6.125" style="1" customWidth="1"/>
    <col min="23" max="23" width="4.375" style="1" customWidth="1"/>
    <col min="24" max="24" width="4.25" style="1" customWidth="1"/>
    <col min="25" max="29" width="6.125" style="1" customWidth="1"/>
    <col min="30" max="36" width="15.625" style="1" customWidth="1"/>
  </cols>
  <sheetData>
    <row r="1" spans="1:36" ht="30" customHeight="1" x14ac:dyDescent="0.35">
      <c r="A1" s="22"/>
      <c r="B1" s="4"/>
      <c r="C1" s="105" t="s">
        <v>15</v>
      </c>
      <c r="D1" s="106"/>
      <c r="E1" s="106"/>
      <c r="F1" s="106"/>
      <c r="G1" s="106"/>
      <c r="H1" s="106"/>
      <c r="I1" s="106"/>
      <c r="J1" s="106"/>
      <c r="K1" s="106"/>
      <c r="L1" s="105" t="str">
        <f>Kalenteri!$H$1</f>
        <v>KÄVIJÄTILASTO 2013</v>
      </c>
      <c r="M1" s="107"/>
      <c r="N1" s="107"/>
      <c r="O1" s="107"/>
      <c r="P1" s="106"/>
      <c r="Q1" s="106"/>
      <c r="R1" s="105" t="s">
        <v>76</v>
      </c>
      <c r="S1" s="108"/>
      <c r="T1" s="106"/>
      <c r="U1" s="109"/>
      <c r="V1" s="105" t="s">
        <v>39</v>
      </c>
      <c r="W1" s="109"/>
      <c r="X1" s="106"/>
      <c r="Y1" s="106"/>
      <c r="Z1" s="106"/>
      <c r="AA1" s="106"/>
      <c r="AB1" s="106"/>
      <c r="AC1" s="106"/>
      <c r="AD1" s="110"/>
      <c r="AE1" s="4"/>
      <c r="AF1" s="4"/>
      <c r="AG1" s="4"/>
      <c r="AH1" s="4"/>
      <c r="AI1" s="4"/>
      <c r="AJ1" s="4"/>
    </row>
    <row r="2" spans="1:36" ht="30" customHeight="1" x14ac:dyDescent="0.3">
      <c r="A2" s="3"/>
      <c r="B2" s="4"/>
      <c r="C2" s="72"/>
      <c r="D2" s="73"/>
      <c r="E2" s="74" t="s">
        <v>1</v>
      </c>
      <c r="F2" s="75"/>
      <c r="G2" s="75"/>
      <c r="H2" s="75"/>
      <c r="I2" s="75"/>
      <c r="J2" s="75"/>
      <c r="K2" s="76"/>
      <c r="L2" s="72"/>
      <c r="M2" s="77"/>
      <c r="N2" s="73"/>
      <c r="O2" s="74" t="s">
        <v>2</v>
      </c>
      <c r="P2" s="75"/>
      <c r="Q2" s="75"/>
      <c r="R2" s="75"/>
      <c r="S2" s="75"/>
      <c r="T2" s="76"/>
      <c r="U2" s="72"/>
      <c r="V2" s="75"/>
      <c r="W2" s="73"/>
      <c r="X2" s="74" t="s">
        <v>3</v>
      </c>
      <c r="Y2" s="75"/>
      <c r="Z2" s="75"/>
      <c r="AA2" s="75"/>
      <c r="AB2" s="75"/>
      <c r="AC2" s="76"/>
      <c r="AD2" s="13"/>
      <c r="AE2" s="35"/>
      <c r="AF2" s="69"/>
      <c r="AG2" s="69"/>
      <c r="AH2" s="69"/>
      <c r="AI2" s="69"/>
      <c r="AJ2" s="69"/>
    </row>
    <row r="3" spans="1:36" x14ac:dyDescent="0.2">
      <c r="A3" s="4"/>
      <c r="B3" s="4"/>
      <c r="C3" s="24" t="s">
        <v>4</v>
      </c>
      <c r="D3" s="25"/>
      <c r="E3" s="25"/>
      <c r="F3" s="26"/>
      <c r="G3" s="24" t="s">
        <v>5</v>
      </c>
      <c r="H3" s="26"/>
      <c r="I3" s="25" t="s">
        <v>6</v>
      </c>
      <c r="J3" s="25"/>
      <c r="K3" s="27"/>
      <c r="L3" s="24" t="s">
        <v>4</v>
      </c>
      <c r="M3" s="25"/>
      <c r="N3" s="25"/>
      <c r="O3" s="26"/>
      <c r="P3" s="24" t="s">
        <v>5</v>
      </c>
      <c r="Q3" s="26"/>
      <c r="R3" s="25" t="s">
        <v>6</v>
      </c>
      <c r="S3" s="25"/>
      <c r="T3" s="27"/>
      <c r="U3" s="24" t="s">
        <v>4</v>
      </c>
      <c r="V3" s="25"/>
      <c r="W3" s="25"/>
      <c r="X3" s="26"/>
      <c r="Y3" s="24" t="s">
        <v>5</v>
      </c>
      <c r="Z3" s="26"/>
      <c r="AA3" s="25" t="s">
        <v>6</v>
      </c>
      <c r="AB3" s="25"/>
      <c r="AC3" s="27"/>
      <c r="AD3" s="36" t="s">
        <v>7</v>
      </c>
      <c r="AE3" s="38"/>
      <c r="AF3" s="70"/>
      <c r="AG3" s="70"/>
      <c r="AH3" s="70"/>
      <c r="AI3" s="70"/>
      <c r="AJ3"/>
    </row>
    <row r="4" spans="1:36" x14ac:dyDescent="0.2">
      <c r="A4" s="6"/>
      <c r="B4" s="4"/>
      <c r="C4" s="7" t="s">
        <v>8</v>
      </c>
      <c r="D4" s="8" t="s">
        <v>9</v>
      </c>
      <c r="E4" s="8" t="s">
        <v>10</v>
      </c>
      <c r="F4" s="9" t="s">
        <v>11</v>
      </c>
      <c r="G4" s="7" t="s">
        <v>8</v>
      </c>
      <c r="H4" s="9" t="s">
        <v>9</v>
      </c>
      <c r="I4" s="8" t="s">
        <v>8</v>
      </c>
      <c r="J4" s="8" t="s">
        <v>9</v>
      </c>
      <c r="K4" s="14" t="s">
        <v>0</v>
      </c>
      <c r="L4" s="7" t="s">
        <v>8</v>
      </c>
      <c r="M4" s="8" t="s">
        <v>9</v>
      </c>
      <c r="N4" s="8" t="s">
        <v>10</v>
      </c>
      <c r="O4" s="9" t="s">
        <v>11</v>
      </c>
      <c r="P4" s="7" t="s">
        <v>8</v>
      </c>
      <c r="Q4" s="9" t="s">
        <v>9</v>
      </c>
      <c r="R4" s="8" t="s">
        <v>8</v>
      </c>
      <c r="S4" s="8" t="s">
        <v>9</v>
      </c>
      <c r="T4" s="14" t="s">
        <v>0</v>
      </c>
      <c r="U4" s="7" t="s">
        <v>8</v>
      </c>
      <c r="V4" s="8" t="s">
        <v>9</v>
      </c>
      <c r="W4" s="8" t="s">
        <v>10</v>
      </c>
      <c r="X4" s="9" t="s">
        <v>11</v>
      </c>
      <c r="Y4" s="7" t="s">
        <v>8</v>
      </c>
      <c r="Z4" s="9" t="s">
        <v>9</v>
      </c>
      <c r="AA4" s="8" t="s">
        <v>8</v>
      </c>
      <c r="AB4" s="8" t="s">
        <v>9</v>
      </c>
      <c r="AC4" s="14" t="s">
        <v>0</v>
      </c>
      <c r="AD4" s="28"/>
      <c r="AE4" s="23"/>
      <c r="AF4" s="23"/>
      <c r="AG4" s="23"/>
      <c r="AH4" s="23"/>
      <c r="AI4" s="23"/>
      <c r="AJ4"/>
    </row>
    <row r="5" spans="1:36" x14ac:dyDescent="0.2">
      <c r="A5" s="5">
        <f>DAY(Kalenteri!A182)</f>
        <v>1</v>
      </c>
      <c r="B5" s="3" t="str">
        <f>IF(Kalenteri!B182=1,"su",IF(Kalenteri!B182=2,"ma",IF(Kalenteri!B182=3,"ti",IF(Kalenteri!B182=4,"ke",IF(Kalenteri!B182=5,"to",IF(Kalenteri!B182=6,"pe",IF(Kalenteri!B182=7,"la",)))))))</f>
        <v>ma</v>
      </c>
      <c r="C5" s="78" t="s">
        <v>257</v>
      </c>
      <c r="D5" s="15"/>
      <c r="E5" s="15"/>
      <c r="F5" s="16"/>
      <c r="G5" s="78">
        <v>47</v>
      </c>
      <c r="H5" s="16">
        <v>10</v>
      </c>
      <c r="I5" s="78">
        <v>2</v>
      </c>
      <c r="J5" s="16">
        <v>3</v>
      </c>
      <c r="K5" s="32">
        <f t="shared" ref="K5:K36" si="0">SUM(C5:J5)</f>
        <v>62</v>
      </c>
      <c r="L5" s="15">
        <v>5</v>
      </c>
      <c r="M5" s="15">
        <v>2</v>
      </c>
      <c r="N5" s="15" t="s">
        <v>236</v>
      </c>
      <c r="O5" s="16"/>
      <c r="P5" s="15"/>
      <c r="Q5" s="16"/>
      <c r="R5" s="29"/>
      <c r="S5" s="29"/>
      <c r="T5" s="32">
        <f t="shared" ref="T5:T36" si="1">SUM(L5:S5)</f>
        <v>7</v>
      </c>
      <c r="U5" s="15"/>
      <c r="V5" s="15"/>
      <c r="W5" s="15"/>
      <c r="X5" s="16"/>
      <c r="Y5" s="15"/>
      <c r="Z5" s="16"/>
      <c r="AA5" s="29"/>
      <c r="AB5" s="29"/>
      <c r="AC5" s="32">
        <f t="shared" ref="AC5:AC36" si="2">SUM(U5:AB5)</f>
        <v>0</v>
      </c>
      <c r="AD5" s="17">
        <f t="shared" ref="AD5:AD36" si="3">SUM(K5,T5,AC5)</f>
        <v>69</v>
      </c>
      <c r="AE5" s="39"/>
      <c r="AF5" s="39"/>
      <c r="AG5" s="39"/>
      <c r="AH5" s="39"/>
      <c r="AI5" s="39"/>
      <c r="AJ5"/>
    </row>
    <row r="6" spans="1:36" x14ac:dyDescent="0.2">
      <c r="A6" s="5">
        <f>DAY(Kalenteri!A183)</f>
        <v>2</v>
      </c>
      <c r="B6" s="3" t="str">
        <f>IF(Kalenteri!B183=1,"su",IF(Kalenteri!B183=2,"ma",IF(Kalenteri!B183=3,"ti",IF(Kalenteri!B183=4,"ke",IF(Kalenteri!B183=5,"to",IF(Kalenteri!B183=6,"pe",IF(Kalenteri!B183=7,"la",)))))))</f>
        <v>ti</v>
      </c>
      <c r="C6" s="18" t="s">
        <v>257</v>
      </c>
      <c r="D6" s="10"/>
      <c r="E6" s="10"/>
      <c r="F6" s="11"/>
      <c r="G6" s="18">
        <v>54</v>
      </c>
      <c r="H6" s="11">
        <v>22</v>
      </c>
      <c r="I6" s="18">
        <v>4</v>
      </c>
      <c r="J6" s="11">
        <v>6</v>
      </c>
      <c r="K6" s="33">
        <f t="shared" si="0"/>
        <v>86</v>
      </c>
      <c r="L6" s="10">
        <v>11</v>
      </c>
      <c r="M6" s="10">
        <v>3</v>
      </c>
      <c r="N6" s="10" t="s">
        <v>236</v>
      </c>
      <c r="O6" s="11"/>
      <c r="P6" s="10"/>
      <c r="Q6" s="11"/>
      <c r="R6" s="30"/>
      <c r="S6" s="30"/>
      <c r="T6" s="33">
        <f t="shared" si="1"/>
        <v>14</v>
      </c>
      <c r="U6" s="10"/>
      <c r="V6" s="10"/>
      <c r="W6" s="10"/>
      <c r="X6" s="11"/>
      <c r="Y6" s="10"/>
      <c r="Z6" s="11"/>
      <c r="AA6" s="30"/>
      <c r="AB6" s="30"/>
      <c r="AC6" s="33">
        <f t="shared" si="2"/>
        <v>0</v>
      </c>
      <c r="AD6" s="12">
        <f t="shared" si="3"/>
        <v>100</v>
      </c>
      <c r="AE6" s="39"/>
      <c r="AF6" s="39"/>
      <c r="AG6" s="39"/>
      <c r="AH6" s="39"/>
      <c r="AI6" s="39"/>
      <c r="AJ6"/>
    </row>
    <row r="7" spans="1:36" x14ac:dyDescent="0.2">
      <c r="A7" s="5">
        <f>DAY(Kalenteri!A184)</f>
        <v>3</v>
      </c>
      <c r="B7" s="3" t="str">
        <f>IF(Kalenteri!B184=1,"su",IF(Kalenteri!B184=2,"ma",IF(Kalenteri!B184=3,"ti",IF(Kalenteri!B184=4,"ke",IF(Kalenteri!B184=5,"to",IF(Kalenteri!B184=6,"pe",IF(Kalenteri!B184=7,"la",)))))))</f>
        <v>ke</v>
      </c>
      <c r="C7" s="18" t="s">
        <v>257</v>
      </c>
      <c r="D7" s="10"/>
      <c r="E7" s="10"/>
      <c r="F7" s="11"/>
      <c r="G7" s="18">
        <v>59</v>
      </c>
      <c r="H7" s="11">
        <v>8</v>
      </c>
      <c r="I7" s="18">
        <v>0</v>
      </c>
      <c r="J7" s="11">
        <v>0</v>
      </c>
      <c r="K7" s="33">
        <f t="shared" si="0"/>
        <v>67</v>
      </c>
      <c r="L7" s="10">
        <v>11</v>
      </c>
      <c r="M7" s="10">
        <v>6</v>
      </c>
      <c r="N7" s="10" t="s">
        <v>236</v>
      </c>
      <c r="O7" s="11"/>
      <c r="P7" s="10"/>
      <c r="Q7" s="11"/>
      <c r="R7" s="30"/>
      <c r="S7" s="30"/>
      <c r="T7" s="33">
        <f t="shared" si="1"/>
        <v>17</v>
      </c>
      <c r="U7" s="10"/>
      <c r="V7" s="10"/>
      <c r="W7" s="10"/>
      <c r="X7" s="11"/>
      <c r="Y7" s="10"/>
      <c r="Z7" s="11"/>
      <c r="AA7" s="30"/>
      <c r="AB7" s="30"/>
      <c r="AC7" s="33">
        <f t="shared" si="2"/>
        <v>0</v>
      </c>
      <c r="AD7" s="12">
        <f t="shared" si="3"/>
        <v>84</v>
      </c>
      <c r="AE7" s="39"/>
      <c r="AF7" s="39"/>
      <c r="AG7" s="39"/>
      <c r="AH7" s="39"/>
      <c r="AI7" s="39"/>
      <c r="AJ7"/>
    </row>
    <row r="8" spans="1:36" x14ac:dyDescent="0.2">
      <c r="A8" s="5">
        <f>DAY(Kalenteri!A185)</f>
        <v>4</v>
      </c>
      <c r="B8" s="3" t="str">
        <f>IF(Kalenteri!B185=1,"su",IF(Kalenteri!B185=2,"ma",IF(Kalenteri!B185=3,"ti",IF(Kalenteri!B185=4,"ke",IF(Kalenteri!B185=5,"to",IF(Kalenteri!B185=6,"pe",IF(Kalenteri!B185=7,"la",)))))))</f>
        <v>to</v>
      </c>
      <c r="C8" s="18" t="s">
        <v>257</v>
      </c>
      <c r="D8" s="10"/>
      <c r="E8" s="10"/>
      <c r="F8" s="11"/>
      <c r="G8" s="18">
        <v>33</v>
      </c>
      <c r="H8" s="11">
        <v>2</v>
      </c>
      <c r="I8" s="18">
        <v>0</v>
      </c>
      <c r="J8" s="11">
        <v>0</v>
      </c>
      <c r="K8" s="33">
        <f t="shared" si="0"/>
        <v>35</v>
      </c>
      <c r="L8" s="10">
        <v>16</v>
      </c>
      <c r="M8" s="10"/>
      <c r="N8" s="10" t="s">
        <v>236</v>
      </c>
      <c r="O8" s="11"/>
      <c r="P8" s="10">
        <v>2</v>
      </c>
      <c r="Q8" s="11">
        <v>2</v>
      </c>
      <c r="R8" s="30" t="s">
        <v>258</v>
      </c>
      <c r="S8" s="30"/>
      <c r="T8" s="33">
        <f t="shared" si="1"/>
        <v>20</v>
      </c>
      <c r="U8" s="10"/>
      <c r="V8" s="10"/>
      <c r="W8" s="10"/>
      <c r="X8" s="11"/>
      <c r="Y8" s="10"/>
      <c r="Z8" s="11"/>
      <c r="AA8" s="30"/>
      <c r="AB8" s="30"/>
      <c r="AC8" s="33">
        <f t="shared" si="2"/>
        <v>0</v>
      </c>
      <c r="AD8" s="12">
        <f t="shared" si="3"/>
        <v>55</v>
      </c>
      <c r="AE8" s="39"/>
      <c r="AF8" s="39"/>
      <c r="AG8" s="39"/>
      <c r="AH8" s="39"/>
      <c r="AI8" s="39"/>
      <c r="AJ8"/>
    </row>
    <row r="9" spans="1:36" x14ac:dyDescent="0.2">
      <c r="A9" s="5">
        <f>DAY(Kalenteri!A186)</f>
        <v>5</v>
      </c>
      <c r="B9" s="3" t="str">
        <f>IF(Kalenteri!B186=1,"su",IF(Kalenteri!B186=2,"ma",IF(Kalenteri!B186=3,"ti",IF(Kalenteri!B186=4,"ke",IF(Kalenteri!B186=5,"to",IF(Kalenteri!B186=6,"pe",IF(Kalenteri!B186=7,"la",)))))))</f>
        <v>pe</v>
      </c>
      <c r="C9" s="18" t="s">
        <v>257</v>
      </c>
      <c r="D9" s="10"/>
      <c r="E9" s="10"/>
      <c r="F9" s="11"/>
      <c r="G9" s="18">
        <v>28</v>
      </c>
      <c r="H9" s="11">
        <v>9</v>
      </c>
      <c r="I9" s="18">
        <v>2</v>
      </c>
      <c r="J9" s="11">
        <v>3</v>
      </c>
      <c r="K9" s="33">
        <f t="shared" si="0"/>
        <v>42</v>
      </c>
      <c r="L9" s="10">
        <v>19</v>
      </c>
      <c r="M9" s="10">
        <v>12</v>
      </c>
      <c r="N9" s="10" t="s">
        <v>236</v>
      </c>
      <c r="O9" s="11"/>
      <c r="P9" s="10"/>
      <c r="Q9" s="11"/>
      <c r="R9" s="30"/>
      <c r="S9" s="30"/>
      <c r="T9" s="33">
        <f t="shared" si="1"/>
        <v>31</v>
      </c>
      <c r="U9" s="10"/>
      <c r="V9" s="10"/>
      <c r="W9" s="10"/>
      <c r="X9" s="11"/>
      <c r="Y9" s="10"/>
      <c r="Z9" s="11"/>
      <c r="AA9" s="30"/>
      <c r="AB9" s="30"/>
      <c r="AC9" s="33">
        <f t="shared" si="2"/>
        <v>0</v>
      </c>
      <c r="AD9" s="12">
        <f t="shared" si="3"/>
        <v>73</v>
      </c>
      <c r="AE9" s="39"/>
      <c r="AF9" s="39"/>
      <c r="AG9" s="39"/>
      <c r="AH9" s="39"/>
      <c r="AI9" s="39"/>
      <c r="AJ9"/>
    </row>
    <row r="10" spans="1:36" x14ac:dyDescent="0.2">
      <c r="A10" s="5">
        <f>DAY(Kalenteri!A187)</f>
        <v>6</v>
      </c>
      <c r="B10" s="3" t="str">
        <f>IF(Kalenteri!B187=1,"su",IF(Kalenteri!B187=2,"ma",IF(Kalenteri!B187=3,"ti",IF(Kalenteri!B187=4,"ke",IF(Kalenteri!B187=5,"to",IF(Kalenteri!B187=6,"pe",IF(Kalenteri!B187=7,"la",)))))))</f>
        <v>la</v>
      </c>
      <c r="C10" s="18" t="s">
        <v>257</v>
      </c>
      <c r="D10" s="10"/>
      <c r="E10" s="10"/>
      <c r="F10" s="11"/>
      <c r="G10" s="18">
        <v>23</v>
      </c>
      <c r="H10" s="11">
        <v>8</v>
      </c>
      <c r="I10" s="18">
        <v>0</v>
      </c>
      <c r="J10" s="11">
        <v>0</v>
      </c>
      <c r="K10" s="33">
        <f t="shared" si="0"/>
        <v>31</v>
      </c>
      <c r="L10" s="10">
        <v>11</v>
      </c>
      <c r="M10" s="10">
        <v>6</v>
      </c>
      <c r="N10" s="10" t="s">
        <v>236</v>
      </c>
      <c r="O10" s="11"/>
      <c r="P10" s="10">
        <v>6</v>
      </c>
      <c r="Q10" s="11">
        <v>3</v>
      </c>
      <c r="R10" s="30" t="s">
        <v>258</v>
      </c>
      <c r="S10" s="30"/>
      <c r="T10" s="33">
        <f t="shared" si="1"/>
        <v>26</v>
      </c>
      <c r="U10" s="10"/>
      <c r="V10" s="10"/>
      <c r="W10" s="10"/>
      <c r="X10" s="11"/>
      <c r="Y10" s="10"/>
      <c r="Z10" s="11"/>
      <c r="AA10" s="30"/>
      <c r="AB10" s="30"/>
      <c r="AC10" s="33">
        <f t="shared" si="2"/>
        <v>0</v>
      </c>
      <c r="AD10" s="12">
        <f t="shared" si="3"/>
        <v>57</v>
      </c>
      <c r="AE10" s="39"/>
      <c r="AF10" s="39"/>
      <c r="AG10" s="39"/>
      <c r="AH10" s="39"/>
      <c r="AI10" s="39"/>
      <c r="AJ10"/>
    </row>
    <row r="11" spans="1:36" x14ac:dyDescent="0.2">
      <c r="A11" s="5">
        <f>DAY(Kalenteri!A188)</f>
        <v>7</v>
      </c>
      <c r="B11" s="3" t="str">
        <f>IF(Kalenteri!B188=1,"su",IF(Kalenteri!B188=2,"ma",IF(Kalenteri!B188=3,"ti",IF(Kalenteri!B188=4,"ke",IF(Kalenteri!B188=5,"to",IF(Kalenteri!B188=6,"pe",IF(Kalenteri!B188=7,"la",)))))))</f>
        <v>su</v>
      </c>
      <c r="C11" s="18" t="s">
        <v>257</v>
      </c>
      <c r="D11" s="10"/>
      <c r="E11" s="10"/>
      <c r="F11" s="11"/>
      <c r="G11" s="18">
        <v>25</v>
      </c>
      <c r="H11" s="11">
        <v>7</v>
      </c>
      <c r="I11" s="18">
        <v>0</v>
      </c>
      <c r="J11" s="11">
        <v>0</v>
      </c>
      <c r="K11" s="33">
        <f t="shared" si="0"/>
        <v>32</v>
      </c>
      <c r="L11" s="10">
        <v>11</v>
      </c>
      <c r="M11" s="10">
        <v>9</v>
      </c>
      <c r="N11" s="10" t="s">
        <v>236</v>
      </c>
      <c r="O11" s="11"/>
      <c r="P11" s="10"/>
      <c r="Q11" s="11"/>
      <c r="R11" s="30"/>
      <c r="S11" s="30"/>
      <c r="T11" s="33">
        <f t="shared" si="1"/>
        <v>20</v>
      </c>
      <c r="U11" s="10"/>
      <c r="V11" s="10"/>
      <c r="W11" s="10"/>
      <c r="X11" s="11"/>
      <c r="Y11" s="10"/>
      <c r="Z11" s="11"/>
      <c r="AA11" s="30"/>
      <c r="AB11" s="30"/>
      <c r="AC11" s="33">
        <f t="shared" si="2"/>
        <v>0</v>
      </c>
      <c r="AD11" s="12">
        <f t="shared" si="3"/>
        <v>52</v>
      </c>
      <c r="AE11" s="39"/>
      <c r="AF11" s="39"/>
      <c r="AG11" s="39"/>
      <c r="AH11" s="39"/>
      <c r="AI11" s="39"/>
      <c r="AJ11"/>
    </row>
    <row r="12" spans="1:36" x14ac:dyDescent="0.2">
      <c r="A12" s="5">
        <f>DAY(Kalenteri!A189)</f>
        <v>8</v>
      </c>
      <c r="B12" s="3" t="str">
        <f>IF(Kalenteri!B189=1,"su",IF(Kalenteri!B189=2,"ma",IF(Kalenteri!B189=3,"ti",IF(Kalenteri!B189=4,"ke",IF(Kalenteri!B189=5,"to",IF(Kalenteri!B189=6,"pe",IF(Kalenteri!B189=7,"la",)))))))</f>
        <v>ma</v>
      </c>
      <c r="C12" s="18" t="s">
        <v>257</v>
      </c>
      <c r="D12" s="10"/>
      <c r="E12" s="10"/>
      <c r="F12" s="11"/>
      <c r="G12" s="18">
        <v>24</v>
      </c>
      <c r="H12" s="11">
        <v>12</v>
      </c>
      <c r="I12" s="18">
        <v>2</v>
      </c>
      <c r="J12" s="11">
        <v>3</v>
      </c>
      <c r="K12" s="33">
        <f t="shared" si="0"/>
        <v>41</v>
      </c>
      <c r="L12" s="10"/>
      <c r="M12" s="10"/>
      <c r="N12" s="10"/>
      <c r="O12" s="11"/>
      <c r="P12" s="10"/>
      <c r="Q12" s="11"/>
      <c r="R12" s="30"/>
      <c r="S12" s="30"/>
      <c r="T12" s="33">
        <f t="shared" si="1"/>
        <v>0</v>
      </c>
      <c r="U12" s="10"/>
      <c r="V12" s="10"/>
      <c r="W12" s="10"/>
      <c r="X12" s="11"/>
      <c r="Y12" s="10"/>
      <c r="Z12" s="11"/>
      <c r="AA12" s="30"/>
      <c r="AB12" s="30"/>
      <c r="AC12" s="33">
        <f t="shared" si="2"/>
        <v>0</v>
      </c>
      <c r="AD12" s="12">
        <f t="shared" si="3"/>
        <v>41</v>
      </c>
      <c r="AE12" s="39"/>
      <c r="AF12" s="39"/>
      <c r="AG12" s="39"/>
      <c r="AH12" s="39"/>
      <c r="AI12" s="39"/>
      <c r="AJ12"/>
    </row>
    <row r="13" spans="1:36" x14ac:dyDescent="0.2">
      <c r="A13" s="5">
        <f>DAY(Kalenteri!A190)</f>
        <v>9</v>
      </c>
      <c r="B13" s="3" t="str">
        <f>IF(Kalenteri!B190=1,"su",IF(Kalenteri!B190=2,"ma",IF(Kalenteri!B190=3,"ti",IF(Kalenteri!B190=4,"ke",IF(Kalenteri!B190=5,"to",IF(Kalenteri!B190=6,"pe",IF(Kalenteri!B190=7,"la",)))))))</f>
        <v>ti</v>
      </c>
      <c r="C13" s="18" t="s">
        <v>257</v>
      </c>
      <c r="D13" s="10"/>
      <c r="E13" s="10"/>
      <c r="F13" s="11"/>
      <c r="G13" s="18">
        <v>36</v>
      </c>
      <c r="H13" s="11">
        <v>12</v>
      </c>
      <c r="I13" s="18">
        <v>2</v>
      </c>
      <c r="J13" s="11">
        <v>3</v>
      </c>
      <c r="K13" s="33">
        <f t="shared" si="0"/>
        <v>53</v>
      </c>
      <c r="L13" s="10">
        <v>34</v>
      </c>
      <c r="M13" s="10">
        <v>19</v>
      </c>
      <c r="N13" s="10" t="s">
        <v>236</v>
      </c>
      <c r="O13" s="11"/>
      <c r="P13" s="10">
        <v>6</v>
      </c>
      <c r="Q13" s="11">
        <v>1</v>
      </c>
      <c r="R13" s="30" t="s">
        <v>258</v>
      </c>
      <c r="S13" s="30"/>
      <c r="T13" s="33">
        <f t="shared" si="1"/>
        <v>60</v>
      </c>
      <c r="U13" s="10"/>
      <c r="V13" s="10"/>
      <c r="W13" s="10"/>
      <c r="X13" s="11"/>
      <c r="Y13" s="10"/>
      <c r="Z13" s="11"/>
      <c r="AA13" s="30"/>
      <c r="AB13" s="30"/>
      <c r="AC13" s="33">
        <f t="shared" si="2"/>
        <v>0</v>
      </c>
      <c r="AD13" s="12">
        <f t="shared" si="3"/>
        <v>113</v>
      </c>
      <c r="AE13" s="39"/>
      <c r="AF13" s="39"/>
      <c r="AG13" s="39"/>
      <c r="AH13" s="39"/>
      <c r="AI13" s="39"/>
      <c r="AJ13"/>
    </row>
    <row r="14" spans="1:36" x14ac:dyDescent="0.2">
      <c r="A14" s="5">
        <f>DAY(Kalenteri!A191)</f>
        <v>10</v>
      </c>
      <c r="B14" s="3" t="str">
        <f>IF(Kalenteri!B191=1,"su",IF(Kalenteri!B191=2,"ma",IF(Kalenteri!B191=3,"ti",IF(Kalenteri!B191=4,"ke",IF(Kalenteri!B191=5,"to",IF(Kalenteri!B191=6,"pe",IF(Kalenteri!B191=7,"la",)))))))</f>
        <v>ke</v>
      </c>
      <c r="C14" s="18" t="s">
        <v>257</v>
      </c>
      <c r="D14" s="10"/>
      <c r="E14" s="10"/>
      <c r="F14" s="11"/>
      <c r="G14" s="18">
        <v>12</v>
      </c>
      <c r="H14" s="11">
        <v>3</v>
      </c>
      <c r="I14" s="18">
        <v>0</v>
      </c>
      <c r="J14" s="11">
        <v>0</v>
      </c>
      <c r="K14" s="33">
        <f t="shared" si="0"/>
        <v>15</v>
      </c>
      <c r="L14" s="10">
        <v>7</v>
      </c>
      <c r="M14" s="10">
        <v>2</v>
      </c>
      <c r="N14" s="10" t="s">
        <v>236</v>
      </c>
      <c r="O14" s="11"/>
      <c r="P14" s="10">
        <v>2</v>
      </c>
      <c r="Q14" s="11"/>
      <c r="R14" s="30" t="s">
        <v>258</v>
      </c>
      <c r="S14" s="30"/>
      <c r="T14" s="33">
        <f t="shared" si="1"/>
        <v>11</v>
      </c>
      <c r="U14" s="10"/>
      <c r="V14" s="10"/>
      <c r="W14" s="10"/>
      <c r="X14" s="11"/>
      <c r="Y14" s="10"/>
      <c r="Z14" s="11"/>
      <c r="AA14" s="30"/>
      <c r="AB14" s="30"/>
      <c r="AC14" s="33">
        <f t="shared" si="2"/>
        <v>0</v>
      </c>
      <c r="AD14" s="12">
        <f t="shared" si="3"/>
        <v>26</v>
      </c>
      <c r="AE14" s="39"/>
      <c r="AF14" s="39"/>
      <c r="AG14" s="39"/>
      <c r="AH14" s="39"/>
      <c r="AI14" s="39"/>
      <c r="AJ14"/>
    </row>
    <row r="15" spans="1:36" x14ac:dyDescent="0.2">
      <c r="A15" s="5">
        <f>DAY(Kalenteri!A192)</f>
        <v>11</v>
      </c>
      <c r="B15" s="3" t="str">
        <f>IF(Kalenteri!B192=1,"su",IF(Kalenteri!B192=2,"ma",IF(Kalenteri!B192=3,"ti",IF(Kalenteri!B192=4,"ke",IF(Kalenteri!B192=5,"to",IF(Kalenteri!B192=6,"pe",IF(Kalenteri!B192=7,"la",)))))))</f>
        <v>to</v>
      </c>
      <c r="C15" s="18" t="s">
        <v>257</v>
      </c>
      <c r="D15" s="10"/>
      <c r="E15" s="10"/>
      <c r="F15" s="11"/>
      <c r="G15" s="18">
        <v>30</v>
      </c>
      <c r="H15" s="11">
        <v>11</v>
      </c>
      <c r="I15" s="18">
        <v>2</v>
      </c>
      <c r="J15" s="11">
        <v>3</v>
      </c>
      <c r="K15" s="33">
        <f t="shared" si="0"/>
        <v>46</v>
      </c>
      <c r="L15" s="10">
        <v>18</v>
      </c>
      <c r="M15" s="10">
        <v>3</v>
      </c>
      <c r="N15" s="10" t="s">
        <v>236</v>
      </c>
      <c r="O15" s="11"/>
      <c r="P15" s="10">
        <v>2</v>
      </c>
      <c r="Q15" s="11">
        <v>2</v>
      </c>
      <c r="R15" s="30" t="s">
        <v>258</v>
      </c>
      <c r="S15" s="30"/>
      <c r="T15" s="33">
        <f t="shared" si="1"/>
        <v>25</v>
      </c>
      <c r="U15" s="10"/>
      <c r="V15" s="10"/>
      <c r="W15" s="10"/>
      <c r="X15" s="11"/>
      <c r="Y15" s="10"/>
      <c r="Z15" s="11"/>
      <c r="AA15" s="30"/>
      <c r="AB15" s="30"/>
      <c r="AC15" s="33">
        <f t="shared" si="2"/>
        <v>0</v>
      </c>
      <c r="AD15" s="12">
        <f t="shared" si="3"/>
        <v>71</v>
      </c>
      <c r="AE15" s="39"/>
      <c r="AF15" s="39"/>
      <c r="AG15" s="39"/>
      <c r="AH15" s="39"/>
      <c r="AI15" s="39"/>
      <c r="AJ15"/>
    </row>
    <row r="16" spans="1:36" x14ac:dyDescent="0.2">
      <c r="A16" s="5">
        <f>DAY(Kalenteri!A193)</f>
        <v>12</v>
      </c>
      <c r="B16" s="3" t="str">
        <f>IF(Kalenteri!B193=1,"su",IF(Kalenteri!B193=2,"ma",IF(Kalenteri!B193=3,"ti",IF(Kalenteri!B193=4,"ke",IF(Kalenteri!B193=5,"to",IF(Kalenteri!B193=6,"pe",IF(Kalenteri!B193=7,"la",)))))))</f>
        <v>pe</v>
      </c>
      <c r="C16" s="18" t="s">
        <v>257</v>
      </c>
      <c r="D16" s="10"/>
      <c r="E16" s="10"/>
      <c r="F16" s="11"/>
      <c r="G16" s="18">
        <v>31</v>
      </c>
      <c r="H16" s="11">
        <v>6</v>
      </c>
      <c r="I16" s="18">
        <v>0</v>
      </c>
      <c r="J16" s="11">
        <v>0</v>
      </c>
      <c r="K16" s="33">
        <f t="shared" si="0"/>
        <v>37</v>
      </c>
      <c r="L16" s="10">
        <v>12</v>
      </c>
      <c r="M16" s="10">
        <v>1</v>
      </c>
      <c r="N16" s="10" t="s">
        <v>236</v>
      </c>
      <c r="O16" s="11"/>
      <c r="P16" s="10"/>
      <c r="Q16" s="11"/>
      <c r="R16" s="30"/>
      <c r="S16" s="30"/>
      <c r="T16" s="33">
        <f t="shared" si="1"/>
        <v>13</v>
      </c>
      <c r="U16" s="10"/>
      <c r="V16" s="10"/>
      <c r="W16" s="10"/>
      <c r="X16" s="11"/>
      <c r="Y16" s="10"/>
      <c r="Z16" s="11"/>
      <c r="AA16" s="30"/>
      <c r="AB16" s="30"/>
      <c r="AC16" s="33">
        <f t="shared" si="2"/>
        <v>0</v>
      </c>
      <c r="AD16" s="12">
        <f t="shared" si="3"/>
        <v>50</v>
      </c>
      <c r="AE16" s="39"/>
      <c r="AF16" s="39"/>
      <c r="AG16" s="39"/>
      <c r="AH16" s="39"/>
      <c r="AI16" s="39"/>
      <c r="AJ16"/>
    </row>
    <row r="17" spans="1:36" x14ac:dyDescent="0.2">
      <c r="A17" s="5">
        <f>DAY(Kalenteri!A194)</f>
        <v>13</v>
      </c>
      <c r="B17" s="3" t="str">
        <f>IF(Kalenteri!B194=1,"su",IF(Kalenteri!B194=2,"ma",IF(Kalenteri!B194=3,"ti",IF(Kalenteri!B194=4,"ke",IF(Kalenteri!B194=5,"to",IF(Kalenteri!B194=6,"pe",IF(Kalenteri!B194=7,"la",)))))))</f>
        <v>la</v>
      </c>
      <c r="C17" s="18" t="s">
        <v>257</v>
      </c>
      <c r="D17" s="10"/>
      <c r="E17" s="10"/>
      <c r="F17" s="11"/>
      <c r="G17" s="18">
        <v>18</v>
      </c>
      <c r="H17" s="11">
        <v>2</v>
      </c>
      <c r="I17" s="18">
        <v>0</v>
      </c>
      <c r="J17" s="11">
        <v>0</v>
      </c>
      <c r="K17" s="33">
        <f t="shared" si="0"/>
        <v>20</v>
      </c>
      <c r="L17" s="10">
        <v>10</v>
      </c>
      <c r="M17" s="10">
        <v>3</v>
      </c>
      <c r="N17" s="10" t="s">
        <v>236</v>
      </c>
      <c r="O17" s="11"/>
      <c r="P17" s="10"/>
      <c r="Q17" s="11"/>
      <c r="R17" s="30"/>
      <c r="S17" s="30"/>
      <c r="T17" s="33">
        <f t="shared" si="1"/>
        <v>13</v>
      </c>
      <c r="U17" s="10"/>
      <c r="V17" s="10"/>
      <c r="W17" s="10"/>
      <c r="X17" s="11"/>
      <c r="Y17" s="10"/>
      <c r="Z17" s="11"/>
      <c r="AA17" s="30"/>
      <c r="AB17" s="30"/>
      <c r="AC17" s="33">
        <f t="shared" si="2"/>
        <v>0</v>
      </c>
      <c r="AD17" s="12">
        <f t="shared" si="3"/>
        <v>33</v>
      </c>
      <c r="AE17" s="39"/>
      <c r="AF17" s="39"/>
      <c r="AG17" s="39"/>
      <c r="AH17" s="39"/>
      <c r="AI17" s="39"/>
      <c r="AJ17"/>
    </row>
    <row r="18" spans="1:36" x14ac:dyDescent="0.2">
      <c r="A18" s="5">
        <f>DAY(Kalenteri!A195)</f>
        <v>14</v>
      </c>
      <c r="B18" s="3" t="str">
        <f>IF(Kalenteri!B195=1,"su",IF(Kalenteri!B195=2,"ma",IF(Kalenteri!B195=3,"ti",IF(Kalenteri!B195=4,"ke",IF(Kalenteri!B195=5,"to",IF(Kalenteri!B195=6,"pe",IF(Kalenteri!B195=7,"la",)))))))</f>
        <v>su</v>
      </c>
      <c r="C18" s="18" t="s">
        <v>257</v>
      </c>
      <c r="D18" s="10"/>
      <c r="E18" s="10"/>
      <c r="F18" s="11"/>
      <c r="G18" s="18">
        <v>14</v>
      </c>
      <c r="H18" s="11">
        <v>1</v>
      </c>
      <c r="I18" s="18">
        <v>0</v>
      </c>
      <c r="J18" s="11">
        <v>0</v>
      </c>
      <c r="K18" s="33">
        <f t="shared" si="0"/>
        <v>15</v>
      </c>
      <c r="L18" s="10">
        <v>13</v>
      </c>
      <c r="M18" s="10">
        <v>6</v>
      </c>
      <c r="N18" s="10" t="s">
        <v>236</v>
      </c>
      <c r="O18" s="11"/>
      <c r="P18" s="10">
        <v>2</v>
      </c>
      <c r="Q18" s="11">
        <v>1</v>
      </c>
      <c r="R18" s="30" t="s">
        <v>258</v>
      </c>
      <c r="S18" s="30"/>
      <c r="T18" s="33">
        <f t="shared" si="1"/>
        <v>22</v>
      </c>
      <c r="U18" s="10"/>
      <c r="V18" s="10"/>
      <c r="W18" s="10"/>
      <c r="X18" s="11"/>
      <c r="Y18" s="10"/>
      <c r="Z18" s="11"/>
      <c r="AA18" s="30"/>
      <c r="AB18" s="30"/>
      <c r="AC18" s="33">
        <f t="shared" si="2"/>
        <v>0</v>
      </c>
      <c r="AD18" s="12">
        <f t="shared" si="3"/>
        <v>37</v>
      </c>
      <c r="AE18" s="39"/>
      <c r="AF18" s="39"/>
      <c r="AG18" s="39"/>
      <c r="AH18" s="39"/>
      <c r="AI18" s="39"/>
      <c r="AJ18"/>
    </row>
    <row r="19" spans="1:36" x14ac:dyDescent="0.2">
      <c r="A19" s="5">
        <f>DAY(Kalenteri!A196)</f>
        <v>15</v>
      </c>
      <c r="B19" s="3" t="str">
        <f>IF(Kalenteri!B196=1,"su",IF(Kalenteri!B196=2,"ma",IF(Kalenteri!B196=3,"ti",IF(Kalenteri!B196=4,"ke",IF(Kalenteri!B196=5,"to",IF(Kalenteri!B196=6,"pe",IF(Kalenteri!B196=7,"la",)))))))</f>
        <v>ma</v>
      </c>
      <c r="C19" s="18" t="s">
        <v>257</v>
      </c>
      <c r="D19" s="10"/>
      <c r="E19" s="10"/>
      <c r="F19" s="11"/>
      <c r="G19" s="18">
        <v>29</v>
      </c>
      <c r="H19" s="11">
        <v>5</v>
      </c>
      <c r="I19" s="18">
        <v>2</v>
      </c>
      <c r="J19" s="11">
        <v>3</v>
      </c>
      <c r="K19" s="33">
        <f t="shared" si="0"/>
        <v>39</v>
      </c>
      <c r="L19" s="10">
        <v>4</v>
      </c>
      <c r="M19" s="10"/>
      <c r="N19" s="10" t="s">
        <v>236</v>
      </c>
      <c r="O19" s="11"/>
      <c r="P19" s="10"/>
      <c r="Q19" s="11"/>
      <c r="R19" s="30"/>
      <c r="S19" s="30"/>
      <c r="T19" s="33">
        <f t="shared" si="1"/>
        <v>4</v>
      </c>
      <c r="U19" s="10"/>
      <c r="V19" s="10"/>
      <c r="W19" s="10"/>
      <c r="X19" s="11"/>
      <c r="Y19" s="10"/>
      <c r="Z19" s="11"/>
      <c r="AA19" s="30"/>
      <c r="AB19" s="30"/>
      <c r="AC19" s="33">
        <f t="shared" si="2"/>
        <v>0</v>
      </c>
      <c r="AD19" s="12">
        <f t="shared" si="3"/>
        <v>43</v>
      </c>
      <c r="AE19" s="39"/>
      <c r="AF19" s="39"/>
      <c r="AG19" s="39"/>
      <c r="AH19" s="39"/>
      <c r="AI19" s="39"/>
      <c r="AJ19"/>
    </row>
    <row r="20" spans="1:36" x14ac:dyDescent="0.2">
      <c r="A20" s="5">
        <f>DAY(Kalenteri!A197)</f>
        <v>16</v>
      </c>
      <c r="B20" s="3" t="str">
        <f>IF(Kalenteri!B197=1,"su",IF(Kalenteri!B197=2,"ma",IF(Kalenteri!B197=3,"ti",IF(Kalenteri!B197=4,"ke",IF(Kalenteri!B197=5,"to",IF(Kalenteri!B197=6,"pe",IF(Kalenteri!B197=7,"la",)))))))</f>
        <v>ti</v>
      </c>
      <c r="C20" s="18" t="s">
        <v>257</v>
      </c>
      <c r="D20" s="10"/>
      <c r="E20" s="10"/>
      <c r="F20" s="11"/>
      <c r="G20" s="18">
        <v>10</v>
      </c>
      <c r="H20" s="11">
        <v>2</v>
      </c>
      <c r="I20" s="18">
        <v>0</v>
      </c>
      <c r="J20" s="11">
        <v>0</v>
      </c>
      <c r="K20" s="33">
        <f t="shared" si="0"/>
        <v>12</v>
      </c>
      <c r="L20" s="10">
        <v>19</v>
      </c>
      <c r="M20" s="10">
        <v>3</v>
      </c>
      <c r="N20" s="10" t="s">
        <v>236</v>
      </c>
      <c r="O20" s="11"/>
      <c r="P20" s="10">
        <v>1</v>
      </c>
      <c r="Q20" s="11">
        <v>1</v>
      </c>
      <c r="R20" s="30" t="s">
        <v>258</v>
      </c>
      <c r="S20" s="30"/>
      <c r="T20" s="33">
        <f t="shared" si="1"/>
        <v>24</v>
      </c>
      <c r="U20" s="10"/>
      <c r="V20" s="10"/>
      <c r="W20" s="10"/>
      <c r="X20" s="11"/>
      <c r="Y20" s="10"/>
      <c r="Z20" s="11"/>
      <c r="AA20" s="30"/>
      <c r="AB20" s="30"/>
      <c r="AC20" s="33">
        <f t="shared" si="2"/>
        <v>0</v>
      </c>
      <c r="AD20" s="12">
        <f t="shared" si="3"/>
        <v>36</v>
      </c>
      <c r="AE20" s="39"/>
      <c r="AF20" s="39"/>
      <c r="AG20" s="39"/>
      <c r="AH20" s="39"/>
      <c r="AI20" s="39"/>
      <c r="AJ20"/>
    </row>
    <row r="21" spans="1:36" x14ac:dyDescent="0.2">
      <c r="A21" s="5">
        <f>DAY(Kalenteri!A198)</f>
        <v>17</v>
      </c>
      <c r="B21" s="3" t="str">
        <f>IF(Kalenteri!B198=1,"su",IF(Kalenteri!B198=2,"ma",IF(Kalenteri!B198=3,"ti",IF(Kalenteri!B198=4,"ke",IF(Kalenteri!B198=5,"to",IF(Kalenteri!B198=6,"pe",IF(Kalenteri!B198=7,"la",)))))))</f>
        <v>ke</v>
      </c>
      <c r="C21" s="18" t="s">
        <v>257</v>
      </c>
      <c r="D21" s="10"/>
      <c r="E21" s="10"/>
      <c r="F21" s="11"/>
      <c r="G21" s="18">
        <v>36</v>
      </c>
      <c r="H21" s="11">
        <v>8</v>
      </c>
      <c r="I21" s="18">
        <v>2</v>
      </c>
      <c r="J21" s="11">
        <v>3</v>
      </c>
      <c r="K21" s="33">
        <f t="shared" si="0"/>
        <v>49</v>
      </c>
      <c r="L21" s="10">
        <v>16</v>
      </c>
      <c r="M21" s="10">
        <v>5</v>
      </c>
      <c r="N21" s="10" t="s">
        <v>236</v>
      </c>
      <c r="O21" s="11"/>
      <c r="P21" s="10">
        <v>3</v>
      </c>
      <c r="Q21" s="11">
        <v>4</v>
      </c>
      <c r="R21" s="30" t="s">
        <v>258</v>
      </c>
      <c r="S21" s="30"/>
      <c r="T21" s="33">
        <f t="shared" si="1"/>
        <v>28</v>
      </c>
      <c r="U21" s="10"/>
      <c r="V21" s="10"/>
      <c r="W21" s="10"/>
      <c r="X21" s="11"/>
      <c r="Y21" s="10"/>
      <c r="Z21" s="11"/>
      <c r="AA21" s="30"/>
      <c r="AB21" s="30"/>
      <c r="AC21" s="33">
        <f t="shared" si="2"/>
        <v>0</v>
      </c>
      <c r="AD21" s="12">
        <f t="shared" si="3"/>
        <v>77</v>
      </c>
      <c r="AE21" s="39"/>
      <c r="AF21" s="39"/>
      <c r="AG21" s="39"/>
      <c r="AH21" s="39"/>
      <c r="AI21" s="39"/>
      <c r="AJ21"/>
    </row>
    <row r="22" spans="1:36" x14ac:dyDescent="0.2">
      <c r="A22" s="5">
        <f>DAY(Kalenteri!A199)</f>
        <v>18</v>
      </c>
      <c r="B22" s="3" t="str">
        <f>IF(Kalenteri!B199=1,"su",IF(Kalenteri!B199=2,"ma",IF(Kalenteri!B199=3,"ti",IF(Kalenteri!B199=4,"ke",IF(Kalenteri!B199=5,"to",IF(Kalenteri!B199=6,"pe",IF(Kalenteri!B199=7,"la",)))))))</f>
        <v>to</v>
      </c>
      <c r="C22" s="18" t="s">
        <v>257</v>
      </c>
      <c r="D22" s="10"/>
      <c r="E22" s="10"/>
      <c r="F22" s="11"/>
      <c r="G22" s="18">
        <v>9</v>
      </c>
      <c r="H22" s="11">
        <v>3</v>
      </c>
      <c r="I22" s="18">
        <v>0</v>
      </c>
      <c r="J22" s="11">
        <v>0</v>
      </c>
      <c r="K22" s="33">
        <f t="shared" si="0"/>
        <v>12</v>
      </c>
      <c r="L22" s="10">
        <v>22</v>
      </c>
      <c r="M22" s="10">
        <v>12</v>
      </c>
      <c r="N22" s="10" t="s">
        <v>236</v>
      </c>
      <c r="O22" s="11"/>
      <c r="P22" s="10">
        <v>4</v>
      </c>
      <c r="Q22" s="11">
        <v>5</v>
      </c>
      <c r="R22" s="30" t="s">
        <v>258</v>
      </c>
      <c r="S22" s="30"/>
      <c r="T22" s="33">
        <f t="shared" si="1"/>
        <v>43</v>
      </c>
      <c r="U22" s="10"/>
      <c r="V22" s="10"/>
      <c r="W22" s="10"/>
      <c r="X22" s="11"/>
      <c r="Y22" s="10"/>
      <c r="Z22" s="11"/>
      <c r="AA22" s="30"/>
      <c r="AB22" s="30"/>
      <c r="AC22" s="33">
        <f t="shared" si="2"/>
        <v>0</v>
      </c>
      <c r="AD22" s="12">
        <f t="shared" si="3"/>
        <v>55</v>
      </c>
      <c r="AE22" s="39"/>
      <c r="AF22" s="39"/>
      <c r="AG22" s="39"/>
      <c r="AH22" s="39"/>
      <c r="AI22" s="39"/>
      <c r="AJ22"/>
    </row>
    <row r="23" spans="1:36" x14ac:dyDescent="0.2">
      <c r="A23" s="5">
        <f>DAY(Kalenteri!A200)</f>
        <v>19</v>
      </c>
      <c r="B23" s="3" t="str">
        <f>IF(Kalenteri!B200=1,"su",IF(Kalenteri!B200=2,"ma",IF(Kalenteri!B200=3,"ti",IF(Kalenteri!B200=4,"ke",IF(Kalenteri!B200=5,"to",IF(Kalenteri!B200=6,"pe",IF(Kalenteri!B200=7,"la",)))))))</f>
        <v>pe</v>
      </c>
      <c r="C23" s="18" t="s">
        <v>257</v>
      </c>
      <c r="D23" s="10"/>
      <c r="E23" s="10"/>
      <c r="F23" s="11"/>
      <c r="G23" s="18">
        <v>19</v>
      </c>
      <c r="H23" s="11">
        <v>6</v>
      </c>
      <c r="I23" s="18">
        <v>0</v>
      </c>
      <c r="J23" s="11">
        <v>0</v>
      </c>
      <c r="K23" s="33">
        <f t="shared" si="0"/>
        <v>25</v>
      </c>
      <c r="L23" s="10">
        <v>8</v>
      </c>
      <c r="M23" s="10">
        <v>3</v>
      </c>
      <c r="N23" s="10" t="s">
        <v>236</v>
      </c>
      <c r="O23" s="11"/>
      <c r="P23" s="10">
        <v>3</v>
      </c>
      <c r="Q23" s="11">
        <v>1</v>
      </c>
      <c r="R23" s="30" t="s">
        <v>258</v>
      </c>
      <c r="S23" s="30"/>
      <c r="T23" s="33">
        <f t="shared" si="1"/>
        <v>15</v>
      </c>
      <c r="U23" s="10"/>
      <c r="V23" s="10"/>
      <c r="W23" s="10"/>
      <c r="X23" s="11"/>
      <c r="Y23" s="10"/>
      <c r="Z23" s="11"/>
      <c r="AA23" s="30"/>
      <c r="AB23" s="30"/>
      <c r="AC23" s="33">
        <f t="shared" si="2"/>
        <v>0</v>
      </c>
      <c r="AD23" s="12">
        <f t="shared" si="3"/>
        <v>40</v>
      </c>
      <c r="AE23" s="39"/>
      <c r="AF23" s="39"/>
      <c r="AG23" s="39"/>
      <c r="AH23" s="39"/>
      <c r="AI23" s="39"/>
      <c r="AJ23"/>
    </row>
    <row r="24" spans="1:36" x14ac:dyDescent="0.2">
      <c r="A24" s="5">
        <f>DAY(Kalenteri!A201)</f>
        <v>20</v>
      </c>
      <c r="B24" s="3" t="str">
        <f>IF(Kalenteri!B201=1,"su",IF(Kalenteri!B201=2,"ma",IF(Kalenteri!B201=3,"ti",IF(Kalenteri!B201=4,"ke",IF(Kalenteri!B201=5,"to",IF(Kalenteri!B201=6,"pe",IF(Kalenteri!B201=7,"la",)))))))</f>
        <v>la</v>
      </c>
      <c r="C24" s="18" t="s">
        <v>257</v>
      </c>
      <c r="D24" s="10"/>
      <c r="E24" s="10"/>
      <c r="F24" s="11"/>
      <c r="G24" s="18">
        <v>23</v>
      </c>
      <c r="H24" s="11">
        <v>5</v>
      </c>
      <c r="I24" s="18">
        <v>0</v>
      </c>
      <c r="J24" s="11">
        <v>0</v>
      </c>
      <c r="K24" s="33">
        <f t="shared" si="0"/>
        <v>28</v>
      </c>
      <c r="L24" s="10">
        <v>11</v>
      </c>
      <c r="M24" s="10">
        <v>7</v>
      </c>
      <c r="N24" s="10" t="s">
        <v>236</v>
      </c>
      <c r="O24" s="11"/>
      <c r="P24" s="10">
        <v>2</v>
      </c>
      <c r="Q24" s="11">
        <v>1</v>
      </c>
      <c r="R24" s="30" t="s">
        <v>258</v>
      </c>
      <c r="S24" s="30"/>
      <c r="T24" s="33">
        <f t="shared" si="1"/>
        <v>21</v>
      </c>
      <c r="U24" s="10"/>
      <c r="V24" s="10"/>
      <c r="W24" s="10"/>
      <c r="X24" s="11"/>
      <c r="Y24" s="10"/>
      <c r="Z24" s="11"/>
      <c r="AA24" s="30"/>
      <c r="AB24" s="30"/>
      <c r="AC24" s="33">
        <f t="shared" si="2"/>
        <v>0</v>
      </c>
      <c r="AD24" s="12">
        <f t="shared" si="3"/>
        <v>49</v>
      </c>
      <c r="AE24" s="39"/>
      <c r="AF24" s="39"/>
      <c r="AG24" s="39"/>
      <c r="AH24" s="39"/>
      <c r="AI24" s="39"/>
      <c r="AJ24" s="39"/>
    </row>
    <row r="25" spans="1:36" x14ac:dyDescent="0.2">
      <c r="A25" s="5">
        <f>DAY(Kalenteri!A202)</f>
        <v>21</v>
      </c>
      <c r="B25" s="3" t="str">
        <f>IF(Kalenteri!B202=1,"su",IF(Kalenteri!B202=2,"ma",IF(Kalenteri!B202=3,"ti",IF(Kalenteri!B202=4,"ke",IF(Kalenteri!B202=5,"to",IF(Kalenteri!B202=6,"pe",IF(Kalenteri!B202=7,"la",)))))))</f>
        <v>su</v>
      </c>
      <c r="C25" s="18" t="s">
        <v>257</v>
      </c>
      <c r="D25" s="10"/>
      <c r="E25" s="10"/>
      <c r="F25" s="11"/>
      <c r="G25" s="18">
        <v>12</v>
      </c>
      <c r="H25" s="11">
        <v>1</v>
      </c>
      <c r="I25" s="18">
        <v>0</v>
      </c>
      <c r="J25" s="11">
        <v>0</v>
      </c>
      <c r="K25" s="33">
        <f t="shared" si="0"/>
        <v>13</v>
      </c>
      <c r="L25" s="10">
        <v>2</v>
      </c>
      <c r="M25" s="10">
        <v>2</v>
      </c>
      <c r="N25" s="10" t="s">
        <v>236</v>
      </c>
      <c r="O25" s="11"/>
      <c r="P25" s="10"/>
      <c r="Q25" s="11"/>
      <c r="R25" s="30"/>
      <c r="S25" s="30"/>
      <c r="T25" s="33">
        <f t="shared" si="1"/>
        <v>4</v>
      </c>
      <c r="U25" s="10"/>
      <c r="V25" s="10"/>
      <c r="W25" s="10"/>
      <c r="X25" s="11"/>
      <c r="Y25" s="10"/>
      <c r="Z25" s="11"/>
      <c r="AA25" s="30"/>
      <c r="AB25" s="30"/>
      <c r="AC25" s="33">
        <f t="shared" si="2"/>
        <v>0</v>
      </c>
      <c r="AD25" s="12">
        <f t="shared" si="3"/>
        <v>17</v>
      </c>
      <c r="AE25" s="39"/>
      <c r="AF25" s="39"/>
      <c r="AG25" s="39"/>
      <c r="AH25" s="39"/>
      <c r="AI25" s="39"/>
      <c r="AJ25" s="39"/>
    </row>
    <row r="26" spans="1:36" x14ac:dyDescent="0.2">
      <c r="A26" s="5">
        <f>DAY(Kalenteri!A203)</f>
        <v>22</v>
      </c>
      <c r="B26" s="3" t="str">
        <f>IF(Kalenteri!B203=1,"su",IF(Kalenteri!B203=2,"ma",IF(Kalenteri!B203=3,"ti",IF(Kalenteri!B203=4,"ke",IF(Kalenteri!B203=5,"to",IF(Kalenteri!B203=6,"pe",IF(Kalenteri!B203=7,"la",)))))))</f>
        <v>ma</v>
      </c>
      <c r="C26" s="18" t="s">
        <v>257</v>
      </c>
      <c r="D26" s="10"/>
      <c r="E26" s="10"/>
      <c r="F26" s="11"/>
      <c r="G26" s="18">
        <v>2</v>
      </c>
      <c r="H26" s="11">
        <v>0</v>
      </c>
      <c r="I26" s="18">
        <v>0</v>
      </c>
      <c r="J26" s="11">
        <v>0</v>
      </c>
      <c r="K26" s="33">
        <f t="shared" si="0"/>
        <v>2</v>
      </c>
      <c r="L26" s="10"/>
      <c r="M26" s="10"/>
      <c r="N26" s="10"/>
      <c r="O26" s="11"/>
      <c r="P26" s="10">
        <v>2</v>
      </c>
      <c r="Q26" s="11">
        <v>1</v>
      </c>
      <c r="R26" s="30" t="s">
        <v>258</v>
      </c>
      <c r="S26" s="30"/>
      <c r="T26" s="33">
        <f t="shared" si="1"/>
        <v>3</v>
      </c>
      <c r="U26" s="10"/>
      <c r="V26" s="10"/>
      <c r="W26" s="10"/>
      <c r="X26" s="11"/>
      <c r="Y26" s="10"/>
      <c r="Z26" s="11"/>
      <c r="AA26" s="30"/>
      <c r="AB26" s="30"/>
      <c r="AC26" s="33">
        <f t="shared" si="2"/>
        <v>0</v>
      </c>
      <c r="AD26" s="12">
        <f t="shared" si="3"/>
        <v>5</v>
      </c>
      <c r="AE26" s="39"/>
      <c r="AF26" s="39"/>
      <c r="AG26" s="39"/>
      <c r="AH26" s="39"/>
      <c r="AI26" s="39"/>
      <c r="AJ26" s="39"/>
    </row>
    <row r="27" spans="1:36" x14ac:dyDescent="0.2">
      <c r="A27" s="5">
        <f>DAY(Kalenteri!A204)</f>
        <v>23</v>
      </c>
      <c r="B27" s="3" t="str">
        <f>IF(Kalenteri!B204=1,"su",IF(Kalenteri!B204=2,"ma",IF(Kalenteri!B204=3,"ti",IF(Kalenteri!B204=4,"ke",IF(Kalenteri!B204=5,"to",IF(Kalenteri!B204=6,"pe",IF(Kalenteri!B204=7,"la",)))))))</f>
        <v>ti</v>
      </c>
      <c r="C27" s="18" t="s">
        <v>257</v>
      </c>
      <c r="D27" s="10"/>
      <c r="E27" s="10"/>
      <c r="F27" s="11"/>
      <c r="G27" s="18">
        <v>30</v>
      </c>
      <c r="H27" s="11">
        <v>8</v>
      </c>
      <c r="I27" s="18">
        <v>2</v>
      </c>
      <c r="J27" s="11">
        <v>3</v>
      </c>
      <c r="K27" s="33">
        <f t="shared" si="0"/>
        <v>43</v>
      </c>
      <c r="L27" s="10">
        <v>25</v>
      </c>
      <c r="M27" s="10">
        <v>13</v>
      </c>
      <c r="N27" s="10" t="s">
        <v>236</v>
      </c>
      <c r="O27" s="11"/>
      <c r="P27" s="10">
        <v>4</v>
      </c>
      <c r="Q27" s="11">
        <v>3</v>
      </c>
      <c r="R27" s="30" t="s">
        <v>258</v>
      </c>
      <c r="S27" s="30"/>
      <c r="T27" s="33">
        <f t="shared" si="1"/>
        <v>45</v>
      </c>
      <c r="U27" s="10"/>
      <c r="V27" s="10"/>
      <c r="W27" s="10"/>
      <c r="X27" s="11"/>
      <c r="Y27" s="10"/>
      <c r="Z27" s="11"/>
      <c r="AA27" s="30"/>
      <c r="AB27" s="30"/>
      <c r="AC27" s="33">
        <f t="shared" si="2"/>
        <v>0</v>
      </c>
      <c r="AD27" s="12">
        <f t="shared" si="3"/>
        <v>88</v>
      </c>
      <c r="AE27" s="39"/>
      <c r="AF27" s="39"/>
      <c r="AG27" s="39"/>
      <c r="AH27" s="39"/>
      <c r="AI27" s="39"/>
      <c r="AJ27" s="39"/>
    </row>
    <row r="28" spans="1:36" x14ac:dyDescent="0.2">
      <c r="A28" s="5">
        <f>DAY(Kalenteri!A205)</f>
        <v>24</v>
      </c>
      <c r="B28" s="3" t="str">
        <f>IF(Kalenteri!B205=1,"su",IF(Kalenteri!B205=2,"ma",IF(Kalenteri!B205=3,"ti",IF(Kalenteri!B205=4,"ke",IF(Kalenteri!B205=5,"to",IF(Kalenteri!B205=6,"pe",IF(Kalenteri!B205=7,"la",)))))))</f>
        <v>ke</v>
      </c>
      <c r="C28" s="18" t="s">
        <v>257</v>
      </c>
      <c r="D28" s="10"/>
      <c r="E28" s="10"/>
      <c r="F28" s="11"/>
      <c r="G28" s="18">
        <v>26</v>
      </c>
      <c r="H28" s="11">
        <v>7</v>
      </c>
      <c r="I28" s="18">
        <v>0</v>
      </c>
      <c r="J28" s="11">
        <v>0</v>
      </c>
      <c r="K28" s="33">
        <f t="shared" si="0"/>
        <v>33</v>
      </c>
      <c r="L28" s="10">
        <v>17</v>
      </c>
      <c r="M28" s="10">
        <v>9</v>
      </c>
      <c r="N28" s="10" t="s">
        <v>236</v>
      </c>
      <c r="O28" s="11"/>
      <c r="P28" s="10">
        <v>11</v>
      </c>
      <c r="Q28" s="11"/>
      <c r="R28" s="30" t="s">
        <v>258</v>
      </c>
      <c r="S28" s="30"/>
      <c r="T28" s="33">
        <f t="shared" si="1"/>
        <v>37</v>
      </c>
      <c r="U28" s="10"/>
      <c r="V28" s="10"/>
      <c r="W28" s="10"/>
      <c r="X28" s="11"/>
      <c r="Y28" s="10"/>
      <c r="Z28" s="11"/>
      <c r="AA28" s="30"/>
      <c r="AB28" s="30"/>
      <c r="AC28" s="33">
        <f t="shared" si="2"/>
        <v>0</v>
      </c>
      <c r="AD28" s="12">
        <f t="shared" si="3"/>
        <v>70</v>
      </c>
      <c r="AE28" s="39"/>
      <c r="AF28" s="39"/>
      <c r="AG28" s="39"/>
      <c r="AH28" s="39"/>
      <c r="AI28" s="39"/>
      <c r="AJ28" s="39"/>
    </row>
    <row r="29" spans="1:36" x14ac:dyDescent="0.2">
      <c r="A29" s="5">
        <f>DAY(Kalenteri!A206)</f>
        <v>25</v>
      </c>
      <c r="B29" s="3" t="str">
        <f>IF(Kalenteri!B206=1,"su",IF(Kalenteri!B206=2,"ma",IF(Kalenteri!B206=3,"ti",IF(Kalenteri!B206=4,"ke",IF(Kalenteri!B206=5,"to",IF(Kalenteri!B206=6,"pe",IF(Kalenteri!B206=7,"la",)))))))</f>
        <v>to</v>
      </c>
      <c r="C29" s="18" t="s">
        <v>257</v>
      </c>
      <c r="D29" s="10"/>
      <c r="E29" s="10"/>
      <c r="F29" s="11"/>
      <c r="G29" s="18">
        <v>37</v>
      </c>
      <c r="H29" s="11">
        <v>13</v>
      </c>
      <c r="I29" s="18">
        <v>0</v>
      </c>
      <c r="J29" s="11">
        <v>0</v>
      </c>
      <c r="K29" s="33">
        <f t="shared" si="0"/>
        <v>50</v>
      </c>
      <c r="L29" s="10">
        <v>6</v>
      </c>
      <c r="M29" s="10"/>
      <c r="N29" s="10" t="s">
        <v>236</v>
      </c>
      <c r="O29" s="11"/>
      <c r="P29" s="10">
        <v>8</v>
      </c>
      <c r="Q29" s="11">
        <v>2</v>
      </c>
      <c r="R29" s="30" t="s">
        <v>258</v>
      </c>
      <c r="S29" s="30"/>
      <c r="T29" s="33">
        <f t="shared" si="1"/>
        <v>16</v>
      </c>
      <c r="U29" s="10"/>
      <c r="V29" s="10"/>
      <c r="W29" s="10"/>
      <c r="X29" s="11"/>
      <c r="Y29" s="10"/>
      <c r="Z29" s="11"/>
      <c r="AA29" s="30"/>
      <c r="AB29" s="30"/>
      <c r="AC29" s="33">
        <f t="shared" si="2"/>
        <v>0</v>
      </c>
      <c r="AD29" s="12">
        <f t="shared" si="3"/>
        <v>66</v>
      </c>
      <c r="AE29" s="39"/>
      <c r="AF29" s="39"/>
      <c r="AG29" s="39"/>
      <c r="AH29" s="39"/>
      <c r="AI29" s="39"/>
      <c r="AJ29" s="39"/>
    </row>
    <row r="30" spans="1:36" x14ac:dyDescent="0.2">
      <c r="A30" s="5">
        <f>DAY(Kalenteri!A207)</f>
        <v>26</v>
      </c>
      <c r="B30" s="3" t="str">
        <f>IF(Kalenteri!B207=1,"su",IF(Kalenteri!B207=2,"ma",IF(Kalenteri!B207=3,"ti",IF(Kalenteri!B207=4,"ke",IF(Kalenteri!B207=5,"to",IF(Kalenteri!B207=6,"pe",IF(Kalenteri!B207=7,"la",)))))))</f>
        <v>pe</v>
      </c>
      <c r="C30" s="18" t="s">
        <v>257</v>
      </c>
      <c r="D30" s="10"/>
      <c r="E30" s="10"/>
      <c r="F30" s="11"/>
      <c r="G30" s="18">
        <v>12</v>
      </c>
      <c r="H30" s="11">
        <v>4</v>
      </c>
      <c r="I30" s="18">
        <v>0</v>
      </c>
      <c r="J30" s="11">
        <v>0</v>
      </c>
      <c r="K30" s="33">
        <f t="shared" si="0"/>
        <v>16</v>
      </c>
      <c r="L30" s="10"/>
      <c r="M30" s="10"/>
      <c r="N30" s="10"/>
      <c r="O30" s="11"/>
      <c r="P30" s="10">
        <v>3</v>
      </c>
      <c r="Q30" s="11"/>
      <c r="R30" s="30" t="s">
        <v>258</v>
      </c>
      <c r="S30" s="30"/>
      <c r="T30" s="33">
        <f t="shared" si="1"/>
        <v>3</v>
      </c>
      <c r="U30" s="10"/>
      <c r="V30" s="10"/>
      <c r="W30" s="10"/>
      <c r="X30" s="11"/>
      <c r="Y30" s="10"/>
      <c r="Z30" s="11"/>
      <c r="AA30" s="30"/>
      <c r="AB30" s="30"/>
      <c r="AC30" s="33">
        <f t="shared" si="2"/>
        <v>0</v>
      </c>
      <c r="AD30" s="12">
        <f t="shared" si="3"/>
        <v>19</v>
      </c>
      <c r="AE30" s="39"/>
      <c r="AF30" s="39"/>
      <c r="AG30" s="39"/>
      <c r="AH30" s="39"/>
      <c r="AI30" s="39"/>
      <c r="AJ30" s="39"/>
    </row>
    <row r="31" spans="1:36" x14ac:dyDescent="0.2">
      <c r="A31" s="5">
        <f>DAY(Kalenteri!A208)</f>
        <v>27</v>
      </c>
      <c r="B31" s="3" t="str">
        <f>IF(Kalenteri!B208=1,"su",IF(Kalenteri!B208=2,"ma",IF(Kalenteri!B208=3,"ti",IF(Kalenteri!B208=4,"ke",IF(Kalenteri!B208=5,"to",IF(Kalenteri!B208=6,"pe",IF(Kalenteri!B208=7,"la",)))))))</f>
        <v>la</v>
      </c>
      <c r="C31" s="18" t="s">
        <v>257</v>
      </c>
      <c r="D31" s="10"/>
      <c r="E31" s="10"/>
      <c r="F31" s="11"/>
      <c r="G31" s="18">
        <v>34</v>
      </c>
      <c r="H31" s="11">
        <v>7</v>
      </c>
      <c r="I31" s="18">
        <v>2</v>
      </c>
      <c r="J31" s="11">
        <v>3</v>
      </c>
      <c r="K31" s="33">
        <f t="shared" si="0"/>
        <v>46</v>
      </c>
      <c r="L31" s="10">
        <v>8</v>
      </c>
      <c r="M31" s="10">
        <v>4</v>
      </c>
      <c r="N31" s="10" t="s">
        <v>236</v>
      </c>
      <c r="O31" s="11"/>
      <c r="P31" s="10">
        <v>5</v>
      </c>
      <c r="Q31" s="11">
        <v>5</v>
      </c>
      <c r="R31" s="30" t="s">
        <v>258</v>
      </c>
      <c r="S31" s="30"/>
      <c r="T31" s="33">
        <f t="shared" si="1"/>
        <v>22</v>
      </c>
      <c r="U31" s="10"/>
      <c r="V31" s="10"/>
      <c r="W31" s="10"/>
      <c r="X31" s="11"/>
      <c r="Y31" s="10"/>
      <c r="Z31" s="11"/>
      <c r="AA31" s="30"/>
      <c r="AB31" s="30"/>
      <c r="AC31" s="33">
        <f t="shared" si="2"/>
        <v>0</v>
      </c>
      <c r="AD31" s="12">
        <f t="shared" si="3"/>
        <v>68</v>
      </c>
      <c r="AE31" s="39"/>
      <c r="AF31" s="39"/>
      <c r="AG31" s="39"/>
      <c r="AH31" s="39"/>
      <c r="AI31" s="39"/>
      <c r="AJ31" s="39"/>
    </row>
    <row r="32" spans="1:36" x14ac:dyDescent="0.2">
      <c r="A32" s="5">
        <f>DAY(Kalenteri!A209)</f>
        <v>28</v>
      </c>
      <c r="B32" s="3" t="str">
        <f>IF(Kalenteri!B209=1,"su",IF(Kalenteri!B209=2,"ma",IF(Kalenteri!B209=3,"ti",IF(Kalenteri!B209=4,"ke",IF(Kalenteri!B209=5,"to",IF(Kalenteri!B209=6,"pe",IF(Kalenteri!B209=7,"la",)))))))</f>
        <v>su</v>
      </c>
      <c r="C32" s="18" t="s">
        <v>257</v>
      </c>
      <c r="D32" s="10"/>
      <c r="E32" s="10"/>
      <c r="F32" s="11"/>
      <c r="G32" s="18">
        <v>19</v>
      </c>
      <c r="H32" s="11">
        <v>8</v>
      </c>
      <c r="I32" s="18">
        <v>0</v>
      </c>
      <c r="J32" s="11">
        <v>0</v>
      </c>
      <c r="K32" s="33">
        <f t="shared" si="0"/>
        <v>27</v>
      </c>
      <c r="L32" s="10">
        <v>2</v>
      </c>
      <c r="M32" s="10"/>
      <c r="N32" s="10" t="s">
        <v>236</v>
      </c>
      <c r="O32" s="11"/>
      <c r="P32" s="10">
        <v>4</v>
      </c>
      <c r="Q32" s="11"/>
      <c r="R32" s="30" t="s">
        <v>258</v>
      </c>
      <c r="S32" s="30"/>
      <c r="T32" s="33">
        <f t="shared" si="1"/>
        <v>6</v>
      </c>
      <c r="U32" s="10"/>
      <c r="V32" s="10"/>
      <c r="W32" s="10"/>
      <c r="X32" s="11"/>
      <c r="Y32" s="10"/>
      <c r="Z32" s="11"/>
      <c r="AA32" s="30"/>
      <c r="AB32" s="30"/>
      <c r="AC32" s="33">
        <f t="shared" si="2"/>
        <v>0</v>
      </c>
      <c r="AD32" s="12">
        <f t="shared" si="3"/>
        <v>33</v>
      </c>
      <c r="AE32" s="39"/>
      <c r="AF32" s="39"/>
      <c r="AG32" s="39"/>
      <c r="AH32" s="39"/>
      <c r="AI32" s="39"/>
      <c r="AJ32" s="39"/>
    </row>
    <row r="33" spans="1:36" x14ac:dyDescent="0.2">
      <c r="A33" s="5">
        <f>DAY(Kalenteri!A210)</f>
        <v>29</v>
      </c>
      <c r="B33" s="3" t="str">
        <f>IF(Kalenteri!B210=1,"su",IF(Kalenteri!B210=2,"ma",IF(Kalenteri!B210=3,"ti",IF(Kalenteri!B210=4,"ke",IF(Kalenteri!B210=5,"to",IF(Kalenteri!B210=6,"pe",IF(Kalenteri!B210=7,"la",)))))))</f>
        <v>ma</v>
      </c>
      <c r="C33" s="18" t="s">
        <v>257</v>
      </c>
      <c r="D33" s="10"/>
      <c r="E33" s="10"/>
      <c r="F33" s="11"/>
      <c r="G33" s="18">
        <v>26</v>
      </c>
      <c r="H33" s="11">
        <v>4</v>
      </c>
      <c r="I33" s="18">
        <v>2</v>
      </c>
      <c r="J33" s="11">
        <v>3</v>
      </c>
      <c r="K33" s="33">
        <f t="shared" si="0"/>
        <v>35</v>
      </c>
      <c r="L33" s="10">
        <v>16</v>
      </c>
      <c r="M33" s="10">
        <v>5</v>
      </c>
      <c r="N33" s="10" t="s">
        <v>236</v>
      </c>
      <c r="O33" s="11"/>
      <c r="P33" s="10">
        <v>1</v>
      </c>
      <c r="Q33" s="11"/>
      <c r="R33" s="30" t="s">
        <v>258</v>
      </c>
      <c r="S33" s="30"/>
      <c r="T33" s="33">
        <f t="shared" si="1"/>
        <v>22</v>
      </c>
      <c r="U33" s="10"/>
      <c r="V33" s="10"/>
      <c r="W33" s="10"/>
      <c r="X33" s="11"/>
      <c r="Y33" s="10"/>
      <c r="Z33" s="11"/>
      <c r="AA33" s="30"/>
      <c r="AB33" s="30"/>
      <c r="AC33" s="33">
        <f t="shared" si="2"/>
        <v>0</v>
      </c>
      <c r="AD33" s="12">
        <f t="shared" si="3"/>
        <v>57</v>
      </c>
      <c r="AE33" s="39"/>
      <c r="AF33" s="39"/>
      <c r="AG33" s="39"/>
      <c r="AH33" s="39"/>
      <c r="AI33" s="39"/>
      <c r="AJ33" s="39"/>
    </row>
    <row r="34" spans="1:36" x14ac:dyDescent="0.2">
      <c r="A34" s="5">
        <f>DAY(Kalenteri!A211)</f>
        <v>30</v>
      </c>
      <c r="B34" s="3" t="str">
        <f>IF(Kalenteri!B211=1,"su",IF(Kalenteri!B211=2,"ma",IF(Kalenteri!B211=3,"ti",IF(Kalenteri!B211=4,"ke",IF(Kalenteri!B211=5,"to",IF(Kalenteri!B211=6,"pe",IF(Kalenteri!B211=7,"la",)))))))</f>
        <v>ti</v>
      </c>
      <c r="C34" s="18" t="s">
        <v>257</v>
      </c>
      <c r="D34" s="10"/>
      <c r="E34" s="10"/>
      <c r="F34" s="11"/>
      <c r="G34" s="18">
        <v>26</v>
      </c>
      <c r="H34" s="11">
        <v>12</v>
      </c>
      <c r="I34" s="18"/>
      <c r="J34" s="11"/>
      <c r="K34" s="33">
        <f t="shared" si="0"/>
        <v>38</v>
      </c>
      <c r="L34" s="10">
        <v>18</v>
      </c>
      <c r="M34" s="10">
        <v>6</v>
      </c>
      <c r="N34" s="10" t="s">
        <v>236</v>
      </c>
      <c r="O34" s="11"/>
      <c r="P34" s="10">
        <v>3</v>
      </c>
      <c r="Q34" s="11">
        <v>2</v>
      </c>
      <c r="R34" s="30" t="s">
        <v>258</v>
      </c>
      <c r="S34" s="30"/>
      <c r="T34" s="33">
        <f t="shared" si="1"/>
        <v>29</v>
      </c>
      <c r="U34" s="10"/>
      <c r="V34" s="10"/>
      <c r="W34" s="10"/>
      <c r="X34" s="11"/>
      <c r="Y34" s="10"/>
      <c r="Z34" s="11"/>
      <c r="AA34" s="30"/>
      <c r="AB34" s="30"/>
      <c r="AC34" s="33">
        <f t="shared" si="2"/>
        <v>0</v>
      </c>
      <c r="AD34" s="12">
        <f t="shared" si="3"/>
        <v>67</v>
      </c>
      <c r="AE34" s="39"/>
      <c r="AF34" s="39"/>
      <c r="AG34" s="39"/>
      <c r="AH34" s="39"/>
      <c r="AI34" s="39"/>
      <c r="AJ34" s="39"/>
    </row>
    <row r="35" spans="1:36" x14ac:dyDescent="0.2">
      <c r="A35" s="5">
        <f>DAY(Kalenteri!A212)</f>
        <v>31</v>
      </c>
      <c r="B35" s="3" t="str">
        <f>IF(Kalenteri!B212=1,"su",IF(Kalenteri!B212=2,"ma",IF(Kalenteri!B212=3,"ti",IF(Kalenteri!B212=4,"ke",IF(Kalenteri!B212=5,"to",IF(Kalenteri!B212=6,"pe",IF(Kalenteri!B212=7,"la",)))))))</f>
        <v>ke</v>
      </c>
      <c r="C35" s="79" t="s">
        <v>257</v>
      </c>
      <c r="D35" s="80"/>
      <c r="E35" s="80"/>
      <c r="F35" s="81"/>
      <c r="G35" s="79">
        <v>50</v>
      </c>
      <c r="H35" s="81">
        <v>12</v>
      </c>
      <c r="I35" s="79">
        <v>4</v>
      </c>
      <c r="J35" s="81">
        <v>6</v>
      </c>
      <c r="K35" s="34">
        <f t="shared" si="0"/>
        <v>72</v>
      </c>
      <c r="L35" s="20"/>
      <c r="M35" s="20"/>
      <c r="N35" s="20"/>
      <c r="O35" s="21"/>
      <c r="P35" s="20"/>
      <c r="Q35" s="21"/>
      <c r="R35" s="31"/>
      <c r="S35" s="31"/>
      <c r="T35" s="34">
        <f t="shared" si="1"/>
        <v>0</v>
      </c>
      <c r="U35" s="20"/>
      <c r="V35" s="20"/>
      <c r="W35" s="20"/>
      <c r="X35" s="21"/>
      <c r="Y35" s="20"/>
      <c r="Z35" s="21"/>
      <c r="AA35" s="31"/>
      <c r="AB35" s="31"/>
      <c r="AC35" s="34">
        <f t="shared" si="2"/>
        <v>0</v>
      </c>
      <c r="AD35" s="19">
        <f t="shared" si="3"/>
        <v>72</v>
      </c>
      <c r="AE35" s="39"/>
      <c r="AF35" s="39"/>
      <c r="AG35" s="39"/>
      <c r="AH35" s="39"/>
      <c r="AI35" s="39"/>
      <c r="AJ35" s="39"/>
    </row>
    <row r="36" spans="1:36" x14ac:dyDescent="0.2">
      <c r="A36" s="6"/>
      <c r="B36"/>
      <c r="C36" s="82">
        <f t="shared" ref="C36:J36" si="4">SUM(C5:C35)</f>
        <v>0</v>
      </c>
      <c r="D36" s="83">
        <f t="shared" si="4"/>
        <v>0</v>
      </c>
      <c r="E36" s="83">
        <f t="shared" si="4"/>
        <v>0</v>
      </c>
      <c r="F36" s="84">
        <f t="shared" si="4"/>
        <v>0</v>
      </c>
      <c r="G36" s="83">
        <f t="shared" si="4"/>
        <v>834</v>
      </c>
      <c r="H36" s="84">
        <f t="shared" si="4"/>
        <v>218</v>
      </c>
      <c r="I36" s="83">
        <f t="shared" si="4"/>
        <v>28</v>
      </c>
      <c r="J36" s="84">
        <f t="shared" si="4"/>
        <v>42</v>
      </c>
      <c r="K36" s="85">
        <f t="shared" si="0"/>
        <v>1122</v>
      </c>
      <c r="L36" s="83">
        <f t="shared" ref="L36:S36" si="5">SUM(L5:L35)</f>
        <v>352</v>
      </c>
      <c r="M36" s="83">
        <f t="shared" si="5"/>
        <v>141</v>
      </c>
      <c r="N36" s="83">
        <f t="shared" si="5"/>
        <v>0</v>
      </c>
      <c r="O36" s="84">
        <f t="shared" si="5"/>
        <v>0</v>
      </c>
      <c r="P36" s="83">
        <f t="shared" si="5"/>
        <v>74</v>
      </c>
      <c r="Q36" s="84">
        <f t="shared" si="5"/>
        <v>34</v>
      </c>
      <c r="R36" s="86">
        <f t="shared" si="5"/>
        <v>0</v>
      </c>
      <c r="S36" s="86">
        <f t="shared" si="5"/>
        <v>0</v>
      </c>
      <c r="T36" s="85">
        <f t="shared" si="1"/>
        <v>601</v>
      </c>
      <c r="U36" s="83">
        <f t="shared" ref="U36:AB36" si="6">SUM(U5:U35)</f>
        <v>0</v>
      </c>
      <c r="V36" s="83">
        <f t="shared" si="6"/>
        <v>0</v>
      </c>
      <c r="W36" s="83">
        <f t="shared" si="6"/>
        <v>0</v>
      </c>
      <c r="X36" s="84">
        <f t="shared" si="6"/>
        <v>0</v>
      </c>
      <c r="Y36" s="83">
        <f t="shared" si="6"/>
        <v>0</v>
      </c>
      <c r="Z36" s="84">
        <f t="shared" si="6"/>
        <v>0</v>
      </c>
      <c r="AA36" s="86">
        <f t="shared" si="6"/>
        <v>0</v>
      </c>
      <c r="AB36" s="86">
        <f t="shared" si="6"/>
        <v>0</v>
      </c>
      <c r="AC36" s="85">
        <f t="shared" si="2"/>
        <v>0</v>
      </c>
      <c r="AD36" s="87">
        <f t="shared" si="3"/>
        <v>1723</v>
      </c>
      <c r="AE36" s="66"/>
      <c r="AF36" s="66"/>
      <c r="AG36" s="66"/>
      <c r="AH36" s="66"/>
      <c r="AI36" s="66"/>
      <c r="AJ36" s="66"/>
    </row>
    <row r="37" spans="1:36" ht="8.1" customHeight="1" thickBot="1" x14ac:dyDescent="0.25">
      <c r="A37" s="6"/>
      <c r="B37"/>
      <c r="C37" s="2"/>
      <c r="D37" s="5"/>
      <c r="E37" s="5"/>
      <c r="F37" s="2"/>
      <c r="G37" s="2"/>
      <c r="H37" s="2"/>
      <c r="I37" s="5"/>
      <c r="J37" s="2"/>
      <c r="K37" s="2"/>
      <c r="L37" s="5"/>
      <c r="M37" s="2"/>
      <c r="N37" s="5"/>
      <c r="O37" s="5"/>
      <c r="P37" s="2"/>
      <c r="Q37" s="5"/>
      <c r="R37" s="42"/>
      <c r="S37" s="42"/>
      <c r="T37" s="2"/>
      <c r="U37" s="2"/>
      <c r="V37" s="2"/>
      <c r="W37" s="2"/>
      <c r="X37" s="5"/>
      <c r="Y37" s="2"/>
      <c r="Z37" s="2"/>
      <c r="AA37" s="39"/>
      <c r="AB37" s="39"/>
      <c r="AC37" s="5"/>
      <c r="AD37" s="40"/>
      <c r="AE37" s="40"/>
      <c r="AF37" s="40"/>
      <c r="AG37" s="40"/>
      <c r="AH37" s="40"/>
      <c r="AI37" s="40"/>
      <c r="AJ37" s="40"/>
    </row>
    <row r="38" spans="1:36" ht="24.95" customHeight="1" thickTop="1" x14ac:dyDescent="0.3">
      <c r="A38" s="6"/>
      <c r="B38"/>
      <c r="C38" s="171" t="str">
        <f>Kalenteri!E38</f>
        <v>Lippujen hinnat:</v>
      </c>
      <c r="D38" s="5"/>
      <c r="E38" s="5"/>
      <c r="F38" s="2"/>
      <c r="G38" s="2"/>
      <c r="H38" s="2"/>
      <c r="I38" s="5"/>
      <c r="J38" s="2"/>
      <c r="K38" s="2"/>
      <c r="L38" s="5"/>
      <c r="M38" s="2"/>
      <c r="N38" s="5"/>
      <c r="O38" s="5"/>
      <c r="P38" s="2"/>
      <c r="Q38"/>
      <c r="R38"/>
      <c r="S38"/>
      <c r="T38"/>
      <c r="U38" s="49" t="s">
        <v>40</v>
      </c>
      <c r="V38" s="50"/>
      <c r="W38" s="43"/>
      <c r="X38" s="44"/>
      <c r="Y38" s="43"/>
      <c r="Z38" s="43"/>
      <c r="AA38" s="44"/>
      <c r="AB38" s="44"/>
      <c r="AC38" s="47"/>
      <c r="AD38" s="45">
        <f>AD36</f>
        <v>1723</v>
      </c>
      <c r="AE38" s="41"/>
      <c r="AF38" s="41"/>
      <c r="AG38" s="41"/>
      <c r="AH38" s="41"/>
      <c r="AI38" s="41"/>
      <c r="AJ38" s="41"/>
    </row>
    <row r="39" spans="1:36" ht="24.95" customHeight="1" x14ac:dyDescent="0.3">
      <c r="A39" s="6"/>
      <c r="B39"/>
      <c r="C39" s="193" t="str">
        <f>Kalenteri!E39</f>
        <v>Mustikkamaan kautta: 1.9.-30.4. aik. 10 €, lapset 5 €, kimppalippu 30 €    1.5.-30.8. aik. 12 €, lapset 6 €, kimppalippu 36 €</v>
      </c>
      <c r="D39" s="89"/>
      <c r="E39" s="89"/>
      <c r="F39" s="90"/>
      <c r="G39" s="102"/>
      <c r="H39" s="174"/>
      <c r="I39" s="89"/>
      <c r="J39" s="90"/>
      <c r="K39" s="90"/>
      <c r="L39" s="89"/>
      <c r="M39" s="90"/>
      <c r="N39" s="89"/>
      <c r="O39" s="89"/>
      <c r="P39" s="89"/>
      <c r="Q39" s="104"/>
      <c r="R39" s="103"/>
      <c r="S39"/>
      <c r="T39"/>
      <c r="U39" s="62" t="s">
        <v>13</v>
      </c>
      <c r="V39" s="52"/>
      <c r="W39" s="53"/>
      <c r="X39" s="54"/>
      <c r="Y39" s="53"/>
      <c r="Z39" s="53"/>
      <c r="AA39" s="54"/>
      <c r="AB39" s="54"/>
      <c r="AC39" s="55"/>
      <c r="AD39" s="56">
        <f>AD36-Edellisvuosi!H8</f>
        <v>1487</v>
      </c>
      <c r="AE39" s="67"/>
      <c r="AF39" s="67"/>
      <c r="AG39" s="67"/>
      <c r="AH39" s="67"/>
      <c r="AI39" s="67"/>
      <c r="AJ39" s="67"/>
    </row>
    <row r="40" spans="1:36" ht="24.95" customHeight="1" x14ac:dyDescent="0.3">
      <c r="A40" s="6"/>
      <c r="B40" s="6"/>
      <c r="C40" s="194" t="str">
        <f>Kalenteri!E40</f>
        <v xml:space="preserve">                                    Vuosikortti:     aik. 50 €, lapset 20 €, perhekortti 100 €</v>
      </c>
      <c r="D40" s="39"/>
      <c r="E40" s="39"/>
      <c r="F40" s="42"/>
      <c r="G40" s="65"/>
      <c r="H40" s="176"/>
      <c r="I40" s="39"/>
      <c r="J40" s="42"/>
      <c r="K40" s="42"/>
      <c r="L40" s="39"/>
      <c r="M40" s="42"/>
      <c r="N40" s="39"/>
      <c r="O40" s="39"/>
      <c r="P40" s="39"/>
      <c r="Q40" s="23"/>
      <c r="R40" s="97"/>
      <c r="S40"/>
      <c r="T40"/>
      <c r="U40" s="63" t="s">
        <v>41</v>
      </c>
      <c r="V40" s="37"/>
      <c r="W40" s="51"/>
      <c r="X40" s="41"/>
      <c r="Y40" s="51"/>
      <c r="Z40" s="41"/>
      <c r="AA40" s="41"/>
      <c r="AB40" s="41"/>
      <c r="AC40" s="48"/>
      <c r="AD40" s="46">
        <f>AD36+'K1'!AD36+'K2'!AD36+'K3'!AD36+'K4'!AD36+'K5'!AD36+'K6'!AD36</f>
        <v>5328</v>
      </c>
      <c r="AE40" s="41"/>
      <c r="AF40" s="41"/>
      <c r="AG40" s="41"/>
      <c r="AH40" s="41"/>
      <c r="AI40" s="41"/>
      <c r="AJ40" s="41"/>
    </row>
    <row r="41" spans="1:36" ht="24.95" customHeight="1" thickBot="1" x14ac:dyDescent="0.35">
      <c r="A41" s="4"/>
      <c r="B41" s="4"/>
      <c r="C41" s="195" t="str">
        <f>Kalenteri!E41</f>
        <v>Vesibusseilla:             1.9.-30.4. aik. 16 €, lapset 8 €, kimppalippu 47 €    1.5.-31.8. aik. 18 €, lapset 9 €, kimppalippu 53 €</v>
      </c>
      <c r="D41" s="93"/>
      <c r="E41" s="93"/>
      <c r="F41" s="94"/>
      <c r="G41" s="94"/>
      <c r="H41" s="175"/>
      <c r="I41" s="93"/>
      <c r="J41" s="96"/>
      <c r="K41" s="96"/>
      <c r="L41" s="93"/>
      <c r="M41" s="95"/>
      <c r="N41" s="95"/>
      <c r="O41" s="93"/>
      <c r="P41" s="93"/>
      <c r="Q41" s="95"/>
      <c r="R41" s="98"/>
      <c r="S41"/>
      <c r="T41"/>
      <c r="U41" s="64" t="s">
        <v>13</v>
      </c>
      <c r="V41" s="57"/>
      <c r="W41" s="58"/>
      <c r="X41" s="59"/>
      <c r="Y41" s="59"/>
      <c r="Z41" s="59"/>
      <c r="AA41" s="59"/>
      <c r="AB41" s="59"/>
      <c r="AC41" s="60"/>
      <c r="AD41" s="61">
        <f>AD40-Edellisvuosi!B8-Edellisvuosi!C8-Edellisvuosi!D8-Edellisvuosi!E8-Edellisvuosi!F8-Edellisvuosi!G8-Edellisvuosi!H8</f>
        <v>-1171</v>
      </c>
      <c r="AE41" s="68"/>
      <c r="AF41" s="68"/>
      <c r="AG41" s="68"/>
      <c r="AH41" s="68"/>
      <c r="AI41" s="68"/>
      <c r="AJ41" s="68"/>
    </row>
    <row r="42" spans="1:36" ht="13.5" thickTop="1" x14ac:dyDescent="0.2"/>
  </sheetData>
  <sheetProtection password="C4AC" sheet="1" objects="1" scenarios="1"/>
  <phoneticPr fontId="4" type="noConversion"/>
  <pageMargins left="0" right="0" top="0.27559055118110237" bottom="0" header="0" footer="0"/>
  <pageSetup paperSize="9" scale="75" fitToHeight="0" orientation="landscape" horizontalDpi="4294967292" verticalDpi="4294967292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7041" r:id="rId4" name="Button 1">
              <controlPr defaultSize="0" print="0" autoFill="0" autoLine="0" autoPict="0" macro="[1]!TAMMI">
                <anchor moveWithCells="1" sizeWithCells="1">
                  <from>
                    <xdr:col>35</xdr:col>
                    <xdr:colOff>0</xdr:colOff>
                    <xdr:row>3</xdr:row>
                    <xdr:rowOff>9525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042" r:id="rId5" name="Button 2">
              <controlPr defaultSize="0" print="0" autoFill="0" autoLine="0" autoPict="0" macro="[1]KTMAKRO!$A$1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043" r:id="rId6" name="Button 3">
              <controlPr defaultSize="0" print="0" autoFill="0" autoLine="0" autoPict="0" macro="[1]!MAALIS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044" r:id="rId7" name="Button 4">
              <controlPr defaultSize="0" print="0" autoFill="0" autoLine="0" autoPict="0" macro="[1]KTMAKRO!$D$1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045" r:id="rId8" name="Button 5">
              <controlPr defaultSize="0" print="0" autoFill="0" autoLine="0" autoPict="0" macro="[1]KTMAKRO!$E$1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046" r:id="rId9" name="Button 6">
              <controlPr defaultSize="0" print="0" autoFill="0" autoLine="0" autoPict="0" macro="[1]!KESÄ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047" r:id="rId10" name="Button 7">
              <controlPr defaultSize="0" print="0" autoFill="0" autoLine="0" autoPict="0" macro="[1]!HELMI">
                <anchor moveWithCells="1" sizeWithCells="1">
                  <from>
                    <xdr:col>35</xdr:col>
                    <xdr:colOff>0</xdr:colOff>
                    <xdr:row>3</xdr:row>
                    <xdr:rowOff>9525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048" r:id="rId11" name="Button 8">
              <controlPr defaultSize="0" print="0" autoFill="0" autoLine="0" autoPict="0" macro="[1]KTMAKRO!$G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049" r:id="rId12" name="Button 9">
              <controlPr defaultSize="0" print="0" autoFill="0" autoLine="0" autoPict="0" macro="[1]KTMAKRO!$I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050" r:id="rId13" name="Button 10">
              <controlPr defaultSize="0" print="0" autoFill="0" autoLine="0" autoPict="0" macro="[1]KTMAKRO!$J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051" r:id="rId14" name="Button 11">
              <controlPr defaultSize="0" print="0" autoFill="0" autoLine="0" autoPict="0" macro="[1]KTMAKRO!$K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052" r:id="rId15" name="Button 12">
              <controlPr defaultSize="0" print="0" autoFill="0" autoLine="0" autoPict="0" macro="[1]KTMAKRO!$L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053" r:id="rId16" name="Button 13">
              <controlPr defaultSize="0" print="0" autoFill="0" autoLine="0" autoPict="0" macro="[1]KTMAKRO!$H$1">
                <anchor moveWithCells="1" sizeWithCells="1">
                  <from>
                    <xdr:col>35</xdr:col>
                    <xdr:colOff>0</xdr:colOff>
                    <xdr:row>5</xdr:row>
                    <xdr:rowOff>0</xdr:rowOff>
                  </from>
                  <to>
                    <xdr:col>35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054" r:id="rId17" name="Button 14">
              <controlPr defaultSize="0" print="0" autoFill="0" autoLine="0" autoPict="0" macro="[1]!Yhteenveto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5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055" r:id="rId18" name="Button 15">
              <controlPr defaultSize="0" print="0" autoFill="0" autoLine="0" autoPict="0" macro="[1]!GRAFIIKKA1">
                <anchor moveWithCells="1" sizeWithCells="1">
                  <from>
                    <xdr:col>35</xdr:col>
                    <xdr:colOff>0</xdr:colOff>
                    <xdr:row>8</xdr:row>
                    <xdr:rowOff>142875</xdr:rowOff>
                  </from>
                  <to>
                    <xdr:col>35</xdr:col>
                    <xdr:colOff>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056" r:id="rId19" name="Button 16">
              <controlPr defaultSize="0" print="0" autoFill="0" autoLine="0" autoPict="0" macro="[1]!Grafiikka2">
                <anchor moveWithCells="1" sizeWithCells="1">
                  <from>
                    <xdr:col>35</xdr:col>
                    <xdr:colOff>0</xdr:colOff>
                    <xdr:row>8</xdr:row>
                    <xdr:rowOff>152400</xdr:rowOff>
                  </from>
                  <to>
                    <xdr:col>35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057" r:id="rId20" name="Button 17">
              <controlPr defaultSize="0" print="0" autoFill="0" autoLine="0" autoPict="0" macro="[1]!Grafiikka4">
                <anchor moveWithCells="1" sizeWithCells="1">
                  <from>
                    <xdr:col>35</xdr:col>
                    <xdr:colOff>0</xdr:colOff>
                    <xdr:row>8</xdr:row>
                    <xdr:rowOff>142875</xdr:rowOff>
                  </from>
                  <to>
                    <xdr:col>35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058" r:id="rId21" name="Button 18">
              <controlPr defaultSize="0" print="0" autoFill="0" autoLine="0" autoPict="0" macro="[1]!Grafiikka4">
                <anchor moveWithCells="1" sizeWithCells="1">
                  <from>
                    <xdr:col>35</xdr:col>
                    <xdr:colOff>0</xdr:colOff>
                    <xdr:row>8</xdr:row>
                    <xdr:rowOff>152400</xdr:rowOff>
                  </from>
                  <to>
                    <xdr:col>35</xdr:col>
                    <xdr:colOff>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059" r:id="rId22" name="Button 19">
              <controlPr defaultSize="0" print="0" autoFill="0" autoLine="0" autoPict="0" macro="[1]!Grafiikka5">
                <anchor moveWithCells="1" sizeWithCells="1">
                  <from>
                    <xdr:col>35</xdr:col>
                    <xdr:colOff>0</xdr:colOff>
                    <xdr:row>8</xdr:row>
                    <xdr:rowOff>152400</xdr:rowOff>
                  </from>
                  <to>
                    <xdr:col>35</xdr:col>
                    <xdr:colOff>0</xdr:colOff>
                    <xdr:row>12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060" r:id="rId23" name="Button 20">
              <controlPr defaultSize="0" print="0" autoFill="0" autoLine="0" autoPict="0" macro="[1]!Perusikkuna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12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/>
  <dimension ref="A1:AJ42"/>
  <sheetViews>
    <sheetView showGridLines="0" zoomScale="75" workbookViewId="0"/>
  </sheetViews>
  <sheetFormatPr defaultColWidth="9.75" defaultRowHeight="12.75" x14ac:dyDescent="0.2"/>
  <cols>
    <col min="1" max="1" width="3.75" style="1" customWidth="1"/>
    <col min="2" max="2" width="2.75" style="1" customWidth="1"/>
    <col min="3" max="4" width="6.125" style="1" customWidth="1"/>
    <col min="5" max="5" width="4" style="1" customWidth="1"/>
    <col min="6" max="6" width="4.5" style="1" customWidth="1"/>
    <col min="7" max="10" width="6.125" style="1" customWidth="1"/>
    <col min="11" max="11" width="5.875" style="1" customWidth="1"/>
    <col min="12" max="13" width="6.125" style="1" customWidth="1"/>
    <col min="14" max="14" width="5.25" style="1" customWidth="1"/>
    <col min="15" max="15" width="4.5" style="1" customWidth="1"/>
    <col min="16" max="16" width="6.125" style="1" customWidth="1"/>
    <col min="17" max="17" width="5.5" style="1" customWidth="1"/>
    <col min="18" max="19" width="6.125" style="1" customWidth="1"/>
    <col min="20" max="20" width="5.875" style="1" customWidth="1"/>
    <col min="21" max="22" width="6.125" style="1" customWidth="1"/>
    <col min="23" max="23" width="4.375" style="1" customWidth="1"/>
    <col min="24" max="24" width="4.25" style="1" customWidth="1"/>
    <col min="25" max="29" width="6.125" style="1" customWidth="1"/>
    <col min="30" max="36" width="15.625" style="1" customWidth="1"/>
  </cols>
  <sheetData>
    <row r="1" spans="1:36" ht="30" customHeight="1" x14ac:dyDescent="0.35">
      <c r="A1" s="22"/>
      <c r="B1" s="4"/>
      <c r="C1" s="105" t="s">
        <v>15</v>
      </c>
      <c r="D1" s="106"/>
      <c r="E1" s="106"/>
      <c r="F1" s="106"/>
      <c r="G1" s="106"/>
      <c r="H1" s="106"/>
      <c r="I1" s="106"/>
      <c r="J1" s="106"/>
      <c r="K1" s="106"/>
      <c r="L1" s="105" t="str">
        <f>Kalenteri!$H$1</f>
        <v>KÄVIJÄTILASTO 2013</v>
      </c>
      <c r="M1" s="107"/>
      <c r="N1" s="107"/>
      <c r="O1" s="107"/>
      <c r="P1" s="106"/>
      <c r="Q1" s="106"/>
      <c r="R1" s="105" t="s">
        <v>77</v>
      </c>
      <c r="S1" s="108"/>
      <c r="T1" s="106"/>
      <c r="U1" s="109"/>
      <c r="V1" s="105" t="s">
        <v>39</v>
      </c>
      <c r="W1" s="109"/>
      <c r="X1" s="106"/>
      <c r="Y1" s="106"/>
      <c r="Z1" s="106"/>
      <c r="AA1" s="106"/>
      <c r="AB1" s="106"/>
      <c r="AC1" s="106"/>
      <c r="AD1" s="110"/>
      <c r="AE1" s="4"/>
      <c r="AF1" s="4"/>
      <c r="AG1" s="4"/>
      <c r="AH1" s="4"/>
      <c r="AI1" s="4"/>
      <c r="AJ1" s="4"/>
    </row>
    <row r="2" spans="1:36" ht="30" customHeight="1" x14ac:dyDescent="0.3">
      <c r="A2" s="3"/>
      <c r="B2" s="4"/>
      <c r="C2" s="72"/>
      <c r="D2" s="73"/>
      <c r="E2" s="74" t="s">
        <v>1</v>
      </c>
      <c r="F2" s="75"/>
      <c r="G2" s="75"/>
      <c r="H2" s="75"/>
      <c r="I2" s="75"/>
      <c r="J2" s="75"/>
      <c r="K2" s="76"/>
      <c r="L2" s="72"/>
      <c r="M2" s="77"/>
      <c r="N2" s="73"/>
      <c r="O2" s="74" t="s">
        <v>2</v>
      </c>
      <c r="P2" s="75"/>
      <c r="Q2" s="75"/>
      <c r="R2" s="75"/>
      <c r="S2" s="75"/>
      <c r="T2" s="76"/>
      <c r="U2" s="72"/>
      <c r="V2" s="75"/>
      <c r="W2" s="73"/>
      <c r="X2" s="74" t="s">
        <v>3</v>
      </c>
      <c r="Y2" s="75"/>
      <c r="Z2" s="75"/>
      <c r="AA2" s="75"/>
      <c r="AB2" s="75"/>
      <c r="AC2" s="76"/>
      <c r="AD2" s="13"/>
      <c r="AE2" s="35"/>
      <c r="AF2" s="69"/>
      <c r="AG2" s="69"/>
      <c r="AH2" s="69"/>
      <c r="AI2" s="69"/>
      <c r="AJ2" s="69"/>
    </row>
    <row r="3" spans="1:36" x14ac:dyDescent="0.2">
      <c r="A3" s="4"/>
      <c r="B3" s="4"/>
      <c r="C3" s="24" t="s">
        <v>4</v>
      </c>
      <c r="D3" s="25"/>
      <c r="E3" s="25"/>
      <c r="F3" s="26"/>
      <c r="G3" s="24" t="s">
        <v>5</v>
      </c>
      <c r="H3" s="26"/>
      <c r="I3" s="25" t="s">
        <v>6</v>
      </c>
      <c r="J3" s="25"/>
      <c r="K3" s="27"/>
      <c r="L3" s="24" t="s">
        <v>4</v>
      </c>
      <c r="M3" s="25"/>
      <c r="N3" s="25"/>
      <c r="O3" s="26"/>
      <c r="P3" s="24" t="s">
        <v>5</v>
      </c>
      <c r="Q3" s="26"/>
      <c r="R3" s="25" t="s">
        <v>6</v>
      </c>
      <c r="S3" s="25"/>
      <c r="T3" s="27"/>
      <c r="U3" s="24" t="s">
        <v>4</v>
      </c>
      <c r="V3" s="25"/>
      <c r="W3" s="25"/>
      <c r="X3" s="26"/>
      <c r="Y3" s="24" t="s">
        <v>5</v>
      </c>
      <c r="Z3" s="26"/>
      <c r="AA3" s="25" t="s">
        <v>6</v>
      </c>
      <c r="AB3" s="25"/>
      <c r="AC3" s="27"/>
      <c r="AD3" s="36" t="s">
        <v>7</v>
      </c>
      <c r="AE3" s="38"/>
      <c r="AF3" s="70"/>
      <c r="AG3" s="70"/>
      <c r="AH3" s="70"/>
      <c r="AI3" s="70"/>
      <c r="AJ3"/>
    </row>
    <row r="4" spans="1:36" x14ac:dyDescent="0.2">
      <c r="A4" s="6"/>
      <c r="B4" s="4"/>
      <c r="C4" s="7" t="s">
        <v>8</v>
      </c>
      <c r="D4" s="8" t="s">
        <v>9</v>
      </c>
      <c r="E4" s="8" t="s">
        <v>10</v>
      </c>
      <c r="F4" s="9" t="s">
        <v>11</v>
      </c>
      <c r="G4" s="7" t="s">
        <v>8</v>
      </c>
      <c r="H4" s="9" t="s">
        <v>9</v>
      </c>
      <c r="I4" s="8" t="s">
        <v>8</v>
      </c>
      <c r="J4" s="8" t="s">
        <v>9</v>
      </c>
      <c r="K4" s="14" t="s">
        <v>0</v>
      </c>
      <c r="L4" s="7" t="s">
        <v>8</v>
      </c>
      <c r="M4" s="8" t="s">
        <v>9</v>
      </c>
      <c r="N4" s="8" t="s">
        <v>10</v>
      </c>
      <c r="O4" s="9" t="s">
        <v>11</v>
      </c>
      <c r="P4" s="7" t="s">
        <v>8</v>
      </c>
      <c r="Q4" s="9" t="s">
        <v>9</v>
      </c>
      <c r="R4" s="8" t="s">
        <v>8</v>
      </c>
      <c r="S4" s="8" t="s">
        <v>9</v>
      </c>
      <c r="T4" s="14" t="s">
        <v>0</v>
      </c>
      <c r="U4" s="7" t="s">
        <v>8</v>
      </c>
      <c r="V4" s="8" t="s">
        <v>9</v>
      </c>
      <c r="W4" s="8" t="s">
        <v>10</v>
      </c>
      <c r="X4" s="9" t="s">
        <v>11</v>
      </c>
      <c r="Y4" s="7" t="s">
        <v>8</v>
      </c>
      <c r="Z4" s="9" t="s">
        <v>9</v>
      </c>
      <c r="AA4" s="8" t="s">
        <v>8</v>
      </c>
      <c r="AB4" s="8" t="s">
        <v>9</v>
      </c>
      <c r="AC4" s="14" t="s">
        <v>0</v>
      </c>
      <c r="AD4" s="28"/>
      <c r="AE4" s="23"/>
      <c r="AF4" s="23"/>
      <c r="AG4" s="23"/>
      <c r="AH4" s="23"/>
      <c r="AI4" s="23"/>
      <c r="AJ4"/>
    </row>
    <row r="5" spans="1:36" x14ac:dyDescent="0.2">
      <c r="A5" s="5">
        <f>DAY(Kalenteri!A213)</f>
        <v>1</v>
      </c>
      <c r="B5" s="3" t="str">
        <f>IF(Kalenteri!B213=1,"su",IF(Kalenteri!B213=2,"ma",IF(Kalenteri!B213=3,"ti",IF(Kalenteri!B213=4,"ke",IF(Kalenteri!B213=5,"to",IF(Kalenteri!B213=6,"pe",IF(Kalenteri!B213=7,"la",)))))))</f>
        <v>to</v>
      </c>
      <c r="C5" s="78" t="s">
        <v>257</v>
      </c>
      <c r="D5" s="15"/>
      <c r="E5" s="15"/>
      <c r="F5" s="16"/>
      <c r="G5" s="78">
        <v>26</v>
      </c>
      <c r="H5" s="16">
        <v>12</v>
      </c>
      <c r="I5" s="78"/>
      <c r="J5" s="16"/>
      <c r="K5" s="32">
        <f t="shared" ref="K5:K36" si="0">SUM(C5:J5)</f>
        <v>38</v>
      </c>
      <c r="L5" s="15">
        <v>7</v>
      </c>
      <c r="M5" s="15">
        <v>1</v>
      </c>
      <c r="N5" s="15" t="s">
        <v>236</v>
      </c>
      <c r="O5" s="16"/>
      <c r="P5" s="15">
        <v>1</v>
      </c>
      <c r="Q5" s="16"/>
      <c r="R5" s="29" t="s">
        <v>258</v>
      </c>
      <c r="S5" s="29"/>
      <c r="T5" s="32">
        <f t="shared" ref="T5:T36" si="1">SUM(L5:S5)</f>
        <v>9</v>
      </c>
      <c r="U5" s="15"/>
      <c r="V5" s="15"/>
      <c r="W5" s="15"/>
      <c r="X5" s="16"/>
      <c r="Y5" s="15"/>
      <c r="Z5" s="16"/>
      <c r="AA5" s="29"/>
      <c r="AB5" s="29"/>
      <c r="AC5" s="32">
        <f t="shared" ref="AC5:AC36" si="2">SUM(U5:AB5)</f>
        <v>0</v>
      </c>
      <c r="AD5" s="17">
        <f t="shared" ref="AD5:AD36" si="3">SUM(K5,T5,AC5)</f>
        <v>47</v>
      </c>
      <c r="AE5" s="39"/>
      <c r="AF5" s="39"/>
      <c r="AG5" s="39"/>
      <c r="AH5" s="39"/>
      <c r="AI5" s="39"/>
      <c r="AJ5"/>
    </row>
    <row r="6" spans="1:36" x14ac:dyDescent="0.2">
      <c r="A6" s="5">
        <f>DAY(Kalenteri!A214)</f>
        <v>2</v>
      </c>
      <c r="B6" s="3" t="str">
        <f>IF(Kalenteri!B214=1,"su",IF(Kalenteri!B214=2,"ma",IF(Kalenteri!B214=3,"ti",IF(Kalenteri!B214=4,"ke",IF(Kalenteri!B214=5,"to",IF(Kalenteri!B214=6,"pe",IF(Kalenteri!B214=7,"la",)))))))</f>
        <v>pe</v>
      </c>
      <c r="C6" s="18" t="s">
        <v>257</v>
      </c>
      <c r="D6" s="10"/>
      <c r="E6" s="10"/>
      <c r="F6" s="11"/>
      <c r="G6" s="18">
        <v>38</v>
      </c>
      <c r="H6" s="11">
        <v>9</v>
      </c>
      <c r="I6" s="18"/>
      <c r="J6" s="11"/>
      <c r="K6" s="33">
        <f t="shared" si="0"/>
        <v>47</v>
      </c>
      <c r="L6" s="10">
        <v>6</v>
      </c>
      <c r="M6" s="10">
        <v>3</v>
      </c>
      <c r="N6" s="10" t="s">
        <v>236</v>
      </c>
      <c r="O6" s="11"/>
      <c r="P6" s="10">
        <v>4</v>
      </c>
      <c r="Q6" s="11">
        <v>1</v>
      </c>
      <c r="R6" s="30" t="s">
        <v>258</v>
      </c>
      <c r="S6" s="30"/>
      <c r="T6" s="33">
        <f t="shared" si="1"/>
        <v>14</v>
      </c>
      <c r="U6" s="10"/>
      <c r="V6" s="10"/>
      <c r="W6" s="10"/>
      <c r="X6" s="11"/>
      <c r="Y6" s="10"/>
      <c r="Z6" s="11"/>
      <c r="AA6" s="30"/>
      <c r="AB6" s="30"/>
      <c r="AC6" s="33">
        <f t="shared" si="2"/>
        <v>0</v>
      </c>
      <c r="AD6" s="12">
        <f t="shared" si="3"/>
        <v>61</v>
      </c>
      <c r="AE6" s="39"/>
      <c r="AF6" s="39"/>
      <c r="AG6" s="39"/>
      <c r="AH6" s="39"/>
      <c r="AI6" s="39"/>
      <c r="AJ6"/>
    </row>
    <row r="7" spans="1:36" x14ac:dyDescent="0.2">
      <c r="A7" s="5">
        <f>DAY(Kalenteri!A215)</f>
        <v>3</v>
      </c>
      <c r="B7" s="3" t="str">
        <f>IF(Kalenteri!B215=1,"su",IF(Kalenteri!B215=2,"ma",IF(Kalenteri!B215=3,"ti",IF(Kalenteri!B215=4,"ke",IF(Kalenteri!B215=5,"to",IF(Kalenteri!B215=6,"pe",IF(Kalenteri!B215=7,"la",)))))))</f>
        <v>la</v>
      </c>
      <c r="C7" s="18" t="s">
        <v>257</v>
      </c>
      <c r="D7" s="10"/>
      <c r="E7" s="10"/>
      <c r="F7" s="11"/>
      <c r="G7" s="18">
        <v>23</v>
      </c>
      <c r="H7" s="11">
        <v>6</v>
      </c>
      <c r="I7" s="18"/>
      <c r="J7" s="11"/>
      <c r="K7" s="33">
        <f t="shared" si="0"/>
        <v>29</v>
      </c>
      <c r="L7" s="10">
        <v>2</v>
      </c>
      <c r="M7" s="10"/>
      <c r="N7" s="10" t="s">
        <v>236</v>
      </c>
      <c r="O7" s="11"/>
      <c r="P7" s="10"/>
      <c r="Q7" s="11"/>
      <c r="R7" s="30"/>
      <c r="S7" s="30"/>
      <c r="T7" s="33">
        <f t="shared" si="1"/>
        <v>2</v>
      </c>
      <c r="U7" s="10"/>
      <c r="V7" s="10"/>
      <c r="W7" s="10"/>
      <c r="X7" s="11"/>
      <c r="Y7" s="10"/>
      <c r="Z7" s="11"/>
      <c r="AA7" s="30"/>
      <c r="AB7" s="30"/>
      <c r="AC7" s="33">
        <f t="shared" si="2"/>
        <v>0</v>
      </c>
      <c r="AD7" s="12">
        <f t="shared" si="3"/>
        <v>31</v>
      </c>
      <c r="AE7" s="39"/>
      <c r="AF7" s="39"/>
      <c r="AG7" s="39"/>
      <c r="AH7" s="39"/>
      <c r="AI7" s="39"/>
      <c r="AJ7"/>
    </row>
    <row r="8" spans="1:36" x14ac:dyDescent="0.2">
      <c r="A8" s="5">
        <f>DAY(Kalenteri!A216)</f>
        <v>4</v>
      </c>
      <c r="B8" s="3" t="str">
        <f>IF(Kalenteri!B216=1,"su",IF(Kalenteri!B216=2,"ma",IF(Kalenteri!B216=3,"ti",IF(Kalenteri!B216=4,"ke",IF(Kalenteri!B216=5,"to",IF(Kalenteri!B216=6,"pe",IF(Kalenteri!B216=7,"la",)))))))</f>
        <v>su</v>
      </c>
      <c r="C8" s="18" t="s">
        <v>257</v>
      </c>
      <c r="D8" s="10"/>
      <c r="E8" s="10"/>
      <c r="F8" s="11"/>
      <c r="G8" s="18">
        <v>13</v>
      </c>
      <c r="H8" s="11">
        <v>2</v>
      </c>
      <c r="I8" s="18"/>
      <c r="J8" s="11"/>
      <c r="K8" s="33">
        <f t="shared" si="0"/>
        <v>15</v>
      </c>
      <c r="L8" s="10">
        <v>10</v>
      </c>
      <c r="M8" s="10">
        <v>3</v>
      </c>
      <c r="N8" s="10" t="s">
        <v>236</v>
      </c>
      <c r="O8" s="11"/>
      <c r="P8" s="10"/>
      <c r="Q8" s="11"/>
      <c r="R8" s="30"/>
      <c r="S8" s="30"/>
      <c r="T8" s="33">
        <f t="shared" si="1"/>
        <v>13</v>
      </c>
      <c r="U8" s="10"/>
      <c r="V8" s="10"/>
      <c r="W8" s="10"/>
      <c r="X8" s="11"/>
      <c r="Y8" s="10"/>
      <c r="Z8" s="11"/>
      <c r="AA8" s="30"/>
      <c r="AB8" s="30"/>
      <c r="AC8" s="33">
        <f t="shared" si="2"/>
        <v>0</v>
      </c>
      <c r="AD8" s="12">
        <f t="shared" si="3"/>
        <v>28</v>
      </c>
      <c r="AE8" s="39"/>
      <c r="AF8" s="39"/>
      <c r="AG8" s="39"/>
      <c r="AH8" s="39"/>
      <c r="AI8" s="39"/>
      <c r="AJ8"/>
    </row>
    <row r="9" spans="1:36" x14ac:dyDescent="0.2">
      <c r="A9" s="5">
        <f>DAY(Kalenteri!A217)</f>
        <v>5</v>
      </c>
      <c r="B9" s="3" t="str">
        <f>IF(Kalenteri!B217=1,"su",IF(Kalenteri!B217=2,"ma",IF(Kalenteri!B217=3,"ti",IF(Kalenteri!B217=4,"ke",IF(Kalenteri!B217=5,"to",IF(Kalenteri!B217=6,"pe",IF(Kalenteri!B217=7,"la",)))))))</f>
        <v>ma</v>
      </c>
      <c r="C9" s="18" t="s">
        <v>257</v>
      </c>
      <c r="D9" s="10"/>
      <c r="E9" s="10"/>
      <c r="F9" s="11"/>
      <c r="G9" s="18">
        <v>34</v>
      </c>
      <c r="H9" s="11">
        <v>7</v>
      </c>
      <c r="I9" s="18"/>
      <c r="J9" s="11"/>
      <c r="K9" s="33">
        <f t="shared" si="0"/>
        <v>41</v>
      </c>
      <c r="L9" s="10">
        <v>8</v>
      </c>
      <c r="M9" s="10"/>
      <c r="N9" s="10" t="s">
        <v>236</v>
      </c>
      <c r="O9" s="11"/>
      <c r="P9" s="10"/>
      <c r="Q9" s="11"/>
      <c r="R9" s="30"/>
      <c r="S9" s="30"/>
      <c r="T9" s="33">
        <f t="shared" si="1"/>
        <v>8</v>
      </c>
      <c r="U9" s="10"/>
      <c r="V9" s="10"/>
      <c r="W9" s="10"/>
      <c r="X9" s="11"/>
      <c r="Y9" s="10"/>
      <c r="Z9" s="11"/>
      <c r="AA9" s="30"/>
      <c r="AB9" s="30"/>
      <c r="AC9" s="33">
        <f t="shared" si="2"/>
        <v>0</v>
      </c>
      <c r="AD9" s="12">
        <f t="shared" si="3"/>
        <v>49</v>
      </c>
      <c r="AE9" s="39"/>
      <c r="AF9" s="39"/>
      <c r="AG9" s="39"/>
      <c r="AH9" s="39"/>
      <c r="AI9" s="39"/>
      <c r="AJ9"/>
    </row>
    <row r="10" spans="1:36" x14ac:dyDescent="0.2">
      <c r="A10" s="5">
        <f>DAY(Kalenteri!A218)</f>
        <v>6</v>
      </c>
      <c r="B10" s="3" t="str">
        <f>IF(Kalenteri!B218=1,"su",IF(Kalenteri!B218=2,"ma",IF(Kalenteri!B218=3,"ti",IF(Kalenteri!B218=4,"ke",IF(Kalenteri!B218=5,"to",IF(Kalenteri!B218=6,"pe",IF(Kalenteri!B218=7,"la",)))))))</f>
        <v>ti</v>
      </c>
      <c r="C10" s="18" t="s">
        <v>257</v>
      </c>
      <c r="D10" s="10"/>
      <c r="E10" s="10"/>
      <c r="F10" s="11"/>
      <c r="G10" s="18">
        <v>28</v>
      </c>
      <c r="H10" s="11">
        <v>13</v>
      </c>
      <c r="I10" s="18"/>
      <c r="J10" s="11"/>
      <c r="K10" s="33">
        <f t="shared" si="0"/>
        <v>41</v>
      </c>
      <c r="L10" s="10">
        <v>16</v>
      </c>
      <c r="M10" s="10">
        <v>5</v>
      </c>
      <c r="N10" s="10" t="s">
        <v>236</v>
      </c>
      <c r="O10" s="11"/>
      <c r="P10" s="10">
        <v>2</v>
      </c>
      <c r="Q10" s="11"/>
      <c r="R10" s="30" t="s">
        <v>259</v>
      </c>
      <c r="S10" s="30"/>
      <c r="T10" s="33">
        <f t="shared" si="1"/>
        <v>23</v>
      </c>
      <c r="U10" s="10"/>
      <c r="V10" s="10"/>
      <c r="W10" s="10"/>
      <c r="X10" s="11"/>
      <c r="Y10" s="10"/>
      <c r="Z10" s="11"/>
      <c r="AA10" s="30"/>
      <c r="AB10" s="30"/>
      <c r="AC10" s="33">
        <f t="shared" si="2"/>
        <v>0</v>
      </c>
      <c r="AD10" s="12">
        <f t="shared" si="3"/>
        <v>64</v>
      </c>
      <c r="AE10" s="39"/>
      <c r="AF10" s="39"/>
      <c r="AG10" s="39"/>
      <c r="AH10" s="39"/>
      <c r="AI10" s="39"/>
      <c r="AJ10"/>
    </row>
    <row r="11" spans="1:36" x14ac:dyDescent="0.2">
      <c r="A11" s="5">
        <f>DAY(Kalenteri!A219)</f>
        <v>7</v>
      </c>
      <c r="B11" s="3" t="str">
        <f>IF(Kalenteri!B219=1,"su",IF(Kalenteri!B219=2,"ma",IF(Kalenteri!B219=3,"ti",IF(Kalenteri!B219=4,"ke",IF(Kalenteri!B219=5,"to",IF(Kalenteri!B219=6,"pe",IF(Kalenteri!B219=7,"la",)))))))</f>
        <v>ke</v>
      </c>
      <c r="C11" s="18" t="s">
        <v>257</v>
      </c>
      <c r="D11" s="10"/>
      <c r="E11" s="10"/>
      <c r="F11" s="11"/>
      <c r="G11" s="18">
        <v>19</v>
      </c>
      <c r="H11" s="11">
        <v>2</v>
      </c>
      <c r="I11" s="18">
        <v>2</v>
      </c>
      <c r="J11" s="11">
        <v>3</v>
      </c>
      <c r="K11" s="33">
        <f t="shared" si="0"/>
        <v>26</v>
      </c>
      <c r="L11" s="10">
        <v>4</v>
      </c>
      <c r="M11" s="10">
        <v>1</v>
      </c>
      <c r="N11" s="10" t="s">
        <v>236</v>
      </c>
      <c r="O11" s="11"/>
      <c r="P11" s="10">
        <v>6</v>
      </c>
      <c r="Q11" s="11"/>
      <c r="R11" s="30" t="s">
        <v>259</v>
      </c>
      <c r="S11" s="30"/>
      <c r="T11" s="33">
        <f t="shared" si="1"/>
        <v>11</v>
      </c>
      <c r="U11" s="10"/>
      <c r="V11" s="10"/>
      <c r="W11" s="10"/>
      <c r="X11" s="11"/>
      <c r="Y11" s="10"/>
      <c r="Z11" s="11"/>
      <c r="AA11" s="30"/>
      <c r="AB11" s="30"/>
      <c r="AC11" s="33">
        <f t="shared" si="2"/>
        <v>0</v>
      </c>
      <c r="AD11" s="12">
        <f t="shared" si="3"/>
        <v>37</v>
      </c>
      <c r="AE11" s="39"/>
      <c r="AF11" s="39"/>
      <c r="AG11" s="39"/>
      <c r="AH11" s="39"/>
      <c r="AI11" s="39"/>
      <c r="AJ11"/>
    </row>
    <row r="12" spans="1:36" x14ac:dyDescent="0.2">
      <c r="A12" s="5">
        <f>DAY(Kalenteri!A220)</f>
        <v>8</v>
      </c>
      <c r="B12" s="3" t="str">
        <f>IF(Kalenteri!B220=1,"su",IF(Kalenteri!B220=2,"ma",IF(Kalenteri!B220=3,"ti",IF(Kalenteri!B220=4,"ke",IF(Kalenteri!B220=5,"to",IF(Kalenteri!B220=6,"pe",IF(Kalenteri!B220=7,"la",)))))))</f>
        <v>to</v>
      </c>
      <c r="C12" s="18" t="s">
        <v>257</v>
      </c>
      <c r="D12" s="10"/>
      <c r="E12" s="10"/>
      <c r="F12" s="11"/>
      <c r="G12" s="18">
        <v>6</v>
      </c>
      <c r="H12" s="11">
        <v>2</v>
      </c>
      <c r="I12" s="18"/>
      <c r="J12" s="11"/>
      <c r="K12" s="33">
        <f t="shared" si="0"/>
        <v>8</v>
      </c>
      <c r="L12" s="10">
        <v>6</v>
      </c>
      <c r="M12" s="10">
        <v>6</v>
      </c>
      <c r="N12" s="10" t="s">
        <v>236</v>
      </c>
      <c r="O12" s="11"/>
      <c r="P12" s="10"/>
      <c r="Q12" s="11"/>
      <c r="R12" s="30"/>
      <c r="S12" s="30"/>
      <c r="T12" s="33">
        <f t="shared" si="1"/>
        <v>12</v>
      </c>
      <c r="U12" s="10"/>
      <c r="V12" s="10"/>
      <c r="W12" s="10"/>
      <c r="X12" s="11"/>
      <c r="Y12" s="10"/>
      <c r="Z12" s="11"/>
      <c r="AA12" s="30"/>
      <c r="AB12" s="30"/>
      <c r="AC12" s="33">
        <f t="shared" si="2"/>
        <v>0</v>
      </c>
      <c r="AD12" s="12">
        <f t="shared" si="3"/>
        <v>20</v>
      </c>
      <c r="AE12" s="39"/>
      <c r="AF12" s="39"/>
      <c r="AG12" s="39"/>
      <c r="AH12" s="39"/>
      <c r="AI12" s="39"/>
      <c r="AJ12"/>
    </row>
    <row r="13" spans="1:36" x14ac:dyDescent="0.2">
      <c r="A13" s="5">
        <f>DAY(Kalenteri!A221)</f>
        <v>9</v>
      </c>
      <c r="B13" s="3" t="str">
        <f>IF(Kalenteri!B221=1,"su",IF(Kalenteri!B221=2,"ma",IF(Kalenteri!B221=3,"ti",IF(Kalenteri!B221=4,"ke",IF(Kalenteri!B221=5,"to",IF(Kalenteri!B221=6,"pe",IF(Kalenteri!B221=7,"la",)))))))</f>
        <v>pe</v>
      </c>
      <c r="C13" s="18" t="s">
        <v>257</v>
      </c>
      <c r="D13" s="10"/>
      <c r="E13" s="10"/>
      <c r="F13" s="11"/>
      <c r="G13" s="18">
        <v>30</v>
      </c>
      <c r="H13" s="11">
        <v>7</v>
      </c>
      <c r="I13" s="18">
        <v>2</v>
      </c>
      <c r="J13" s="11">
        <v>3</v>
      </c>
      <c r="K13" s="33">
        <f t="shared" si="0"/>
        <v>42</v>
      </c>
      <c r="L13" s="10">
        <v>4</v>
      </c>
      <c r="M13" s="10"/>
      <c r="N13" s="10" t="s">
        <v>236</v>
      </c>
      <c r="O13" s="11"/>
      <c r="P13" s="10">
        <v>4</v>
      </c>
      <c r="Q13" s="11">
        <v>2</v>
      </c>
      <c r="R13" s="30" t="s">
        <v>259</v>
      </c>
      <c r="S13" s="30"/>
      <c r="T13" s="33">
        <f t="shared" si="1"/>
        <v>10</v>
      </c>
      <c r="U13" s="10"/>
      <c r="V13" s="10"/>
      <c r="W13" s="10"/>
      <c r="X13" s="11"/>
      <c r="Y13" s="10"/>
      <c r="Z13" s="11"/>
      <c r="AA13" s="30"/>
      <c r="AB13" s="30"/>
      <c r="AC13" s="33">
        <f t="shared" si="2"/>
        <v>0</v>
      </c>
      <c r="AD13" s="12">
        <f t="shared" si="3"/>
        <v>52</v>
      </c>
      <c r="AE13" s="39"/>
      <c r="AF13" s="39"/>
      <c r="AG13" s="39"/>
      <c r="AH13" s="39"/>
      <c r="AI13" s="39"/>
      <c r="AJ13"/>
    </row>
    <row r="14" spans="1:36" x14ac:dyDescent="0.2">
      <c r="A14" s="5">
        <f>DAY(Kalenteri!A222)</f>
        <v>10</v>
      </c>
      <c r="B14" s="3" t="str">
        <f>IF(Kalenteri!B222=1,"su",IF(Kalenteri!B222=2,"ma",IF(Kalenteri!B222=3,"ti",IF(Kalenteri!B222=4,"ke",IF(Kalenteri!B222=5,"to",IF(Kalenteri!B222=6,"pe",IF(Kalenteri!B222=7,"la",)))))))</f>
        <v>la</v>
      </c>
      <c r="C14" s="18" t="s">
        <v>257</v>
      </c>
      <c r="D14" s="10"/>
      <c r="E14" s="10"/>
      <c r="F14" s="11"/>
      <c r="G14" s="18">
        <v>27</v>
      </c>
      <c r="H14" s="11">
        <v>5</v>
      </c>
      <c r="I14" s="18">
        <v>2</v>
      </c>
      <c r="J14" s="11">
        <v>3</v>
      </c>
      <c r="K14" s="33">
        <f t="shared" si="0"/>
        <v>37</v>
      </c>
      <c r="L14" s="10">
        <v>10</v>
      </c>
      <c r="M14" s="10">
        <v>1</v>
      </c>
      <c r="N14" s="10" t="s">
        <v>236</v>
      </c>
      <c r="O14" s="11"/>
      <c r="P14" s="10">
        <v>112</v>
      </c>
      <c r="Q14" s="199"/>
      <c r="R14" s="11" t="s">
        <v>259</v>
      </c>
      <c r="S14" s="30"/>
      <c r="T14" s="33">
        <f t="shared" si="1"/>
        <v>123</v>
      </c>
      <c r="U14" s="10"/>
      <c r="V14" s="10"/>
      <c r="W14" s="10"/>
      <c r="X14" s="11"/>
      <c r="Y14" s="10"/>
      <c r="Z14" s="11"/>
      <c r="AA14" s="30"/>
      <c r="AB14" s="30"/>
      <c r="AC14" s="33">
        <f t="shared" si="2"/>
        <v>0</v>
      </c>
      <c r="AD14" s="12">
        <f t="shared" si="3"/>
        <v>160</v>
      </c>
      <c r="AE14" s="39"/>
      <c r="AF14" s="39"/>
      <c r="AG14" s="39"/>
      <c r="AH14" s="39"/>
      <c r="AI14" s="39"/>
      <c r="AJ14"/>
    </row>
    <row r="15" spans="1:36" x14ac:dyDescent="0.2">
      <c r="A15" s="5">
        <f>DAY(Kalenteri!A223)</f>
        <v>11</v>
      </c>
      <c r="B15" s="3" t="str">
        <f>IF(Kalenteri!B223=1,"su",IF(Kalenteri!B223=2,"ma",IF(Kalenteri!B223=3,"ti",IF(Kalenteri!B223=4,"ke",IF(Kalenteri!B223=5,"to",IF(Kalenteri!B223=6,"pe",IF(Kalenteri!B223=7,"la",)))))))</f>
        <v>su</v>
      </c>
      <c r="C15" s="18" t="s">
        <v>257</v>
      </c>
      <c r="D15" s="10"/>
      <c r="E15" s="10"/>
      <c r="F15" s="11"/>
      <c r="G15" s="18">
        <v>16</v>
      </c>
      <c r="H15" s="11"/>
      <c r="I15" s="18"/>
      <c r="J15" s="11"/>
      <c r="K15" s="33">
        <f t="shared" si="0"/>
        <v>16</v>
      </c>
      <c r="L15" s="10">
        <v>2</v>
      </c>
      <c r="M15" s="10">
        <v>2</v>
      </c>
      <c r="N15" s="10" t="s">
        <v>236</v>
      </c>
      <c r="O15" s="11"/>
      <c r="P15" s="10"/>
      <c r="Q15" s="11"/>
      <c r="R15" s="30"/>
      <c r="S15" s="30"/>
      <c r="T15" s="33">
        <f t="shared" si="1"/>
        <v>4</v>
      </c>
      <c r="U15" s="10"/>
      <c r="V15" s="10"/>
      <c r="W15" s="10"/>
      <c r="X15" s="11"/>
      <c r="Y15" s="10"/>
      <c r="Z15" s="11"/>
      <c r="AA15" s="30"/>
      <c r="AB15" s="30"/>
      <c r="AC15" s="33">
        <f t="shared" si="2"/>
        <v>0</v>
      </c>
      <c r="AD15" s="12">
        <f t="shared" si="3"/>
        <v>20</v>
      </c>
      <c r="AE15" s="39"/>
      <c r="AF15" s="39"/>
      <c r="AG15" s="39"/>
      <c r="AH15" s="39"/>
      <c r="AI15" s="39"/>
      <c r="AJ15"/>
    </row>
    <row r="16" spans="1:36" x14ac:dyDescent="0.2">
      <c r="A16" s="5">
        <f>DAY(Kalenteri!A224)</f>
        <v>12</v>
      </c>
      <c r="B16" s="3" t="str">
        <f>IF(Kalenteri!B224=1,"su",IF(Kalenteri!B224=2,"ma",IF(Kalenteri!B224=3,"ti",IF(Kalenteri!B224=4,"ke",IF(Kalenteri!B224=5,"to",IF(Kalenteri!B224=6,"pe",IF(Kalenteri!B224=7,"la",)))))))</f>
        <v>ma</v>
      </c>
      <c r="C16" s="18" t="s">
        <v>257</v>
      </c>
      <c r="D16" s="10"/>
      <c r="E16" s="10"/>
      <c r="F16" s="11"/>
      <c r="G16" s="18">
        <v>6</v>
      </c>
      <c r="H16" s="11">
        <v>1</v>
      </c>
      <c r="I16" s="18"/>
      <c r="J16" s="11"/>
      <c r="K16" s="33">
        <f t="shared" si="0"/>
        <v>7</v>
      </c>
      <c r="L16" s="10"/>
      <c r="M16" s="10"/>
      <c r="N16" s="10"/>
      <c r="O16" s="11"/>
      <c r="P16" s="10"/>
      <c r="Q16" s="11"/>
      <c r="R16" s="30"/>
      <c r="S16" s="30"/>
      <c r="T16" s="33">
        <f t="shared" si="1"/>
        <v>0</v>
      </c>
      <c r="U16" s="10"/>
      <c r="V16" s="10"/>
      <c r="W16" s="10"/>
      <c r="X16" s="11"/>
      <c r="Y16" s="10"/>
      <c r="Z16" s="11"/>
      <c r="AA16" s="30"/>
      <c r="AB16" s="30"/>
      <c r="AC16" s="33">
        <f t="shared" si="2"/>
        <v>0</v>
      </c>
      <c r="AD16" s="12">
        <f t="shared" si="3"/>
        <v>7</v>
      </c>
      <c r="AE16" s="39"/>
      <c r="AF16" s="39"/>
      <c r="AG16" s="39"/>
      <c r="AH16" s="39"/>
      <c r="AI16" s="39"/>
      <c r="AJ16"/>
    </row>
    <row r="17" spans="1:36" x14ac:dyDescent="0.2">
      <c r="A17" s="5">
        <f>DAY(Kalenteri!A225)</f>
        <v>13</v>
      </c>
      <c r="B17" s="3" t="str">
        <f>IF(Kalenteri!B225=1,"su",IF(Kalenteri!B225=2,"ma",IF(Kalenteri!B225=3,"ti",IF(Kalenteri!B225=4,"ke",IF(Kalenteri!B225=5,"to",IF(Kalenteri!B225=6,"pe",IF(Kalenteri!B225=7,"la",)))))))</f>
        <v>ti</v>
      </c>
      <c r="C17" s="18" t="s">
        <v>257</v>
      </c>
      <c r="D17" s="10"/>
      <c r="E17" s="10"/>
      <c r="F17" s="11"/>
      <c r="G17" s="18">
        <v>4</v>
      </c>
      <c r="H17" s="11"/>
      <c r="I17" s="18"/>
      <c r="J17" s="11"/>
      <c r="K17" s="33">
        <f t="shared" si="0"/>
        <v>4</v>
      </c>
      <c r="L17" s="10"/>
      <c r="M17" s="10"/>
      <c r="N17" s="10"/>
      <c r="O17" s="11"/>
      <c r="P17" s="10"/>
      <c r="Q17" s="11"/>
      <c r="R17" s="30"/>
      <c r="S17" s="30"/>
      <c r="T17" s="33">
        <f t="shared" si="1"/>
        <v>0</v>
      </c>
      <c r="U17" s="10"/>
      <c r="V17" s="10"/>
      <c r="W17" s="10"/>
      <c r="X17" s="11"/>
      <c r="Y17" s="10"/>
      <c r="Z17" s="11"/>
      <c r="AA17" s="30"/>
      <c r="AB17" s="30"/>
      <c r="AC17" s="33">
        <f t="shared" si="2"/>
        <v>0</v>
      </c>
      <c r="AD17" s="12">
        <f t="shared" si="3"/>
        <v>4</v>
      </c>
      <c r="AE17" s="39"/>
      <c r="AF17" s="39"/>
      <c r="AG17" s="39"/>
      <c r="AH17" s="39"/>
      <c r="AI17" s="39"/>
      <c r="AJ17"/>
    </row>
    <row r="18" spans="1:36" x14ac:dyDescent="0.2">
      <c r="A18" s="5">
        <f>DAY(Kalenteri!A226)</f>
        <v>14</v>
      </c>
      <c r="B18" s="3" t="str">
        <f>IF(Kalenteri!B226=1,"su",IF(Kalenteri!B226=2,"ma",IF(Kalenteri!B226=3,"ti",IF(Kalenteri!B226=4,"ke",IF(Kalenteri!B226=5,"to",IF(Kalenteri!B226=6,"pe",IF(Kalenteri!B226=7,"la",)))))))</f>
        <v>ke</v>
      </c>
      <c r="C18" s="18"/>
      <c r="D18" s="10"/>
      <c r="E18" s="10"/>
      <c r="F18" s="11"/>
      <c r="G18" s="18"/>
      <c r="H18" s="11"/>
      <c r="I18" s="18"/>
      <c r="J18" s="11"/>
      <c r="K18" s="33">
        <f t="shared" si="0"/>
        <v>0</v>
      </c>
      <c r="L18" s="10"/>
      <c r="M18" s="10"/>
      <c r="N18" s="10"/>
      <c r="O18" s="11"/>
      <c r="P18" s="10"/>
      <c r="Q18" s="11"/>
      <c r="R18" s="30"/>
      <c r="S18" s="30"/>
      <c r="T18" s="33">
        <f t="shared" si="1"/>
        <v>0</v>
      </c>
      <c r="U18" s="10"/>
      <c r="V18" s="10"/>
      <c r="W18" s="10"/>
      <c r="X18" s="11"/>
      <c r="Y18" s="10"/>
      <c r="Z18" s="11"/>
      <c r="AA18" s="30"/>
      <c r="AB18" s="30"/>
      <c r="AC18" s="33">
        <f t="shared" si="2"/>
        <v>0</v>
      </c>
      <c r="AD18" s="12">
        <f t="shared" si="3"/>
        <v>0</v>
      </c>
      <c r="AE18" s="39"/>
      <c r="AF18" s="39"/>
      <c r="AG18" s="39"/>
      <c r="AH18" s="39"/>
      <c r="AI18" s="39"/>
      <c r="AJ18"/>
    </row>
    <row r="19" spans="1:36" x14ac:dyDescent="0.2">
      <c r="A19" s="5">
        <f>DAY(Kalenteri!A227)</f>
        <v>15</v>
      </c>
      <c r="B19" s="3" t="str">
        <f>IF(Kalenteri!B227=1,"su",IF(Kalenteri!B227=2,"ma",IF(Kalenteri!B227=3,"ti",IF(Kalenteri!B227=4,"ke",IF(Kalenteri!B227=5,"to",IF(Kalenteri!B227=6,"pe",IF(Kalenteri!B227=7,"la",)))))))</f>
        <v>to</v>
      </c>
      <c r="C19" s="18" t="s">
        <v>257</v>
      </c>
      <c r="D19" s="10"/>
      <c r="E19" s="10"/>
      <c r="F19" s="11"/>
      <c r="G19" s="18">
        <v>2</v>
      </c>
      <c r="H19" s="11"/>
      <c r="I19" s="18"/>
      <c r="J19" s="11"/>
      <c r="K19" s="33">
        <f t="shared" si="0"/>
        <v>2</v>
      </c>
      <c r="L19" s="10"/>
      <c r="M19" s="10"/>
      <c r="N19" s="10"/>
      <c r="O19" s="11"/>
      <c r="P19" s="10"/>
      <c r="Q19" s="11"/>
      <c r="R19" s="30"/>
      <c r="S19" s="30"/>
      <c r="T19" s="33">
        <f t="shared" si="1"/>
        <v>0</v>
      </c>
      <c r="U19" s="10"/>
      <c r="V19" s="10"/>
      <c r="W19" s="10"/>
      <c r="X19" s="11"/>
      <c r="Y19" s="10"/>
      <c r="Z19" s="11"/>
      <c r="AA19" s="30"/>
      <c r="AB19" s="30"/>
      <c r="AC19" s="33">
        <f t="shared" si="2"/>
        <v>0</v>
      </c>
      <c r="AD19" s="12">
        <f t="shared" si="3"/>
        <v>2</v>
      </c>
      <c r="AE19" s="39"/>
      <c r="AF19" s="39"/>
      <c r="AG19" s="39"/>
      <c r="AH19" s="39"/>
      <c r="AI19" s="39"/>
      <c r="AJ19"/>
    </row>
    <row r="20" spans="1:36" x14ac:dyDescent="0.2">
      <c r="A20" s="5">
        <f>DAY(Kalenteri!A228)</f>
        <v>16</v>
      </c>
      <c r="B20" s="3" t="str">
        <f>IF(Kalenteri!B228=1,"su",IF(Kalenteri!B228=2,"ma",IF(Kalenteri!B228=3,"ti",IF(Kalenteri!B228=4,"ke",IF(Kalenteri!B228=5,"to",IF(Kalenteri!B228=6,"pe",IF(Kalenteri!B228=7,"la",)))))))</f>
        <v>pe</v>
      </c>
      <c r="C20" s="18" t="s">
        <v>257</v>
      </c>
      <c r="D20" s="10"/>
      <c r="E20" s="10" t="s">
        <v>264</v>
      </c>
      <c r="F20" s="11"/>
      <c r="G20" s="18">
        <v>8</v>
      </c>
      <c r="H20" s="11"/>
      <c r="I20" s="18"/>
      <c r="J20" s="11"/>
      <c r="K20" s="33">
        <f t="shared" si="0"/>
        <v>8</v>
      </c>
      <c r="L20" s="10">
        <v>4</v>
      </c>
      <c r="M20" s="10">
        <v>1</v>
      </c>
      <c r="N20" s="10" t="s">
        <v>236</v>
      </c>
      <c r="O20" s="11"/>
      <c r="P20" s="10">
        <v>2</v>
      </c>
      <c r="Q20" s="11">
        <v>2</v>
      </c>
      <c r="R20" s="30" t="s">
        <v>259</v>
      </c>
      <c r="S20" s="30"/>
      <c r="T20" s="33">
        <f t="shared" si="1"/>
        <v>9</v>
      </c>
      <c r="U20" s="10" t="s">
        <v>261</v>
      </c>
      <c r="V20" s="10" t="s">
        <v>262</v>
      </c>
      <c r="W20" s="10" t="s">
        <v>263</v>
      </c>
      <c r="X20" s="11"/>
      <c r="Y20" s="10"/>
      <c r="Z20" s="11"/>
      <c r="AA20" s="30"/>
      <c r="AB20" s="30"/>
      <c r="AC20" s="33">
        <f t="shared" si="2"/>
        <v>0</v>
      </c>
      <c r="AD20" s="12">
        <f t="shared" si="3"/>
        <v>17</v>
      </c>
      <c r="AE20" s="39"/>
      <c r="AF20" s="39"/>
      <c r="AG20" s="39"/>
      <c r="AH20" s="39"/>
      <c r="AI20" s="39"/>
      <c r="AJ20"/>
    </row>
    <row r="21" spans="1:36" x14ac:dyDescent="0.2">
      <c r="A21" s="5">
        <f>DAY(Kalenteri!A229)</f>
        <v>17</v>
      </c>
      <c r="B21" s="3" t="str">
        <f>IF(Kalenteri!B229=1,"su",IF(Kalenteri!B229=2,"ma",IF(Kalenteri!B229=3,"ti",IF(Kalenteri!B229=4,"ke",IF(Kalenteri!B229=5,"to",IF(Kalenteri!B229=6,"pe",IF(Kalenteri!B229=7,"la",)))))))</f>
        <v>la</v>
      </c>
      <c r="C21" s="18">
        <v>872</v>
      </c>
      <c r="D21" s="10">
        <v>571</v>
      </c>
      <c r="E21" s="10">
        <v>436</v>
      </c>
      <c r="F21" s="11" t="s">
        <v>260</v>
      </c>
      <c r="G21" s="18">
        <v>5</v>
      </c>
      <c r="H21" s="11">
        <v>2</v>
      </c>
      <c r="I21" s="18" t="s">
        <v>257</v>
      </c>
      <c r="J21" s="11"/>
      <c r="K21" s="33">
        <f t="shared" si="0"/>
        <v>1886</v>
      </c>
      <c r="L21" s="10">
        <v>277</v>
      </c>
      <c r="M21" s="10">
        <v>233</v>
      </c>
      <c r="N21" s="10" t="s">
        <v>260</v>
      </c>
      <c r="O21" s="11"/>
      <c r="P21" s="10"/>
      <c r="Q21" s="11"/>
      <c r="R21" s="30"/>
      <c r="S21" s="30"/>
      <c r="T21" s="33">
        <f t="shared" si="1"/>
        <v>510</v>
      </c>
      <c r="U21" s="10">
        <v>229</v>
      </c>
      <c r="V21" s="10">
        <v>151</v>
      </c>
      <c r="W21" s="10">
        <v>123</v>
      </c>
      <c r="X21" s="11"/>
      <c r="Y21" s="10" t="s">
        <v>260</v>
      </c>
      <c r="Z21" s="11"/>
      <c r="AA21" s="30"/>
      <c r="AB21" s="30"/>
      <c r="AC21" s="33">
        <f t="shared" si="2"/>
        <v>503</v>
      </c>
      <c r="AD21" s="12">
        <f t="shared" si="3"/>
        <v>2899</v>
      </c>
      <c r="AE21" s="39"/>
      <c r="AF21" s="39"/>
      <c r="AG21" s="39"/>
      <c r="AH21" s="39"/>
      <c r="AI21" s="39"/>
      <c r="AJ21"/>
    </row>
    <row r="22" spans="1:36" x14ac:dyDescent="0.2">
      <c r="A22" s="5">
        <f>DAY(Kalenteri!A230)</f>
        <v>18</v>
      </c>
      <c r="B22" s="3" t="str">
        <f>IF(Kalenteri!B230=1,"su",IF(Kalenteri!B230=2,"ma",IF(Kalenteri!B230=3,"ti",IF(Kalenteri!B230=4,"ke",IF(Kalenteri!B230=5,"to",IF(Kalenteri!B230=6,"pe",IF(Kalenteri!B230=7,"la",)))))))</f>
        <v>su</v>
      </c>
      <c r="C22" s="18" t="s">
        <v>257</v>
      </c>
      <c r="D22" s="10"/>
      <c r="E22" s="10"/>
      <c r="F22" s="11"/>
      <c r="G22" s="18">
        <v>9</v>
      </c>
      <c r="H22" s="11">
        <v>1</v>
      </c>
      <c r="I22" s="18"/>
      <c r="J22" s="11"/>
      <c r="K22" s="33">
        <f t="shared" si="0"/>
        <v>10</v>
      </c>
      <c r="L22" s="10">
        <v>2</v>
      </c>
      <c r="M22" s="10">
        <v>2</v>
      </c>
      <c r="N22" s="10" t="s">
        <v>236</v>
      </c>
      <c r="O22" s="11"/>
      <c r="P22" s="10"/>
      <c r="Q22" s="11"/>
      <c r="R22" s="30"/>
      <c r="S22" s="30"/>
      <c r="T22" s="33">
        <f t="shared" si="1"/>
        <v>4</v>
      </c>
      <c r="U22" s="10"/>
      <c r="V22" s="10"/>
      <c r="W22" s="10"/>
      <c r="X22" s="11"/>
      <c r="Y22" s="10"/>
      <c r="Z22" s="11"/>
      <c r="AA22" s="30"/>
      <c r="AB22" s="30"/>
      <c r="AC22" s="33">
        <f t="shared" si="2"/>
        <v>0</v>
      </c>
      <c r="AD22" s="12">
        <f t="shared" si="3"/>
        <v>14</v>
      </c>
      <c r="AE22" s="39"/>
      <c r="AF22" s="39"/>
      <c r="AG22" s="39"/>
      <c r="AH22" s="39"/>
      <c r="AI22" s="39"/>
      <c r="AJ22"/>
    </row>
    <row r="23" spans="1:36" x14ac:dyDescent="0.2">
      <c r="A23" s="5">
        <f>DAY(Kalenteri!A231)</f>
        <v>19</v>
      </c>
      <c r="B23" s="3" t="str">
        <f>IF(Kalenteri!B231=1,"su",IF(Kalenteri!B231=2,"ma",IF(Kalenteri!B231=3,"ti",IF(Kalenteri!B231=4,"ke",IF(Kalenteri!B231=5,"to",IF(Kalenteri!B231=6,"pe",IF(Kalenteri!B231=7,"la",)))))))</f>
        <v>ma</v>
      </c>
      <c r="C23" s="18" t="s">
        <v>257</v>
      </c>
      <c r="D23" s="10"/>
      <c r="E23" s="10"/>
      <c r="F23" s="11"/>
      <c r="G23" s="18">
        <v>14</v>
      </c>
      <c r="H23" s="11">
        <v>2</v>
      </c>
      <c r="I23" s="18"/>
      <c r="J23" s="11"/>
      <c r="K23" s="33">
        <f t="shared" si="0"/>
        <v>16</v>
      </c>
      <c r="L23" s="10"/>
      <c r="M23" s="10"/>
      <c r="N23" s="10"/>
      <c r="O23" s="11"/>
      <c r="P23" s="10"/>
      <c r="Q23" s="11"/>
      <c r="R23" s="30"/>
      <c r="S23" s="30"/>
      <c r="T23" s="33">
        <f t="shared" si="1"/>
        <v>0</v>
      </c>
      <c r="U23" s="10"/>
      <c r="V23" s="10"/>
      <c r="W23" s="10"/>
      <c r="X23" s="11"/>
      <c r="Y23" s="10"/>
      <c r="Z23" s="11"/>
      <c r="AA23" s="30"/>
      <c r="AB23" s="30"/>
      <c r="AC23" s="33">
        <f t="shared" si="2"/>
        <v>0</v>
      </c>
      <c r="AD23" s="12">
        <f t="shared" si="3"/>
        <v>16</v>
      </c>
      <c r="AE23" s="39"/>
      <c r="AF23" s="39"/>
      <c r="AG23" s="39"/>
      <c r="AH23" s="39"/>
      <c r="AI23" s="39"/>
      <c r="AJ23"/>
    </row>
    <row r="24" spans="1:36" x14ac:dyDescent="0.2">
      <c r="A24" s="5">
        <f>DAY(Kalenteri!A232)</f>
        <v>20</v>
      </c>
      <c r="B24" s="3" t="str">
        <f>IF(Kalenteri!B232=1,"su",IF(Kalenteri!B232=2,"ma",IF(Kalenteri!B232=3,"ti",IF(Kalenteri!B232=4,"ke",IF(Kalenteri!B232=5,"to",IF(Kalenteri!B232=6,"pe",IF(Kalenteri!B232=7,"la",)))))))</f>
        <v>ti</v>
      </c>
      <c r="C24" s="18" t="s">
        <v>257</v>
      </c>
      <c r="D24" s="10"/>
      <c r="E24" s="10"/>
      <c r="F24" s="11"/>
      <c r="G24" s="18">
        <v>14</v>
      </c>
      <c r="H24" s="11"/>
      <c r="I24" s="18"/>
      <c r="J24" s="11"/>
      <c r="K24" s="33">
        <f t="shared" si="0"/>
        <v>14</v>
      </c>
      <c r="L24" s="10"/>
      <c r="M24" s="10"/>
      <c r="N24" s="10"/>
      <c r="O24" s="11"/>
      <c r="P24" s="10"/>
      <c r="Q24" s="11"/>
      <c r="R24" s="30"/>
      <c r="S24" s="30"/>
      <c r="T24" s="33">
        <f t="shared" si="1"/>
        <v>0</v>
      </c>
      <c r="U24" s="10"/>
      <c r="V24" s="10"/>
      <c r="W24" s="10"/>
      <c r="X24" s="11"/>
      <c r="Y24" s="10"/>
      <c r="Z24" s="11"/>
      <c r="AA24" s="30"/>
      <c r="AB24" s="30"/>
      <c r="AC24" s="33">
        <f t="shared" si="2"/>
        <v>0</v>
      </c>
      <c r="AD24" s="12">
        <f t="shared" si="3"/>
        <v>14</v>
      </c>
      <c r="AE24" s="39"/>
      <c r="AF24" s="39"/>
      <c r="AG24" s="39"/>
      <c r="AH24" s="39"/>
      <c r="AI24" s="39"/>
      <c r="AJ24" s="39"/>
    </row>
    <row r="25" spans="1:36" x14ac:dyDescent="0.2">
      <c r="A25" s="5">
        <f>DAY(Kalenteri!A233)</f>
        <v>21</v>
      </c>
      <c r="B25" s="3" t="str">
        <f>IF(Kalenteri!B233=1,"su",IF(Kalenteri!B233=2,"ma",IF(Kalenteri!B233=3,"ti",IF(Kalenteri!B233=4,"ke",IF(Kalenteri!B233=5,"to",IF(Kalenteri!B233=6,"pe",IF(Kalenteri!B233=7,"la",)))))))</f>
        <v>ke</v>
      </c>
      <c r="C25" s="18" t="s">
        <v>257</v>
      </c>
      <c r="D25" s="10"/>
      <c r="E25" s="10"/>
      <c r="F25" s="11"/>
      <c r="G25" s="18">
        <v>8</v>
      </c>
      <c r="H25" s="11"/>
      <c r="I25" s="18"/>
      <c r="J25" s="11"/>
      <c r="K25" s="33">
        <f t="shared" si="0"/>
        <v>8</v>
      </c>
      <c r="L25" s="10"/>
      <c r="M25" s="10"/>
      <c r="N25" s="10"/>
      <c r="O25" s="11"/>
      <c r="P25" s="10"/>
      <c r="Q25" s="11"/>
      <c r="R25" s="30"/>
      <c r="S25" s="30"/>
      <c r="T25" s="33">
        <f t="shared" si="1"/>
        <v>0</v>
      </c>
      <c r="U25" s="10"/>
      <c r="V25" s="10"/>
      <c r="W25" s="10"/>
      <c r="X25" s="11"/>
      <c r="Y25" s="10"/>
      <c r="Z25" s="11"/>
      <c r="AA25" s="30"/>
      <c r="AB25" s="30"/>
      <c r="AC25" s="33">
        <f t="shared" si="2"/>
        <v>0</v>
      </c>
      <c r="AD25" s="12">
        <f t="shared" si="3"/>
        <v>8</v>
      </c>
      <c r="AE25" s="39"/>
      <c r="AF25" s="39"/>
      <c r="AG25" s="39"/>
      <c r="AH25" s="39"/>
      <c r="AI25" s="39"/>
      <c r="AJ25" s="39"/>
    </row>
    <row r="26" spans="1:36" x14ac:dyDescent="0.2">
      <c r="A26" s="5">
        <f>DAY(Kalenteri!A234)</f>
        <v>22</v>
      </c>
      <c r="B26" s="3" t="str">
        <f>IF(Kalenteri!B234=1,"su",IF(Kalenteri!B234=2,"ma",IF(Kalenteri!B234=3,"ti",IF(Kalenteri!B234=4,"ke",IF(Kalenteri!B234=5,"to",IF(Kalenteri!B234=6,"pe",IF(Kalenteri!B234=7,"la",)))))))</f>
        <v>to</v>
      </c>
      <c r="C26" s="18" t="s">
        <v>257</v>
      </c>
      <c r="D26" s="10"/>
      <c r="E26" s="10"/>
      <c r="F26" s="11"/>
      <c r="G26" s="18">
        <v>7</v>
      </c>
      <c r="H26" s="11">
        <v>1</v>
      </c>
      <c r="I26" s="18"/>
      <c r="J26" s="11"/>
      <c r="K26" s="33">
        <f t="shared" si="0"/>
        <v>8</v>
      </c>
      <c r="L26" s="10"/>
      <c r="M26" s="10"/>
      <c r="N26" s="10"/>
      <c r="O26" s="11"/>
      <c r="P26" s="10"/>
      <c r="Q26" s="11"/>
      <c r="R26" s="30"/>
      <c r="S26" s="30"/>
      <c r="T26" s="33">
        <f t="shared" si="1"/>
        <v>0</v>
      </c>
      <c r="U26" s="10"/>
      <c r="V26" s="10"/>
      <c r="W26" s="10"/>
      <c r="X26" s="11"/>
      <c r="Y26" s="10"/>
      <c r="Z26" s="11"/>
      <c r="AA26" s="30"/>
      <c r="AB26" s="30"/>
      <c r="AC26" s="33">
        <f t="shared" si="2"/>
        <v>0</v>
      </c>
      <c r="AD26" s="12">
        <f t="shared" si="3"/>
        <v>8</v>
      </c>
      <c r="AE26" s="39"/>
      <c r="AF26" s="39"/>
      <c r="AG26" s="39"/>
      <c r="AH26" s="39"/>
      <c r="AI26" s="39"/>
      <c r="AJ26" s="39"/>
    </row>
    <row r="27" spans="1:36" x14ac:dyDescent="0.2">
      <c r="A27" s="5">
        <f>DAY(Kalenteri!A235)</f>
        <v>23</v>
      </c>
      <c r="B27" s="3" t="str">
        <f>IF(Kalenteri!B235=1,"su",IF(Kalenteri!B235=2,"ma",IF(Kalenteri!B235=3,"ti",IF(Kalenteri!B235=4,"ke",IF(Kalenteri!B235=5,"to",IF(Kalenteri!B235=6,"pe",IF(Kalenteri!B235=7,"la",)))))))</f>
        <v>pe</v>
      </c>
      <c r="C27" s="18">
        <v>1</v>
      </c>
      <c r="D27" s="10" t="s">
        <v>265</v>
      </c>
      <c r="E27" s="10" t="s">
        <v>264</v>
      </c>
      <c r="F27" s="11"/>
      <c r="G27" s="18">
        <v>11</v>
      </c>
      <c r="H27" s="11" t="s">
        <v>257</v>
      </c>
      <c r="I27" s="18"/>
      <c r="J27" s="11"/>
      <c r="K27" s="33">
        <f t="shared" si="0"/>
        <v>12</v>
      </c>
      <c r="L27" s="10">
        <v>2</v>
      </c>
      <c r="M27" s="10">
        <v>3</v>
      </c>
      <c r="N27" s="10" t="s">
        <v>236</v>
      </c>
      <c r="O27" s="11"/>
      <c r="P27" s="10"/>
      <c r="Q27" s="11"/>
      <c r="R27" s="30"/>
      <c r="S27" s="30"/>
      <c r="T27" s="33">
        <f t="shared" si="1"/>
        <v>5</v>
      </c>
      <c r="U27" s="10"/>
      <c r="V27" s="10"/>
      <c r="W27" s="10"/>
      <c r="X27" s="11"/>
      <c r="Y27" s="10"/>
      <c r="Z27" s="11"/>
      <c r="AA27" s="30"/>
      <c r="AB27" s="30"/>
      <c r="AC27" s="33">
        <f t="shared" si="2"/>
        <v>0</v>
      </c>
      <c r="AD27" s="12">
        <f t="shared" si="3"/>
        <v>17</v>
      </c>
      <c r="AE27" s="39"/>
      <c r="AF27" s="39"/>
      <c r="AG27" s="39"/>
      <c r="AH27" s="39"/>
      <c r="AI27" s="39"/>
      <c r="AJ27" s="39"/>
    </row>
    <row r="28" spans="1:36" x14ac:dyDescent="0.2">
      <c r="A28" s="5">
        <f>DAY(Kalenteri!A236)</f>
        <v>24</v>
      </c>
      <c r="B28" s="3" t="str">
        <f>IF(Kalenteri!B236=1,"su",IF(Kalenteri!B236=2,"ma",IF(Kalenteri!B236=3,"ti",IF(Kalenteri!B236=4,"ke",IF(Kalenteri!B236=5,"to",IF(Kalenteri!B236=6,"pe",IF(Kalenteri!B236=7,"la",)))))))</f>
        <v>la</v>
      </c>
      <c r="C28" s="18">
        <v>489</v>
      </c>
      <c r="D28" s="10">
        <v>220</v>
      </c>
      <c r="E28" s="10">
        <v>179</v>
      </c>
      <c r="F28" s="11" t="s">
        <v>265</v>
      </c>
      <c r="G28" s="18">
        <v>25</v>
      </c>
      <c r="H28" s="11">
        <v>7</v>
      </c>
      <c r="I28" s="18" t="s">
        <v>257</v>
      </c>
      <c r="J28" s="11"/>
      <c r="K28" s="33">
        <f t="shared" si="0"/>
        <v>920</v>
      </c>
      <c r="L28" s="10">
        <v>5</v>
      </c>
      <c r="M28" s="10"/>
      <c r="N28" s="10" t="s">
        <v>236</v>
      </c>
      <c r="O28" s="11"/>
      <c r="P28" s="10">
        <v>4</v>
      </c>
      <c r="Q28" s="11">
        <v>4</v>
      </c>
      <c r="R28" s="30" t="s">
        <v>258</v>
      </c>
      <c r="S28" s="30"/>
      <c r="T28" s="33">
        <f t="shared" si="1"/>
        <v>13</v>
      </c>
      <c r="U28" s="10"/>
      <c r="V28" s="10"/>
      <c r="W28" s="10"/>
      <c r="X28" s="11"/>
      <c r="Y28" s="10"/>
      <c r="Z28" s="11"/>
      <c r="AA28" s="30"/>
      <c r="AB28" s="30"/>
      <c r="AC28" s="33">
        <f t="shared" si="2"/>
        <v>0</v>
      </c>
      <c r="AD28" s="12">
        <f t="shared" si="3"/>
        <v>933</v>
      </c>
      <c r="AE28" s="39"/>
      <c r="AF28" s="39"/>
      <c r="AG28" s="39"/>
      <c r="AH28" s="39"/>
      <c r="AI28" s="39"/>
      <c r="AJ28" s="39"/>
    </row>
    <row r="29" spans="1:36" x14ac:dyDescent="0.2">
      <c r="A29" s="5">
        <f>DAY(Kalenteri!A237)</f>
        <v>25</v>
      </c>
      <c r="B29" s="3" t="str">
        <f>IF(Kalenteri!B237=1,"su",IF(Kalenteri!B237=2,"ma",IF(Kalenteri!B237=3,"ti",IF(Kalenteri!B237=4,"ke",IF(Kalenteri!B237=5,"to",IF(Kalenteri!B237=6,"pe",IF(Kalenteri!B237=7,"la",)))))))</f>
        <v>su</v>
      </c>
      <c r="C29" s="18" t="s">
        <v>257</v>
      </c>
      <c r="D29" s="10"/>
      <c r="E29" s="10"/>
      <c r="F29" s="11"/>
      <c r="G29" s="18">
        <v>26</v>
      </c>
      <c r="H29" s="11">
        <v>6</v>
      </c>
      <c r="I29" s="18">
        <v>2</v>
      </c>
      <c r="J29" s="11">
        <v>3</v>
      </c>
      <c r="K29" s="33">
        <f t="shared" si="0"/>
        <v>37</v>
      </c>
      <c r="L29" s="10">
        <v>4</v>
      </c>
      <c r="M29" s="10"/>
      <c r="N29" s="10" t="s">
        <v>236</v>
      </c>
      <c r="O29" s="11"/>
      <c r="P29" s="10"/>
      <c r="Q29" s="11"/>
      <c r="R29" s="30"/>
      <c r="S29" s="30"/>
      <c r="T29" s="33">
        <f t="shared" si="1"/>
        <v>4</v>
      </c>
      <c r="U29" s="10"/>
      <c r="V29" s="10"/>
      <c r="W29" s="10"/>
      <c r="X29" s="11"/>
      <c r="Y29" s="10"/>
      <c r="Z29" s="11"/>
      <c r="AA29" s="30"/>
      <c r="AB29" s="30"/>
      <c r="AC29" s="33">
        <f t="shared" si="2"/>
        <v>0</v>
      </c>
      <c r="AD29" s="12">
        <f t="shared" si="3"/>
        <v>41</v>
      </c>
      <c r="AE29" s="39"/>
      <c r="AF29" s="39"/>
      <c r="AG29" s="39"/>
      <c r="AH29" s="39"/>
      <c r="AI29" s="39"/>
      <c r="AJ29" s="39"/>
    </row>
    <row r="30" spans="1:36" x14ac:dyDescent="0.2">
      <c r="A30" s="5">
        <f>DAY(Kalenteri!A238)</f>
        <v>26</v>
      </c>
      <c r="B30" s="3" t="str">
        <f>IF(Kalenteri!B238=1,"su",IF(Kalenteri!B238=2,"ma",IF(Kalenteri!B238=3,"ti",IF(Kalenteri!B238=4,"ke",IF(Kalenteri!B238=5,"to",IF(Kalenteri!B238=6,"pe",IF(Kalenteri!B238=7,"la",)))))))</f>
        <v>ma</v>
      </c>
      <c r="C30" s="18" t="s">
        <v>257</v>
      </c>
      <c r="D30" s="10"/>
      <c r="E30" s="10"/>
      <c r="F30" s="11"/>
      <c r="G30" s="18">
        <v>5</v>
      </c>
      <c r="H30" s="11"/>
      <c r="I30" s="18"/>
      <c r="J30" s="11"/>
      <c r="K30" s="33">
        <f t="shared" si="0"/>
        <v>5</v>
      </c>
      <c r="L30" s="10">
        <v>2</v>
      </c>
      <c r="M30" s="10"/>
      <c r="N30" s="10" t="s">
        <v>236</v>
      </c>
      <c r="O30" s="11"/>
      <c r="P30" s="10"/>
      <c r="Q30" s="11"/>
      <c r="R30" s="30"/>
      <c r="S30" s="30"/>
      <c r="T30" s="33">
        <f t="shared" si="1"/>
        <v>2</v>
      </c>
      <c r="U30" s="10"/>
      <c r="V30" s="10"/>
      <c r="W30" s="10"/>
      <c r="X30" s="11"/>
      <c r="Y30" s="10"/>
      <c r="Z30" s="11"/>
      <c r="AA30" s="30"/>
      <c r="AB30" s="30"/>
      <c r="AC30" s="33">
        <f t="shared" si="2"/>
        <v>0</v>
      </c>
      <c r="AD30" s="12">
        <f t="shared" si="3"/>
        <v>7</v>
      </c>
      <c r="AE30" s="39"/>
      <c r="AF30" s="39"/>
      <c r="AG30" s="39"/>
      <c r="AH30" s="39"/>
      <c r="AI30" s="39"/>
      <c r="AJ30" s="39"/>
    </row>
    <row r="31" spans="1:36" x14ac:dyDescent="0.2">
      <c r="A31" s="5">
        <f>DAY(Kalenteri!A239)</f>
        <v>27</v>
      </c>
      <c r="B31" s="3" t="str">
        <f>IF(Kalenteri!B239=1,"su",IF(Kalenteri!B239=2,"ma",IF(Kalenteri!B239=3,"ti",IF(Kalenteri!B239=4,"ke",IF(Kalenteri!B239=5,"to",IF(Kalenteri!B239=6,"pe",IF(Kalenteri!B239=7,"la",)))))))</f>
        <v>ti</v>
      </c>
      <c r="C31" s="18" t="s">
        <v>257</v>
      </c>
      <c r="D31" s="10"/>
      <c r="E31" s="10"/>
      <c r="F31" s="11"/>
      <c r="G31" s="18">
        <v>17</v>
      </c>
      <c r="H31" s="11">
        <v>1</v>
      </c>
      <c r="I31" s="18"/>
      <c r="J31" s="11"/>
      <c r="K31" s="33">
        <f t="shared" si="0"/>
        <v>18</v>
      </c>
      <c r="L31" s="10"/>
      <c r="M31" s="10"/>
      <c r="N31" s="10"/>
      <c r="O31" s="11"/>
      <c r="P31" s="10"/>
      <c r="Q31" s="11"/>
      <c r="R31" s="30"/>
      <c r="S31" s="30"/>
      <c r="T31" s="33">
        <f t="shared" si="1"/>
        <v>0</v>
      </c>
      <c r="U31" s="10"/>
      <c r="V31" s="10"/>
      <c r="W31" s="10"/>
      <c r="X31" s="11"/>
      <c r="Y31" s="10"/>
      <c r="Z31" s="11"/>
      <c r="AA31" s="30"/>
      <c r="AB31" s="30"/>
      <c r="AC31" s="33">
        <f t="shared" si="2"/>
        <v>0</v>
      </c>
      <c r="AD31" s="12">
        <f t="shared" si="3"/>
        <v>18</v>
      </c>
      <c r="AE31" s="39"/>
      <c r="AF31" s="39"/>
      <c r="AG31" s="39"/>
      <c r="AH31" s="39"/>
      <c r="AI31" s="39"/>
      <c r="AJ31" s="39"/>
    </row>
    <row r="32" spans="1:36" x14ac:dyDescent="0.2">
      <c r="A32" s="5">
        <f>DAY(Kalenteri!A240)</f>
        <v>28</v>
      </c>
      <c r="B32" s="3" t="str">
        <f>IF(Kalenteri!B240=1,"su",IF(Kalenteri!B240=2,"ma",IF(Kalenteri!B240=3,"ti",IF(Kalenteri!B240=4,"ke",IF(Kalenteri!B240=5,"to",IF(Kalenteri!B240=6,"pe",IF(Kalenteri!B240=7,"la",)))))))</f>
        <v>ke</v>
      </c>
      <c r="C32" s="18" t="s">
        <v>257</v>
      </c>
      <c r="D32" s="10"/>
      <c r="E32" s="10"/>
      <c r="F32" s="11"/>
      <c r="G32" s="18">
        <v>15</v>
      </c>
      <c r="H32" s="11"/>
      <c r="I32" s="18"/>
      <c r="J32" s="11"/>
      <c r="K32" s="33">
        <f t="shared" si="0"/>
        <v>15</v>
      </c>
      <c r="L32" s="10"/>
      <c r="M32" s="10"/>
      <c r="N32" s="10"/>
      <c r="O32" s="11"/>
      <c r="P32" s="10"/>
      <c r="Q32" s="11"/>
      <c r="R32" s="30"/>
      <c r="S32" s="30"/>
      <c r="T32" s="33">
        <f t="shared" si="1"/>
        <v>0</v>
      </c>
      <c r="U32" s="10"/>
      <c r="V32" s="10"/>
      <c r="W32" s="10"/>
      <c r="X32" s="11"/>
      <c r="Y32" s="10"/>
      <c r="Z32" s="11"/>
      <c r="AA32" s="30"/>
      <c r="AB32" s="30"/>
      <c r="AC32" s="33">
        <f t="shared" si="2"/>
        <v>0</v>
      </c>
      <c r="AD32" s="12">
        <f t="shared" si="3"/>
        <v>15</v>
      </c>
      <c r="AE32" s="39"/>
      <c r="AF32" s="39"/>
      <c r="AG32" s="39"/>
      <c r="AH32" s="39"/>
      <c r="AI32" s="39"/>
      <c r="AJ32" s="39"/>
    </row>
    <row r="33" spans="1:36" x14ac:dyDescent="0.2">
      <c r="A33" s="5">
        <f>DAY(Kalenteri!A241)</f>
        <v>29</v>
      </c>
      <c r="B33" s="3" t="str">
        <f>IF(Kalenteri!B241=1,"su",IF(Kalenteri!B241=2,"ma",IF(Kalenteri!B241=3,"ti",IF(Kalenteri!B241=4,"ke",IF(Kalenteri!B241=5,"to",IF(Kalenteri!B241=6,"pe",IF(Kalenteri!B241=7,"la",)))))))</f>
        <v>to</v>
      </c>
      <c r="C33" s="18" t="s">
        <v>257</v>
      </c>
      <c r="D33" s="10"/>
      <c r="E33" s="10"/>
      <c r="F33" s="11"/>
      <c r="G33" s="18">
        <v>9</v>
      </c>
      <c r="H33" s="11">
        <v>2</v>
      </c>
      <c r="I33" s="18"/>
      <c r="J33" s="11"/>
      <c r="K33" s="33">
        <f t="shared" si="0"/>
        <v>11</v>
      </c>
      <c r="L33" s="10"/>
      <c r="M33" s="10"/>
      <c r="N33" s="10"/>
      <c r="O33" s="11"/>
      <c r="P33" s="10"/>
      <c r="Q33" s="11"/>
      <c r="R33" s="30"/>
      <c r="S33" s="30"/>
      <c r="T33" s="33">
        <f t="shared" si="1"/>
        <v>0</v>
      </c>
      <c r="U33" s="10"/>
      <c r="V33" s="10"/>
      <c r="W33" s="10"/>
      <c r="X33" s="11"/>
      <c r="Y33" s="10"/>
      <c r="Z33" s="11"/>
      <c r="AA33" s="30"/>
      <c r="AB33" s="30"/>
      <c r="AC33" s="33">
        <f t="shared" si="2"/>
        <v>0</v>
      </c>
      <c r="AD33" s="12">
        <f t="shared" si="3"/>
        <v>11</v>
      </c>
      <c r="AE33" s="39"/>
      <c r="AF33" s="39"/>
      <c r="AG33" s="39"/>
      <c r="AH33" s="39"/>
      <c r="AI33" s="39"/>
      <c r="AJ33" s="39"/>
    </row>
    <row r="34" spans="1:36" x14ac:dyDescent="0.2">
      <c r="A34" s="5">
        <f>DAY(Kalenteri!A242)</f>
        <v>30</v>
      </c>
      <c r="B34" s="3" t="str">
        <f>IF(Kalenteri!B242=1,"su",IF(Kalenteri!B242=2,"ma",IF(Kalenteri!B242=3,"ti",IF(Kalenteri!B242=4,"ke",IF(Kalenteri!B242=5,"to",IF(Kalenteri!B242=6,"pe",IF(Kalenteri!B242=7,"la",)))))))</f>
        <v>pe</v>
      </c>
      <c r="C34" s="18" t="s">
        <v>257</v>
      </c>
      <c r="D34" s="10"/>
      <c r="E34" s="10"/>
      <c r="F34" s="11"/>
      <c r="G34" s="18">
        <v>2</v>
      </c>
      <c r="H34" s="11"/>
      <c r="I34" s="18">
        <v>2</v>
      </c>
      <c r="J34" s="11">
        <v>3</v>
      </c>
      <c r="K34" s="33">
        <f t="shared" si="0"/>
        <v>7</v>
      </c>
      <c r="L34" s="10"/>
      <c r="M34" s="10"/>
      <c r="N34" s="10"/>
      <c r="O34" s="11"/>
      <c r="P34" s="10"/>
      <c r="Q34" s="11"/>
      <c r="R34" s="30"/>
      <c r="S34" s="30"/>
      <c r="T34" s="33">
        <f t="shared" si="1"/>
        <v>0</v>
      </c>
      <c r="U34" s="10"/>
      <c r="V34" s="10"/>
      <c r="W34" s="10"/>
      <c r="X34" s="11"/>
      <c r="Y34" s="10"/>
      <c r="Z34" s="11"/>
      <c r="AA34" s="30"/>
      <c r="AB34" s="30"/>
      <c r="AC34" s="33">
        <f t="shared" si="2"/>
        <v>0</v>
      </c>
      <c r="AD34" s="12">
        <f t="shared" si="3"/>
        <v>7</v>
      </c>
      <c r="AE34" s="39"/>
      <c r="AF34" s="39"/>
      <c r="AG34" s="39"/>
      <c r="AH34" s="39"/>
      <c r="AI34" s="39"/>
      <c r="AJ34" s="39"/>
    </row>
    <row r="35" spans="1:36" x14ac:dyDescent="0.2">
      <c r="A35" s="5">
        <f>DAY(Kalenteri!A243)</f>
        <v>31</v>
      </c>
      <c r="B35" s="3" t="str">
        <f>IF(Kalenteri!B243=1,"su",IF(Kalenteri!B243=2,"ma",IF(Kalenteri!B243=3,"ti",IF(Kalenteri!B243=4,"ke",IF(Kalenteri!B243=5,"to",IF(Kalenteri!B243=6,"pe",IF(Kalenteri!B243=7,"la",)))))))</f>
        <v>la</v>
      </c>
      <c r="C35" s="79" t="s">
        <v>257</v>
      </c>
      <c r="D35" s="80"/>
      <c r="E35" s="80"/>
      <c r="F35" s="81"/>
      <c r="G35" s="79">
        <v>7</v>
      </c>
      <c r="H35" s="81">
        <v>1</v>
      </c>
      <c r="I35" s="79"/>
      <c r="J35" s="81"/>
      <c r="K35" s="34">
        <f t="shared" si="0"/>
        <v>8</v>
      </c>
      <c r="L35" s="20">
        <v>4</v>
      </c>
      <c r="M35" s="20"/>
      <c r="N35" s="20" t="s">
        <v>236</v>
      </c>
      <c r="O35" s="21"/>
      <c r="P35" s="20"/>
      <c r="Q35" s="21"/>
      <c r="R35" s="31"/>
      <c r="S35" s="31"/>
      <c r="T35" s="34">
        <f t="shared" si="1"/>
        <v>4</v>
      </c>
      <c r="U35" s="20"/>
      <c r="V35" s="20"/>
      <c r="W35" s="20"/>
      <c r="X35" s="21"/>
      <c r="Y35" s="20"/>
      <c r="Z35" s="21"/>
      <c r="AA35" s="31"/>
      <c r="AB35" s="31"/>
      <c r="AC35" s="34">
        <f t="shared" si="2"/>
        <v>0</v>
      </c>
      <c r="AD35" s="19">
        <f t="shared" si="3"/>
        <v>12</v>
      </c>
      <c r="AE35" s="39"/>
      <c r="AF35" s="39"/>
      <c r="AG35" s="39"/>
      <c r="AH35" s="39"/>
      <c r="AI35" s="39"/>
      <c r="AJ35" s="39"/>
    </row>
    <row r="36" spans="1:36" x14ac:dyDescent="0.2">
      <c r="A36" s="6"/>
      <c r="B36"/>
      <c r="C36" s="82">
        <f t="shared" ref="C36:J36" si="4">SUM(C5:C35)</f>
        <v>1362</v>
      </c>
      <c r="D36" s="83">
        <f t="shared" si="4"/>
        <v>791</v>
      </c>
      <c r="E36" s="83">
        <f t="shared" si="4"/>
        <v>615</v>
      </c>
      <c r="F36" s="84">
        <f t="shared" si="4"/>
        <v>0</v>
      </c>
      <c r="G36" s="83">
        <f t="shared" si="4"/>
        <v>454</v>
      </c>
      <c r="H36" s="84">
        <f t="shared" si="4"/>
        <v>89</v>
      </c>
      <c r="I36" s="83">
        <f t="shared" si="4"/>
        <v>10</v>
      </c>
      <c r="J36" s="84">
        <f t="shared" si="4"/>
        <v>15</v>
      </c>
      <c r="K36" s="85">
        <f t="shared" si="0"/>
        <v>3336</v>
      </c>
      <c r="L36" s="83">
        <f t="shared" ref="L36:S36" si="5">SUM(L5:L35)</f>
        <v>375</v>
      </c>
      <c r="M36" s="83">
        <f t="shared" si="5"/>
        <v>261</v>
      </c>
      <c r="N36" s="83">
        <f t="shared" si="5"/>
        <v>0</v>
      </c>
      <c r="O36" s="84">
        <f t="shared" si="5"/>
        <v>0</v>
      </c>
      <c r="P36" s="83">
        <f t="shared" si="5"/>
        <v>135</v>
      </c>
      <c r="Q36" s="84">
        <f t="shared" si="5"/>
        <v>9</v>
      </c>
      <c r="R36" s="86">
        <f t="shared" si="5"/>
        <v>0</v>
      </c>
      <c r="S36" s="86">
        <f t="shared" si="5"/>
        <v>0</v>
      </c>
      <c r="T36" s="85">
        <f t="shared" si="1"/>
        <v>780</v>
      </c>
      <c r="U36" s="83">
        <f t="shared" ref="U36:AB36" si="6">SUM(U5:U35)</f>
        <v>229</v>
      </c>
      <c r="V36" s="83">
        <f t="shared" si="6"/>
        <v>151</v>
      </c>
      <c r="W36" s="83">
        <f t="shared" si="6"/>
        <v>123</v>
      </c>
      <c r="X36" s="84">
        <f t="shared" si="6"/>
        <v>0</v>
      </c>
      <c r="Y36" s="83">
        <f t="shared" si="6"/>
        <v>0</v>
      </c>
      <c r="Z36" s="84">
        <f t="shared" si="6"/>
        <v>0</v>
      </c>
      <c r="AA36" s="86">
        <f t="shared" si="6"/>
        <v>0</v>
      </c>
      <c r="AB36" s="86">
        <f t="shared" si="6"/>
        <v>0</v>
      </c>
      <c r="AC36" s="85">
        <f t="shared" si="2"/>
        <v>503</v>
      </c>
      <c r="AD36" s="87">
        <f t="shared" si="3"/>
        <v>4619</v>
      </c>
      <c r="AE36" s="66"/>
      <c r="AF36" s="66"/>
      <c r="AG36" s="66"/>
      <c r="AH36" s="66"/>
      <c r="AI36" s="66"/>
      <c r="AJ36" s="66"/>
    </row>
    <row r="37" spans="1:36" ht="8.1" customHeight="1" thickBot="1" x14ac:dyDescent="0.25">
      <c r="A37" s="6"/>
      <c r="B37"/>
      <c r="C37" s="2"/>
      <c r="D37" s="5"/>
      <c r="E37" s="5"/>
      <c r="F37" s="2"/>
      <c r="G37" s="2"/>
      <c r="H37" s="2"/>
      <c r="I37" s="5"/>
      <c r="J37" s="2"/>
      <c r="K37" s="2"/>
      <c r="L37" s="5"/>
      <c r="M37" s="2"/>
      <c r="N37" s="5"/>
      <c r="O37" s="5"/>
      <c r="P37" s="2"/>
      <c r="Q37" s="5"/>
      <c r="R37" s="42"/>
      <c r="S37" s="42"/>
      <c r="T37" s="2"/>
      <c r="U37" s="2"/>
      <c r="V37" s="2"/>
      <c r="W37" s="2"/>
      <c r="X37" s="5"/>
      <c r="Y37" s="2"/>
      <c r="Z37" s="2"/>
      <c r="AA37" s="39"/>
      <c r="AB37" s="39"/>
      <c r="AC37" s="5"/>
      <c r="AD37" s="40"/>
      <c r="AE37" s="40"/>
      <c r="AF37" s="40"/>
      <c r="AG37" s="40"/>
      <c r="AH37" s="40"/>
      <c r="AI37" s="40"/>
      <c r="AJ37" s="40"/>
    </row>
    <row r="38" spans="1:36" ht="24.95" customHeight="1" thickTop="1" x14ac:dyDescent="0.3">
      <c r="A38" s="6"/>
      <c r="B38"/>
      <c r="C38" s="171" t="str">
        <f>Kalenteri!E38</f>
        <v>Lippujen hinnat:</v>
      </c>
      <c r="D38" s="5"/>
      <c r="E38" s="5"/>
      <c r="F38" s="2"/>
      <c r="G38" s="2"/>
      <c r="H38" s="2"/>
      <c r="I38" s="5"/>
      <c r="J38" s="2"/>
      <c r="K38" s="2"/>
      <c r="L38" s="5"/>
      <c r="M38" s="2"/>
      <c r="N38" s="5"/>
      <c r="O38" s="5"/>
      <c r="P38" s="2"/>
      <c r="Q38"/>
      <c r="R38"/>
      <c r="S38"/>
      <c r="T38"/>
      <c r="U38" s="49" t="s">
        <v>40</v>
      </c>
      <c r="V38" s="50"/>
      <c r="W38" s="43"/>
      <c r="X38" s="44"/>
      <c r="Y38" s="43"/>
      <c r="Z38" s="43"/>
      <c r="AA38" s="44"/>
      <c r="AB38" s="44"/>
      <c r="AC38" s="47"/>
      <c r="AD38" s="45">
        <f>AD36</f>
        <v>4619</v>
      </c>
      <c r="AE38" s="41"/>
      <c r="AF38" s="41"/>
      <c r="AG38" s="41"/>
      <c r="AH38" s="41"/>
      <c r="AI38" s="41"/>
      <c r="AJ38" s="41"/>
    </row>
    <row r="39" spans="1:36" ht="24.95" customHeight="1" x14ac:dyDescent="0.3">
      <c r="A39" s="6"/>
      <c r="B39"/>
      <c r="C39" s="193" t="str">
        <f>Kalenteri!E39</f>
        <v>Mustikkamaan kautta: 1.9.-30.4. aik. 10 €, lapset 5 €, kimppalippu 30 €    1.5.-30.8. aik. 12 €, lapset 6 €, kimppalippu 36 €</v>
      </c>
      <c r="D39" s="89"/>
      <c r="E39" s="89"/>
      <c r="F39" s="90"/>
      <c r="G39" s="102"/>
      <c r="H39" s="174"/>
      <c r="I39" s="89"/>
      <c r="J39" s="90"/>
      <c r="K39" s="90"/>
      <c r="L39" s="89"/>
      <c r="M39" s="90"/>
      <c r="N39" s="89"/>
      <c r="O39" s="89"/>
      <c r="P39" s="89"/>
      <c r="Q39" s="104"/>
      <c r="R39" s="103"/>
      <c r="S39"/>
      <c r="T39"/>
      <c r="U39" s="62" t="s">
        <v>13</v>
      </c>
      <c r="V39" s="52"/>
      <c r="W39" s="53"/>
      <c r="X39" s="54"/>
      <c r="Y39" s="53"/>
      <c r="Z39" s="53"/>
      <c r="AA39" s="54"/>
      <c r="AB39" s="54"/>
      <c r="AC39" s="55"/>
      <c r="AD39" s="56">
        <f>AD36-Edellisvuosi!I8</f>
        <v>120</v>
      </c>
      <c r="AE39" s="67"/>
      <c r="AF39" s="67"/>
      <c r="AG39" s="67"/>
      <c r="AH39" s="67"/>
      <c r="AI39" s="67"/>
      <c r="AJ39" s="67"/>
    </row>
    <row r="40" spans="1:36" ht="24.95" customHeight="1" x14ac:dyDescent="0.3">
      <c r="A40" s="6"/>
      <c r="B40" s="6"/>
      <c r="C40" s="194" t="str">
        <f>Kalenteri!E40</f>
        <v xml:space="preserve">                                    Vuosikortti:     aik. 50 €, lapset 20 €, perhekortti 100 €</v>
      </c>
      <c r="D40" s="39"/>
      <c r="E40" s="39"/>
      <c r="F40" s="42"/>
      <c r="G40" s="65"/>
      <c r="H40" s="176"/>
      <c r="I40" s="39"/>
      <c r="J40" s="42"/>
      <c r="K40" s="42"/>
      <c r="L40" s="39"/>
      <c r="M40" s="42"/>
      <c r="N40" s="39"/>
      <c r="O40" s="39"/>
      <c r="P40" s="39"/>
      <c r="Q40" s="23"/>
      <c r="R40" s="97"/>
      <c r="S40"/>
      <c r="T40"/>
      <c r="U40" s="63" t="s">
        <v>41</v>
      </c>
      <c r="V40" s="37"/>
      <c r="W40" s="51"/>
      <c r="X40" s="41"/>
      <c r="Y40" s="51"/>
      <c r="Z40" s="41"/>
      <c r="AA40" s="41"/>
      <c r="AB40" s="41"/>
      <c r="AC40" s="48"/>
      <c r="AD40" s="46">
        <f>AD36+'K1'!AD36+'K2'!AD36+'K3'!AD36+'K4'!AD36+'K5'!AD36+'K6'!AD36+'K7'!AD36</f>
        <v>9947</v>
      </c>
      <c r="AE40" s="41"/>
      <c r="AF40" s="41"/>
      <c r="AG40" s="41"/>
      <c r="AH40" s="41"/>
      <c r="AI40" s="41"/>
      <c r="AJ40" s="41"/>
    </row>
    <row r="41" spans="1:36" ht="24.95" customHeight="1" thickBot="1" x14ac:dyDescent="0.35">
      <c r="A41" s="4"/>
      <c r="B41" s="4"/>
      <c r="C41" s="195" t="str">
        <f>Kalenteri!E41</f>
        <v>Vesibusseilla:             1.9.-30.4. aik. 16 €, lapset 8 €, kimppalippu 47 €    1.5.-31.8. aik. 18 €, lapset 9 €, kimppalippu 53 €</v>
      </c>
      <c r="D41" s="93"/>
      <c r="E41" s="93"/>
      <c r="F41" s="94"/>
      <c r="G41" s="94"/>
      <c r="H41" s="175"/>
      <c r="I41" s="93"/>
      <c r="J41" s="96"/>
      <c r="K41" s="96"/>
      <c r="L41" s="93"/>
      <c r="M41" s="95"/>
      <c r="N41" s="95"/>
      <c r="O41" s="93"/>
      <c r="P41" s="93"/>
      <c r="Q41" s="95"/>
      <c r="R41" s="98"/>
      <c r="S41"/>
      <c r="T41"/>
      <c r="U41" s="64" t="s">
        <v>13</v>
      </c>
      <c r="V41" s="57"/>
      <c r="W41" s="58"/>
      <c r="X41" s="59"/>
      <c r="Y41" s="59"/>
      <c r="Z41" s="59"/>
      <c r="AA41" s="59"/>
      <c r="AB41" s="59"/>
      <c r="AC41" s="60"/>
      <c r="AD41" s="61">
        <f>AD40-Edellisvuosi!B8-Edellisvuosi!C8-Edellisvuosi!D8-Edellisvuosi!E8-Edellisvuosi!F8-Edellisvuosi!G8-Edellisvuosi!H8-Edellisvuosi!I8</f>
        <v>-1051</v>
      </c>
      <c r="AE41" s="68"/>
      <c r="AF41" s="68"/>
      <c r="AG41" s="68"/>
      <c r="AH41" s="68"/>
      <c r="AI41" s="68"/>
      <c r="AJ41" s="68"/>
    </row>
    <row r="42" spans="1:36" ht="13.5" thickTop="1" x14ac:dyDescent="0.2"/>
  </sheetData>
  <sheetProtection password="C4AC" sheet="1" objects="1" scenarios="1"/>
  <phoneticPr fontId="4" type="noConversion"/>
  <pageMargins left="0" right="0" top="0.27559055118110237" bottom="0" header="0" footer="0"/>
  <pageSetup paperSize="9" scale="75" fitToHeight="0" orientation="landscape" horizontalDpi="4294967292" verticalDpi="4294967292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90113" r:id="rId4" name="Button 1">
              <controlPr defaultSize="0" print="0" autoFill="0" autoLine="0" autoPict="0" macro="[1]!TAMMI">
                <anchor moveWithCells="1" sizeWithCells="1">
                  <from>
                    <xdr:col>35</xdr:col>
                    <xdr:colOff>0</xdr:colOff>
                    <xdr:row>3</xdr:row>
                    <xdr:rowOff>9525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114" r:id="rId5" name="Button 2">
              <controlPr defaultSize="0" print="0" autoFill="0" autoLine="0" autoPict="0" macro="[1]KTMAKRO!$A$1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115" r:id="rId6" name="Button 3">
              <controlPr defaultSize="0" print="0" autoFill="0" autoLine="0" autoPict="0" macro="[1]!MAALIS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116" r:id="rId7" name="Button 4">
              <controlPr defaultSize="0" print="0" autoFill="0" autoLine="0" autoPict="0" macro="[1]KTMAKRO!$D$1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117" r:id="rId8" name="Button 5">
              <controlPr defaultSize="0" print="0" autoFill="0" autoLine="0" autoPict="0" macro="[1]KTMAKRO!$E$1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118" r:id="rId9" name="Button 6">
              <controlPr defaultSize="0" print="0" autoFill="0" autoLine="0" autoPict="0" macro="[1]!KESÄ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119" r:id="rId10" name="Button 7">
              <controlPr defaultSize="0" print="0" autoFill="0" autoLine="0" autoPict="0" macro="[1]!HELMI">
                <anchor moveWithCells="1" sizeWithCells="1">
                  <from>
                    <xdr:col>35</xdr:col>
                    <xdr:colOff>0</xdr:colOff>
                    <xdr:row>3</xdr:row>
                    <xdr:rowOff>9525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120" r:id="rId11" name="Button 8">
              <controlPr defaultSize="0" print="0" autoFill="0" autoLine="0" autoPict="0" macro="[1]KTMAKRO!$G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121" r:id="rId12" name="Button 9">
              <controlPr defaultSize="0" print="0" autoFill="0" autoLine="0" autoPict="0" macro="[1]KTMAKRO!$I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122" r:id="rId13" name="Button 10">
              <controlPr defaultSize="0" print="0" autoFill="0" autoLine="0" autoPict="0" macro="[1]KTMAKRO!$J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123" r:id="rId14" name="Button 11">
              <controlPr defaultSize="0" print="0" autoFill="0" autoLine="0" autoPict="0" macro="[1]KTMAKRO!$K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124" r:id="rId15" name="Button 12">
              <controlPr defaultSize="0" print="0" autoFill="0" autoLine="0" autoPict="0" macro="[1]KTMAKRO!$L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125" r:id="rId16" name="Button 13">
              <controlPr defaultSize="0" print="0" autoFill="0" autoLine="0" autoPict="0" macro="[1]KTMAKRO!$H$1">
                <anchor moveWithCells="1" sizeWithCells="1">
                  <from>
                    <xdr:col>35</xdr:col>
                    <xdr:colOff>0</xdr:colOff>
                    <xdr:row>5</xdr:row>
                    <xdr:rowOff>0</xdr:rowOff>
                  </from>
                  <to>
                    <xdr:col>35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126" r:id="rId17" name="Button 14">
              <controlPr defaultSize="0" print="0" autoFill="0" autoLine="0" autoPict="0" macro="[1]!Yhteenveto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5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127" r:id="rId18" name="Button 15">
              <controlPr defaultSize="0" print="0" autoFill="0" autoLine="0" autoPict="0" macro="[1]!GRAFIIKKA1">
                <anchor moveWithCells="1" sizeWithCells="1">
                  <from>
                    <xdr:col>35</xdr:col>
                    <xdr:colOff>0</xdr:colOff>
                    <xdr:row>8</xdr:row>
                    <xdr:rowOff>142875</xdr:rowOff>
                  </from>
                  <to>
                    <xdr:col>35</xdr:col>
                    <xdr:colOff>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128" r:id="rId19" name="Button 16">
              <controlPr defaultSize="0" print="0" autoFill="0" autoLine="0" autoPict="0" macro="[1]!Grafiikka2">
                <anchor moveWithCells="1" sizeWithCells="1">
                  <from>
                    <xdr:col>35</xdr:col>
                    <xdr:colOff>0</xdr:colOff>
                    <xdr:row>8</xdr:row>
                    <xdr:rowOff>152400</xdr:rowOff>
                  </from>
                  <to>
                    <xdr:col>35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129" r:id="rId20" name="Button 17">
              <controlPr defaultSize="0" print="0" autoFill="0" autoLine="0" autoPict="0" macro="[1]!Grafiikka4">
                <anchor moveWithCells="1" sizeWithCells="1">
                  <from>
                    <xdr:col>35</xdr:col>
                    <xdr:colOff>0</xdr:colOff>
                    <xdr:row>8</xdr:row>
                    <xdr:rowOff>142875</xdr:rowOff>
                  </from>
                  <to>
                    <xdr:col>35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130" r:id="rId21" name="Button 18">
              <controlPr defaultSize="0" print="0" autoFill="0" autoLine="0" autoPict="0" macro="[1]!Grafiikka4">
                <anchor moveWithCells="1" sizeWithCells="1">
                  <from>
                    <xdr:col>35</xdr:col>
                    <xdr:colOff>0</xdr:colOff>
                    <xdr:row>8</xdr:row>
                    <xdr:rowOff>152400</xdr:rowOff>
                  </from>
                  <to>
                    <xdr:col>35</xdr:col>
                    <xdr:colOff>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131" r:id="rId22" name="Button 19">
              <controlPr defaultSize="0" print="0" autoFill="0" autoLine="0" autoPict="0" macro="[1]!Grafiikka5">
                <anchor moveWithCells="1" sizeWithCells="1">
                  <from>
                    <xdr:col>35</xdr:col>
                    <xdr:colOff>0</xdr:colOff>
                    <xdr:row>8</xdr:row>
                    <xdr:rowOff>152400</xdr:rowOff>
                  </from>
                  <to>
                    <xdr:col>35</xdr:col>
                    <xdr:colOff>0</xdr:colOff>
                    <xdr:row>12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132" r:id="rId23" name="Button 20">
              <controlPr defaultSize="0" print="0" autoFill="0" autoLine="0" autoPict="0" macro="[1]!Perusikkuna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12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/>
  <dimension ref="A1:AJ42"/>
  <sheetViews>
    <sheetView showGridLines="0" zoomScale="75" workbookViewId="0"/>
  </sheetViews>
  <sheetFormatPr defaultColWidth="9.75" defaultRowHeight="12.75" x14ac:dyDescent="0.2"/>
  <cols>
    <col min="1" max="1" width="3.75" style="1" customWidth="1"/>
    <col min="2" max="2" width="2.75" style="1" customWidth="1"/>
    <col min="3" max="4" width="6.125" style="1" customWidth="1"/>
    <col min="5" max="5" width="4" style="1" customWidth="1"/>
    <col min="6" max="6" width="4.5" style="1" customWidth="1"/>
    <col min="7" max="10" width="6.125" style="1" customWidth="1"/>
    <col min="11" max="11" width="5.875" style="1" customWidth="1"/>
    <col min="12" max="13" width="6.125" style="1" customWidth="1"/>
    <col min="14" max="14" width="5.25" style="1" customWidth="1"/>
    <col min="15" max="15" width="4.5" style="1" customWidth="1"/>
    <col min="16" max="16" width="6.125" style="1" customWidth="1"/>
    <col min="17" max="17" width="5.5" style="1" customWidth="1"/>
    <col min="18" max="19" width="6.125" style="1" customWidth="1"/>
    <col min="20" max="20" width="5.875" style="1" customWidth="1"/>
    <col min="21" max="22" width="6.125" style="1" customWidth="1"/>
    <col min="23" max="23" width="4.375" style="1" customWidth="1"/>
    <col min="24" max="24" width="4.25" style="1" customWidth="1"/>
    <col min="25" max="29" width="6.125" style="1" customWidth="1"/>
    <col min="30" max="36" width="15.625" style="1" customWidth="1"/>
  </cols>
  <sheetData>
    <row r="1" spans="1:36" ht="30" customHeight="1" x14ac:dyDescent="0.35">
      <c r="A1" s="22"/>
      <c r="B1" s="4"/>
      <c r="C1" s="105" t="s">
        <v>15</v>
      </c>
      <c r="D1" s="106"/>
      <c r="E1" s="106"/>
      <c r="F1" s="106"/>
      <c r="G1" s="106"/>
      <c r="H1" s="106"/>
      <c r="I1" s="106"/>
      <c r="J1" s="106"/>
      <c r="K1" s="106"/>
      <c r="L1" s="105" t="str">
        <f>Kalenteri!$H$1</f>
        <v>KÄVIJÄTILASTO 2013</v>
      </c>
      <c r="M1" s="107"/>
      <c r="N1" s="107"/>
      <c r="O1" s="107"/>
      <c r="P1" s="106"/>
      <c r="Q1" s="106"/>
      <c r="R1" s="105" t="s">
        <v>78</v>
      </c>
      <c r="S1" s="108"/>
      <c r="T1" s="106"/>
      <c r="U1" s="109"/>
      <c r="V1" s="105" t="s">
        <v>39</v>
      </c>
      <c r="W1" s="109"/>
      <c r="X1" s="106"/>
      <c r="Y1" s="106"/>
      <c r="Z1" s="106"/>
      <c r="AA1" s="106"/>
      <c r="AB1" s="106"/>
      <c r="AC1" s="106"/>
      <c r="AD1" s="110"/>
      <c r="AE1" s="4"/>
      <c r="AF1" s="4"/>
      <c r="AG1" s="4"/>
      <c r="AH1" s="4"/>
      <c r="AI1" s="4"/>
      <c r="AJ1" s="4"/>
    </row>
    <row r="2" spans="1:36" ht="30" customHeight="1" x14ac:dyDescent="0.3">
      <c r="A2" s="3"/>
      <c r="B2" s="4"/>
      <c r="C2" s="72"/>
      <c r="D2" s="73"/>
      <c r="E2" s="74" t="s">
        <v>1</v>
      </c>
      <c r="F2" s="75"/>
      <c r="G2" s="75"/>
      <c r="H2" s="75"/>
      <c r="I2" s="75"/>
      <c r="J2" s="75"/>
      <c r="K2" s="76"/>
      <c r="L2" s="72"/>
      <c r="M2" s="77"/>
      <c r="N2" s="73"/>
      <c r="O2" s="74" t="s">
        <v>2</v>
      </c>
      <c r="P2" s="75"/>
      <c r="Q2" s="75"/>
      <c r="R2" s="75"/>
      <c r="S2" s="75"/>
      <c r="T2" s="76"/>
      <c r="U2" s="72"/>
      <c r="V2" s="75"/>
      <c r="W2" s="73"/>
      <c r="X2" s="74" t="s">
        <v>3</v>
      </c>
      <c r="Y2" s="75"/>
      <c r="Z2" s="75"/>
      <c r="AA2" s="75"/>
      <c r="AB2" s="75"/>
      <c r="AC2" s="76"/>
      <c r="AD2" s="13"/>
      <c r="AE2" s="35"/>
      <c r="AF2" s="69"/>
      <c r="AG2" s="69"/>
      <c r="AH2" s="69"/>
      <c r="AI2" s="69"/>
      <c r="AJ2" s="69"/>
    </row>
    <row r="3" spans="1:36" x14ac:dyDescent="0.2">
      <c r="A3" s="4"/>
      <c r="B3" s="4"/>
      <c r="C3" s="24" t="s">
        <v>4</v>
      </c>
      <c r="D3" s="25"/>
      <c r="E3" s="25"/>
      <c r="F3" s="26"/>
      <c r="G3" s="24" t="s">
        <v>5</v>
      </c>
      <c r="H3" s="26"/>
      <c r="I3" s="25" t="s">
        <v>6</v>
      </c>
      <c r="J3" s="25"/>
      <c r="K3" s="27"/>
      <c r="L3" s="24" t="s">
        <v>4</v>
      </c>
      <c r="M3" s="25"/>
      <c r="N3" s="25"/>
      <c r="O3" s="26"/>
      <c r="P3" s="24" t="s">
        <v>5</v>
      </c>
      <c r="Q3" s="26"/>
      <c r="R3" s="25" t="s">
        <v>6</v>
      </c>
      <c r="S3" s="25"/>
      <c r="T3" s="27"/>
      <c r="U3" s="24" t="s">
        <v>4</v>
      </c>
      <c r="V3" s="25"/>
      <c r="W3" s="25"/>
      <c r="X3" s="26"/>
      <c r="Y3" s="24" t="s">
        <v>5</v>
      </c>
      <c r="Z3" s="26"/>
      <c r="AA3" s="25" t="s">
        <v>6</v>
      </c>
      <c r="AB3" s="25"/>
      <c r="AC3" s="27"/>
      <c r="AD3" s="36" t="s">
        <v>7</v>
      </c>
      <c r="AE3" s="38"/>
      <c r="AF3" s="70"/>
      <c r="AG3" s="70"/>
      <c r="AH3" s="70"/>
      <c r="AI3" s="70"/>
      <c r="AJ3"/>
    </row>
    <row r="4" spans="1:36" x14ac:dyDescent="0.2">
      <c r="A4" s="6"/>
      <c r="B4" s="4"/>
      <c r="C4" s="7" t="s">
        <v>8</v>
      </c>
      <c r="D4" s="8" t="s">
        <v>9</v>
      </c>
      <c r="E4" s="8" t="s">
        <v>10</v>
      </c>
      <c r="F4" s="9" t="s">
        <v>11</v>
      </c>
      <c r="G4" s="7" t="s">
        <v>8</v>
      </c>
      <c r="H4" s="9" t="s">
        <v>9</v>
      </c>
      <c r="I4" s="8" t="s">
        <v>8</v>
      </c>
      <c r="J4" s="8" t="s">
        <v>9</v>
      </c>
      <c r="K4" s="14" t="s">
        <v>0</v>
      </c>
      <c r="L4" s="7" t="s">
        <v>8</v>
      </c>
      <c r="M4" s="8" t="s">
        <v>9</v>
      </c>
      <c r="N4" s="8" t="s">
        <v>10</v>
      </c>
      <c r="O4" s="9" t="s">
        <v>11</v>
      </c>
      <c r="P4" s="7" t="s">
        <v>8</v>
      </c>
      <c r="Q4" s="9" t="s">
        <v>9</v>
      </c>
      <c r="R4" s="8" t="s">
        <v>8</v>
      </c>
      <c r="S4" s="8" t="s">
        <v>9</v>
      </c>
      <c r="T4" s="14" t="s">
        <v>0</v>
      </c>
      <c r="U4" s="7" t="s">
        <v>8</v>
      </c>
      <c r="V4" s="8" t="s">
        <v>9</v>
      </c>
      <c r="W4" s="8" t="s">
        <v>10</v>
      </c>
      <c r="X4" s="9" t="s">
        <v>11</v>
      </c>
      <c r="Y4" s="7" t="s">
        <v>8</v>
      </c>
      <c r="Z4" s="9" t="s">
        <v>9</v>
      </c>
      <c r="AA4" s="8" t="s">
        <v>8</v>
      </c>
      <c r="AB4" s="8" t="s">
        <v>9</v>
      </c>
      <c r="AC4" s="14" t="s">
        <v>0</v>
      </c>
      <c r="AD4" s="28"/>
      <c r="AE4" s="23"/>
      <c r="AF4" s="23"/>
      <c r="AG4" s="23"/>
      <c r="AH4" s="23"/>
      <c r="AI4" s="23"/>
      <c r="AJ4"/>
    </row>
    <row r="5" spans="1:36" x14ac:dyDescent="0.2">
      <c r="A5" s="5">
        <f>DAY(Kalenteri!A244)</f>
        <v>1</v>
      </c>
      <c r="B5" s="3" t="str">
        <f>IF(Kalenteri!B244=1,"su",IF(Kalenteri!B244=2,"ma",IF(Kalenteri!B244=3,"ti",IF(Kalenteri!B244=4,"ke",IF(Kalenteri!B244=5,"to",IF(Kalenteri!B244=6,"pe",IF(Kalenteri!B244=7,"la",)))))))</f>
        <v>su</v>
      </c>
      <c r="C5" s="78">
        <v>294</v>
      </c>
      <c r="D5" s="15">
        <v>145</v>
      </c>
      <c r="E5" s="15"/>
      <c r="F5" s="16"/>
      <c r="G5" s="78"/>
      <c r="H5" s="16">
        <v>94</v>
      </c>
      <c r="I5" s="78" t="s">
        <v>268</v>
      </c>
      <c r="J5" s="16"/>
      <c r="K5" s="32">
        <f t="shared" ref="K5:K36" si="0">SUM(C5:J5)</f>
        <v>533</v>
      </c>
      <c r="L5" s="15"/>
      <c r="M5" s="15"/>
      <c r="N5" s="15"/>
      <c r="O5" s="16"/>
      <c r="P5" s="15"/>
      <c r="Q5" s="16"/>
      <c r="R5" s="29"/>
      <c r="S5" s="29"/>
      <c r="T5" s="32">
        <f t="shared" ref="T5:T36" si="1">SUM(L5:S5)</f>
        <v>0</v>
      </c>
      <c r="U5" s="15"/>
      <c r="V5" s="15"/>
      <c r="W5" s="15"/>
      <c r="X5" s="16"/>
      <c r="Y5" s="15"/>
      <c r="Z5" s="16"/>
      <c r="AA5" s="29"/>
      <c r="AB5" s="29"/>
      <c r="AC5" s="32">
        <f>SUM(U5:AB5)</f>
        <v>0</v>
      </c>
      <c r="AD5" s="17">
        <f t="shared" ref="AD5:AD36" si="2">SUM(K5,T5,AC5)</f>
        <v>533</v>
      </c>
      <c r="AE5" s="39"/>
      <c r="AF5" s="39"/>
      <c r="AG5" s="39"/>
      <c r="AH5" s="39"/>
      <c r="AI5" s="39"/>
      <c r="AJ5"/>
    </row>
    <row r="6" spans="1:36" x14ac:dyDescent="0.2">
      <c r="A6" s="5">
        <f>DAY(Kalenteri!A245)</f>
        <v>2</v>
      </c>
      <c r="B6" s="3" t="str">
        <f>IF(Kalenteri!B245=1,"su",IF(Kalenteri!B245=2,"ma",IF(Kalenteri!B245=3,"ti",IF(Kalenteri!B245=4,"ke",IF(Kalenteri!B245=5,"to",IF(Kalenteri!B245=6,"pe",IF(Kalenteri!B245=7,"la",)))))))</f>
        <v>ma</v>
      </c>
      <c r="C6" s="18">
        <v>18</v>
      </c>
      <c r="D6" s="10" t="s">
        <v>267</v>
      </c>
      <c r="E6" s="10"/>
      <c r="F6" s="11"/>
      <c r="G6" s="18"/>
      <c r="H6" s="11"/>
      <c r="I6" s="18"/>
      <c r="J6" s="11"/>
      <c r="K6" s="33">
        <f t="shared" si="0"/>
        <v>18</v>
      </c>
      <c r="L6" s="10"/>
      <c r="M6" s="10"/>
      <c r="N6" s="10"/>
      <c r="O6" s="11"/>
      <c r="P6" s="10"/>
      <c r="Q6" s="11"/>
      <c r="R6" s="30"/>
      <c r="S6" s="30"/>
      <c r="T6" s="33">
        <f t="shared" si="1"/>
        <v>0</v>
      </c>
      <c r="U6" s="10"/>
      <c r="V6" s="10"/>
      <c r="W6" s="10"/>
      <c r="X6" s="11"/>
      <c r="Y6" s="10"/>
      <c r="Z6" s="11"/>
      <c r="AA6" s="30"/>
      <c r="AB6" s="30"/>
      <c r="AC6" s="33">
        <f>SUM(U6:AB6)</f>
        <v>0</v>
      </c>
      <c r="AD6" s="12">
        <f t="shared" si="2"/>
        <v>18</v>
      </c>
      <c r="AE6" s="39"/>
      <c r="AF6" s="39"/>
      <c r="AG6" s="39"/>
      <c r="AH6" s="39"/>
      <c r="AI6" s="39"/>
      <c r="AJ6"/>
    </row>
    <row r="7" spans="1:36" x14ac:dyDescent="0.2">
      <c r="A7" s="5">
        <f>DAY(Kalenteri!A246)</f>
        <v>3</v>
      </c>
      <c r="B7" s="3" t="str">
        <f>IF(Kalenteri!B246=1,"su",IF(Kalenteri!B246=2,"ma",IF(Kalenteri!B246=3,"ti",IF(Kalenteri!B246=4,"ke",IF(Kalenteri!B246=5,"to",IF(Kalenteri!B246=6,"pe",IF(Kalenteri!B246=7,"la",)))))))</f>
        <v>ti</v>
      </c>
      <c r="C7" s="18">
        <v>1</v>
      </c>
      <c r="D7" s="10" t="s">
        <v>267</v>
      </c>
      <c r="E7" s="10"/>
      <c r="F7" s="11"/>
      <c r="G7" s="18"/>
      <c r="H7" s="11"/>
      <c r="I7" s="18"/>
      <c r="J7" s="11"/>
      <c r="K7" s="33">
        <f t="shared" si="0"/>
        <v>1</v>
      </c>
      <c r="L7" s="10"/>
      <c r="M7" s="10"/>
      <c r="N7" s="11"/>
      <c r="O7" s="10"/>
      <c r="P7" s="11"/>
      <c r="Q7" s="30"/>
      <c r="R7" s="30"/>
      <c r="S7" s="30"/>
      <c r="T7" s="33">
        <f t="shared" si="1"/>
        <v>0</v>
      </c>
      <c r="U7" s="10"/>
      <c r="V7" s="10"/>
      <c r="W7" s="11"/>
      <c r="X7" s="10"/>
      <c r="Y7" s="11"/>
      <c r="Z7" s="11"/>
      <c r="AA7" s="30"/>
      <c r="AB7" s="30"/>
      <c r="AC7" s="33">
        <f t="shared" ref="AC7:AC36" si="3">SUM(U7:AB7)</f>
        <v>0</v>
      </c>
      <c r="AD7" s="12">
        <f t="shared" si="2"/>
        <v>1</v>
      </c>
      <c r="AE7" s="39"/>
      <c r="AF7" s="39"/>
      <c r="AG7" s="39"/>
      <c r="AH7" s="39"/>
      <c r="AI7" s="39"/>
      <c r="AJ7"/>
    </row>
    <row r="8" spans="1:36" x14ac:dyDescent="0.2">
      <c r="A8" s="5">
        <f>DAY(Kalenteri!A247)</f>
        <v>4</v>
      </c>
      <c r="B8" s="3" t="str">
        <f>IF(Kalenteri!B247=1,"su",IF(Kalenteri!B247=2,"ma",IF(Kalenteri!B247=3,"ti",IF(Kalenteri!B247=4,"ke",IF(Kalenteri!B247=5,"to",IF(Kalenteri!B247=6,"pe",IF(Kalenteri!B247=7,"la",)))))))</f>
        <v>ke</v>
      </c>
      <c r="C8" s="18"/>
      <c r="D8" s="10"/>
      <c r="E8" s="10"/>
      <c r="F8" s="11"/>
      <c r="G8" s="18"/>
      <c r="H8" s="11"/>
      <c r="I8" s="18"/>
      <c r="J8" s="11"/>
      <c r="K8" s="33">
        <f t="shared" si="0"/>
        <v>0</v>
      </c>
      <c r="L8" s="10"/>
      <c r="M8" s="10"/>
      <c r="N8" s="10"/>
      <c r="O8" s="11"/>
      <c r="P8" s="10"/>
      <c r="Q8" s="11"/>
      <c r="R8" s="30"/>
      <c r="S8" s="30"/>
      <c r="T8" s="33">
        <f t="shared" si="1"/>
        <v>0</v>
      </c>
      <c r="U8" s="10"/>
      <c r="V8" s="10"/>
      <c r="W8" s="10"/>
      <c r="X8" s="11"/>
      <c r="Y8" s="10"/>
      <c r="Z8" s="11"/>
      <c r="AA8" s="30"/>
      <c r="AB8" s="30"/>
      <c r="AC8" s="33">
        <f t="shared" si="3"/>
        <v>0</v>
      </c>
      <c r="AD8" s="12">
        <f t="shared" si="2"/>
        <v>0</v>
      </c>
      <c r="AE8" s="39"/>
      <c r="AF8" s="39"/>
      <c r="AG8" s="39"/>
      <c r="AH8" s="39"/>
      <c r="AI8" s="39"/>
      <c r="AJ8"/>
    </row>
    <row r="9" spans="1:36" x14ac:dyDescent="0.2">
      <c r="A9" s="5">
        <f>DAY(Kalenteri!A248)</f>
        <v>5</v>
      </c>
      <c r="B9" s="3" t="str">
        <f>IF(Kalenteri!B248=1,"su",IF(Kalenteri!B248=2,"ma",IF(Kalenteri!B248=3,"ti",IF(Kalenteri!B248=4,"ke",IF(Kalenteri!B248=5,"to",IF(Kalenteri!B248=6,"pe",IF(Kalenteri!B248=7,"la",)))))))</f>
        <v>to</v>
      </c>
      <c r="C9" s="18">
        <v>1</v>
      </c>
      <c r="D9" s="10"/>
      <c r="E9" s="10"/>
      <c r="F9" s="11" t="s">
        <v>267</v>
      </c>
      <c r="G9" s="18"/>
      <c r="H9" s="11"/>
      <c r="I9" s="18"/>
      <c r="J9" s="11"/>
      <c r="K9" s="33">
        <f t="shared" si="0"/>
        <v>1</v>
      </c>
      <c r="L9" s="10"/>
      <c r="M9" s="10"/>
      <c r="N9" s="10"/>
      <c r="O9" s="11"/>
      <c r="P9" s="10"/>
      <c r="Q9" s="11"/>
      <c r="R9" s="30"/>
      <c r="S9" s="30"/>
      <c r="T9" s="33">
        <f t="shared" si="1"/>
        <v>0</v>
      </c>
      <c r="U9" s="10"/>
      <c r="V9" s="10"/>
      <c r="W9" s="10"/>
      <c r="X9" s="11"/>
      <c r="Y9" s="10"/>
      <c r="Z9" s="11"/>
      <c r="AA9" s="30"/>
      <c r="AB9" s="30"/>
      <c r="AC9" s="33">
        <f t="shared" si="3"/>
        <v>0</v>
      </c>
      <c r="AD9" s="12">
        <f t="shared" si="2"/>
        <v>1</v>
      </c>
      <c r="AE9" s="39"/>
      <c r="AF9" s="39"/>
      <c r="AG9" s="39"/>
      <c r="AH9" s="39"/>
      <c r="AI9" s="39"/>
      <c r="AJ9"/>
    </row>
    <row r="10" spans="1:36" x14ac:dyDescent="0.2">
      <c r="A10" s="5">
        <f>DAY(Kalenteri!A249)</f>
        <v>6</v>
      </c>
      <c r="B10" s="3" t="str">
        <f>IF(Kalenteri!B249=1,"su",IF(Kalenteri!B249=2,"ma",IF(Kalenteri!B249=3,"ti",IF(Kalenteri!B249=4,"ke",IF(Kalenteri!B249=5,"to",IF(Kalenteri!B249=6,"pe",IF(Kalenteri!B249=7,"la",)))))))</f>
        <v>pe</v>
      </c>
      <c r="C10" s="18"/>
      <c r="D10" s="10"/>
      <c r="E10" s="10"/>
      <c r="F10" s="11"/>
      <c r="G10" s="18">
        <v>48</v>
      </c>
      <c r="H10" s="11">
        <v>26</v>
      </c>
      <c r="I10" s="18" t="s">
        <v>266</v>
      </c>
      <c r="J10" s="11"/>
      <c r="K10" s="33">
        <f t="shared" si="0"/>
        <v>74</v>
      </c>
      <c r="L10" s="10"/>
      <c r="M10" s="10"/>
      <c r="N10" s="10"/>
      <c r="O10" s="11"/>
      <c r="P10" s="10"/>
      <c r="Q10" s="11"/>
      <c r="R10" s="30"/>
      <c r="S10" s="30"/>
      <c r="T10" s="33">
        <f t="shared" si="1"/>
        <v>0</v>
      </c>
      <c r="U10" s="10"/>
      <c r="V10" s="10"/>
      <c r="W10" s="10"/>
      <c r="X10" s="11"/>
      <c r="Y10" s="10"/>
      <c r="Z10" s="11"/>
      <c r="AA10" s="30"/>
      <c r="AB10" s="30"/>
      <c r="AC10" s="33">
        <f t="shared" si="3"/>
        <v>0</v>
      </c>
      <c r="AD10" s="12">
        <f t="shared" si="2"/>
        <v>74</v>
      </c>
      <c r="AE10" s="39"/>
      <c r="AF10" s="39"/>
      <c r="AG10" s="39"/>
      <c r="AH10" s="39"/>
      <c r="AI10" s="39"/>
      <c r="AJ10"/>
    </row>
    <row r="11" spans="1:36" x14ac:dyDescent="0.2">
      <c r="A11" s="5">
        <f>DAY(Kalenteri!A250)</f>
        <v>7</v>
      </c>
      <c r="B11" s="3" t="str">
        <f>IF(Kalenteri!B250=1,"su",IF(Kalenteri!B250=2,"ma",IF(Kalenteri!B250=3,"ti",IF(Kalenteri!B250=4,"ke",IF(Kalenteri!B250=5,"to",IF(Kalenteri!B250=6,"pe",IF(Kalenteri!B250=7,"la",)))))))</f>
        <v>la</v>
      </c>
      <c r="C11" s="18">
        <v>581</v>
      </c>
      <c r="D11" s="10">
        <v>323</v>
      </c>
      <c r="E11" s="10"/>
      <c r="F11" s="11"/>
      <c r="G11" s="18"/>
      <c r="H11" s="11">
        <v>68</v>
      </c>
      <c r="I11" s="18" t="s">
        <v>268</v>
      </c>
      <c r="J11" s="11"/>
      <c r="K11" s="33">
        <f t="shared" si="0"/>
        <v>972</v>
      </c>
      <c r="L11" s="10">
        <v>2</v>
      </c>
      <c r="M11" s="10"/>
      <c r="N11" s="10" t="s">
        <v>236</v>
      </c>
      <c r="O11" s="11"/>
      <c r="P11" s="10"/>
      <c r="Q11" s="11"/>
      <c r="R11" s="30"/>
      <c r="S11" s="30"/>
      <c r="T11" s="33">
        <f t="shared" si="1"/>
        <v>2</v>
      </c>
      <c r="U11" s="10"/>
      <c r="V11" s="10"/>
      <c r="W11" s="10"/>
      <c r="X11" s="11"/>
      <c r="Y11" s="10"/>
      <c r="Z11" s="11"/>
      <c r="AA11" s="30"/>
      <c r="AB11" s="30"/>
      <c r="AC11" s="33">
        <f t="shared" si="3"/>
        <v>0</v>
      </c>
      <c r="AD11" s="12">
        <f t="shared" si="2"/>
        <v>974</v>
      </c>
      <c r="AE11" s="39"/>
      <c r="AF11" s="39"/>
      <c r="AG11" s="39"/>
      <c r="AH11" s="39"/>
      <c r="AI11" s="39"/>
      <c r="AJ11"/>
    </row>
    <row r="12" spans="1:36" x14ac:dyDescent="0.2">
      <c r="A12" s="5">
        <f>DAY(Kalenteri!A251)</f>
        <v>8</v>
      </c>
      <c r="B12" s="3" t="str">
        <f>IF(Kalenteri!B251=1,"su",IF(Kalenteri!B251=2,"ma",IF(Kalenteri!B251=3,"ti",IF(Kalenteri!B251=4,"ke",IF(Kalenteri!B251=5,"to",IF(Kalenteri!B251=6,"pe",IF(Kalenteri!B251=7,"la",)))))))</f>
        <v>su</v>
      </c>
      <c r="C12" s="18"/>
      <c r="D12" s="10"/>
      <c r="E12" s="10"/>
      <c r="F12" s="11"/>
      <c r="G12" s="18"/>
      <c r="H12" s="11"/>
      <c r="I12" s="18"/>
      <c r="J12" s="11"/>
      <c r="K12" s="33">
        <f t="shared" si="0"/>
        <v>0</v>
      </c>
      <c r="L12" s="10"/>
      <c r="M12" s="10"/>
      <c r="N12" s="10"/>
      <c r="O12" s="11"/>
      <c r="P12" s="10"/>
      <c r="Q12" s="11"/>
      <c r="R12" s="30"/>
      <c r="S12" s="30"/>
      <c r="T12" s="33">
        <f t="shared" si="1"/>
        <v>0</v>
      </c>
      <c r="U12" s="10"/>
      <c r="V12" s="10"/>
      <c r="W12" s="10"/>
      <c r="X12" s="11"/>
      <c r="Y12" s="10"/>
      <c r="Z12" s="11"/>
      <c r="AA12" s="30"/>
      <c r="AB12" s="30"/>
      <c r="AC12" s="33">
        <f t="shared" si="3"/>
        <v>0</v>
      </c>
      <c r="AD12" s="12">
        <f t="shared" si="2"/>
        <v>0</v>
      </c>
      <c r="AE12" s="39"/>
      <c r="AF12" s="39"/>
      <c r="AG12" s="39"/>
      <c r="AH12" s="39"/>
      <c r="AI12" s="39"/>
      <c r="AJ12"/>
    </row>
    <row r="13" spans="1:36" x14ac:dyDescent="0.2">
      <c r="A13" s="5">
        <f>DAY(Kalenteri!A252)</f>
        <v>9</v>
      </c>
      <c r="B13" s="3" t="str">
        <f>IF(Kalenteri!B252=1,"su",IF(Kalenteri!B252=2,"ma",IF(Kalenteri!B252=3,"ti",IF(Kalenteri!B252=4,"ke",IF(Kalenteri!B252=5,"to",IF(Kalenteri!B252=6,"pe",IF(Kalenteri!B252=7,"la",)))))))</f>
        <v>ma</v>
      </c>
      <c r="C13" s="18">
        <v>59</v>
      </c>
      <c r="D13" s="10">
        <v>8</v>
      </c>
      <c r="E13" s="10"/>
      <c r="F13" s="11" t="s">
        <v>267</v>
      </c>
      <c r="G13" s="18"/>
      <c r="H13" s="11"/>
      <c r="I13" s="18">
        <v>2</v>
      </c>
      <c r="J13" s="11">
        <v>3</v>
      </c>
      <c r="K13" s="33">
        <f t="shared" si="0"/>
        <v>72</v>
      </c>
      <c r="L13" s="10"/>
      <c r="M13" s="10"/>
      <c r="N13" s="10"/>
      <c r="O13" s="11"/>
      <c r="P13" s="10"/>
      <c r="Q13" s="11"/>
      <c r="R13" s="30"/>
      <c r="S13" s="30"/>
      <c r="T13" s="33">
        <f t="shared" si="1"/>
        <v>0</v>
      </c>
      <c r="U13" s="10"/>
      <c r="V13" s="10"/>
      <c r="W13" s="10"/>
      <c r="X13" s="11"/>
      <c r="Y13" s="10"/>
      <c r="Z13" s="11"/>
      <c r="AA13" s="30"/>
      <c r="AB13" s="30"/>
      <c r="AC13" s="33">
        <f t="shared" si="3"/>
        <v>0</v>
      </c>
      <c r="AD13" s="12">
        <f t="shared" si="2"/>
        <v>72</v>
      </c>
      <c r="AE13" s="39"/>
      <c r="AF13" s="39"/>
      <c r="AG13" s="39"/>
      <c r="AH13" s="39"/>
      <c r="AI13" s="39"/>
      <c r="AJ13"/>
    </row>
    <row r="14" spans="1:36" x14ac:dyDescent="0.2">
      <c r="A14" s="5">
        <f>DAY(Kalenteri!A253)</f>
        <v>10</v>
      </c>
      <c r="B14" s="3" t="str">
        <f>IF(Kalenteri!B253=1,"su",IF(Kalenteri!B253=2,"ma",IF(Kalenteri!B253=3,"ti",IF(Kalenteri!B253=4,"ke",IF(Kalenteri!B253=5,"to",IF(Kalenteri!B253=6,"pe",IF(Kalenteri!B253=7,"la",)))))))</f>
        <v>ti</v>
      </c>
      <c r="C14" s="18"/>
      <c r="D14" s="10"/>
      <c r="E14" s="10"/>
      <c r="F14" s="11"/>
      <c r="G14" s="18"/>
      <c r="H14" s="11"/>
      <c r="I14" s="18"/>
      <c r="J14" s="11"/>
      <c r="K14" s="33">
        <f t="shared" si="0"/>
        <v>0</v>
      </c>
      <c r="L14" s="10"/>
      <c r="M14" s="10"/>
      <c r="N14" s="10"/>
      <c r="O14" s="11"/>
      <c r="P14" s="10"/>
      <c r="Q14" s="11"/>
      <c r="R14" s="30"/>
      <c r="S14" s="30"/>
      <c r="T14" s="33">
        <f t="shared" si="1"/>
        <v>0</v>
      </c>
      <c r="U14" s="10"/>
      <c r="V14" s="10"/>
      <c r="W14" s="10"/>
      <c r="X14" s="11"/>
      <c r="Y14" s="10"/>
      <c r="Z14" s="11"/>
      <c r="AA14" s="30"/>
      <c r="AB14" s="30"/>
      <c r="AC14" s="33">
        <f t="shared" si="3"/>
        <v>0</v>
      </c>
      <c r="AD14" s="12">
        <f t="shared" si="2"/>
        <v>0</v>
      </c>
      <c r="AE14" s="39"/>
      <c r="AF14" s="39"/>
      <c r="AG14" s="39"/>
      <c r="AH14" s="39"/>
      <c r="AI14" s="39"/>
      <c r="AJ14"/>
    </row>
    <row r="15" spans="1:36" x14ac:dyDescent="0.2">
      <c r="A15" s="5">
        <f>DAY(Kalenteri!A254)</f>
        <v>11</v>
      </c>
      <c r="B15" s="3" t="str">
        <f>IF(Kalenteri!B254=1,"su",IF(Kalenteri!B254=2,"ma",IF(Kalenteri!B254=3,"ti",IF(Kalenteri!B254=4,"ke",IF(Kalenteri!B254=5,"to",IF(Kalenteri!B254=6,"pe",IF(Kalenteri!B254=7,"la",)))))))</f>
        <v>ke</v>
      </c>
      <c r="C15" s="18"/>
      <c r="D15" s="10"/>
      <c r="E15" s="10"/>
      <c r="F15" s="11"/>
      <c r="G15" s="18"/>
      <c r="H15" s="11"/>
      <c r="I15" s="18"/>
      <c r="J15" s="11"/>
      <c r="K15" s="33">
        <f t="shared" si="0"/>
        <v>0</v>
      </c>
      <c r="L15" s="10"/>
      <c r="M15" s="10"/>
      <c r="N15" s="10"/>
      <c r="O15" s="11"/>
      <c r="P15" s="10"/>
      <c r="Q15" s="11"/>
      <c r="R15" s="30"/>
      <c r="S15" s="30"/>
      <c r="T15" s="33">
        <f t="shared" si="1"/>
        <v>0</v>
      </c>
      <c r="U15" s="10"/>
      <c r="V15" s="10"/>
      <c r="W15" s="10"/>
      <c r="X15" s="11"/>
      <c r="Y15" s="10"/>
      <c r="Z15" s="11"/>
      <c r="AA15" s="30"/>
      <c r="AB15" s="30"/>
      <c r="AC15" s="33">
        <f t="shared" si="3"/>
        <v>0</v>
      </c>
      <c r="AD15" s="12">
        <f t="shared" si="2"/>
        <v>0</v>
      </c>
      <c r="AE15" s="39"/>
      <c r="AF15" s="39"/>
      <c r="AG15" s="39"/>
      <c r="AH15" s="39"/>
      <c r="AI15" s="39"/>
      <c r="AJ15"/>
    </row>
    <row r="16" spans="1:36" x14ac:dyDescent="0.2">
      <c r="A16" s="5">
        <f>DAY(Kalenteri!A255)</f>
        <v>12</v>
      </c>
      <c r="B16" s="3" t="str">
        <f>IF(Kalenteri!B255=1,"su",IF(Kalenteri!B255=2,"ma",IF(Kalenteri!B255=3,"ti",IF(Kalenteri!B255=4,"ke",IF(Kalenteri!B255=5,"to",IF(Kalenteri!B255=6,"pe",IF(Kalenteri!B255=7,"la",)))))))</f>
        <v>to</v>
      </c>
      <c r="C16" s="18"/>
      <c r="D16" s="10"/>
      <c r="E16" s="10"/>
      <c r="F16" s="11"/>
      <c r="G16" s="18"/>
      <c r="H16" s="11"/>
      <c r="I16" s="18"/>
      <c r="J16" s="11"/>
      <c r="K16" s="33">
        <f t="shared" si="0"/>
        <v>0</v>
      </c>
      <c r="L16" s="10"/>
      <c r="M16" s="10"/>
      <c r="N16" s="10"/>
      <c r="O16" s="11"/>
      <c r="P16" s="10"/>
      <c r="Q16" s="11"/>
      <c r="R16" s="30"/>
      <c r="S16" s="30"/>
      <c r="T16" s="33">
        <f t="shared" si="1"/>
        <v>0</v>
      </c>
      <c r="U16" s="10"/>
      <c r="V16" s="10"/>
      <c r="W16" s="10"/>
      <c r="X16" s="11"/>
      <c r="Y16" s="10"/>
      <c r="Z16" s="11"/>
      <c r="AA16" s="30"/>
      <c r="AB16" s="30"/>
      <c r="AC16" s="33">
        <f t="shared" si="3"/>
        <v>0</v>
      </c>
      <c r="AD16" s="12">
        <f t="shared" si="2"/>
        <v>0</v>
      </c>
      <c r="AE16" s="39"/>
      <c r="AF16" s="39"/>
      <c r="AG16" s="39"/>
      <c r="AH16" s="39"/>
      <c r="AI16" s="39"/>
      <c r="AJ16"/>
    </row>
    <row r="17" spans="1:36" x14ac:dyDescent="0.2">
      <c r="A17" s="5">
        <f>DAY(Kalenteri!A256)</f>
        <v>13</v>
      </c>
      <c r="B17" s="3" t="str">
        <f>IF(Kalenteri!B256=1,"su",IF(Kalenteri!B256=2,"ma",IF(Kalenteri!B256=3,"ti",IF(Kalenteri!B256=4,"ke",IF(Kalenteri!B256=5,"to",IF(Kalenteri!B256=6,"pe",IF(Kalenteri!B256=7,"la",)))))))</f>
        <v>pe</v>
      </c>
      <c r="C17" s="18"/>
      <c r="D17" s="10"/>
      <c r="E17" s="10"/>
      <c r="F17" s="11"/>
      <c r="G17" s="18">
        <v>27</v>
      </c>
      <c r="H17" s="11">
        <v>12</v>
      </c>
      <c r="I17" s="18" t="s">
        <v>266</v>
      </c>
      <c r="J17" s="11"/>
      <c r="K17" s="33">
        <f t="shared" si="0"/>
        <v>39</v>
      </c>
      <c r="L17" s="10"/>
      <c r="M17" s="10"/>
      <c r="N17" s="10"/>
      <c r="O17" s="11"/>
      <c r="P17" s="10"/>
      <c r="Q17" s="11"/>
      <c r="R17" s="30"/>
      <c r="S17" s="30"/>
      <c r="T17" s="33">
        <f t="shared" si="1"/>
        <v>0</v>
      </c>
      <c r="U17" s="10"/>
      <c r="V17" s="10"/>
      <c r="W17" s="10"/>
      <c r="X17" s="11"/>
      <c r="Y17" s="10"/>
      <c r="Z17" s="11"/>
      <c r="AA17" s="30"/>
      <c r="AB17" s="30"/>
      <c r="AC17" s="33">
        <f t="shared" si="3"/>
        <v>0</v>
      </c>
      <c r="AD17" s="12">
        <f t="shared" si="2"/>
        <v>39</v>
      </c>
      <c r="AE17" s="39"/>
      <c r="AF17" s="39"/>
      <c r="AG17" s="39"/>
      <c r="AH17" s="39"/>
      <c r="AI17" s="39"/>
      <c r="AJ17"/>
    </row>
    <row r="18" spans="1:36" x14ac:dyDescent="0.2">
      <c r="A18" s="5">
        <f>DAY(Kalenteri!A257)</f>
        <v>14</v>
      </c>
      <c r="B18" s="3" t="str">
        <f>IF(Kalenteri!B257=1,"su",IF(Kalenteri!B257=2,"ma",IF(Kalenteri!B257=3,"ti",IF(Kalenteri!B257=4,"ke",IF(Kalenteri!B257=5,"to",IF(Kalenteri!B257=6,"pe",IF(Kalenteri!B257=7,"la",)))))))</f>
        <v>la</v>
      </c>
      <c r="C18" s="18"/>
      <c r="D18" s="10"/>
      <c r="E18" s="10"/>
      <c r="F18" s="11"/>
      <c r="G18" s="18"/>
      <c r="H18" s="11"/>
      <c r="I18" s="18"/>
      <c r="J18" s="11"/>
      <c r="K18" s="33">
        <f t="shared" si="0"/>
        <v>0</v>
      </c>
      <c r="L18" s="10"/>
      <c r="M18" s="10"/>
      <c r="N18" s="10"/>
      <c r="O18" s="11"/>
      <c r="P18" s="10"/>
      <c r="Q18" s="11"/>
      <c r="R18" s="30"/>
      <c r="S18" s="30"/>
      <c r="T18" s="33">
        <f t="shared" si="1"/>
        <v>0</v>
      </c>
      <c r="U18" s="10"/>
      <c r="V18" s="10"/>
      <c r="W18" s="10"/>
      <c r="X18" s="11"/>
      <c r="Y18" s="10"/>
      <c r="Z18" s="11"/>
      <c r="AA18" s="30"/>
      <c r="AB18" s="30"/>
      <c r="AC18" s="33">
        <f t="shared" si="3"/>
        <v>0</v>
      </c>
      <c r="AD18" s="12">
        <f t="shared" si="2"/>
        <v>0</v>
      </c>
      <c r="AE18" s="39"/>
      <c r="AF18" s="39"/>
      <c r="AG18" s="39"/>
      <c r="AH18" s="39"/>
      <c r="AI18" s="39"/>
      <c r="AJ18"/>
    </row>
    <row r="19" spans="1:36" x14ac:dyDescent="0.2">
      <c r="A19" s="5">
        <f>DAY(Kalenteri!A258)</f>
        <v>15</v>
      </c>
      <c r="B19" s="3" t="str">
        <f>IF(Kalenteri!B258=1,"su",IF(Kalenteri!B258=2,"ma",IF(Kalenteri!B258=3,"ti",IF(Kalenteri!B258=4,"ke",IF(Kalenteri!B258=5,"to",IF(Kalenteri!B258=6,"pe",IF(Kalenteri!B258=7,"la",)))))))</f>
        <v>su</v>
      </c>
      <c r="C19" s="18"/>
      <c r="D19" s="10"/>
      <c r="E19" s="10"/>
      <c r="F19" s="11"/>
      <c r="G19" s="18"/>
      <c r="H19" s="11"/>
      <c r="I19" s="18"/>
      <c r="J19" s="11"/>
      <c r="K19" s="33">
        <f t="shared" si="0"/>
        <v>0</v>
      </c>
      <c r="L19" s="10">
        <v>2</v>
      </c>
      <c r="M19" s="10">
        <v>1</v>
      </c>
      <c r="N19" s="10" t="s">
        <v>236</v>
      </c>
      <c r="O19" s="11"/>
      <c r="P19" s="10"/>
      <c r="Q19" s="11"/>
      <c r="R19" s="30"/>
      <c r="S19" s="30"/>
      <c r="T19" s="33">
        <f t="shared" si="1"/>
        <v>3</v>
      </c>
      <c r="U19" s="10"/>
      <c r="V19" s="10"/>
      <c r="W19" s="10"/>
      <c r="X19" s="11"/>
      <c r="Y19" s="10"/>
      <c r="Z19" s="11"/>
      <c r="AA19" s="30"/>
      <c r="AB19" s="30"/>
      <c r="AC19" s="33">
        <f t="shared" si="3"/>
        <v>0</v>
      </c>
      <c r="AD19" s="12">
        <f t="shared" si="2"/>
        <v>3</v>
      </c>
      <c r="AE19" s="39"/>
      <c r="AF19" s="39"/>
      <c r="AG19" s="39"/>
      <c r="AH19" s="39"/>
      <c r="AI19" s="39"/>
      <c r="AJ19"/>
    </row>
    <row r="20" spans="1:36" x14ac:dyDescent="0.2">
      <c r="A20" s="5">
        <f>DAY(Kalenteri!A259)</f>
        <v>16</v>
      </c>
      <c r="B20" s="3" t="str">
        <f>IF(Kalenteri!B259=1,"su",IF(Kalenteri!B259=2,"ma",IF(Kalenteri!B259=3,"ti",IF(Kalenteri!B259=4,"ke",IF(Kalenteri!B259=5,"to",IF(Kalenteri!B259=6,"pe",IF(Kalenteri!B259=7,"la",)))))))</f>
        <v>ma</v>
      </c>
      <c r="C20" s="18">
        <v>69</v>
      </c>
      <c r="D20" s="10">
        <v>7</v>
      </c>
      <c r="E20" s="10"/>
      <c r="F20" s="11" t="s">
        <v>267</v>
      </c>
      <c r="G20" s="18"/>
      <c r="H20" s="11"/>
      <c r="I20" s="18"/>
      <c r="J20" s="11"/>
      <c r="K20" s="33">
        <f t="shared" si="0"/>
        <v>76</v>
      </c>
      <c r="L20" s="10"/>
      <c r="M20" s="10"/>
      <c r="N20" s="10"/>
      <c r="O20" s="11"/>
      <c r="P20" s="10"/>
      <c r="Q20" s="11"/>
      <c r="R20" s="30"/>
      <c r="S20" s="30"/>
      <c r="T20" s="33">
        <f t="shared" si="1"/>
        <v>0</v>
      </c>
      <c r="U20" s="10"/>
      <c r="V20" s="10"/>
      <c r="W20" s="10"/>
      <c r="X20" s="11"/>
      <c r="Y20" s="10"/>
      <c r="Z20" s="11"/>
      <c r="AA20" s="30"/>
      <c r="AB20" s="30"/>
      <c r="AC20" s="33">
        <f t="shared" si="3"/>
        <v>0</v>
      </c>
      <c r="AD20" s="12">
        <f t="shared" si="2"/>
        <v>76</v>
      </c>
      <c r="AE20" s="39"/>
      <c r="AF20" s="39"/>
      <c r="AG20" s="39"/>
      <c r="AH20" s="39"/>
      <c r="AI20" s="39"/>
      <c r="AJ20"/>
    </row>
    <row r="21" spans="1:36" x14ac:dyDescent="0.2">
      <c r="A21" s="5">
        <f>DAY(Kalenteri!A260)</f>
        <v>17</v>
      </c>
      <c r="B21" s="3" t="str">
        <f>IF(Kalenteri!B260=1,"su",IF(Kalenteri!B260=2,"ma",IF(Kalenteri!B260=3,"ti",IF(Kalenteri!B260=4,"ke",IF(Kalenteri!B260=5,"to",IF(Kalenteri!B260=6,"pe",IF(Kalenteri!B260=7,"la",)))))))</f>
        <v>ti</v>
      </c>
      <c r="C21" s="18"/>
      <c r="D21" s="10"/>
      <c r="E21" s="10"/>
      <c r="F21" s="11"/>
      <c r="G21" s="18"/>
      <c r="H21" s="11"/>
      <c r="I21" s="18"/>
      <c r="J21" s="11"/>
      <c r="K21" s="33">
        <f t="shared" si="0"/>
        <v>0</v>
      </c>
      <c r="L21" s="10"/>
      <c r="M21" s="10"/>
      <c r="N21" s="10"/>
      <c r="O21" s="11"/>
      <c r="P21" s="10"/>
      <c r="Q21" s="11"/>
      <c r="R21" s="30"/>
      <c r="S21" s="30"/>
      <c r="T21" s="33">
        <f t="shared" si="1"/>
        <v>0</v>
      </c>
      <c r="U21" s="10"/>
      <c r="V21" s="10"/>
      <c r="W21" s="10"/>
      <c r="X21" s="11"/>
      <c r="Y21" s="10"/>
      <c r="Z21" s="11"/>
      <c r="AA21" s="30"/>
      <c r="AB21" s="30"/>
      <c r="AC21" s="33">
        <f t="shared" si="3"/>
        <v>0</v>
      </c>
      <c r="AD21" s="12">
        <f t="shared" si="2"/>
        <v>0</v>
      </c>
      <c r="AE21" s="39"/>
      <c r="AF21" s="39"/>
      <c r="AG21" s="39"/>
      <c r="AH21" s="39"/>
      <c r="AI21" s="39"/>
      <c r="AJ21"/>
    </row>
    <row r="22" spans="1:36" x14ac:dyDescent="0.2">
      <c r="A22" s="5">
        <f>DAY(Kalenteri!A261)</f>
        <v>18</v>
      </c>
      <c r="B22" s="3" t="str">
        <f>IF(Kalenteri!B261=1,"su",IF(Kalenteri!B261=2,"ma",IF(Kalenteri!B261=3,"ti",IF(Kalenteri!B261=4,"ke",IF(Kalenteri!B261=5,"to",IF(Kalenteri!B261=6,"pe",IF(Kalenteri!B261=7,"la",)))))))</f>
        <v>ke</v>
      </c>
      <c r="C22" s="18"/>
      <c r="D22" s="10"/>
      <c r="E22" s="10"/>
      <c r="F22" s="11"/>
      <c r="G22" s="18"/>
      <c r="H22" s="11"/>
      <c r="I22" s="18"/>
      <c r="J22" s="11"/>
      <c r="K22" s="33">
        <f t="shared" si="0"/>
        <v>0</v>
      </c>
      <c r="L22" s="10"/>
      <c r="M22" s="10"/>
      <c r="N22" s="10"/>
      <c r="O22" s="11"/>
      <c r="P22" s="10"/>
      <c r="Q22" s="11"/>
      <c r="R22" s="30"/>
      <c r="S22" s="30"/>
      <c r="T22" s="33">
        <f t="shared" si="1"/>
        <v>0</v>
      </c>
      <c r="U22" s="10"/>
      <c r="V22" s="10"/>
      <c r="W22" s="10"/>
      <c r="X22" s="11"/>
      <c r="Y22" s="10"/>
      <c r="Z22" s="11"/>
      <c r="AA22" s="30"/>
      <c r="AB22" s="30"/>
      <c r="AC22" s="33">
        <f t="shared" si="3"/>
        <v>0</v>
      </c>
      <c r="AD22" s="12">
        <f t="shared" si="2"/>
        <v>0</v>
      </c>
      <c r="AE22" s="39"/>
      <c r="AF22" s="39"/>
      <c r="AG22" s="39"/>
      <c r="AH22" s="39"/>
      <c r="AI22" s="39"/>
      <c r="AJ22"/>
    </row>
    <row r="23" spans="1:36" x14ac:dyDescent="0.2">
      <c r="A23" s="5">
        <f>DAY(Kalenteri!A262)</f>
        <v>19</v>
      </c>
      <c r="B23" s="3" t="str">
        <f>IF(Kalenteri!B262=1,"su",IF(Kalenteri!B262=2,"ma",IF(Kalenteri!B262=3,"ti",IF(Kalenteri!B262=4,"ke",IF(Kalenteri!B262=5,"to",IF(Kalenteri!B262=6,"pe",IF(Kalenteri!B262=7,"la",)))))))</f>
        <v>to</v>
      </c>
      <c r="C23" s="18"/>
      <c r="D23" s="10"/>
      <c r="E23" s="10"/>
      <c r="F23" s="11"/>
      <c r="G23" s="18"/>
      <c r="H23" s="11"/>
      <c r="I23" s="18"/>
      <c r="J23" s="11"/>
      <c r="K23" s="33">
        <f t="shared" si="0"/>
        <v>0</v>
      </c>
      <c r="L23" s="10"/>
      <c r="M23" s="10"/>
      <c r="N23" s="10"/>
      <c r="O23" s="11"/>
      <c r="P23" s="10"/>
      <c r="Q23" s="11"/>
      <c r="R23" s="30"/>
      <c r="S23" s="30"/>
      <c r="T23" s="33">
        <f t="shared" si="1"/>
        <v>0</v>
      </c>
      <c r="U23" s="10"/>
      <c r="V23" s="10"/>
      <c r="W23" s="10"/>
      <c r="X23" s="11"/>
      <c r="Y23" s="10"/>
      <c r="Z23" s="11"/>
      <c r="AA23" s="30"/>
      <c r="AB23" s="30"/>
      <c r="AC23" s="33">
        <f t="shared" si="3"/>
        <v>0</v>
      </c>
      <c r="AD23" s="12">
        <f t="shared" si="2"/>
        <v>0</v>
      </c>
      <c r="AE23" s="39"/>
      <c r="AF23" s="39"/>
      <c r="AG23" s="39"/>
      <c r="AH23" s="39"/>
      <c r="AI23" s="39"/>
      <c r="AJ23"/>
    </row>
    <row r="24" spans="1:36" x14ac:dyDescent="0.2">
      <c r="A24" s="5">
        <f>DAY(Kalenteri!A263)</f>
        <v>20</v>
      </c>
      <c r="B24" s="3" t="str">
        <f>IF(Kalenteri!B263=1,"su",IF(Kalenteri!B263=2,"ma",IF(Kalenteri!B263=3,"ti",IF(Kalenteri!B263=4,"ke",IF(Kalenteri!B263=5,"to",IF(Kalenteri!B263=6,"pe",IF(Kalenteri!B263=7,"la",)))))))</f>
        <v>pe</v>
      </c>
      <c r="C24" s="18">
        <v>29</v>
      </c>
      <c r="D24" s="10" t="s">
        <v>269</v>
      </c>
      <c r="E24" s="10"/>
      <c r="F24" s="11"/>
      <c r="G24" s="18"/>
      <c r="H24" s="11"/>
      <c r="I24" s="18"/>
      <c r="J24" s="11"/>
      <c r="K24" s="33">
        <f t="shared" si="0"/>
        <v>29</v>
      </c>
      <c r="L24" s="10"/>
      <c r="M24" s="10"/>
      <c r="N24" s="10"/>
      <c r="O24" s="11"/>
      <c r="P24" s="10"/>
      <c r="Q24" s="11"/>
      <c r="R24" s="30"/>
      <c r="S24" s="30"/>
      <c r="T24" s="33">
        <f t="shared" si="1"/>
        <v>0</v>
      </c>
      <c r="U24" s="10"/>
      <c r="V24" s="10"/>
      <c r="W24" s="10"/>
      <c r="X24" s="11"/>
      <c r="Y24" s="10"/>
      <c r="Z24" s="11"/>
      <c r="AA24" s="30"/>
      <c r="AB24" s="30"/>
      <c r="AC24" s="33">
        <f t="shared" si="3"/>
        <v>0</v>
      </c>
      <c r="AD24" s="12">
        <f t="shared" si="2"/>
        <v>29</v>
      </c>
      <c r="AE24" s="39"/>
      <c r="AF24" s="39"/>
      <c r="AG24" s="39"/>
      <c r="AH24" s="39"/>
      <c r="AI24" s="39"/>
      <c r="AJ24" s="39"/>
    </row>
    <row r="25" spans="1:36" x14ac:dyDescent="0.2">
      <c r="A25" s="5">
        <f>DAY(Kalenteri!A264)</f>
        <v>21</v>
      </c>
      <c r="B25" s="3" t="str">
        <f>IF(Kalenteri!B264=1,"su",IF(Kalenteri!B264=2,"ma",IF(Kalenteri!B264=3,"ti",IF(Kalenteri!B264=4,"ke",IF(Kalenteri!B264=5,"to",IF(Kalenteri!B264=6,"pe",IF(Kalenteri!B264=7,"la",)))))))</f>
        <v>la</v>
      </c>
      <c r="C25" s="18"/>
      <c r="D25" s="10"/>
      <c r="E25" s="10"/>
      <c r="F25" s="11"/>
      <c r="G25" s="18"/>
      <c r="H25" s="11"/>
      <c r="I25" s="18"/>
      <c r="J25" s="11"/>
      <c r="K25" s="33">
        <f t="shared" si="0"/>
        <v>0</v>
      </c>
      <c r="L25" s="10"/>
      <c r="M25" s="10"/>
      <c r="N25" s="10"/>
      <c r="O25" s="11"/>
      <c r="P25" s="10"/>
      <c r="Q25" s="11"/>
      <c r="R25" s="30"/>
      <c r="S25" s="30"/>
      <c r="T25" s="33">
        <f t="shared" si="1"/>
        <v>0</v>
      </c>
      <c r="U25" s="10"/>
      <c r="V25" s="10"/>
      <c r="W25" s="10"/>
      <c r="X25" s="11"/>
      <c r="Y25" s="10"/>
      <c r="Z25" s="11"/>
      <c r="AA25" s="30"/>
      <c r="AB25" s="30"/>
      <c r="AC25" s="33">
        <f t="shared" si="3"/>
        <v>0</v>
      </c>
      <c r="AD25" s="12">
        <f t="shared" si="2"/>
        <v>0</v>
      </c>
      <c r="AE25" s="39"/>
      <c r="AF25" s="39"/>
      <c r="AG25" s="39"/>
      <c r="AH25" s="39"/>
      <c r="AI25" s="39"/>
      <c r="AJ25" s="39"/>
    </row>
    <row r="26" spans="1:36" x14ac:dyDescent="0.2">
      <c r="A26" s="5">
        <f>DAY(Kalenteri!A265)</f>
        <v>22</v>
      </c>
      <c r="B26" s="3" t="str">
        <f>IF(Kalenteri!B265=1,"su",IF(Kalenteri!B265=2,"ma",IF(Kalenteri!B265=3,"ti",IF(Kalenteri!B265=4,"ke",IF(Kalenteri!B265=5,"to",IF(Kalenteri!B265=6,"pe",IF(Kalenteri!B265=7,"la",)))))))</f>
        <v>su</v>
      </c>
      <c r="C26" s="18"/>
      <c r="D26" s="10"/>
      <c r="E26" s="10"/>
      <c r="F26" s="11"/>
      <c r="G26" s="18"/>
      <c r="H26" s="11"/>
      <c r="I26" s="18"/>
      <c r="J26" s="11"/>
      <c r="K26" s="33">
        <f t="shared" si="0"/>
        <v>0</v>
      </c>
      <c r="L26" s="10">
        <v>2</v>
      </c>
      <c r="M26" s="10"/>
      <c r="N26" s="10" t="s">
        <v>236</v>
      </c>
      <c r="O26" s="11"/>
      <c r="P26" s="10"/>
      <c r="Q26" s="11"/>
      <c r="R26" s="30"/>
      <c r="S26" s="30"/>
      <c r="T26" s="33">
        <f t="shared" si="1"/>
        <v>2</v>
      </c>
      <c r="U26" s="10"/>
      <c r="V26" s="10"/>
      <c r="W26" s="10"/>
      <c r="X26" s="11"/>
      <c r="Y26" s="10"/>
      <c r="Z26" s="11"/>
      <c r="AA26" s="30"/>
      <c r="AB26" s="30"/>
      <c r="AC26" s="33">
        <f t="shared" si="3"/>
        <v>0</v>
      </c>
      <c r="AD26" s="12">
        <f t="shared" si="2"/>
        <v>2</v>
      </c>
      <c r="AE26" s="39"/>
      <c r="AF26" s="39"/>
      <c r="AG26" s="39"/>
      <c r="AH26" s="39"/>
      <c r="AI26" s="39"/>
      <c r="AJ26" s="39"/>
    </row>
    <row r="27" spans="1:36" x14ac:dyDescent="0.2">
      <c r="A27" s="5">
        <f>DAY(Kalenteri!A266)</f>
        <v>23</v>
      </c>
      <c r="B27" s="3" t="str">
        <f>IF(Kalenteri!B266=1,"su",IF(Kalenteri!B266=2,"ma",IF(Kalenteri!B266=3,"ti",IF(Kalenteri!B266=4,"ke",IF(Kalenteri!B266=5,"to",IF(Kalenteri!B266=6,"pe",IF(Kalenteri!B266=7,"la",)))))))</f>
        <v>ma</v>
      </c>
      <c r="C27" s="18">
        <v>47</v>
      </c>
      <c r="D27" s="10">
        <v>2</v>
      </c>
      <c r="E27" s="10" t="s">
        <v>267</v>
      </c>
      <c r="F27" s="11"/>
      <c r="G27" s="18"/>
      <c r="H27" s="11"/>
      <c r="I27" s="18"/>
      <c r="J27" s="11"/>
      <c r="K27" s="33">
        <f t="shared" si="0"/>
        <v>49</v>
      </c>
      <c r="L27" s="10"/>
      <c r="M27" s="10"/>
      <c r="N27" s="10"/>
      <c r="O27" s="11"/>
      <c r="P27" s="10"/>
      <c r="Q27" s="11"/>
      <c r="R27" s="30"/>
      <c r="S27" s="30"/>
      <c r="T27" s="33">
        <f t="shared" si="1"/>
        <v>0</v>
      </c>
      <c r="U27" s="10"/>
      <c r="V27" s="10"/>
      <c r="W27" s="10"/>
      <c r="X27" s="11"/>
      <c r="Y27" s="10"/>
      <c r="Z27" s="11"/>
      <c r="AA27" s="30"/>
      <c r="AB27" s="30"/>
      <c r="AC27" s="33">
        <f t="shared" si="3"/>
        <v>0</v>
      </c>
      <c r="AD27" s="12">
        <f t="shared" si="2"/>
        <v>49</v>
      </c>
      <c r="AE27" s="39"/>
      <c r="AF27" s="39"/>
      <c r="AG27" s="39"/>
      <c r="AH27" s="39"/>
      <c r="AI27" s="39"/>
      <c r="AJ27" s="39"/>
    </row>
    <row r="28" spans="1:36" x14ac:dyDescent="0.2">
      <c r="A28" s="5">
        <f>DAY(Kalenteri!A267)</f>
        <v>24</v>
      </c>
      <c r="B28" s="3" t="str">
        <f>IF(Kalenteri!B267=1,"su",IF(Kalenteri!B267=2,"ma",IF(Kalenteri!B267=3,"ti",IF(Kalenteri!B267=4,"ke",IF(Kalenteri!B267=5,"to",IF(Kalenteri!B267=6,"pe",IF(Kalenteri!B267=7,"la",)))))))</f>
        <v>ti</v>
      </c>
      <c r="C28" s="18"/>
      <c r="D28" s="10"/>
      <c r="E28" s="10"/>
      <c r="F28" s="11"/>
      <c r="G28" s="18"/>
      <c r="H28" s="11"/>
      <c r="I28" s="18"/>
      <c r="J28" s="11"/>
      <c r="K28" s="33">
        <f t="shared" si="0"/>
        <v>0</v>
      </c>
      <c r="L28" s="10"/>
      <c r="M28" s="10"/>
      <c r="N28" s="10"/>
      <c r="O28" s="11"/>
      <c r="P28" s="10"/>
      <c r="Q28" s="11"/>
      <c r="R28" s="30"/>
      <c r="S28" s="30"/>
      <c r="T28" s="33">
        <f t="shared" si="1"/>
        <v>0</v>
      </c>
      <c r="U28" s="10"/>
      <c r="V28" s="10"/>
      <c r="W28" s="10"/>
      <c r="X28" s="11"/>
      <c r="Y28" s="10"/>
      <c r="Z28" s="11"/>
      <c r="AA28" s="30"/>
      <c r="AB28" s="30"/>
      <c r="AC28" s="33">
        <f t="shared" si="3"/>
        <v>0</v>
      </c>
      <c r="AD28" s="12">
        <f t="shared" si="2"/>
        <v>0</v>
      </c>
      <c r="AE28" s="39"/>
      <c r="AF28" s="39"/>
      <c r="AG28" s="39"/>
      <c r="AH28" s="39"/>
      <c r="AI28" s="39"/>
      <c r="AJ28" s="39"/>
    </row>
    <row r="29" spans="1:36" x14ac:dyDescent="0.2">
      <c r="A29" s="5">
        <f>DAY(Kalenteri!A268)</f>
        <v>25</v>
      </c>
      <c r="B29" s="3" t="str">
        <f>IF(Kalenteri!B268=1,"su",IF(Kalenteri!B268=2,"ma",IF(Kalenteri!B268=3,"ti",IF(Kalenteri!B268=4,"ke",IF(Kalenteri!B268=5,"to",IF(Kalenteri!B268=6,"pe",IF(Kalenteri!B268=7,"la",)))))))</f>
        <v>ke</v>
      </c>
      <c r="C29" s="18"/>
      <c r="D29" s="10"/>
      <c r="E29" s="10"/>
      <c r="F29" s="11"/>
      <c r="G29" s="18"/>
      <c r="H29" s="11"/>
      <c r="I29" s="18"/>
      <c r="J29" s="11"/>
      <c r="K29" s="33">
        <f t="shared" si="0"/>
        <v>0</v>
      </c>
      <c r="L29" s="10"/>
      <c r="M29" s="10"/>
      <c r="N29" s="10"/>
      <c r="O29" s="11"/>
      <c r="P29" s="10"/>
      <c r="Q29" s="11"/>
      <c r="R29" s="30"/>
      <c r="S29" s="30"/>
      <c r="T29" s="33">
        <f t="shared" si="1"/>
        <v>0</v>
      </c>
      <c r="U29" s="10"/>
      <c r="V29" s="10"/>
      <c r="W29" s="10"/>
      <c r="X29" s="11"/>
      <c r="Y29" s="10"/>
      <c r="Z29" s="11"/>
      <c r="AA29" s="30"/>
      <c r="AB29" s="30"/>
      <c r="AC29" s="33">
        <f t="shared" si="3"/>
        <v>0</v>
      </c>
      <c r="AD29" s="12">
        <f t="shared" si="2"/>
        <v>0</v>
      </c>
      <c r="AE29" s="39"/>
      <c r="AF29" s="39"/>
      <c r="AG29" s="39"/>
      <c r="AH29" s="39"/>
      <c r="AI29" s="39"/>
      <c r="AJ29" s="39"/>
    </row>
    <row r="30" spans="1:36" x14ac:dyDescent="0.2">
      <c r="A30" s="5">
        <f>DAY(Kalenteri!A269)</f>
        <v>26</v>
      </c>
      <c r="B30" s="3" t="str">
        <f>IF(Kalenteri!B269=1,"su",IF(Kalenteri!B269=2,"ma",IF(Kalenteri!B269=3,"ti",IF(Kalenteri!B269=4,"ke",IF(Kalenteri!B269=5,"to",IF(Kalenteri!B269=6,"pe",IF(Kalenteri!B269=7,"la",)))))))</f>
        <v>to</v>
      </c>
      <c r="C30" s="18">
        <v>8</v>
      </c>
      <c r="D30" s="10" t="s">
        <v>270</v>
      </c>
      <c r="E30" s="10"/>
      <c r="F30" s="11" t="s">
        <v>271</v>
      </c>
      <c r="G30" s="18"/>
      <c r="H30" s="11"/>
      <c r="I30" s="18"/>
      <c r="J30" s="11"/>
      <c r="K30" s="33">
        <f t="shared" si="0"/>
        <v>8</v>
      </c>
      <c r="L30" s="10"/>
      <c r="M30" s="10"/>
      <c r="N30" s="10"/>
      <c r="O30" s="11"/>
      <c r="P30" s="10"/>
      <c r="Q30" s="11"/>
      <c r="R30" s="30"/>
      <c r="S30" s="30"/>
      <c r="T30" s="33">
        <f t="shared" si="1"/>
        <v>0</v>
      </c>
      <c r="U30" s="10"/>
      <c r="V30" s="10"/>
      <c r="W30" s="10"/>
      <c r="X30" s="11"/>
      <c r="Y30" s="10"/>
      <c r="Z30" s="11"/>
      <c r="AA30" s="30"/>
      <c r="AB30" s="30"/>
      <c r="AC30" s="33">
        <f t="shared" si="3"/>
        <v>0</v>
      </c>
      <c r="AD30" s="12">
        <f t="shared" si="2"/>
        <v>8</v>
      </c>
      <c r="AE30" s="39"/>
      <c r="AF30" s="39"/>
      <c r="AG30" s="39"/>
      <c r="AH30" s="39"/>
      <c r="AI30" s="39"/>
      <c r="AJ30" s="39"/>
    </row>
    <row r="31" spans="1:36" x14ac:dyDescent="0.2">
      <c r="A31" s="5">
        <f>DAY(Kalenteri!A270)</f>
        <v>27</v>
      </c>
      <c r="B31" s="3" t="str">
        <f>IF(Kalenteri!B270=1,"su",IF(Kalenteri!B270=2,"ma",IF(Kalenteri!B270=3,"ti",IF(Kalenteri!B270=4,"ke",IF(Kalenteri!B270=5,"to",IF(Kalenteri!B270=6,"pe",IF(Kalenteri!B270=7,"la",)))))))</f>
        <v>pe</v>
      </c>
      <c r="C31" s="18"/>
      <c r="D31" s="10"/>
      <c r="E31" s="10"/>
      <c r="F31" s="11"/>
      <c r="G31" s="18"/>
      <c r="H31" s="11"/>
      <c r="I31" s="18"/>
      <c r="J31" s="11"/>
      <c r="K31" s="33">
        <f t="shared" si="0"/>
        <v>0</v>
      </c>
      <c r="L31" s="10"/>
      <c r="M31" s="10"/>
      <c r="N31" s="10"/>
      <c r="O31" s="11"/>
      <c r="P31" s="10"/>
      <c r="Q31" s="11"/>
      <c r="R31" s="30"/>
      <c r="S31" s="30"/>
      <c r="T31" s="33">
        <f t="shared" si="1"/>
        <v>0</v>
      </c>
      <c r="U31" s="10"/>
      <c r="V31" s="10"/>
      <c r="W31" s="10"/>
      <c r="X31" s="11"/>
      <c r="Y31" s="10"/>
      <c r="Z31" s="11"/>
      <c r="AA31" s="30"/>
      <c r="AB31" s="30"/>
      <c r="AC31" s="33">
        <f t="shared" si="3"/>
        <v>0</v>
      </c>
      <c r="AD31" s="12">
        <f t="shared" si="2"/>
        <v>0</v>
      </c>
      <c r="AE31" s="39"/>
      <c r="AF31" s="39"/>
      <c r="AG31" s="39"/>
      <c r="AH31" s="39"/>
      <c r="AI31" s="39"/>
      <c r="AJ31" s="39"/>
    </row>
    <row r="32" spans="1:36" x14ac:dyDescent="0.2">
      <c r="A32" s="5">
        <f>DAY(Kalenteri!A271)</f>
        <v>28</v>
      </c>
      <c r="B32" s="3" t="str">
        <f>IF(Kalenteri!B271=1,"su",IF(Kalenteri!B271=2,"ma",IF(Kalenteri!B271=3,"ti",IF(Kalenteri!B271=4,"ke",IF(Kalenteri!B271=5,"to",IF(Kalenteri!B271=6,"pe",IF(Kalenteri!B271=7,"la",)))))))</f>
        <v>la</v>
      </c>
      <c r="C32" s="18"/>
      <c r="D32" s="10"/>
      <c r="E32" s="10"/>
      <c r="F32" s="11"/>
      <c r="G32" s="18"/>
      <c r="H32" s="11"/>
      <c r="I32" s="18"/>
      <c r="J32" s="11"/>
      <c r="K32" s="33">
        <f t="shared" si="0"/>
        <v>0</v>
      </c>
      <c r="L32" s="10"/>
      <c r="M32" s="10"/>
      <c r="N32" s="10"/>
      <c r="O32" s="11"/>
      <c r="P32" s="10"/>
      <c r="Q32" s="11"/>
      <c r="R32" s="30"/>
      <c r="S32" s="30"/>
      <c r="T32" s="33">
        <f t="shared" si="1"/>
        <v>0</v>
      </c>
      <c r="U32" s="10"/>
      <c r="V32" s="10"/>
      <c r="W32" s="10"/>
      <c r="X32" s="11"/>
      <c r="Y32" s="10"/>
      <c r="Z32" s="11"/>
      <c r="AA32" s="30"/>
      <c r="AB32" s="30"/>
      <c r="AC32" s="33">
        <f t="shared" si="3"/>
        <v>0</v>
      </c>
      <c r="AD32" s="12">
        <f t="shared" si="2"/>
        <v>0</v>
      </c>
      <c r="AE32" s="39"/>
      <c r="AF32" s="39"/>
      <c r="AG32" s="39"/>
      <c r="AH32" s="39"/>
      <c r="AI32" s="39"/>
      <c r="AJ32" s="39"/>
    </row>
    <row r="33" spans="1:36" x14ac:dyDescent="0.2">
      <c r="A33" s="5">
        <f>DAY(Kalenteri!A272)</f>
        <v>29</v>
      </c>
      <c r="B33" s="3" t="str">
        <f>IF(Kalenteri!B272=1,"su",IF(Kalenteri!B272=2,"ma",IF(Kalenteri!B272=3,"ti",IF(Kalenteri!B272=4,"ke",IF(Kalenteri!B272=5,"to",IF(Kalenteri!B272=6,"pe",IF(Kalenteri!B272=7,"la",)))))))</f>
        <v>su</v>
      </c>
      <c r="C33" s="18"/>
      <c r="D33" s="10"/>
      <c r="E33" s="10"/>
      <c r="F33" s="11"/>
      <c r="G33" s="18"/>
      <c r="H33" s="11"/>
      <c r="I33" s="18"/>
      <c r="J33" s="11"/>
      <c r="K33" s="33">
        <f t="shared" si="0"/>
        <v>0</v>
      </c>
      <c r="L33" s="18"/>
      <c r="M33" s="10"/>
      <c r="N33" s="10"/>
      <c r="O33" s="11"/>
      <c r="P33" s="18"/>
      <c r="Q33" s="11"/>
      <c r="R33" s="30"/>
      <c r="S33" s="30"/>
      <c r="T33" s="33">
        <f t="shared" si="1"/>
        <v>0</v>
      </c>
      <c r="U33" s="10"/>
      <c r="V33" s="10"/>
      <c r="W33" s="10"/>
      <c r="X33" s="11"/>
      <c r="Y33" s="10"/>
      <c r="Z33" s="11"/>
      <c r="AA33" s="30"/>
      <c r="AB33" s="30"/>
      <c r="AC33" s="33">
        <f t="shared" si="3"/>
        <v>0</v>
      </c>
      <c r="AD33" s="12">
        <f t="shared" si="2"/>
        <v>0</v>
      </c>
      <c r="AE33" s="39"/>
      <c r="AF33" s="39"/>
      <c r="AG33" s="39"/>
      <c r="AH33" s="39"/>
      <c r="AI33" s="39"/>
      <c r="AJ33" s="39"/>
    </row>
    <row r="34" spans="1:36" x14ac:dyDescent="0.2">
      <c r="A34" s="5">
        <f>DAY(Kalenteri!A273)</f>
        <v>30</v>
      </c>
      <c r="B34" s="3" t="str">
        <f>IF(Kalenteri!B273=1,"su",IF(Kalenteri!B273=2,"ma",IF(Kalenteri!B273=3,"ti",IF(Kalenteri!B273=4,"ke",IF(Kalenteri!B273=5,"to",IF(Kalenteri!B273=6,"pe",IF(Kalenteri!B273=7,"la",)))))))</f>
        <v>ma</v>
      </c>
      <c r="C34" s="18">
        <f>24+3+2</f>
        <v>29</v>
      </c>
      <c r="D34" s="10">
        <v>2</v>
      </c>
      <c r="E34" s="10"/>
      <c r="F34" s="11" t="s">
        <v>267</v>
      </c>
      <c r="G34" s="18"/>
      <c r="H34" s="11"/>
      <c r="I34" s="18"/>
      <c r="J34" s="11"/>
      <c r="K34" s="33">
        <f t="shared" si="0"/>
        <v>31</v>
      </c>
      <c r="L34" s="10"/>
      <c r="M34" s="10"/>
      <c r="N34" s="10"/>
      <c r="O34" s="11"/>
      <c r="P34" s="10"/>
      <c r="Q34" s="11"/>
      <c r="R34" s="30"/>
      <c r="S34" s="30"/>
      <c r="T34" s="33">
        <f t="shared" si="1"/>
        <v>0</v>
      </c>
      <c r="U34" s="10"/>
      <c r="V34" s="10"/>
      <c r="W34" s="10"/>
      <c r="X34" s="11"/>
      <c r="Y34" s="10"/>
      <c r="Z34" s="11"/>
      <c r="AA34" s="30"/>
      <c r="AB34" s="30"/>
      <c r="AC34" s="33">
        <f t="shared" si="3"/>
        <v>0</v>
      </c>
      <c r="AD34" s="12">
        <f t="shared" si="2"/>
        <v>31</v>
      </c>
      <c r="AE34" s="39"/>
      <c r="AF34" s="39"/>
      <c r="AG34" s="39"/>
      <c r="AH34" s="39"/>
      <c r="AI34" s="39"/>
      <c r="AJ34" s="39"/>
    </row>
    <row r="35" spans="1:36" x14ac:dyDescent="0.2">
      <c r="A35" s="5"/>
      <c r="B35" s="3"/>
      <c r="C35" s="79"/>
      <c r="D35" s="80"/>
      <c r="E35" s="80"/>
      <c r="F35" s="81"/>
      <c r="G35" s="79"/>
      <c r="H35" s="81"/>
      <c r="I35" s="79"/>
      <c r="J35" s="81"/>
      <c r="K35" s="34">
        <f t="shared" si="0"/>
        <v>0</v>
      </c>
      <c r="L35" s="20"/>
      <c r="M35" s="20"/>
      <c r="N35" s="20"/>
      <c r="O35" s="21"/>
      <c r="P35" s="20"/>
      <c r="Q35" s="21"/>
      <c r="R35" s="31"/>
      <c r="S35" s="31"/>
      <c r="T35" s="34">
        <f t="shared" si="1"/>
        <v>0</v>
      </c>
      <c r="U35" s="20"/>
      <c r="V35" s="20"/>
      <c r="W35" s="20"/>
      <c r="X35" s="21"/>
      <c r="Y35" s="20"/>
      <c r="Z35" s="21"/>
      <c r="AA35" s="31"/>
      <c r="AB35" s="31"/>
      <c r="AC35" s="34">
        <f t="shared" si="3"/>
        <v>0</v>
      </c>
      <c r="AD35" s="19">
        <f t="shared" si="2"/>
        <v>0</v>
      </c>
      <c r="AE35" s="39"/>
      <c r="AF35" s="39"/>
      <c r="AG35" s="39"/>
      <c r="AH35" s="39"/>
      <c r="AI35" s="39"/>
      <c r="AJ35" s="39"/>
    </row>
    <row r="36" spans="1:36" x14ac:dyDescent="0.2">
      <c r="A36" s="6"/>
      <c r="B36"/>
      <c r="C36" s="82">
        <f t="shared" ref="C36:J36" si="4">SUM(C5:C35)</f>
        <v>1136</v>
      </c>
      <c r="D36" s="83">
        <f t="shared" si="4"/>
        <v>487</v>
      </c>
      <c r="E36" s="83">
        <f t="shared" si="4"/>
        <v>0</v>
      </c>
      <c r="F36" s="84">
        <f t="shared" si="4"/>
        <v>0</v>
      </c>
      <c r="G36" s="83">
        <f t="shared" si="4"/>
        <v>75</v>
      </c>
      <c r="H36" s="84">
        <f t="shared" si="4"/>
        <v>200</v>
      </c>
      <c r="I36" s="83">
        <f t="shared" si="4"/>
        <v>2</v>
      </c>
      <c r="J36" s="84">
        <f t="shared" si="4"/>
        <v>3</v>
      </c>
      <c r="K36" s="85">
        <f t="shared" si="0"/>
        <v>1903</v>
      </c>
      <c r="L36" s="83">
        <f t="shared" ref="L36:S36" si="5">SUM(L5:L35)</f>
        <v>6</v>
      </c>
      <c r="M36" s="83">
        <f t="shared" si="5"/>
        <v>1</v>
      </c>
      <c r="N36" s="83">
        <f t="shared" si="5"/>
        <v>0</v>
      </c>
      <c r="O36" s="84">
        <f t="shared" si="5"/>
        <v>0</v>
      </c>
      <c r="P36" s="83">
        <f t="shared" si="5"/>
        <v>0</v>
      </c>
      <c r="Q36" s="84">
        <f t="shared" si="5"/>
        <v>0</v>
      </c>
      <c r="R36" s="86">
        <f t="shared" si="5"/>
        <v>0</v>
      </c>
      <c r="S36" s="86">
        <f t="shared" si="5"/>
        <v>0</v>
      </c>
      <c r="T36" s="85">
        <f t="shared" si="1"/>
        <v>7</v>
      </c>
      <c r="U36" s="83">
        <f>SUM(U5:U35)</f>
        <v>0</v>
      </c>
      <c r="V36" s="83">
        <f>SUM(V5:V35)</f>
        <v>0</v>
      </c>
      <c r="W36" s="83">
        <f>SUM(W5:W35)</f>
        <v>0</v>
      </c>
      <c r="X36" s="84">
        <f>SUM(X5:X35)</f>
        <v>0</v>
      </c>
      <c r="Y36" s="83">
        <f t="shared" ref="Y36:AB36" si="6">SUM(Y5:Y35)</f>
        <v>0</v>
      </c>
      <c r="Z36" s="84">
        <f t="shared" si="6"/>
        <v>0</v>
      </c>
      <c r="AA36" s="86">
        <f t="shared" si="6"/>
        <v>0</v>
      </c>
      <c r="AB36" s="86">
        <f t="shared" si="6"/>
        <v>0</v>
      </c>
      <c r="AC36" s="85">
        <f t="shared" si="3"/>
        <v>0</v>
      </c>
      <c r="AD36" s="87">
        <f t="shared" si="2"/>
        <v>1910</v>
      </c>
      <c r="AE36" s="66"/>
      <c r="AF36" s="66"/>
      <c r="AG36" s="66"/>
      <c r="AH36" s="66"/>
      <c r="AI36" s="66"/>
      <c r="AJ36" s="66"/>
    </row>
    <row r="37" spans="1:36" ht="8.1" customHeight="1" thickBot="1" x14ac:dyDescent="0.25">
      <c r="A37" s="6"/>
      <c r="B37"/>
      <c r="C37" s="2"/>
      <c r="D37" s="5"/>
      <c r="E37" s="5"/>
      <c r="F37" s="2"/>
      <c r="G37" s="2"/>
      <c r="H37" s="2"/>
      <c r="I37" s="5"/>
      <c r="J37" s="2"/>
      <c r="K37" s="2"/>
      <c r="L37" s="5"/>
      <c r="M37" s="2"/>
      <c r="N37" s="5"/>
      <c r="O37" s="5"/>
      <c r="P37" s="2"/>
      <c r="Q37" s="5"/>
      <c r="R37" s="42"/>
      <c r="S37" s="42"/>
      <c r="T37" s="2"/>
      <c r="U37" s="2"/>
      <c r="V37" s="2"/>
      <c r="W37" s="2"/>
      <c r="X37" s="5"/>
      <c r="Y37" s="2"/>
      <c r="Z37" s="2"/>
      <c r="AA37" s="39"/>
      <c r="AB37" s="39"/>
      <c r="AC37" s="5"/>
      <c r="AD37" s="40"/>
      <c r="AE37" s="40"/>
      <c r="AF37" s="40"/>
      <c r="AG37" s="40"/>
      <c r="AH37" s="40"/>
      <c r="AI37" s="40"/>
      <c r="AJ37" s="40"/>
    </row>
    <row r="38" spans="1:36" ht="24.95" customHeight="1" thickTop="1" x14ac:dyDescent="0.3">
      <c r="A38" s="6"/>
      <c r="B38"/>
      <c r="C38" s="171" t="str">
        <f>Kalenteri!E38</f>
        <v>Lippujen hinnat:</v>
      </c>
      <c r="D38" s="5"/>
      <c r="E38" s="5"/>
      <c r="F38" s="2"/>
      <c r="G38" s="2"/>
      <c r="H38" s="2"/>
      <c r="I38" s="5"/>
      <c r="J38" s="2"/>
      <c r="K38" s="2"/>
      <c r="L38" s="5"/>
      <c r="M38" s="2"/>
      <c r="N38" s="5"/>
      <c r="O38" s="5"/>
      <c r="P38" s="2"/>
      <c r="Q38"/>
      <c r="R38"/>
      <c r="S38"/>
      <c r="T38"/>
      <c r="U38" s="49" t="s">
        <v>40</v>
      </c>
      <c r="V38" s="50"/>
      <c r="W38" s="43"/>
      <c r="X38" s="44"/>
      <c r="Y38" s="43"/>
      <c r="Z38" s="43"/>
      <c r="AA38" s="44"/>
      <c r="AB38" s="44"/>
      <c r="AC38" s="47"/>
      <c r="AD38" s="45">
        <f>AD36</f>
        <v>1910</v>
      </c>
      <c r="AE38" s="41"/>
      <c r="AF38" s="41"/>
      <c r="AG38" s="41"/>
      <c r="AH38" s="41"/>
      <c r="AI38" s="41"/>
      <c r="AJ38" s="41"/>
    </row>
    <row r="39" spans="1:36" ht="24.95" customHeight="1" x14ac:dyDescent="0.3">
      <c r="A39" s="6"/>
      <c r="B39"/>
      <c r="C39" s="193" t="str">
        <f>Kalenteri!E39</f>
        <v>Mustikkamaan kautta: 1.9.-30.4. aik. 10 €, lapset 5 €, kimppalippu 30 €    1.5.-30.8. aik. 12 €, lapset 6 €, kimppalippu 36 €</v>
      </c>
      <c r="D39" s="89"/>
      <c r="E39" s="89"/>
      <c r="F39" s="90"/>
      <c r="G39" s="102"/>
      <c r="H39" s="174"/>
      <c r="I39" s="89"/>
      <c r="J39" s="90"/>
      <c r="K39" s="90"/>
      <c r="L39" s="89"/>
      <c r="M39" s="90"/>
      <c r="N39" s="89"/>
      <c r="O39" s="89"/>
      <c r="P39" s="89"/>
      <c r="Q39" s="104"/>
      <c r="R39" s="103"/>
      <c r="S39"/>
      <c r="T39"/>
      <c r="U39" s="62" t="s">
        <v>13</v>
      </c>
      <c r="V39" s="52"/>
      <c r="W39" s="53"/>
      <c r="X39" s="54"/>
      <c r="Y39" s="53"/>
      <c r="Z39" s="53"/>
      <c r="AA39" s="54"/>
      <c r="AB39" s="54"/>
      <c r="AC39" s="55"/>
      <c r="AD39" s="56">
        <f>AD36-Edellisvuosi!J8</f>
        <v>1110</v>
      </c>
      <c r="AE39" s="67"/>
      <c r="AF39" s="67"/>
      <c r="AG39" s="67"/>
      <c r="AH39" s="67"/>
      <c r="AI39" s="67"/>
      <c r="AJ39" s="67"/>
    </row>
    <row r="40" spans="1:36" ht="24.95" customHeight="1" x14ac:dyDescent="0.3">
      <c r="A40" s="6"/>
      <c r="B40" s="6"/>
      <c r="C40" s="194" t="str">
        <f>Kalenteri!E40</f>
        <v xml:space="preserve">                                    Vuosikortti:     aik. 50 €, lapset 20 €, perhekortti 100 €</v>
      </c>
      <c r="D40" s="39"/>
      <c r="E40" s="39"/>
      <c r="F40" s="42"/>
      <c r="G40" s="65"/>
      <c r="H40" s="176"/>
      <c r="I40" s="39"/>
      <c r="J40" s="42"/>
      <c r="K40" s="42"/>
      <c r="L40" s="39"/>
      <c r="M40" s="42"/>
      <c r="N40" s="39"/>
      <c r="O40" s="39"/>
      <c r="P40" s="39"/>
      <c r="Q40" s="23"/>
      <c r="R40" s="97"/>
      <c r="S40"/>
      <c r="T40"/>
      <c r="U40" s="63" t="s">
        <v>41</v>
      </c>
      <c r="V40" s="37"/>
      <c r="W40" s="51"/>
      <c r="X40" s="41"/>
      <c r="Y40" s="51"/>
      <c r="Z40" s="41"/>
      <c r="AA40" s="41"/>
      <c r="AB40" s="41"/>
      <c r="AC40" s="48"/>
      <c r="AD40" s="46">
        <f>AD36+'K1'!AD36+'K2'!AD36+'K3'!AD36+'K4'!AD36+'K5'!AD36+'K6'!AD36+'K7'!AD36+'K8'!AD36</f>
        <v>11857</v>
      </c>
      <c r="AE40" s="41"/>
      <c r="AF40" s="41"/>
      <c r="AG40" s="41"/>
      <c r="AH40" s="41"/>
      <c r="AI40" s="41"/>
      <c r="AJ40" s="41"/>
    </row>
    <row r="41" spans="1:36" ht="24.95" customHeight="1" thickBot="1" x14ac:dyDescent="0.35">
      <c r="A41" s="4"/>
      <c r="B41" s="4"/>
      <c r="C41" s="195" t="str">
        <f>Kalenteri!E41</f>
        <v>Vesibusseilla:             1.9.-30.4. aik. 16 €, lapset 8 €, kimppalippu 47 €    1.5.-31.8. aik. 18 €, lapset 9 €, kimppalippu 53 €</v>
      </c>
      <c r="D41" s="93"/>
      <c r="E41" s="93"/>
      <c r="F41" s="94"/>
      <c r="G41" s="94"/>
      <c r="H41" s="175"/>
      <c r="I41" s="93"/>
      <c r="J41" s="96"/>
      <c r="K41" s="96"/>
      <c r="L41" s="93"/>
      <c r="M41" s="95"/>
      <c r="N41" s="95"/>
      <c r="O41" s="93"/>
      <c r="P41" s="93"/>
      <c r="Q41" s="95"/>
      <c r="R41" s="98"/>
      <c r="S41"/>
      <c r="T41"/>
      <c r="U41" s="64" t="s">
        <v>13</v>
      </c>
      <c r="V41" s="57"/>
      <c r="W41" s="58"/>
      <c r="X41" s="59"/>
      <c r="Y41" s="59"/>
      <c r="Z41" s="59"/>
      <c r="AA41" s="59"/>
      <c r="AB41" s="59"/>
      <c r="AC41" s="60"/>
      <c r="AD41" s="61">
        <f>AD40-Edellisvuosi!B8-Edellisvuosi!C8-Edellisvuosi!D8-Edellisvuosi!E8-Edellisvuosi!F8-Edellisvuosi!G8-Edellisvuosi!H8-Edellisvuosi!I8-Edellisvuosi!J8</f>
        <v>59</v>
      </c>
      <c r="AE41" s="68"/>
      <c r="AF41" s="68"/>
      <c r="AG41" s="68"/>
      <c r="AH41" s="68"/>
      <c r="AI41" s="68"/>
      <c r="AJ41" s="68"/>
    </row>
    <row r="42" spans="1:36" ht="13.5" thickTop="1" x14ac:dyDescent="0.2"/>
  </sheetData>
  <sheetProtection password="C4AC" sheet="1" objects="1" scenarios="1"/>
  <phoneticPr fontId="4" type="noConversion"/>
  <pageMargins left="0" right="0" top="0.27559055118110237" bottom="0" header="0" footer="0"/>
  <pageSetup paperSize="9" scale="75" fitToHeight="0" orientation="landscape" horizontalDpi="4294967292" verticalDpi="4294967292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93185" r:id="rId4" name="Button 1">
              <controlPr defaultSize="0" print="0" autoFill="0" autoLine="0" autoPict="0" macro="[1]!TAMMI">
                <anchor moveWithCells="1" sizeWithCells="1">
                  <from>
                    <xdr:col>35</xdr:col>
                    <xdr:colOff>0</xdr:colOff>
                    <xdr:row>3</xdr:row>
                    <xdr:rowOff>9525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186" r:id="rId5" name="Button 2">
              <controlPr defaultSize="0" print="0" autoFill="0" autoLine="0" autoPict="0" macro="[1]KTMAKRO!$A$1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187" r:id="rId6" name="Button 3">
              <controlPr defaultSize="0" print="0" autoFill="0" autoLine="0" autoPict="0" macro="[1]!MAALIS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188" r:id="rId7" name="Button 4">
              <controlPr defaultSize="0" print="0" autoFill="0" autoLine="0" autoPict="0" macro="[1]KTMAKRO!$D$1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189" r:id="rId8" name="Button 5">
              <controlPr defaultSize="0" print="0" autoFill="0" autoLine="0" autoPict="0" macro="[1]KTMAKRO!$E$1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190" r:id="rId9" name="Button 6">
              <controlPr defaultSize="0" print="0" autoFill="0" autoLine="0" autoPict="0" macro="[1]!KESÄ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191" r:id="rId10" name="Button 7">
              <controlPr defaultSize="0" print="0" autoFill="0" autoLine="0" autoPict="0" macro="[1]!HELMI">
                <anchor moveWithCells="1" sizeWithCells="1">
                  <from>
                    <xdr:col>35</xdr:col>
                    <xdr:colOff>0</xdr:colOff>
                    <xdr:row>3</xdr:row>
                    <xdr:rowOff>9525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192" r:id="rId11" name="Button 8">
              <controlPr defaultSize="0" print="0" autoFill="0" autoLine="0" autoPict="0" macro="[1]KTMAKRO!$G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193" r:id="rId12" name="Button 9">
              <controlPr defaultSize="0" print="0" autoFill="0" autoLine="0" autoPict="0" macro="[1]KTMAKRO!$I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194" r:id="rId13" name="Button 10">
              <controlPr defaultSize="0" print="0" autoFill="0" autoLine="0" autoPict="0" macro="[1]KTMAKRO!$J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195" r:id="rId14" name="Button 11">
              <controlPr defaultSize="0" print="0" autoFill="0" autoLine="0" autoPict="0" macro="[1]KTMAKRO!$K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196" r:id="rId15" name="Button 12">
              <controlPr defaultSize="0" print="0" autoFill="0" autoLine="0" autoPict="0" macro="[1]KTMAKRO!$L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197" r:id="rId16" name="Button 13">
              <controlPr defaultSize="0" print="0" autoFill="0" autoLine="0" autoPict="0" macro="[1]KTMAKRO!$H$1">
                <anchor moveWithCells="1" sizeWithCells="1">
                  <from>
                    <xdr:col>35</xdr:col>
                    <xdr:colOff>0</xdr:colOff>
                    <xdr:row>5</xdr:row>
                    <xdr:rowOff>0</xdr:rowOff>
                  </from>
                  <to>
                    <xdr:col>35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198" r:id="rId17" name="Button 14">
              <controlPr defaultSize="0" print="0" autoFill="0" autoLine="0" autoPict="0" macro="[1]!Yhteenveto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5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199" r:id="rId18" name="Button 15">
              <controlPr defaultSize="0" print="0" autoFill="0" autoLine="0" autoPict="0" macro="[1]!GRAFIIKKA1">
                <anchor moveWithCells="1" sizeWithCells="1">
                  <from>
                    <xdr:col>35</xdr:col>
                    <xdr:colOff>0</xdr:colOff>
                    <xdr:row>8</xdr:row>
                    <xdr:rowOff>142875</xdr:rowOff>
                  </from>
                  <to>
                    <xdr:col>35</xdr:col>
                    <xdr:colOff>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200" r:id="rId19" name="Button 16">
              <controlPr defaultSize="0" print="0" autoFill="0" autoLine="0" autoPict="0" macro="[1]!Grafiikka2">
                <anchor moveWithCells="1" sizeWithCells="1">
                  <from>
                    <xdr:col>35</xdr:col>
                    <xdr:colOff>0</xdr:colOff>
                    <xdr:row>8</xdr:row>
                    <xdr:rowOff>152400</xdr:rowOff>
                  </from>
                  <to>
                    <xdr:col>35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201" r:id="rId20" name="Button 17">
              <controlPr defaultSize="0" print="0" autoFill="0" autoLine="0" autoPict="0" macro="[1]!Grafiikka4">
                <anchor moveWithCells="1" sizeWithCells="1">
                  <from>
                    <xdr:col>35</xdr:col>
                    <xdr:colOff>0</xdr:colOff>
                    <xdr:row>8</xdr:row>
                    <xdr:rowOff>142875</xdr:rowOff>
                  </from>
                  <to>
                    <xdr:col>35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202" r:id="rId21" name="Button 18">
              <controlPr defaultSize="0" print="0" autoFill="0" autoLine="0" autoPict="0" macro="[1]!Grafiikka4">
                <anchor moveWithCells="1" sizeWithCells="1">
                  <from>
                    <xdr:col>35</xdr:col>
                    <xdr:colOff>0</xdr:colOff>
                    <xdr:row>8</xdr:row>
                    <xdr:rowOff>152400</xdr:rowOff>
                  </from>
                  <to>
                    <xdr:col>35</xdr:col>
                    <xdr:colOff>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203" r:id="rId22" name="Button 19">
              <controlPr defaultSize="0" print="0" autoFill="0" autoLine="0" autoPict="0" macro="[1]!Grafiikka5">
                <anchor moveWithCells="1" sizeWithCells="1">
                  <from>
                    <xdr:col>35</xdr:col>
                    <xdr:colOff>0</xdr:colOff>
                    <xdr:row>8</xdr:row>
                    <xdr:rowOff>152400</xdr:rowOff>
                  </from>
                  <to>
                    <xdr:col>35</xdr:col>
                    <xdr:colOff>0</xdr:colOff>
                    <xdr:row>12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204" r:id="rId23" name="Button 20">
              <controlPr defaultSize="0" print="0" autoFill="0" autoLine="0" autoPict="0" macro="[1]!Perusikkuna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12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/>
  <dimension ref="A1:AJ42"/>
  <sheetViews>
    <sheetView showGridLines="0" zoomScale="75" workbookViewId="0"/>
  </sheetViews>
  <sheetFormatPr defaultColWidth="9.75" defaultRowHeight="12.75" x14ac:dyDescent="0.2"/>
  <cols>
    <col min="1" max="1" width="3.75" style="1" customWidth="1"/>
    <col min="2" max="2" width="2.75" style="1" customWidth="1"/>
    <col min="3" max="4" width="6.125" style="1" customWidth="1"/>
    <col min="5" max="5" width="4" style="1" customWidth="1"/>
    <col min="6" max="6" width="4.5" style="1" customWidth="1"/>
    <col min="7" max="10" width="6.125" style="1" customWidth="1"/>
    <col min="11" max="11" width="5.875" style="1" customWidth="1"/>
    <col min="12" max="13" width="6.125" style="1" customWidth="1"/>
    <col min="14" max="14" width="5.25" style="1" customWidth="1"/>
    <col min="15" max="15" width="4.5" style="1" customWidth="1"/>
    <col min="16" max="16" width="6.125" style="1" customWidth="1"/>
    <col min="17" max="17" width="5.5" style="1" customWidth="1"/>
    <col min="18" max="19" width="6.125" style="1" customWidth="1"/>
    <col min="20" max="20" width="5.875" style="1" customWidth="1"/>
    <col min="21" max="22" width="6.125" style="1" customWidth="1"/>
    <col min="23" max="23" width="4.375" style="1" customWidth="1"/>
    <col min="24" max="24" width="4.25" style="1" customWidth="1"/>
    <col min="25" max="29" width="6.125" style="1" customWidth="1"/>
    <col min="30" max="36" width="15.625" style="1" customWidth="1"/>
  </cols>
  <sheetData>
    <row r="1" spans="1:36" ht="30" customHeight="1" x14ac:dyDescent="0.35">
      <c r="A1" s="22"/>
      <c r="B1" s="4"/>
      <c r="C1" s="105" t="s">
        <v>15</v>
      </c>
      <c r="D1" s="106"/>
      <c r="E1" s="106"/>
      <c r="F1" s="106"/>
      <c r="G1" s="106"/>
      <c r="H1" s="106"/>
      <c r="I1" s="106"/>
      <c r="J1" s="106"/>
      <c r="K1" s="106"/>
      <c r="L1" s="105" t="str">
        <f>Kalenteri!$H$1</f>
        <v>KÄVIJÄTILASTO 2013</v>
      </c>
      <c r="M1" s="107"/>
      <c r="N1" s="107"/>
      <c r="O1" s="107"/>
      <c r="P1" s="106"/>
      <c r="Q1" s="106"/>
      <c r="R1" s="105" t="s">
        <v>79</v>
      </c>
      <c r="S1" s="108"/>
      <c r="T1" s="106"/>
      <c r="U1" s="109"/>
      <c r="V1" s="105" t="s">
        <v>39</v>
      </c>
      <c r="W1" s="109"/>
      <c r="X1" s="106"/>
      <c r="Y1" s="106"/>
      <c r="Z1" s="106"/>
      <c r="AA1" s="106"/>
      <c r="AB1" s="106"/>
      <c r="AC1" s="106"/>
      <c r="AD1" s="110"/>
      <c r="AE1" s="4"/>
      <c r="AF1" s="4"/>
      <c r="AG1" s="4"/>
      <c r="AH1" s="4"/>
      <c r="AI1" s="4"/>
      <c r="AJ1" s="4"/>
    </row>
    <row r="2" spans="1:36" ht="30" customHeight="1" x14ac:dyDescent="0.3">
      <c r="A2" s="3"/>
      <c r="B2" s="4"/>
      <c r="C2" s="72"/>
      <c r="D2" s="73"/>
      <c r="E2" s="74" t="s">
        <v>1</v>
      </c>
      <c r="F2" s="75"/>
      <c r="G2" s="75"/>
      <c r="H2" s="75"/>
      <c r="I2" s="75"/>
      <c r="J2" s="75"/>
      <c r="K2" s="76"/>
      <c r="L2" s="72"/>
      <c r="M2" s="77"/>
      <c r="N2" s="73"/>
      <c r="O2" s="74" t="s">
        <v>2</v>
      </c>
      <c r="P2" s="75"/>
      <c r="Q2" s="75"/>
      <c r="R2" s="75"/>
      <c r="S2" s="75"/>
      <c r="T2" s="76"/>
      <c r="U2" s="72"/>
      <c r="V2" s="75"/>
      <c r="W2" s="73"/>
      <c r="X2" s="74" t="s">
        <v>3</v>
      </c>
      <c r="Y2" s="75"/>
      <c r="Z2" s="75"/>
      <c r="AA2" s="75"/>
      <c r="AB2" s="75"/>
      <c r="AC2" s="76"/>
      <c r="AD2" s="13"/>
      <c r="AE2" s="35"/>
      <c r="AF2" s="69"/>
      <c r="AG2" s="69"/>
      <c r="AH2" s="69"/>
      <c r="AI2" s="69"/>
      <c r="AJ2" s="69"/>
    </row>
    <row r="3" spans="1:36" x14ac:dyDescent="0.2">
      <c r="A3" s="4"/>
      <c r="B3" s="4"/>
      <c r="C3" s="24" t="s">
        <v>4</v>
      </c>
      <c r="D3" s="25"/>
      <c r="E3" s="25"/>
      <c r="F3" s="26"/>
      <c r="G3" s="24" t="s">
        <v>5</v>
      </c>
      <c r="H3" s="26"/>
      <c r="I3" s="25" t="s">
        <v>6</v>
      </c>
      <c r="J3" s="25"/>
      <c r="K3" s="27"/>
      <c r="L3" s="24" t="s">
        <v>4</v>
      </c>
      <c r="M3" s="25"/>
      <c r="N3" s="25"/>
      <c r="O3" s="26"/>
      <c r="P3" s="24" t="s">
        <v>5</v>
      </c>
      <c r="Q3" s="26"/>
      <c r="R3" s="25" t="s">
        <v>6</v>
      </c>
      <c r="S3" s="25"/>
      <c r="T3" s="27"/>
      <c r="U3" s="24" t="s">
        <v>4</v>
      </c>
      <c r="V3" s="25"/>
      <c r="W3" s="25"/>
      <c r="X3" s="26"/>
      <c r="Y3" s="24" t="s">
        <v>5</v>
      </c>
      <c r="Z3" s="26"/>
      <c r="AA3" s="25" t="s">
        <v>6</v>
      </c>
      <c r="AB3" s="25"/>
      <c r="AC3" s="27"/>
      <c r="AD3" s="36" t="s">
        <v>7</v>
      </c>
      <c r="AE3" s="38"/>
      <c r="AF3" s="70"/>
      <c r="AG3" s="70"/>
      <c r="AH3" s="70"/>
      <c r="AI3" s="70"/>
      <c r="AJ3"/>
    </row>
    <row r="4" spans="1:36" x14ac:dyDescent="0.2">
      <c r="A4" s="6"/>
      <c r="B4" s="4"/>
      <c r="C4" s="7" t="s">
        <v>8</v>
      </c>
      <c r="D4" s="8" t="s">
        <v>9</v>
      </c>
      <c r="E4" s="8" t="s">
        <v>10</v>
      </c>
      <c r="F4" s="9" t="s">
        <v>11</v>
      </c>
      <c r="G4" s="7" t="s">
        <v>8</v>
      </c>
      <c r="H4" s="9" t="s">
        <v>9</v>
      </c>
      <c r="I4" s="8" t="s">
        <v>8</v>
      </c>
      <c r="J4" s="8" t="s">
        <v>9</v>
      </c>
      <c r="K4" s="14" t="s">
        <v>0</v>
      </c>
      <c r="L4" s="7" t="s">
        <v>8</v>
      </c>
      <c r="M4" s="8" t="s">
        <v>9</v>
      </c>
      <c r="N4" s="8" t="s">
        <v>10</v>
      </c>
      <c r="O4" s="9" t="s">
        <v>11</v>
      </c>
      <c r="P4" s="7" t="s">
        <v>8</v>
      </c>
      <c r="Q4" s="9" t="s">
        <v>9</v>
      </c>
      <c r="R4" s="8" t="s">
        <v>8</v>
      </c>
      <c r="S4" s="8" t="s">
        <v>9</v>
      </c>
      <c r="T4" s="14" t="s">
        <v>0</v>
      </c>
      <c r="U4" s="7" t="s">
        <v>8</v>
      </c>
      <c r="V4" s="8" t="s">
        <v>9</v>
      </c>
      <c r="W4" s="8" t="s">
        <v>10</v>
      </c>
      <c r="X4" s="9" t="s">
        <v>11</v>
      </c>
      <c r="Y4" s="7" t="s">
        <v>8</v>
      </c>
      <c r="Z4" s="9" t="s">
        <v>9</v>
      </c>
      <c r="AA4" s="8" t="s">
        <v>8</v>
      </c>
      <c r="AB4" s="8" t="s">
        <v>9</v>
      </c>
      <c r="AC4" s="14" t="s">
        <v>0</v>
      </c>
      <c r="AD4" s="28"/>
      <c r="AE4" s="23"/>
      <c r="AF4" s="23"/>
      <c r="AG4" s="23"/>
      <c r="AH4" s="23"/>
      <c r="AI4" s="23"/>
      <c r="AJ4"/>
    </row>
    <row r="5" spans="1:36" x14ac:dyDescent="0.2">
      <c r="A5" s="5">
        <f>DAY(Kalenteri!A274)</f>
        <v>1</v>
      </c>
      <c r="B5" s="3" t="str">
        <f>IF(Kalenteri!B274=1,"su",IF(Kalenteri!B274=2,"ma",IF(Kalenteri!B274=3,"ti",IF(Kalenteri!B274=4,"ke",IF(Kalenteri!B274=5,"to",IF(Kalenteri!B274=6,"pe",IF(Kalenteri!B274=7,"la",)))))))</f>
        <v>ti</v>
      </c>
      <c r="C5" s="78"/>
      <c r="D5" s="15"/>
      <c r="E5" s="15"/>
      <c r="F5" s="16"/>
      <c r="G5" s="78"/>
      <c r="H5" s="16"/>
      <c r="I5" s="78"/>
      <c r="J5" s="16"/>
      <c r="K5" s="32">
        <f t="shared" ref="K5:K36" si="0">SUM(C5:J5)</f>
        <v>0</v>
      </c>
      <c r="L5" s="15"/>
      <c r="M5" s="15"/>
      <c r="N5" s="15"/>
      <c r="O5" s="16"/>
      <c r="P5" s="15"/>
      <c r="Q5" s="16"/>
      <c r="R5" s="29"/>
      <c r="S5" s="29"/>
      <c r="T5" s="32">
        <f t="shared" ref="T5:T36" si="1">SUM(L5:S5)</f>
        <v>0</v>
      </c>
      <c r="U5" s="15"/>
      <c r="V5" s="15"/>
      <c r="W5" s="15"/>
      <c r="X5" s="16"/>
      <c r="Y5" s="15"/>
      <c r="Z5" s="16"/>
      <c r="AA5" s="29"/>
      <c r="AB5" s="29"/>
      <c r="AC5" s="32">
        <f t="shared" ref="AC5:AC36" si="2">SUM(U5:AB5)</f>
        <v>0</v>
      </c>
      <c r="AD5" s="17">
        <f t="shared" ref="AD5:AD36" si="3">SUM(K5,T5,AC5)</f>
        <v>0</v>
      </c>
      <c r="AE5" s="39"/>
      <c r="AF5" s="39"/>
      <c r="AG5" s="39"/>
      <c r="AH5" s="39"/>
      <c r="AI5" s="39"/>
      <c r="AJ5"/>
    </row>
    <row r="6" spans="1:36" x14ac:dyDescent="0.2">
      <c r="A6" s="5">
        <f>DAY(Kalenteri!A275)</f>
        <v>2</v>
      </c>
      <c r="B6" s="3" t="str">
        <f>IF(Kalenteri!B275=1,"su",IF(Kalenteri!B275=2,"ma",IF(Kalenteri!B275=3,"ti",IF(Kalenteri!B275=4,"ke",IF(Kalenteri!B275=5,"to",IF(Kalenteri!B275=6,"pe",IF(Kalenteri!B275=7,"la",)))))))</f>
        <v>ke</v>
      </c>
      <c r="C6" s="18"/>
      <c r="D6" s="10"/>
      <c r="E6" s="10"/>
      <c r="F6" s="11"/>
      <c r="G6" s="18"/>
      <c r="H6" s="11"/>
      <c r="I6" s="18"/>
      <c r="J6" s="11"/>
      <c r="K6" s="33">
        <f t="shared" si="0"/>
        <v>0</v>
      </c>
      <c r="L6" s="10"/>
      <c r="M6" s="10"/>
      <c r="N6" s="10"/>
      <c r="O6" s="11"/>
      <c r="P6" s="10"/>
      <c r="Q6" s="11"/>
      <c r="R6" s="30"/>
      <c r="S6" s="30"/>
      <c r="T6" s="33">
        <f t="shared" si="1"/>
        <v>0</v>
      </c>
      <c r="U6" s="10"/>
      <c r="V6" s="10"/>
      <c r="W6" s="10"/>
      <c r="X6" s="11"/>
      <c r="Y6" s="10"/>
      <c r="Z6" s="11"/>
      <c r="AA6" s="30"/>
      <c r="AB6" s="30"/>
      <c r="AC6" s="33">
        <f t="shared" si="2"/>
        <v>0</v>
      </c>
      <c r="AD6" s="12">
        <f t="shared" si="3"/>
        <v>0</v>
      </c>
      <c r="AE6" s="39"/>
      <c r="AF6" s="39"/>
      <c r="AG6" s="39"/>
      <c r="AH6" s="39"/>
      <c r="AI6" s="39"/>
      <c r="AJ6"/>
    </row>
    <row r="7" spans="1:36" x14ac:dyDescent="0.2">
      <c r="A7" s="5">
        <f>DAY(Kalenteri!A276)</f>
        <v>3</v>
      </c>
      <c r="B7" s="3" t="str">
        <f>IF(Kalenteri!B276=1,"su",IF(Kalenteri!B276=2,"ma",IF(Kalenteri!B276=3,"ti",IF(Kalenteri!B276=4,"ke",IF(Kalenteri!B276=5,"to",IF(Kalenteri!B276=6,"pe",IF(Kalenteri!B276=7,"la",)))))))</f>
        <v>to</v>
      </c>
      <c r="C7" s="18"/>
      <c r="D7" s="10"/>
      <c r="E7" s="10"/>
      <c r="F7" s="11"/>
      <c r="G7" s="18"/>
      <c r="H7" s="11"/>
      <c r="I7" s="18"/>
      <c r="J7" s="11"/>
      <c r="K7" s="33">
        <f t="shared" si="0"/>
        <v>0</v>
      </c>
      <c r="L7" s="10"/>
      <c r="M7" s="10"/>
      <c r="N7" s="10"/>
      <c r="O7" s="11"/>
      <c r="P7" s="10"/>
      <c r="Q7" s="11"/>
      <c r="R7" s="30"/>
      <c r="S7" s="30"/>
      <c r="T7" s="33">
        <f t="shared" si="1"/>
        <v>0</v>
      </c>
      <c r="U7" s="10"/>
      <c r="V7" s="10"/>
      <c r="W7" s="10"/>
      <c r="X7" s="11"/>
      <c r="Y7" s="10"/>
      <c r="Z7" s="11"/>
      <c r="AA7" s="30"/>
      <c r="AB7" s="30"/>
      <c r="AC7" s="33">
        <f t="shared" si="2"/>
        <v>0</v>
      </c>
      <c r="AD7" s="12">
        <f t="shared" si="3"/>
        <v>0</v>
      </c>
      <c r="AE7" s="39"/>
      <c r="AF7" s="39"/>
      <c r="AG7" s="39"/>
      <c r="AH7" s="39"/>
      <c r="AI7" s="39"/>
      <c r="AJ7"/>
    </row>
    <row r="8" spans="1:36" x14ac:dyDescent="0.2">
      <c r="A8" s="5">
        <f>DAY(Kalenteri!A277)</f>
        <v>4</v>
      </c>
      <c r="B8" s="3" t="str">
        <f>IF(Kalenteri!B277=1,"su",IF(Kalenteri!B277=2,"ma",IF(Kalenteri!B277=3,"ti",IF(Kalenteri!B277=4,"ke",IF(Kalenteri!B277=5,"to",IF(Kalenteri!B277=6,"pe",IF(Kalenteri!B277=7,"la",)))))))</f>
        <v>pe</v>
      </c>
      <c r="C8" s="18"/>
      <c r="D8" s="10"/>
      <c r="E8" s="10"/>
      <c r="F8" s="11"/>
      <c r="G8" s="18"/>
      <c r="H8" s="11"/>
      <c r="I8" s="18"/>
      <c r="J8" s="11"/>
      <c r="K8" s="33">
        <f t="shared" si="0"/>
        <v>0</v>
      </c>
      <c r="L8" s="10"/>
      <c r="M8" s="10"/>
      <c r="N8" s="10"/>
      <c r="O8" s="11"/>
      <c r="P8" s="10"/>
      <c r="Q8" s="11"/>
      <c r="R8" s="30"/>
      <c r="S8" s="30"/>
      <c r="T8" s="33">
        <f t="shared" si="1"/>
        <v>0</v>
      </c>
      <c r="U8" s="10"/>
      <c r="V8" s="10"/>
      <c r="W8" s="10"/>
      <c r="X8" s="11"/>
      <c r="Y8" s="10"/>
      <c r="Z8" s="11"/>
      <c r="AA8" s="30"/>
      <c r="AB8" s="30"/>
      <c r="AC8" s="33">
        <f t="shared" si="2"/>
        <v>0</v>
      </c>
      <c r="AD8" s="12">
        <f t="shared" si="3"/>
        <v>0</v>
      </c>
      <c r="AE8" s="39"/>
      <c r="AF8" s="39"/>
      <c r="AG8" s="39"/>
      <c r="AH8" s="39"/>
      <c r="AI8" s="39"/>
      <c r="AJ8"/>
    </row>
    <row r="9" spans="1:36" x14ac:dyDescent="0.2">
      <c r="A9" s="5">
        <f>DAY(Kalenteri!A278)</f>
        <v>5</v>
      </c>
      <c r="B9" s="3" t="str">
        <f>IF(Kalenteri!B278=1,"su",IF(Kalenteri!B278=2,"ma",IF(Kalenteri!B278=3,"ti",IF(Kalenteri!B278=4,"ke",IF(Kalenteri!B278=5,"to",IF(Kalenteri!B278=6,"pe",IF(Kalenteri!B278=7,"la",)))))))</f>
        <v>la</v>
      </c>
      <c r="C9" s="18"/>
      <c r="D9" s="10"/>
      <c r="E9" s="10"/>
      <c r="F9" s="11"/>
      <c r="G9" s="18"/>
      <c r="H9" s="11"/>
      <c r="I9" s="18"/>
      <c r="J9" s="11"/>
      <c r="K9" s="33">
        <f t="shared" si="0"/>
        <v>0</v>
      </c>
      <c r="L9" s="10"/>
      <c r="M9" s="10"/>
      <c r="N9" s="10"/>
      <c r="O9" s="11"/>
      <c r="P9" s="10"/>
      <c r="Q9" s="11"/>
      <c r="R9" s="30"/>
      <c r="S9" s="30"/>
      <c r="T9" s="33">
        <f t="shared" si="1"/>
        <v>0</v>
      </c>
      <c r="U9" s="10"/>
      <c r="V9" s="10"/>
      <c r="W9" s="10"/>
      <c r="X9" s="11"/>
      <c r="Y9" s="10"/>
      <c r="Z9" s="11"/>
      <c r="AA9" s="30"/>
      <c r="AB9" s="30"/>
      <c r="AC9" s="33">
        <f t="shared" si="2"/>
        <v>0</v>
      </c>
      <c r="AD9" s="12">
        <f t="shared" si="3"/>
        <v>0</v>
      </c>
      <c r="AE9" s="39"/>
      <c r="AF9" s="39"/>
      <c r="AG9" s="39"/>
      <c r="AH9" s="39"/>
      <c r="AI9" s="39"/>
      <c r="AJ9"/>
    </row>
    <row r="10" spans="1:36" x14ac:dyDescent="0.2">
      <c r="A10" s="5">
        <f>DAY(Kalenteri!A279)</f>
        <v>6</v>
      </c>
      <c r="B10" s="3" t="str">
        <f>IF(Kalenteri!B279=1,"su",IF(Kalenteri!B279=2,"ma",IF(Kalenteri!B279=3,"ti",IF(Kalenteri!B279=4,"ke",IF(Kalenteri!B279=5,"to",IF(Kalenteri!B279=6,"pe",IF(Kalenteri!B279=7,"la",)))))))</f>
        <v>su</v>
      </c>
      <c r="C10" s="18"/>
      <c r="D10" s="10"/>
      <c r="E10" s="10"/>
      <c r="F10" s="11"/>
      <c r="G10" s="18"/>
      <c r="H10" s="11"/>
      <c r="I10" s="18"/>
      <c r="J10" s="11"/>
      <c r="K10" s="33">
        <f t="shared" si="0"/>
        <v>0</v>
      </c>
      <c r="L10" s="10"/>
      <c r="M10" s="10"/>
      <c r="N10" s="10"/>
      <c r="O10" s="11"/>
      <c r="P10" s="10"/>
      <c r="Q10" s="11"/>
      <c r="R10" s="30"/>
      <c r="S10" s="30"/>
      <c r="T10" s="33">
        <f t="shared" si="1"/>
        <v>0</v>
      </c>
      <c r="U10" s="10"/>
      <c r="V10" s="10"/>
      <c r="W10" s="10"/>
      <c r="X10" s="11"/>
      <c r="Y10" s="10"/>
      <c r="Z10" s="11"/>
      <c r="AA10" s="30"/>
      <c r="AB10" s="30"/>
      <c r="AC10" s="33">
        <f t="shared" si="2"/>
        <v>0</v>
      </c>
      <c r="AD10" s="12">
        <f t="shared" si="3"/>
        <v>0</v>
      </c>
      <c r="AE10" s="39"/>
      <c r="AF10" s="39"/>
      <c r="AG10" s="39"/>
      <c r="AH10" s="39"/>
      <c r="AI10" s="39"/>
      <c r="AJ10"/>
    </row>
    <row r="11" spans="1:36" x14ac:dyDescent="0.2">
      <c r="A11" s="5">
        <f>DAY(Kalenteri!A280)</f>
        <v>7</v>
      </c>
      <c r="B11" s="3" t="str">
        <f>IF(Kalenteri!B280=1,"su",IF(Kalenteri!B280=2,"ma",IF(Kalenteri!B280=3,"ti",IF(Kalenteri!B280=4,"ke",IF(Kalenteri!B280=5,"to",IF(Kalenteri!B280=6,"pe",IF(Kalenteri!B280=7,"la",)))))))</f>
        <v>ma</v>
      </c>
      <c r="C11" s="18">
        <f>37+10+4+3</f>
        <v>54</v>
      </c>
      <c r="D11" s="10">
        <v>5</v>
      </c>
      <c r="E11" s="10" t="s">
        <v>267</v>
      </c>
      <c r="F11" s="11"/>
      <c r="G11" s="18"/>
      <c r="H11" s="11"/>
      <c r="I11" s="18"/>
      <c r="J11" s="11"/>
      <c r="K11" s="33">
        <f t="shared" si="0"/>
        <v>59</v>
      </c>
      <c r="L11" s="10"/>
      <c r="M11" s="10"/>
      <c r="N11" s="10"/>
      <c r="O11" s="11"/>
      <c r="P11" s="10"/>
      <c r="Q11" s="11"/>
      <c r="R11" s="30"/>
      <c r="S11" s="30"/>
      <c r="T11" s="33">
        <f t="shared" si="1"/>
        <v>0</v>
      </c>
      <c r="U11" s="10"/>
      <c r="V11" s="10"/>
      <c r="W11" s="10"/>
      <c r="X11" s="11"/>
      <c r="Y11" s="10"/>
      <c r="Z11" s="11"/>
      <c r="AA11" s="30"/>
      <c r="AB11" s="30"/>
      <c r="AC11" s="33">
        <f t="shared" si="2"/>
        <v>0</v>
      </c>
      <c r="AD11" s="12">
        <f t="shared" si="3"/>
        <v>59</v>
      </c>
      <c r="AE11" s="39"/>
      <c r="AF11" s="39"/>
      <c r="AG11" s="39"/>
      <c r="AH11" s="39"/>
      <c r="AI11" s="39"/>
      <c r="AJ11"/>
    </row>
    <row r="12" spans="1:36" x14ac:dyDescent="0.2">
      <c r="A12" s="5">
        <f>DAY(Kalenteri!A281)</f>
        <v>8</v>
      </c>
      <c r="B12" s="3" t="str">
        <f>IF(Kalenteri!B281=1,"su",IF(Kalenteri!B281=2,"ma",IF(Kalenteri!B281=3,"ti",IF(Kalenteri!B281=4,"ke",IF(Kalenteri!B281=5,"to",IF(Kalenteri!B281=6,"pe",IF(Kalenteri!B281=7,"la",)))))))</f>
        <v>ti</v>
      </c>
      <c r="C12" s="18"/>
      <c r="D12" s="10"/>
      <c r="E12" s="10"/>
      <c r="F12" s="11"/>
      <c r="G12" s="18"/>
      <c r="H12" s="11"/>
      <c r="I12" s="18"/>
      <c r="J12" s="11"/>
      <c r="K12" s="33">
        <f t="shared" si="0"/>
        <v>0</v>
      </c>
      <c r="L12" s="10"/>
      <c r="M12" s="10"/>
      <c r="N12" s="10"/>
      <c r="O12" s="11"/>
      <c r="P12" s="10"/>
      <c r="Q12" s="11"/>
      <c r="R12" s="30"/>
      <c r="S12" s="30"/>
      <c r="T12" s="33">
        <f t="shared" si="1"/>
        <v>0</v>
      </c>
      <c r="U12" s="10"/>
      <c r="V12" s="10"/>
      <c r="W12" s="10"/>
      <c r="X12" s="11"/>
      <c r="Y12" s="10"/>
      <c r="Z12" s="11"/>
      <c r="AA12" s="30"/>
      <c r="AB12" s="30"/>
      <c r="AC12" s="33">
        <f t="shared" si="2"/>
        <v>0</v>
      </c>
      <c r="AD12" s="12">
        <f t="shared" si="3"/>
        <v>0</v>
      </c>
      <c r="AE12" s="39"/>
      <c r="AF12" s="39"/>
      <c r="AG12" s="39"/>
      <c r="AH12" s="39"/>
      <c r="AI12" s="39"/>
      <c r="AJ12"/>
    </row>
    <row r="13" spans="1:36" x14ac:dyDescent="0.2">
      <c r="A13" s="5">
        <f>DAY(Kalenteri!A282)</f>
        <v>9</v>
      </c>
      <c r="B13" s="3" t="str">
        <f>IF(Kalenteri!B282=1,"su",IF(Kalenteri!B282=2,"ma",IF(Kalenteri!B282=3,"ti",IF(Kalenteri!B282=4,"ke",IF(Kalenteri!B282=5,"to",IF(Kalenteri!B282=6,"pe",IF(Kalenteri!B282=7,"la",)))))))</f>
        <v>ke</v>
      </c>
      <c r="C13" s="18"/>
      <c r="D13" s="10"/>
      <c r="E13" s="10"/>
      <c r="F13" s="11"/>
      <c r="G13" s="18"/>
      <c r="H13" s="11"/>
      <c r="I13" s="18"/>
      <c r="J13" s="11"/>
      <c r="K13" s="33">
        <f t="shared" si="0"/>
        <v>0</v>
      </c>
      <c r="L13" s="10"/>
      <c r="M13" s="10"/>
      <c r="N13" s="10"/>
      <c r="O13" s="11"/>
      <c r="P13" s="10"/>
      <c r="Q13" s="11"/>
      <c r="R13" s="30"/>
      <c r="S13" s="30"/>
      <c r="T13" s="33">
        <f t="shared" si="1"/>
        <v>0</v>
      </c>
      <c r="U13" s="10"/>
      <c r="V13" s="10"/>
      <c r="W13" s="10"/>
      <c r="X13" s="11"/>
      <c r="Y13" s="10"/>
      <c r="Z13" s="11"/>
      <c r="AA13" s="30"/>
      <c r="AB13" s="30"/>
      <c r="AC13" s="33">
        <f t="shared" si="2"/>
        <v>0</v>
      </c>
      <c r="AD13" s="12">
        <f t="shared" si="3"/>
        <v>0</v>
      </c>
      <c r="AE13" s="39"/>
      <c r="AF13" s="39"/>
      <c r="AG13" s="39"/>
      <c r="AH13" s="39"/>
      <c r="AI13" s="39"/>
      <c r="AJ13"/>
    </row>
    <row r="14" spans="1:36" x14ac:dyDescent="0.2">
      <c r="A14" s="5">
        <f>DAY(Kalenteri!A283)</f>
        <v>10</v>
      </c>
      <c r="B14" s="3" t="str">
        <f>IF(Kalenteri!B283=1,"su",IF(Kalenteri!B283=2,"ma",IF(Kalenteri!B283=3,"ti",IF(Kalenteri!B283=4,"ke",IF(Kalenteri!B283=5,"to",IF(Kalenteri!B283=6,"pe",IF(Kalenteri!B283=7,"la",)))))))</f>
        <v>to</v>
      </c>
      <c r="C14" s="18"/>
      <c r="D14" s="10"/>
      <c r="E14" s="10"/>
      <c r="F14" s="11"/>
      <c r="G14" s="18"/>
      <c r="H14" s="11"/>
      <c r="I14" s="18"/>
      <c r="J14" s="11"/>
      <c r="K14" s="33">
        <f t="shared" si="0"/>
        <v>0</v>
      </c>
      <c r="L14" s="10"/>
      <c r="M14" s="10"/>
      <c r="N14" s="10"/>
      <c r="O14" s="11"/>
      <c r="P14" s="10"/>
      <c r="Q14" s="11"/>
      <c r="R14" s="30"/>
      <c r="S14" s="30"/>
      <c r="T14" s="33">
        <f t="shared" si="1"/>
        <v>0</v>
      </c>
      <c r="U14" s="10"/>
      <c r="V14" s="10"/>
      <c r="W14" s="10"/>
      <c r="X14" s="11"/>
      <c r="Y14" s="10"/>
      <c r="Z14" s="11"/>
      <c r="AA14" s="30"/>
      <c r="AB14" s="30"/>
      <c r="AC14" s="33">
        <f t="shared" si="2"/>
        <v>0</v>
      </c>
      <c r="AD14" s="12">
        <f t="shared" si="3"/>
        <v>0</v>
      </c>
      <c r="AE14" s="39"/>
      <c r="AF14" s="39"/>
      <c r="AG14" s="39"/>
      <c r="AH14" s="39"/>
      <c r="AI14" s="39"/>
      <c r="AJ14"/>
    </row>
    <row r="15" spans="1:36" x14ac:dyDescent="0.2">
      <c r="A15" s="5">
        <f>DAY(Kalenteri!A284)</f>
        <v>11</v>
      </c>
      <c r="B15" s="3" t="str">
        <f>IF(Kalenteri!B284=1,"su",IF(Kalenteri!B284=2,"ma",IF(Kalenteri!B284=3,"ti",IF(Kalenteri!B284=4,"ke",IF(Kalenteri!B284=5,"to",IF(Kalenteri!B284=6,"pe",IF(Kalenteri!B284=7,"la",)))))))</f>
        <v>pe</v>
      </c>
      <c r="C15" s="18"/>
      <c r="D15" s="10"/>
      <c r="E15" s="10"/>
      <c r="F15" s="11"/>
      <c r="G15" s="18"/>
      <c r="H15" s="11"/>
      <c r="I15" s="18"/>
      <c r="J15" s="11"/>
      <c r="K15" s="33">
        <f t="shared" si="0"/>
        <v>0</v>
      </c>
      <c r="L15" s="10"/>
      <c r="M15" s="10"/>
      <c r="N15" s="10"/>
      <c r="O15" s="11"/>
      <c r="P15" s="10"/>
      <c r="Q15" s="11"/>
      <c r="R15" s="30"/>
      <c r="S15" s="30"/>
      <c r="T15" s="33">
        <f t="shared" si="1"/>
        <v>0</v>
      </c>
      <c r="U15" s="10"/>
      <c r="V15" s="10"/>
      <c r="W15" s="10"/>
      <c r="X15" s="11"/>
      <c r="Y15" s="10"/>
      <c r="Z15" s="11"/>
      <c r="AA15" s="30"/>
      <c r="AB15" s="30"/>
      <c r="AC15" s="33">
        <f t="shared" si="2"/>
        <v>0</v>
      </c>
      <c r="AD15" s="12">
        <f t="shared" si="3"/>
        <v>0</v>
      </c>
      <c r="AE15" s="39"/>
      <c r="AF15" s="39"/>
      <c r="AG15" s="39"/>
      <c r="AH15" s="39"/>
      <c r="AI15" s="39"/>
      <c r="AJ15"/>
    </row>
    <row r="16" spans="1:36" x14ac:dyDescent="0.2">
      <c r="A16" s="5">
        <f>DAY(Kalenteri!A285)</f>
        <v>12</v>
      </c>
      <c r="B16" s="3" t="str">
        <f>IF(Kalenteri!B285=1,"su",IF(Kalenteri!B285=2,"ma",IF(Kalenteri!B285=3,"ti",IF(Kalenteri!B285=4,"ke",IF(Kalenteri!B285=5,"to",IF(Kalenteri!B285=6,"pe",IF(Kalenteri!B285=7,"la",)))))))</f>
        <v>la</v>
      </c>
      <c r="C16" s="18"/>
      <c r="D16" s="10"/>
      <c r="E16" s="10"/>
      <c r="F16" s="11"/>
      <c r="G16" s="18"/>
      <c r="H16" s="11"/>
      <c r="I16" s="18"/>
      <c r="J16" s="11"/>
      <c r="K16" s="33">
        <f t="shared" si="0"/>
        <v>0</v>
      </c>
      <c r="L16" s="10"/>
      <c r="M16" s="10"/>
      <c r="N16" s="10"/>
      <c r="O16" s="11"/>
      <c r="P16" s="10"/>
      <c r="Q16" s="11"/>
      <c r="R16" s="30"/>
      <c r="S16" s="30"/>
      <c r="T16" s="33">
        <f t="shared" si="1"/>
        <v>0</v>
      </c>
      <c r="U16" s="10"/>
      <c r="V16" s="10"/>
      <c r="W16" s="10"/>
      <c r="X16" s="11"/>
      <c r="Y16" s="10"/>
      <c r="Z16" s="11"/>
      <c r="AA16" s="30"/>
      <c r="AB16" s="30"/>
      <c r="AC16" s="33">
        <f t="shared" si="2"/>
        <v>0</v>
      </c>
      <c r="AD16" s="12">
        <f t="shared" si="3"/>
        <v>0</v>
      </c>
      <c r="AE16" s="39"/>
      <c r="AF16" s="39"/>
      <c r="AG16" s="39"/>
      <c r="AH16" s="39"/>
      <c r="AI16" s="39"/>
      <c r="AJ16"/>
    </row>
    <row r="17" spans="1:36" x14ac:dyDescent="0.2">
      <c r="A17" s="5">
        <f>DAY(Kalenteri!A286)</f>
        <v>13</v>
      </c>
      <c r="B17" s="3" t="str">
        <f>IF(Kalenteri!B286=1,"su",IF(Kalenteri!B286=2,"ma",IF(Kalenteri!B286=3,"ti",IF(Kalenteri!B286=4,"ke",IF(Kalenteri!B286=5,"to",IF(Kalenteri!B286=6,"pe",IF(Kalenteri!B286=7,"la",)))))))</f>
        <v>su</v>
      </c>
      <c r="C17" s="18"/>
      <c r="D17" s="10"/>
      <c r="E17" s="10"/>
      <c r="F17" s="11"/>
      <c r="G17" s="18"/>
      <c r="H17" s="11"/>
      <c r="I17" s="18"/>
      <c r="J17" s="11"/>
      <c r="K17" s="33">
        <f t="shared" si="0"/>
        <v>0</v>
      </c>
      <c r="L17" s="10"/>
      <c r="M17" s="10"/>
      <c r="N17" s="10"/>
      <c r="O17" s="11"/>
      <c r="P17" s="10"/>
      <c r="Q17" s="11"/>
      <c r="R17" s="30"/>
      <c r="S17" s="30"/>
      <c r="T17" s="33">
        <f t="shared" si="1"/>
        <v>0</v>
      </c>
      <c r="U17" s="10"/>
      <c r="V17" s="10"/>
      <c r="W17" s="10"/>
      <c r="X17" s="11"/>
      <c r="Y17" s="10"/>
      <c r="Z17" s="11"/>
      <c r="AA17" s="30"/>
      <c r="AB17" s="30"/>
      <c r="AC17" s="33">
        <f t="shared" si="2"/>
        <v>0</v>
      </c>
      <c r="AD17" s="12">
        <f t="shared" si="3"/>
        <v>0</v>
      </c>
      <c r="AE17" s="39"/>
      <c r="AF17" s="39"/>
      <c r="AG17" s="39"/>
      <c r="AH17" s="39"/>
      <c r="AI17" s="39"/>
      <c r="AJ17"/>
    </row>
    <row r="18" spans="1:36" x14ac:dyDescent="0.2">
      <c r="A18" s="5">
        <f>DAY(Kalenteri!A287)</f>
        <v>14</v>
      </c>
      <c r="B18" s="3" t="str">
        <f>IF(Kalenteri!B287=1,"su",IF(Kalenteri!B287=2,"ma",IF(Kalenteri!B287=3,"ti",IF(Kalenteri!B287=4,"ke",IF(Kalenteri!B287=5,"to",IF(Kalenteri!B287=6,"pe",IF(Kalenteri!B287=7,"la",)))))))</f>
        <v>ma</v>
      </c>
      <c r="C18" s="18">
        <f>118+27+5+15</f>
        <v>165</v>
      </c>
      <c r="D18" s="10">
        <v>107</v>
      </c>
      <c r="E18" s="10"/>
      <c r="F18" s="11"/>
      <c r="G18" s="18"/>
      <c r="H18" s="11"/>
      <c r="I18" s="18">
        <v>6</v>
      </c>
      <c r="J18" s="11">
        <v>9</v>
      </c>
      <c r="K18" s="33">
        <f t="shared" si="0"/>
        <v>287</v>
      </c>
      <c r="L18" s="10" t="s">
        <v>267</v>
      </c>
      <c r="M18" s="10"/>
      <c r="N18" s="10"/>
      <c r="O18" s="11"/>
      <c r="P18" s="10"/>
      <c r="Q18" s="11"/>
      <c r="R18" s="30"/>
      <c r="S18" s="30"/>
      <c r="T18" s="33">
        <f t="shared" si="1"/>
        <v>0</v>
      </c>
      <c r="U18" s="10"/>
      <c r="V18" s="10"/>
      <c r="W18" s="10"/>
      <c r="X18" s="11"/>
      <c r="Y18" s="10"/>
      <c r="Z18" s="11"/>
      <c r="AA18" s="30"/>
      <c r="AB18" s="30"/>
      <c r="AC18" s="33">
        <f t="shared" si="2"/>
        <v>0</v>
      </c>
      <c r="AD18" s="12">
        <f t="shared" si="3"/>
        <v>287</v>
      </c>
      <c r="AE18" s="39"/>
      <c r="AF18" s="39"/>
      <c r="AG18" s="39"/>
      <c r="AH18" s="39"/>
      <c r="AI18" s="39"/>
      <c r="AJ18"/>
    </row>
    <row r="19" spans="1:36" x14ac:dyDescent="0.2">
      <c r="A19" s="5">
        <f>DAY(Kalenteri!A288)</f>
        <v>15</v>
      </c>
      <c r="B19" s="3" t="str">
        <f>IF(Kalenteri!B288=1,"su",IF(Kalenteri!B288=2,"ma",IF(Kalenteri!B288=3,"ti",IF(Kalenteri!B288=4,"ke",IF(Kalenteri!B288=5,"to",IF(Kalenteri!B288=6,"pe",IF(Kalenteri!B288=7,"la",)))))))</f>
        <v>ti</v>
      </c>
      <c r="C19" s="18"/>
      <c r="D19" s="10"/>
      <c r="E19" s="10"/>
      <c r="F19" s="11"/>
      <c r="G19" s="18"/>
      <c r="H19" s="11"/>
      <c r="I19" s="18"/>
      <c r="J19" s="11"/>
      <c r="K19" s="33">
        <f t="shared" si="0"/>
        <v>0</v>
      </c>
      <c r="L19" s="10"/>
      <c r="M19" s="10"/>
      <c r="N19" s="10"/>
      <c r="O19" s="11"/>
      <c r="P19" s="10"/>
      <c r="Q19" s="11"/>
      <c r="R19" s="30"/>
      <c r="S19" s="30"/>
      <c r="T19" s="33">
        <f t="shared" si="1"/>
        <v>0</v>
      </c>
      <c r="U19" s="10"/>
      <c r="V19" s="10"/>
      <c r="W19" s="10"/>
      <c r="X19" s="11"/>
      <c r="Y19" s="10"/>
      <c r="Z19" s="11"/>
      <c r="AA19" s="30"/>
      <c r="AB19" s="30"/>
      <c r="AC19" s="33">
        <f t="shared" si="2"/>
        <v>0</v>
      </c>
      <c r="AD19" s="12">
        <f t="shared" si="3"/>
        <v>0</v>
      </c>
      <c r="AE19" s="39"/>
      <c r="AF19" s="39"/>
      <c r="AG19" s="39"/>
      <c r="AH19" s="39"/>
      <c r="AI19" s="39"/>
      <c r="AJ19"/>
    </row>
    <row r="20" spans="1:36" x14ac:dyDescent="0.2">
      <c r="A20" s="5">
        <f>DAY(Kalenteri!A289)</f>
        <v>16</v>
      </c>
      <c r="B20" s="3" t="str">
        <f>IF(Kalenteri!B289=1,"su",IF(Kalenteri!B289=2,"ma",IF(Kalenteri!B289=3,"ti",IF(Kalenteri!B289=4,"ke",IF(Kalenteri!B289=5,"to",IF(Kalenteri!B289=6,"pe",IF(Kalenteri!B289=7,"la",)))))))</f>
        <v>ke</v>
      </c>
      <c r="C20" s="18"/>
      <c r="D20" s="10"/>
      <c r="E20" s="10"/>
      <c r="F20" s="11"/>
      <c r="G20" s="18"/>
      <c r="H20" s="11"/>
      <c r="I20" s="18"/>
      <c r="J20" s="11"/>
      <c r="K20" s="33">
        <f t="shared" si="0"/>
        <v>0</v>
      </c>
      <c r="L20" s="10"/>
      <c r="M20" s="10"/>
      <c r="N20" s="10"/>
      <c r="O20" s="11"/>
      <c r="P20" s="10"/>
      <c r="Q20" s="11"/>
      <c r="R20" s="30"/>
      <c r="S20" s="30"/>
      <c r="T20" s="33">
        <f t="shared" si="1"/>
        <v>0</v>
      </c>
      <c r="U20" s="10"/>
      <c r="V20" s="10"/>
      <c r="W20" s="10"/>
      <c r="X20" s="11"/>
      <c r="Y20" s="10"/>
      <c r="Z20" s="11"/>
      <c r="AA20" s="30"/>
      <c r="AB20" s="30"/>
      <c r="AC20" s="33">
        <f t="shared" si="2"/>
        <v>0</v>
      </c>
      <c r="AD20" s="12">
        <f t="shared" si="3"/>
        <v>0</v>
      </c>
      <c r="AE20" s="39"/>
      <c r="AF20" s="39"/>
      <c r="AG20" s="39"/>
      <c r="AH20" s="39"/>
      <c r="AI20" s="39"/>
      <c r="AJ20"/>
    </row>
    <row r="21" spans="1:36" x14ac:dyDescent="0.2">
      <c r="A21" s="5">
        <f>DAY(Kalenteri!A290)</f>
        <v>17</v>
      </c>
      <c r="B21" s="3" t="str">
        <f>IF(Kalenteri!B290=1,"su",IF(Kalenteri!B290=2,"ma",IF(Kalenteri!B290=3,"ti",IF(Kalenteri!B290=4,"ke",IF(Kalenteri!B290=5,"to",IF(Kalenteri!B290=6,"pe",IF(Kalenteri!B290=7,"la",)))))))</f>
        <v>to</v>
      </c>
      <c r="C21" s="18"/>
      <c r="D21" s="10"/>
      <c r="E21" s="10"/>
      <c r="F21" s="11"/>
      <c r="G21" s="18"/>
      <c r="H21" s="11"/>
      <c r="I21" s="18"/>
      <c r="J21" s="11"/>
      <c r="K21" s="33">
        <f t="shared" si="0"/>
        <v>0</v>
      </c>
      <c r="L21" s="10"/>
      <c r="M21" s="10"/>
      <c r="N21" s="10"/>
      <c r="O21" s="11"/>
      <c r="P21" s="10"/>
      <c r="Q21" s="11"/>
      <c r="R21" s="30"/>
      <c r="S21" s="30"/>
      <c r="T21" s="33">
        <f t="shared" si="1"/>
        <v>0</v>
      </c>
      <c r="U21" s="10"/>
      <c r="V21" s="10"/>
      <c r="W21" s="10"/>
      <c r="X21" s="11"/>
      <c r="Y21" s="10"/>
      <c r="Z21" s="11"/>
      <c r="AA21" s="30"/>
      <c r="AB21" s="30"/>
      <c r="AC21" s="33">
        <f t="shared" si="2"/>
        <v>0</v>
      </c>
      <c r="AD21" s="12">
        <f t="shared" si="3"/>
        <v>0</v>
      </c>
      <c r="AE21" s="39"/>
      <c r="AF21" s="39"/>
      <c r="AG21" s="39"/>
      <c r="AH21" s="39"/>
      <c r="AI21" s="39"/>
      <c r="AJ21"/>
    </row>
    <row r="22" spans="1:36" x14ac:dyDescent="0.2">
      <c r="A22" s="5">
        <f>DAY(Kalenteri!A291)</f>
        <v>18</v>
      </c>
      <c r="B22" s="3" t="str">
        <f>IF(Kalenteri!B291=1,"su",IF(Kalenteri!B291=2,"ma",IF(Kalenteri!B291=3,"ti",IF(Kalenteri!B291=4,"ke",IF(Kalenteri!B291=5,"to",IF(Kalenteri!B291=6,"pe",IF(Kalenteri!B291=7,"la",)))))))</f>
        <v>pe</v>
      </c>
      <c r="C22" s="18"/>
      <c r="D22" s="10"/>
      <c r="E22" s="10"/>
      <c r="F22" s="11"/>
      <c r="G22" s="18"/>
      <c r="H22" s="11"/>
      <c r="I22" s="18"/>
      <c r="J22" s="11"/>
      <c r="K22" s="33">
        <f t="shared" si="0"/>
        <v>0</v>
      </c>
      <c r="L22" s="10"/>
      <c r="M22" s="10"/>
      <c r="N22" s="10"/>
      <c r="O22" s="11"/>
      <c r="P22" s="10"/>
      <c r="Q22" s="11"/>
      <c r="R22" s="30"/>
      <c r="S22" s="30"/>
      <c r="T22" s="33">
        <f t="shared" si="1"/>
        <v>0</v>
      </c>
      <c r="U22" s="10"/>
      <c r="V22" s="10"/>
      <c r="W22" s="10"/>
      <c r="X22" s="11"/>
      <c r="Y22" s="10"/>
      <c r="Z22" s="11"/>
      <c r="AA22" s="30"/>
      <c r="AB22" s="30"/>
      <c r="AC22" s="33">
        <f t="shared" si="2"/>
        <v>0</v>
      </c>
      <c r="AD22" s="12">
        <f t="shared" si="3"/>
        <v>0</v>
      </c>
      <c r="AE22" s="39"/>
      <c r="AF22" s="39"/>
      <c r="AG22" s="39"/>
      <c r="AH22" s="39"/>
      <c r="AI22" s="39"/>
      <c r="AJ22"/>
    </row>
    <row r="23" spans="1:36" x14ac:dyDescent="0.2">
      <c r="A23" s="5">
        <f>DAY(Kalenteri!A292)</f>
        <v>19</v>
      </c>
      <c r="B23" s="3" t="str">
        <f>IF(Kalenteri!B292=1,"su",IF(Kalenteri!B292=2,"ma",IF(Kalenteri!B292=3,"ti",IF(Kalenteri!B292=4,"ke",IF(Kalenteri!B292=5,"to",IF(Kalenteri!B292=6,"pe",IF(Kalenteri!B292=7,"la",)))))))</f>
        <v>la</v>
      </c>
      <c r="C23" s="18"/>
      <c r="D23" s="10"/>
      <c r="E23" s="10"/>
      <c r="F23" s="11"/>
      <c r="G23" s="18"/>
      <c r="H23" s="11"/>
      <c r="I23" s="18"/>
      <c r="J23" s="11"/>
      <c r="K23" s="33">
        <f t="shared" si="0"/>
        <v>0</v>
      </c>
      <c r="L23" s="10"/>
      <c r="M23" s="10"/>
      <c r="N23" s="10"/>
      <c r="O23" s="11"/>
      <c r="P23" s="10"/>
      <c r="Q23" s="11"/>
      <c r="R23" s="30"/>
      <c r="S23" s="30"/>
      <c r="T23" s="33">
        <f t="shared" si="1"/>
        <v>0</v>
      </c>
      <c r="U23" s="10"/>
      <c r="V23" s="10"/>
      <c r="W23" s="10"/>
      <c r="X23" s="11"/>
      <c r="Y23" s="10"/>
      <c r="Z23" s="11"/>
      <c r="AA23" s="30"/>
      <c r="AB23" s="30"/>
      <c r="AC23" s="33">
        <f t="shared" si="2"/>
        <v>0</v>
      </c>
      <c r="AD23" s="12">
        <f t="shared" si="3"/>
        <v>0</v>
      </c>
      <c r="AE23" s="39"/>
      <c r="AF23" s="39"/>
      <c r="AG23" s="39"/>
      <c r="AH23" s="39"/>
      <c r="AI23" s="39"/>
      <c r="AJ23"/>
    </row>
    <row r="24" spans="1:36" x14ac:dyDescent="0.2">
      <c r="A24" s="5">
        <f>DAY(Kalenteri!A293)</f>
        <v>20</v>
      </c>
      <c r="B24" s="3" t="str">
        <f>IF(Kalenteri!B293=1,"su",IF(Kalenteri!B293=2,"ma",IF(Kalenteri!B293=3,"ti",IF(Kalenteri!B293=4,"ke",IF(Kalenteri!B293=5,"to",IF(Kalenteri!B293=6,"pe",IF(Kalenteri!B293=7,"la",)))))))</f>
        <v>su</v>
      </c>
      <c r="C24" s="18"/>
      <c r="D24" s="10"/>
      <c r="E24" s="10"/>
      <c r="F24" s="11"/>
      <c r="G24" s="18"/>
      <c r="H24" s="11"/>
      <c r="I24" s="18"/>
      <c r="J24" s="11"/>
      <c r="K24" s="33">
        <f t="shared" si="0"/>
        <v>0</v>
      </c>
      <c r="L24" s="10"/>
      <c r="M24" s="10"/>
      <c r="N24" s="10"/>
      <c r="O24" s="11"/>
      <c r="P24" s="10"/>
      <c r="Q24" s="11"/>
      <c r="R24" s="30"/>
      <c r="S24" s="30"/>
      <c r="T24" s="33">
        <f t="shared" si="1"/>
        <v>0</v>
      </c>
      <c r="U24" s="10"/>
      <c r="V24" s="10"/>
      <c r="W24" s="10"/>
      <c r="X24" s="11"/>
      <c r="Y24" s="10"/>
      <c r="Z24" s="11"/>
      <c r="AA24" s="30"/>
      <c r="AB24" s="30"/>
      <c r="AC24" s="33">
        <f t="shared" si="2"/>
        <v>0</v>
      </c>
      <c r="AD24" s="12">
        <f t="shared" si="3"/>
        <v>0</v>
      </c>
      <c r="AE24" s="39"/>
      <c r="AF24" s="39"/>
      <c r="AG24" s="39"/>
      <c r="AH24" s="39"/>
      <c r="AI24" s="39"/>
      <c r="AJ24" s="39"/>
    </row>
    <row r="25" spans="1:36" x14ac:dyDescent="0.2">
      <c r="A25" s="5">
        <f>DAY(Kalenteri!A294)</f>
        <v>21</v>
      </c>
      <c r="B25" s="3" t="str">
        <f>IF(Kalenteri!B294=1,"su",IF(Kalenteri!B294=2,"ma",IF(Kalenteri!B294=3,"ti",IF(Kalenteri!B294=4,"ke",IF(Kalenteri!B294=5,"to",IF(Kalenteri!B294=6,"pe",IF(Kalenteri!B294=7,"la",)))))))</f>
        <v>ma</v>
      </c>
      <c r="C25" s="18">
        <f>68+11+1+6</f>
        <v>86</v>
      </c>
      <c r="D25" s="10">
        <v>34</v>
      </c>
      <c r="E25" s="10"/>
      <c r="F25" s="11"/>
      <c r="G25" s="18"/>
      <c r="H25" s="11"/>
      <c r="I25" s="18">
        <v>4</v>
      </c>
      <c r="J25" s="11">
        <v>6</v>
      </c>
      <c r="K25" s="33">
        <f t="shared" si="0"/>
        <v>130</v>
      </c>
      <c r="L25" s="10" t="s">
        <v>273</v>
      </c>
      <c r="M25" s="10"/>
      <c r="N25" s="10"/>
      <c r="O25" s="11"/>
      <c r="P25" s="10"/>
      <c r="Q25" s="11"/>
      <c r="R25" s="30"/>
      <c r="S25" s="30"/>
      <c r="T25" s="33">
        <f t="shared" si="1"/>
        <v>0</v>
      </c>
      <c r="U25" s="10"/>
      <c r="V25" s="10"/>
      <c r="W25" s="10"/>
      <c r="X25" s="11"/>
      <c r="Y25" s="10"/>
      <c r="Z25" s="11"/>
      <c r="AA25" s="30"/>
      <c r="AB25" s="30"/>
      <c r="AC25" s="33">
        <f t="shared" si="2"/>
        <v>0</v>
      </c>
      <c r="AD25" s="12">
        <f t="shared" si="3"/>
        <v>130</v>
      </c>
      <c r="AE25" s="39"/>
      <c r="AF25" s="39"/>
      <c r="AG25" s="39"/>
      <c r="AH25" s="39"/>
      <c r="AI25" s="39"/>
      <c r="AJ25" s="39"/>
    </row>
    <row r="26" spans="1:36" x14ac:dyDescent="0.2">
      <c r="A26" s="5">
        <f>DAY(Kalenteri!A295)</f>
        <v>22</v>
      </c>
      <c r="B26" s="3" t="str">
        <f>IF(Kalenteri!B295=1,"su",IF(Kalenteri!B295=2,"ma",IF(Kalenteri!B295=3,"ti",IF(Kalenteri!B295=4,"ke",IF(Kalenteri!B295=5,"to",IF(Kalenteri!B295=6,"pe",IF(Kalenteri!B295=7,"la",)))))))</f>
        <v>ti</v>
      </c>
      <c r="C26" s="18"/>
      <c r="D26" s="10"/>
      <c r="E26" s="10"/>
      <c r="F26" s="11"/>
      <c r="G26" s="18"/>
      <c r="H26" s="11"/>
      <c r="I26" s="18"/>
      <c r="J26" s="11"/>
      <c r="K26" s="33">
        <f t="shared" si="0"/>
        <v>0</v>
      </c>
      <c r="L26" s="10"/>
      <c r="M26" s="10"/>
      <c r="N26" s="10"/>
      <c r="O26" s="11"/>
      <c r="P26" s="10"/>
      <c r="Q26" s="11"/>
      <c r="R26" s="30"/>
      <c r="S26" s="30"/>
      <c r="T26" s="33">
        <f t="shared" si="1"/>
        <v>0</v>
      </c>
      <c r="U26" s="10"/>
      <c r="V26" s="10"/>
      <c r="W26" s="10"/>
      <c r="X26" s="11"/>
      <c r="Y26" s="10"/>
      <c r="Z26" s="11"/>
      <c r="AA26" s="30"/>
      <c r="AB26" s="30"/>
      <c r="AC26" s="33">
        <f t="shared" si="2"/>
        <v>0</v>
      </c>
      <c r="AD26" s="12">
        <f t="shared" si="3"/>
        <v>0</v>
      </c>
      <c r="AE26" s="39"/>
      <c r="AF26" s="39"/>
      <c r="AG26" s="39"/>
      <c r="AH26" s="39"/>
      <c r="AI26" s="39"/>
      <c r="AJ26" s="39"/>
    </row>
    <row r="27" spans="1:36" x14ac:dyDescent="0.2">
      <c r="A27" s="5">
        <f>DAY(Kalenteri!A296)</f>
        <v>23</v>
      </c>
      <c r="B27" s="3" t="str">
        <f>IF(Kalenteri!B296=1,"su",IF(Kalenteri!B296=2,"ma",IF(Kalenteri!B296=3,"ti",IF(Kalenteri!B296=4,"ke",IF(Kalenteri!B296=5,"to",IF(Kalenteri!B296=6,"pe",IF(Kalenteri!B296=7,"la",)))))))</f>
        <v>ke</v>
      </c>
      <c r="C27" s="18"/>
      <c r="D27" s="10"/>
      <c r="E27" s="10"/>
      <c r="F27" s="11"/>
      <c r="G27" s="18"/>
      <c r="H27" s="11"/>
      <c r="I27" s="18"/>
      <c r="J27" s="11"/>
      <c r="K27" s="33">
        <f t="shared" si="0"/>
        <v>0</v>
      </c>
      <c r="L27" s="10"/>
      <c r="M27" s="10"/>
      <c r="N27" s="10"/>
      <c r="O27" s="11"/>
      <c r="P27" s="10"/>
      <c r="Q27" s="11"/>
      <c r="R27" s="30"/>
      <c r="S27" s="30"/>
      <c r="T27" s="33">
        <f t="shared" si="1"/>
        <v>0</v>
      </c>
      <c r="U27" s="10"/>
      <c r="V27" s="10"/>
      <c r="W27" s="10"/>
      <c r="X27" s="11"/>
      <c r="Y27" s="10"/>
      <c r="Z27" s="11"/>
      <c r="AA27" s="30"/>
      <c r="AB27" s="30"/>
      <c r="AC27" s="33">
        <f t="shared" si="2"/>
        <v>0</v>
      </c>
      <c r="AD27" s="12">
        <f t="shared" si="3"/>
        <v>0</v>
      </c>
      <c r="AE27" s="39"/>
      <c r="AF27" s="39"/>
      <c r="AG27" s="39"/>
      <c r="AH27" s="39"/>
      <c r="AI27" s="39"/>
      <c r="AJ27" s="39"/>
    </row>
    <row r="28" spans="1:36" x14ac:dyDescent="0.2">
      <c r="A28" s="5">
        <f>DAY(Kalenteri!A297)</f>
        <v>24</v>
      </c>
      <c r="B28" s="3" t="str">
        <f>IF(Kalenteri!B297=1,"su",IF(Kalenteri!B297=2,"ma",IF(Kalenteri!B297=3,"ti",IF(Kalenteri!B297=4,"ke",IF(Kalenteri!B297=5,"to",IF(Kalenteri!B297=6,"pe",IF(Kalenteri!B297=7,"la",)))))))</f>
        <v>to</v>
      </c>
      <c r="C28" s="18"/>
      <c r="D28" s="10"/>
      <c r="E28" s="10"/>
      <c r="F28" s="11"/>
      <c r="G28" s="18"/>
      <c r="H28" s="11"/>
      <c r="I28" s="18"/>
      <c r="J28" s="11"/>
      <c r="K28" s="33">
        <f t="shared" si="0"/>
        <v>0</v>
      </c>
      <c r="L28" s="10"/>
      <c r="M28" s="10"/>
      <c r="N28" s="10"/>
      <c r="O28" s="11"/>
      <c r="P28" s="10"/>
      <c r="Q28" s="11"/>
      <c r="R28" s="30"/>
      <c r="S28" s="30"/>
      <c r="T28" s="33">
        <f t="shared" si="1"/>
        <v>0</v>
      </c>
      <c r="U28" s="10"/>
      <c r="V28" s="10"/>
      <c r="W28" s="10"/>
      <c r="X28" s="11"/>
      <c r="Y28" s="10"/>
      <c r="Z28" s="11"/>
      <c r="AA28" s="30"/>
      <c r="AB28" s="30"/>
      <c r="AC28" s="33">
        <f t="shared" si="2"/>
        <v>0</v>
      </c>
      <c r="AD28" s="12">
        <f t="shared" si="3"/>
        <v>0</v>
      </c>
      <c r="AE28" s="39"/>
      <c r="AF28" s="39"/>
      <c r="AG28" s="39"/>
      <c r="AH28" s="39"/>
      <c r="AI28" s="39"/>
      <c r="AJ28" s="39"/>
    </row>
    <row r="29" spans="1:36" x14ac:dyDescent="0.2">
      <c r="A29" s="5">
        <f>DAY(Kalenteri!A298)</f>
        <v>25</v>
      </c>
      <c r="B29" s="3" t="str">
        <f>IF(Kalenteri!B298=1,"su",IF(Kalenteri!B298=2,"ma",IF(Kalenteri!B298=3,"ti",IF(Kalenteri!B298=4,"ke",IF(Kalenteri!B298=5,"to",IF(Kalenteri!B298=6,"pe",IF(Kalenteri!B298=7,"la",)))))))</f>
        <v>pe</v>
      </c>
      <c r="C29" s="18"/>
      <c r="D29" s="10"/>
      <c r="E29" s="10"/>
      <c r="F29" s="11"/>
      <c r="G29" s="18"/>
      <c r="H29" s="11"/>
      <c r="I29" s="18"/>
      <c r="J29" s="11"/>
      <c r="K29" s="33">
        <f t="shared" si="0"/>
        <v>0</v>
      </c>
      <c r="L29" s="10"/>
      <c r="M29" s="10"/>
      <c r="N29" s="10"/>
      <c r="O29" s="11"/>
      <c r="P29" s="10"/>
      <c r="Q29" s="11"/>
      <c r="R29" s="30"/>
      <c r="S29" s="30"/>
      <c r="T29" s="33">
        <f t="shared" si="1"/>
        <v>0</v>
      </c>
      <c r="U29" s="10"/>
      <c r="V29" s="10"/>
      <c r="W29" s="10"/>
      <c r="X29" s="11"/>
      <c r="Y29" s="10"/>
      <c r="Z29" s="11"/>
      <c r="AA29" s="30"/>
      <c r="AB29" s="30"/>
      <c r="AC29" s="33">
        <f t="shared" si="2"/>
        <v>0</v>
      </c>
      <c r="AD29" s="12">
        <f t="shared" si="3"/>
        <v>0</v>
      </c>
      <c r="AE29" s="39"/>
      <c r="AF29" s="39"/>
      <c r="AG29" s="39"/>
      <c r="AH29" s="39"/>
      <c r="AI29" s="39"/>
      <c r="AJ29" s="39"/>
    </row>
    <row r="30" spans="1:36" x14ac:dyDescent="0.2">
      <c r="A30" s="5">
        <f>DAY(Kalenteri!A299)</f>
        <v>26</v>
      </c>
      <c r="B30" s="3" t="str">
        <f>IF(Kalenteri!B299=1,"su",IF(Kalenteri!B299=2,"ma",IF(Kalenteri!B299=3,"ti",IF(Kalenteri!B299=4,"ke",IF(Kalenteri!B299=5,"to",IF(Kalenteri!B299=6,"pe",IF(Kalenteri!B299=7,"la",)))))))</f>
        <v>la</v>
      </c>
      <c r="C30" s="18">
        <v>2</v>
      </c>
      <c r="D30" s="10"/>
      <c r="E30" s="10"/>
      <c r="F30" s="11"/>
      <c r="G30" s="18"/>
      <c r="H30" s="11"/>
      <c r="I30" s="18"/>
      <c r="J30" s="11"/>
      <c r="K30" s="33">
        <f t="shared" si="0"/>
        <v>2</v>
      </c>
      <c r="L30" s="10" t="s">
        <v>274</v>
      </c>
      <c r="M30" s="10"/>
      <c r="N30" s="10"/>
      <c r="O30" s="11"/>
      <c r="P30" s="10"/>
      <c r="Q30" s="11"/>
      <c r="R30" s="30"/>
      <c r="S30" s="30"/>
      <c r="T30" s="33">
        <f t="shared" si="1"/>
        <v>0</v>
      </c>
      <c r="U30" s="10"/>
      <c r="V30" s="10"/>
      <c r="W30" s="10"/>
      <c r="X30" s="11"/>
      <c r="Y30" s="10"/>
      <c r="Z30" s="11"/>
      <c r="AA30" s="30"/>
      <c r="AB30" s="30"/>
      <c r="AC30" s="33">
        <f t="shared" si="2"/>
        <v>0</v>
      </c>
      <c r="AD30" s="12">
        <f t="shared" si="3"/>
        <v>2</v>
      </c>
      <c r="AE30" s="39"/>
      <c r="AF30" s="39"/>
      <c r="AG30" s="39"/>
      <c r="AH30" s="39"/>
      <c r="AI30" s="39"/>
      <c r="AJ30" s="39"/>
    </row>
    <row r="31" spans="1:36" x14ac:dyDescent="0.2">
      <c r="A31" s="5">
        <f>DAY(Kalenteri!A300)</f>
        <v>27</v>
      </c>
      <c r="B31" s="3" t="str">
        <f>IF(Kalenteri!B300=1,"su",IF(Kalenteri!B300=2,"ma",IF(Kalenteri!B300=3,"ti",IF(Kalenteri!B300=4,"ke",IF(Kalenteri!B300=5,"to",IF(Kalenteri!B300=6,"pe",IF(Kalenteri!B300=7,"la",)))))))</f>
        <v>su</v>
      </c>
      <c r="C31" s="18"/>
      <c r="D31" s="10"/>
      <c r="E31" s="10"/>
      <c r="F31" s="11"/>
      <c r="G31" s="18"/>
      <c r="H31" s="11"/>
      <c r="I31" s="18"/>
      <c r="J31" s="11"/>
      <c r="K31" s="33">
        <f t="shared" si="0"/>
        <v>0</v>
      </c>
      <c r="L31" s="10"/>
      <c r="M31" s="10"/>
      <c r="N31" s="10"/>
      <c r="O31" s="11"/>
      <c r="P31" s="10"/>
      <c r="Q31" s="11"/>
      <c r="R31" s="30"/>
      <c r="S31" s="30"/>
      <c r="T31" s="33">
        <f t="shared" si="1"/>
        <v>0</v>
      </c>
      <c r="U31" s="10"/>
      <c r="V31" s="10"/>
      <c r="W31" s="10"/>
      <c r="X31" s="11"/>
      <c r="Y31" s="10"/>
      <c r="Z31" s="11"/>
      <c r="AA31" s="30"/>
      <c r="AB31" s="30"/>
      <c r="AC31" s="33">
        <f t="shared" si="2"/>
        <v>0</v>
      </c>
      <c r="AD31" s="12">
        <f t="shared" si="3"/>
        <v>0</v>
      </c>
      <c r="AE31" s="39"/>
      <c r="AF31" s="39"/>
      <c r="AG31" s="39"/>
      <c r="AH31" s="39"/>
      <c r="AI31" s="39"/>
      <c r="AJ31" s="39"/>
    </row>
    <row r="32" spans="1:36" x14ac:dyDescent="0.2">
      <c r="A32" s="5">
        <f>DAY(Kalenteri!A301)</f>
        <v>28</v>
      </c>
      <c r="B32" s="3" t="str">
        <f>IF(Kalenteri!B301=1,"su",IF(Kalenteri!B301=2,"ma",IF(Kalenteri!B301=3,"ti",IF(Kalenteri!B301=4,"ke",IF(Kalenteri!B301=5,"to",IF(Kalenteri!B301=6,"pe",IF(Kalenteri!B301=7,"la",)))))))</f>
        <v>ma</v>
      </c>
      <c r="C32" s="18">
        <v>8</v>
      </c>
      <c r="D32" s="10"/>
      <c r="E32" s="10"/>
      <c r="F32" s="11"/>
      <c r="G32" s="18"/>
      <c r="H32" s="11"/>
      <c r="I32" s="18"/>
      <c r="J32" s="11"/>
      <c r="K32" s="33">
        <f t="shared" si="0"/>
        <v>8</v>
      </c>
      <c r="L32" s="10" t="s">
        <v>275</v>
      </c>
      <c r="M32" s="10"/>
      <c r="N32" s="10"/>
      <c r="O32" s="11"/>
      <c r="P32" s="10"/>
      <c r="Q32" s="11"/>
      <c r="R32" s="30"/>
      <c r="S32" s="30"/>
      <c r="T32" s="33">
        <f t="shared" si="1"/>
        <v>0</v>
      </c>
      <c r="U32" s="10"/>
      <c r="V32" s="10"/>
      <c r="W32" s="10"/>
      <c r="X32" s="11"/>
      <c r="Y32" s="10"/>
      <c r="Z32" s="11"/>
      <c r="AA32" s="30"/>
      <c r="AB32" s="30"/>
      <c r="AC32" s="33">
        <f t="shared" si="2"/>
        <v>0</v>
      </c>
      <c r="AD32" s="12">
        <f t="shared" si="3"/>
        <v>8</v>
      </c>
      <c r="AE32" s="39"/>
      <c r="AF32" s="39"/>
      <c r="AG32" s="39"/>
      <c r="AH32" s="39"/>
      <c r="AI32" s="39"/>
      <c r="AJ32" s="39"/>
    </row>
    <row r="33" spans="1:36" x14ac:dyDescent="0.2">
      <c r="A33" s="5">
        <f>DAY(Kalenteri!A302)</f>
        <v>29</v>
      </c>
      <c r="B33" s="3" t="str">
        <f>IF(Kalenteri!B302=1,"su",IF(Kalenteri!B302=2,"ma",IF(Kalenteri!B302=3,"ti",IF(Kalenteri!B302=4,"ke",IF(Kalenteri!B302=5,"to",IF(Kalenteri!B302=6,"pe",IF(Kalenteri!B302=7,"la",)))))))</f>
        <v>ti</v>
      </c>
      <c r="C33" s="18"/>
      <c r="D33" s="10"/>
      <c r="E33" s="10"/>
      <c r="F33" s="11"/>
      <c r="G33" s="18"/>
      <c r="H33" s="11"/>
      <c r="I33" s="18"/>
      <c r="J33" s="11"/>
      <c r="K33" s="33">
        <f t="shared" si="0"/>
        <v>0</v>
      </c>
      <c r="L33" s="10"/>
      <c r="M33" s="10"/>
      <c r="N33" s="10"/>
      <c r="O33" s="11"/>
      <c r="P33" s="10"/>
      <c r="Q33" s="11"/>
      <c r="R33" s="30"/>
      <c r="S33" s="30"/>
      <c r="T33" s="33">
        <f t="shared" si="1"/>
        <v>0</v>
      </c>
      <c r="U33" s="10"/>
      <c r="V33" s="10"/>
      <c r="W33" s="10"/>
      <c r="X33" s="11"/>
      <c r="Y33" s="10"/>
      <c r="Z33" s="11"/>
      <c r="AA33" s="30"/>
      <c r="AB33" s="30"/>
      <c r="AC33" s="33">
        <f t="shared" si="2"/>
        <v>0</v>
      </c>
      <c r="AD33" s="12">
        <f t="shared" si="3"/>
        <v>0</v>
      </c>
      <c r="AE33" s="39"/>
      <c r="AF33" s="39"/>
      <c r="AG33" s="39"/>
      <c r="AH33" s="39"/>
      <c r="AI33" s="39"/>
      <c r="AJ33" s="39"/>
    </row>
    <row r="34" spans="1:36" x14ac:dyDescent="0.2">
      <c r="A34" s="5">
        <f>DAY(Kalenteri!A303)</f>
        <v>30</v>
      </c>
      <c r="B34" s="3" t="str">
        <f>IF(Kalenteri!B303=1,"su",IF(Kalenteri!B303=2,"ma",IF(Kalenteri!B303=3,"ti",IF(Kalenteri!B303=4,"ke",IF(Kalenteri!B303=5,"to",IF(Kalenteri!B303=6,"pe",IF(Kalenteri!B303=7,"la",)))))))</f>
        <v>ke</v>
      </c>
      <c r="C34" s="18"/>
      <c r="D34" s="10"/>
      <c r="E34" s="10"/>
      <c r="F34" s="11"/>
      <c r="G34" s="18"/>
      <c r="H34" s="11"/>
      <c r="I34" s="18"/>
      <c r="J34" s="11"/>
      <c r="K34" s="33">
        <f t="shared" si="0"/>
        <v>0</v>
      </c>
      <c r="L34" s="10"/>
      <c r="M34" s="10"/>
      <c r="N34" s="10"/>
      <c r="O34" s="11"/>
      <c r="P34" s="10"/>
      <c r="Q34" s="11"/>
      <c r="R34" s="30"/>
      <c r="S34" s="30"/>
      <c r="T34" s="33">
        <f t="shared" si="1"/>
        <v>0</v>
      </c>
      <c r="U34" s="10"/>
      <c r="V34" s="10"/>
      <c r="W34" s="10"/>
      <c r="X34" s="11"/>
      <c r="Y34" s="10"/>
      <c r="Z34" s="11"/>
      <c r="AA34" s="30"/>
      <c r="AB34" s="30"/>
      <c r="AC34" s="33">
        <f t="shared" si="2"/>
        <v>0</v>
      </c>
      <c r="AD34" s="12">
        <f t="shared" si="3"/>
        <v>0</v>
      </c>
      <c r="AE34" s="39"/>
      <c r="AF34" s="39"/>
      <c r="AG34" s="39"/>
      <c r="AH34" s="39"/>
      <c r="AI34" s="39"/>
      <c r="AJ34" s="39"/>
    </row>
    <row r="35" spans="1:36" x14ac:dyDescent="0.2">
      <c r="A35" s="5">
        <f>DAY(Kalenteri!A304)</f>
        <v>31</v>
      </c>
      <c r="B35" s="3" t="str">
        <f>IF(Kalenteri!B304=1,"su",IF(Kalenteri!B304=2,"ma",IF(Kalenteri!B304=3,"ti",IF(Kalenteri!B304=4,"ke",IF(Kalenteri!B304=5,"to",IF(Kalenteri!B304=6,"pe",IF(Kalenteri!B304=7,"la",)))))))</f>
        <v>to</v>
      </c>
      <c r="C35" s="79"/>
      <c r="D35" s="80"/>
      <c r="E35" s="80"/>
      <c r="F35" s="81"/>
      <c r="G35" s="79"/>
      <c r="H35" s="81"/>
      <c r="I35" s="79"/>
      <c r="J35" s="81"/>
      <c r="K35" s="34">
        <f t="shared" si="0"/>
        <v>0</v>
      </c>
      <c r="L35" s="20"/>
      <c r="M35" s="20"/>
      <c r="N35" s="20"/>
      <c r="O35" s="21"/>
      <c r="P35" s="20"/>
      <c r="Q35" s="21"/>
      <c r="R35" s="31"/>
      <c r="S35" s="31"/>
      <c r="T35" s="34">
        <f t="shared" si="1"/>
        <v>0</v>
      </c>
      <c r="U35" s="20"/>
      <c r="V35" s="20"/>
      <c r="W35" s="20"/>
      <c r="X35" s="21"/>
      <c r="Y35" s="20"/>
      <c r="Z35" s="21"/>
      <c r="AA35" s="31"/>
      <c r="AB35" s="31"/>
      <c r="AC35" s="34">
        <f t="shared" si="2"/>
        <v>0</v>
      </c>
      <c r="AD35" s="19">
        <f t="shared" si="3"/>
        <v>0</v>
      </c>
      <c r="AE35" s="39"/>
      <c r="AF35" s="39"/>
      <c r="AG35" s="39"/>
      <c r="AH35" s="39"/>
      <c r="AI35" s="39"/>
      <c r="AJ35" s="39"/>
    </row>
    <row r="36" spans="1:36" x14ac:dyDescent="0.2">
      <c r="A36" s="6"/>
      <c r="B36"/>
      <c r="C36" s="82">
        <f t="shared" ref="C36:J36" si="4">SUM(C5:C35)</f>
        <v>315</v>
      </c>
      <c r="D36" s="83">
        <f t="shared" si="4"/>
        <v>146</v>
      </c>
      <c r="E36" s="83">
        <f t="shared" si="4"/>
        <v>0</v>
      </c>
      <c r="F36" s="84">
        <f t="shared" si="4"/>
        <v>0</v>
      </c>
      <c r="G36" s="83">
        <f t="shared" si="4"/>
        <v>0</v>
      </c>
      <c r="H36" s="84">
        <f t="shared" si="4"/>
        <v>0</v>
      </c>
      <c r="I36" s="83">
        <f t="shared" si="4"/>
        <v>10</v>
      </c>
      <c r="J36" s="84">
        <f t="shared" si="4"/>
        <v>15</v>
      </c>
      <c r="K36" s="85">
        <f t="shared" si="0"/>
        <v>486</v>
      </c>
      <c r="L36" s="83">
        <f t="shared" ref="L36:S36" si="5">SUM(L5:L35)</f>
        <v>0</v>
      </c>
      <c r="M36" s="83">
        <f t="shared" si="5"/>
        <v>0</v>
      </c>
      <c r="N36" s="83">
        <f t="shared" si="5"/>
        <v>0</v>
      </c>
      <c r="O36" s="84">
        <f t="shared" si="5"/>
        <v>0</v>
      </c>
      <c r="P36" s="83">
        <f t="shared" si="5"/>
        <v>0</v>
      </c>
      <c r="Q36" s="84">
        <f t="shared" si="5"/>
        <v>0</v>
      </c>
      <c r="R36" s="86">
        <f t="shared" si="5"/>
        <v>0</v>
      </c>
      <c r="S36" s="86">
        <f t="shared" si="5"/>
        <v>0</v>
      </c>
      <c r="T36" s="85">
        <f t="shared" si="1"/>
        <v>0</v>
      </c>
      <c r="U36" s="83">
        <f t="shared" ref="U36:AB36" si="6">SUM(U5:U35)</f>
        <v>0</v>
      </c>
      <c r="V36" s="83">
        <f t="shared" si="6"/>
        <v>0</v>
      </c>
      <c r="W36" s="83">
        <f t="shared" si="6"/>
        <v>0</v>
      </c>
      <c r="X36" s="84">
        <f t="shared" si="6"/>
        <v>0</v>
      </c>
      <c r="Y36" s="83">
        <f t="shared" si="6"/>
        <v>0</v>
      </c>
      <c r="Z36" s="84">
        <f t="shared" si="6"/>
        <v>0</v>
      </c>
      <c r="AA36" s="86">
        <f t="shared" si="6"/>
        <v>0</v>
      </c>
      <c r="AB36" s="86">
        <f t="shared" si="6"/>
        <v>0</v>
      </c>
      <c r="AC36" s="85">
        <f t="shared" si="2"/>
        <v>0</v>
      </c>
      <c r="AD36" s="87">
        <f t="shared" si="3"/>
        <v>486</v>
      </c>
      <c r="AE36" s="66"/>
      <c r="AF36" s="66"/>
      <c r="AG36" s="66"/>
      <c r="AH36" s="66"/>
      <c r="AI36" s="66"/>
      <c r="AJ36" s="66"/>
    </row>
    <row r="37" spans="1:36" ht="8.1" customHeight="1" thickBot="1" x14ac:dyDescent="0.25">
      <c r="A37" s="6"/>
      <c r="B37"/>
      <c r="C37" s="2"/>
      <c r="D37" s="5"/>
      <c r="E37" s="5"/>
      <c r="F37" s="2"/>
      <c r="G37" s="2"/>
      <c r="H37" s="2"/>
      <c r="I37" s="5"/>
      <c r="J37" s="2"/>
      <c r="K37" s="2"/>
      <c r="L37" s="5"/>
      <c r="M37" s="2"/>
      <c r="N37" s="5"/>
      <c r="O37" s="5"/>
      <c r="P37" s="2"/>
      <c r="Q37" s="5"/>
      <c r="R37" s="42"/>
      <c r="S37" s="42"/>
      <c r="T37" s="2"/>
      <c r="U37" s="2"/>
      <c r="V37" s="2"/>
      <c r="W37" s="2"/>
      <c r="X37" s="5"/>
      <c r="Y37" s="2"/>
      <c r="Z37" s="2"/>
      <c r="AA37" s="39"/>
      <c r="AB37" s="39"/>
      <c r="AC37" s="5"/>
      <c r="AD37" s="40"/>
      <c r="AE37" s="40"/>
      <c r="AF37" s="40"/>
      <c r="AG37" s="40"/>
      <c r="AH37" s="40"/>
      <c r="AI37" s="40"/>
      <c r="AJ37" s="40"/>
    </row>
    <row r="38" spans="1:36" ht="24.95" customHeight="1" thickTop="1" x14ac:dyDescent="0.3">
      <c r="A38" s="6"/>
      <c r="B38"/>
      <c r="C38" s="171" t="str">
        <f>Kalenteri!E38</f>
        <v>Lippujen hinnat:</v>
      </c>
      <c r="D38" s="5"/>
      <c r="E38" s="5"/>
      <c r="F38" s="2"/>
      <c r="G38" s="2"/>
      <c r="H38" s="2"/>
      <c r="I38" s="5"/>
      <c r="J38" s="2"/>
      <c r="K38" s="2"/>
      <c r="L38" s="5"/>
      <c r="M38" s="2"/>
      <c r="N38" s="5"/>
      <c r="O38" s="5"/>
      <c r="P38" s="2"/>
      <c r="Q38"/>
      <c r="R38"/>
      <c r="S38"/>
      <c r="T38"/>
      <c r="U38" s="49" t="s">
        <v>40</v>
      </c>
      <c r="V38" s="50"/>
      <c r="W38" s="43"/>
      <c r="X38" s="44"/>
      <c r="Y38" s="43"/>
      <c r="Z38" s="43"/>
      <c r="AA38" s="44"/>
      <c r="AB38" s="44"/>
      <c r="AC38" s="47"/>
      <c r="AD38" s="45">
        <f>AD36</f>
        <v>486</v>
      </c>
      <c r="AE38" s="41"/>
      <c r="AF38" s="41"/>
      <c r="AG38" s="41"/>
      <c r="AH38" s="41"/>
      <c r="AI38" s="41"/>
      <c r="AJ38" s="41"/>
    </row>
    <row r="39" spans="1:36" ht="24.95" customHeight="1" x14ac:dyDescent="0.3">
      <c r="A39" s="6"/>
      <c r="B39"/>
      <c r="C39" s="193" t="str">
        <f>Kalenteri!E39</f>
        <v>Mustikkamaan kautta: 1.9.-30.4. aik. 10 €, lapset 5 €, kimppalippu 30 €    1.5.-30.8. aik. 12 €, lapset 6 €, kimppalippu 36 €</v>
      </c>
      <c r="D39" s="89"/>
      <c r="E39" s="89"/>
      <c r="F39" s="90"/>
      <c r="G39" s="102"/>
      <c r="H39" s="174"/>
      <c r="I39" s="89"/>
      <c r="J39" s="90"/>
      <c r="K39" s="90"/>
      <c r="L39" s="89"/>
      <c r="M39" s="90"/>
      <c r="N39" s="89"/>
      <c r="O39" s="89"/>
      <c r="P39" s="89"/>
      <c r="Q39" s="104"/>
      <c r="R39" s="103"/>
      <c r="S39"/>
      <c r="T39"/>
      <c r="U39" s="62" t="s">
        <v>13</v>
      </c>
      <c r="V39" s="52"/>
      <c r="W39" s="53"/>
      <c r="X39" s="54"/>
      <c r="Y39" s="53"/>
      <c r="Z39" s="53"/>
      <c r="AA39" s="54"/>
      <c r="AB39" s="54"/>
      <c r="AC39" s="55"/>
      <c r="AD39" s="56">
        <f>AD36-Edellisvuosi!K8</f>
        <v>341</v>
      </c>
      <c r="AE39" s="67"/>
      <c r="AF39" s="67"/>
      <c r="AG39" s="67"/>
      <c r="AH39" s="67"/>
      <c r="AI39" s="67"/>
      <c r="AJ39" s="67"/>
    </row>
    <row r="40" spans="1:36" ht="24.95" customHeight="1" x14ac:dyDescent="0.3">
      <c r="A40" s="6"/>
      <c r="B40" s="6"/>
      <c r="C40" s="194" t="str">
        <f>Kalenteri!E40</f>
        <v xml:space="preserve">                                    Vuosikortti:     aik. 50 €, lapset 20 €, perhekortti 100 €</v>
      </c>
      <c r="D40" s="39"/>
      <c r="E40" s="39"/>
      <c r="F40" s="42"/>
      <c r="G40" s="65"/>
      <c r="H40" s="176"/>
      <c r="I40" s="39"/>
      <c r="J40" s="42"/>
      <c r="K40" s="42"/>
      <c r="L40" s="39"/>
      <c r="M40" s="42"/>
      <c r="N40" s="39"/>
      <c r="O40" s="39"/>
      <c r="P40" s="39"/>
      <c r="Q40" s="23"/>
      <c r="R40" s="97"/>
      <c r="S40"/>
      <c r="T40"/>
      <c r="U40" s="63" t="s">
        <v>41</v>
      </c>
      <c r="V40" s="37"/>
      <c r="W40" s="51"/>
      <c r="X40" s="41"/>
      <c r="Y40" s="51"/>
      <c r="Z40" s="41"/>
      <c r="AA40" s="41"/>
      <c r="AB40" s="41"/>
      <c r="AC40" s="48"/>
      <c r="AD40" s="46">
        <f>AD36+'K1'!AD36+'K2'!AD36+'K3'!AD36+'K4'!AD36+'K5'!AD36+'K6'!AD36+'K7'!AD36+'K8'!AD36+'K9'!AD36</f>
        <v>12343</v>
      </c>
      <c r="AE40" s="41"/>
      <c r="AF40" s="41"/>
      <c r="AG40" s="41"/>
      <c r="AH40" s="41"/>
      <c r="AI40" s="41"/>
      <c r="AJ40" s="41"/>
    </row>
    <row r="41" spans="1:36" ht="24.95" customHeight="1" thickBot="1" x14ac:dyDescent="0.35">
      <c r="A41" s="4"/>
      <c r="B41" s="4"/>
      <c r="C41" s="195" t="str">
        <f>Kalenteri!E41</f>
        <v>Vesibusseilla:             1.9.-30.4. aik. 16 €, lapset 8 €, kimppalippu 47 €    1.5.-31.8. aik. 18 €, lapset 9 €, kimppalippu 53 €</v>
      </c>
      <c r="D41" s="93"/>
      <c r="E41" s="93"/>
      <c r="F41" s="94"/>
      <c r="G41" s="94"/>
      <c r="H41" s="175"/>
      <c r="I41" s="93"/>
      <c r="J41" s="96"/>
      <c r="K41" s="96"/>
      <c r="L41" s="93"/>
      <c r="M41" s="95"/>
      <c r="N41" s="95"/>
      <c r="O41" s="93"/>
      <c r="P41" s="93"/>
      <c r="Q41" s="95"/>
      <c r="R41" s="98"/>
      <c r="S41"/>
      <c r="T41"/>
      <c r="U41" s="64" t="s">
        <v>13</v>
      </c>
      <c r="V41" s="57"/>
      <c r="W41" s="58"/>
      <c r="X41" s="59"/>
      <c r="Y41" s="59"/>
      <c r="Z41" s="59"/>
      <c r="AA41" s="59"/>
      <c r="AB41" s="59"/>
      <c r="AC41" s="60"/>
      <c r="AD41" s="61">
        <f>AD40-Edellisvuosi!B8-Edellisvuosi!C8-Edellisvuosi!D8-Edellisvuosi!E8-Edellisvuosi!F8-Edellisvuosi!G8-Edellisvuosi!H8-Edellisvuosi!I8-Edellisvuosi!J8-Edellisvuosi!K8</f>
        <v>400</v>
      </c>
      <c r="AE41" s="68"/>
      <c r="AF41" s="68"/>
      <c r="AG41" s="68"/>
      <c r="AH41" s="68"/>
      <c r="AI41" s="68"/>
      <c r="AJ41" s="68"/>
    </row>
    <row r="42" spans="1:36" ht="13.5" thickTop="1" x14ac:dyDescent="0.2"/>
  </sheetData>
  <sheetProtection password="C4AC" sheet="1" objects="1" scenarios="1"/>
  <phoneticPr fontId="4" type="noConversion"/>
  <pageMargins left="0" right="0" top="0.27559055118110237" bottom="0" header="0" footer="0"/>
  <pageSetup paperSize="9" scale="75" fitToHeight="0" orientation="landscape" horizontalDpi="4294967292" verticalDpi="4294967292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96257" r:id="rId4" name="Button 1">
              <controlPr defaultSize="0" print="0" autoFill="0" autoLine="0" autoPict="0" macro="[1]!TAMMI">
                <anchor moveWithCells="1" sizeWithCells="1">
                  <from>
                    <xdr:col>35</xdr:col>
                    <xdr:colOff>0</xdr:colOff>
                    <xdr:row>3</xdr:row>
                    <xdr:rowOff>9525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258" r:id="rId5" name="Button 2">
              <controlPr defaultSize="0" print="0" autoFill="0" autoLine="0" autoPict="0" macro="[1]KTMAKRO!$A$1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259" r:id="rId6" name="Button 3">
              <controlPr defaultSize="0" print="0" autoFill="0" autoLine="0" autoPict="0" macro="[1]!MAALIS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260" r:id="rId7" name="Button 4">
              <controlPr defaultSize="0" print="0" autoFill="0" autoLine="0" autoPict="0" macro="[1]KTMAKRO!$D$1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261" r:id="rId8" name="Button 5">
              <controlPr defaultSize="0" print="0" autoFill="0" autoLine="0" autoPict="0" macro="[1]KTMAKRO!$E$1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262" r:id="rId9" name="Button 6">
              <controlPr defaultSize="0" print="0" autoFill="0" autoLine="0" autoPict="0" macro="[1]!KESÄ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263" r:id="rId10" name="Button 7">
              <controlPr defaultSize="0" print="0" autoFill="0" autoLine="0" autoPict="0" macro="[1]!HELMI">
                <anchor moveWithCells="1" sizeWithCells="1">
                  <from>
                    <xdr:col>35</xdr:col>
                    <xdr:colOff>0</xdr:colOff>
                    <xdr:row>3</xdr:row>
                    <xdr:rowOff>9525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264" r:id="rId11" name="Button 8">
              <controlPr defaultSize="0" print="0" autoFill="0" autoLine="0" autoPict="0" macro="[1]KTMAKRO!$G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265" r:id="rId12" name="Button 9">
              <controlPr defaultSize="0" print="0" autoFill="0" autoLine="0" autoPict="0" macro="[1]KTMAKRO!$I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266" r:id="rId13" name="Button 10">
              <controlPr defaultSize="0" print="0" autoFill="0" autoLine="0" autoPict="0" macro="[1]KTMAKRO!$J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267" r:id="rId14" name="Button 11">
              <controlPr defaultSize="0" print="0" autoFill="0" autoLine="0" autoPict="0" macro="[1]KTMAKRO!$K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268" r:id="rId15" name="Button 12">
              <controlPr defaultSize="0" print="0" autoFill="0" autoLine="0" autoPict="0" macro="[1]KTMAKRO!$L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269" r:id="rId16" name="Button 13">
              <controlPr defaultSize="0" print="0" autoFill="0" autoLine="0" autoPict="0" macro="[1]KTMAKRO!$H$1">
                <anchor moveWithCells="1" sizeWithCells="1">
                  <from>
                    <xdr:col>35</xdr:col>
                    <xdr:colOff>0</xdr:colOff>
                    <xdr:row>5</xdr:row>
                    <xdr:rowOff>0</xdr:rowOff>
                  </from>
                  <to>
                    <xdr:col>35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270" r:id="rId17" name="Button 14">
              <controlPr defaultSize="0" print="0" autoFill="0" autoLine="0" autoPict="0" macro="[1]!Yhteenveto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5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271" r:id="rId18" name="Button 15">
              <controlPr defaultSize="0" print="0" autoFill="0" autoLine="0" autoPict="0" macro="[1]!GRAFIIKKA1">
                <anchor moveWithCells="1" sizeWithCells="1">
                  <from>
                    <xdr:col>35</xdr:col>
                    <xdr:colOff>0</xdr:colOff>
                    <xdr:row>8</xdr:row>
                    <xdr:rowOff>142875</xdr:rowOff>
                  </from>
                  <to>
                    <xdr:col>35</xdr:col>
                    <xdr:colOff>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272" r:id="rId19" name="Button 16">
              <controlPr defaultSize="0" print="0" autoFill="0" autoLine="0" autoPict="0" macro="[1]!Grafiikka2">
                <anchor moveWithCells="1" sizeWithCells="1">
                  <from>
                    <xdr:col>35</xdr:col>
                    <xdr:colOff>0</xdr:colOff>
                    <xdr:row>8</xdr:row>
                    <xdr:rowOff>152400</xdr:rowOff>
                  </from>
                  <to>
                    <xdr:col>35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273" r:id="rId20" name="Button 17">
              <controlPr defaultSize="0" print="0" autoFill="0" autoLine="0" autoPict="0" macro="[1]!Grafiikka4">
                <anchor moveWithCells="1" sizeWithCells="1">
                  <from>
                    <xdr:col>35</xdr:col>
                    <xdr:colOff>0</xdr:colOff>
                    <xdr:row>8</xdr:row>
                    <xdr:rowOff>142875</xdr:rowOff>
                  </from>
                  <to>
                    <xdr:col>35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274" r:id="rId21" name="Button 18">
              <controlPr defaultSize="0" print="0" autoFill="0" autoLine="0" autoPict="0" macro="[1]!Grafiikka4">
                <anchor moveWithCells="1" sizeWithCells="1">
                  <from>
                    <xdr:col>35</xdr:col>
                    <xdr:colOff>0</xdr:colOff>
                    <xdr:row>8</xdr:row>
                    <xdr:rowOff>152400</xdr:rowOff>
                  </from>
                  <to>
                    <xdr:col>35</xdr:col>
                    <xdr:colOff>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275" r:id="rId22" name="Button 19">
              <controlPr defaultSize="0" print="0" autoFill="0" autoLine="0" autoPict="0" macro="[1]!Grafiikka5">
                <anchor moveWithCells="1" sizeWithCells="1">
                  <from>
                    <xdr:col>35</xdr:col>
                    <xdr:colOff>0</xdr:colOff>
                    <xdr:row>8</xdr:row>
                    <xdr:rowOff>152400</xdr:rowOff>
                  </from>
                  <to>
                    <xdr:col>35</xdr:col>
                    <xdr:colOff>0</xdr:colOff>
                    <xdr:row>12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276" r:id="rId23" name="Button 20">
              <controlPr defaultSize="0" print="0" autoFill="0" autoLine="0" autoPict="0" macro="[1]!Perusikkuna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12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/>
  <dimension ref="A1:AJ42"/>
  <sheetViews>
    <sheetView showGridLines="0" zoomScale="80" zoomScaleNormal="80" workbookViewId="0"/>
  </sheetViews>
  <sheetFormatPr defaultColWidth="9.75" defaultRowHeight="12.75" x14ac:dyDescent="0.2"/>
  <cols>
    <col min="1" max="1" width="3.75" style="1" customWidth="1"/>
    <col min="2" max="2" width="2.75" style="1" customWidth="1"/>
    <col min="3" max="4" width="6.125" style="1" customWidth="1"/>
    <col min="5" max="5" width="4" style="1" customWidth="1"/>
    <col min="6" max="6" width="4.5" style="1" customWidth="1"/>
    <col min="7" max="10" width="6.125" style="1" customWidth="1"/>
    <col min="11" max="11" width="5.875" style="1" customWidth="1"/>
    <col min="12" max="13" width="6.125" style="1" customWidth="1"/>
    <col min="14" max="14" width="5.25" style="1" customWidth="1"/>
    <col min="15" max="15" width="4.5" style="1" customWidth="1"/>
    <col min="16" max="16" width="6.125" style="1" customWidth="1"/>
    <col min="17" max="17" width="5.5" style="1" customWidth="1"/>
    <col min="18" max="19" width="6.125" style="1" customWidth="1"/>
    <col min="20" max="20" width="5.875" style="1" customWidth="1"/>
    <col min="21" max="22" width="6.125" style="1" customWidth="1"/>
    <col min="23" max="23" width="4.375" style="1" customWidth="1"/>
    <col min="24" max="24" width="4.25" style="1" customWidth="1"/>
    <col min="25" max="29" width="6.125" style="1" customWidth="1"/>
    <col min="30" max="36" width="15.625" style="1" customWidth="1"/>
  </cols>
  <sheetData>
    <row r="1" spans="1:36" ht="30" customHeight="1" x14ac:dyDescent="0.35">
      <c r="A1" s="22"/>
      <c r="B1" s="4"/>
      <c r="C1" s="105" t="s">
        <v>15</v>
      </c>
      <c r="D1" s="106"/>
      <c r="E1" s="106"/>
      <c r="F1" s="106"/>
      <c r="G1" s="106"/>
      <c r="H1" s="106"/>
      <c r="I1" s="106"/>
      <c r="J1" s="106"/>
      <c r="K1" s="106"/>
      <c r="L1" s="105" t="str">
        <f>Kalenteri!$H$1</f>
        <v>KÄVIJÄTILASTO 2013</v>
      </c>
      <c r="M1" s="107"/>
      <c r="N1" s="107"/>
      <c r="O1" s="107"/>
      <c r="P1" s="106"/>
      <c r="Q1" s="106"/>
      <c r="R1" s="105" t="s">
        <v>80</v>
      </c>
      <c r="S1" s="108"/>
      <c r="T1" s="106"/>
      <c r="U1" s="109"/>
      <c r="V1" s="105" t="s">
        <v>39</v>
      </c>
      <c r="W1" s="109"/>
      <c r="X1" s="106"/>
      <c r="Y1" s="106"/>
      <c r="Z1" s="106"/>
      <c r="AA1" s="106"/>
      <c r="AB1" s="106"/>
      <c r="AC1" s="106"/>
      <c r="AD1" s="110"/>
      <c r="AE1" s="4"/>
      <c r="AF1" s="4"/>
      <c r="AG1" s="4"/>
      <c r="AH1" s="4"/>
      <c r="AI1" s="4"/>
      <c r="AJ1" s="4"/>
    </row>
    <row r="2" spans="1:36" ht="30" customHeight="1" x14ac:dyDescent="0.3">
      <c r="A2" s="3"/>
      <c r="B2" s="4"/>
      <c r="C2" s="72"/>
      <c r="D2" s="73"/>
      <c r="E2" s="74" t="s">
        <v>1</v>
      </c>
      <c r="F2" s="75"/>
      <c r="G2" s="75"/>
      <c r="H2" s="75"/>
      <c r="I2" s="75"/>
      <c r="J2" s="75"/>
      <c r="K2" s="76"/>
      <c r="L2" s="72"/>
      <c r="M2" s="77"/>
      <c r="N2" s="73"/>
      <c r="O2" s="74" t="s">
        <v>2</v>
      </c>
      <c r="P2" s="75"/>
      <c r="Q2" s="75"/>
      <c r="R2" s="75"/>
      <c r="S2" s="75"/>
      <c r="T2" s="76"/>
      <c r="U2" s="72"/>
      <c r="V2" s="75"/>
      <c r="W2" s="73"/>
      <c r="X2" s="74" t="s">
        <v>3</v>
      </c>
      <c r="Y2" s="75"/>
      <c r="Z2" s="75"/>
      <c r="AA2" s="75"/>
      <c r="AB2" s="75"/>
      <c r="AC2" s="76"/>
      <c r="AD2" s="13"/>
      <c r="AE2" s="35"/>
      <c r="AF2" s="69"/>
      <c r="AG2" s="69"/>
      <c r="AH2" s="69"/>
      <c r="AI2" s="69"/>
      <c r="AJ2" s="69"/>
    </row>
    <row r="3" spans="1:36" x14ac:dyDescent="0.2">
      <c r="A3" s="4"/>
      <c r="B3" s="4"/>
      <c r="C3" s="24" t="s">
        <v>4</v>
      </c>
      <c r="D3" s="25"/>
      <c r="E3" s="25"/>
      <c r="F3" s="26"/>
      <c r="G3" s="24" t="s">
        <v>5</v>
      </c>
      <c r="H3" s="26"/>
      <c r="I3" s="25" t="s">
        <v>6</v>
      </c>
      <c r="J3" s="25"/>
      <c r="K3" s="27"/>
      <c r="L3" s="24" t="s">
        <v>4</v>
      </c>
      <c r="M3" s="25"/>
      <c r="N3" s="25"/>
      <c r="O3" s="26"/>
      <c r="P3" s="24" t="s">
        <v>5</v>
      </c>
      <c r="Q3" s="26"/>
      <c r="R3" s="25" t="s">
        <v>6</v>
      </c>
      <c r="S3" s="25"/>
      <c r="T3" s="27"/>
      <c r="U3" s="24" t="s">
        <v>4</v>
      </c>
      <c r="V3" s="25"/>
      <c r="W3" s="25"/>
      <c r="X3" s="26"/>
      <c r="Y3" s="24" t="s">
        <v>5</v>
      </c>
      <c r="Z3" s="26"/>
      <c r="AA3" s="25" t="s">
        <v>6</v>
      </c>
      <c r="AB3" s="25"/>
      <c r="AC3" s="27"/>
      <c r="AD3" s="36" t="s">
        <v>7</v>
      </c>
      <c r="AE3" s="38"/>
      <c r="AF3" s="70"/>
      <c r="AG3" s="70"/>
      <c r="AH3" s="70"/>
      <c r="AI3" s="70"/>
      <c r="AJ3"/>
    </row>
    <row r="4" spans="1:36" x14ac:dyDescent="0.2">
      <c r="A4" s="6"/>
      <c r="B4" s="4"/>
      <c r="C4" s="7" t="s">
        <v>8</v>
      </c>
      <c r="D4" s="8" t="s">
        <v>9</v>
      </c>
      <c r="E4" s="8" t="s">
        <v>10</v>
      </c>
      <c r="F4" s="9" t="s">
        <v>11</v>
      </c>
      <c r="G4" s="7" t="s">
        <v>8</v>
      </c>
      <c r="H4" s="9" t="s">
        <v>9</v>
      </c>
      <c r="I4" s="8" t="s">
        <v>8</v>
      </c>
      <c r="J4" s="8" t="s">
        <v>9</v>
      </c>
      <c r="K4" s="14" t="s">
        <v>0</v>
      </c>
      <c r="L4" s="7" t="s">
        <v>8</v>
      </c>
      <c r="M4" s="8" t="s">
        <v>9</v>
      </c>
      <c r="N4" s="8" t="s">
        <v>10</v>
      </c>
      <c r="O4" s="9" t="s">
        <v>11</v>
      </c>
      <c r="P4" s="7" t="s">
        <v>8</v>
      </c>
      <c r="Q4" s="9" t="s">
        <v>9</v>
      </c>
      <c r="R4" s="8" t="s">
        <v>8</v>
      </c>
      <c r="S4" s="8" t="s">
        <v>9</v>
      </c>
      <c r="T4" s="14" t="s">
        <v>0</v>
      </c>
      <c r="U4" s="7" t="s">
        <v>8</v>
      </c>
      <c r="V4" s="8" t="s">
        <v>9</v>
      </c>
      <c r="W4" s="8" t="s">
        <v>10</v>
      </c>
      <c r="X4" s="9" t="s">
        <v>11</v>
      </c>
      <c r="Y4" s="7" t="s">
        <v>8</v>
      </c>
      <c r="Z4" s="9" t="s">
        <v>9</v>
      </c>
      <c r="AA4" s="8" t="s">
        <v>8</v>
      </c>
      <c r="AB4" s="8" t="s">
        <v>9</v>
      </c>
      <c r="AC4" s="14" t="s">
        <v>0</v>
      </c>
      <c r="AD4" s="28"/>
      <c r="AE4" s="23"/>
      <c r="AF4" s="23"/>
      <c r="AG4" s="23"/>
      <c r="AH4" s="23"/>
      <c r="AI4" s="23"/>
      <c r="AJ4"/>
    </row>
    <row r="5" spans="1:36" x14ac:dyDescent="0.2">
      <c r="A5" s="5">
        <f>DAY(Kalenteri!A305)</f>
        <v>1</v>
      </c>
      <c r="B5" s="3" t="str">
        <f>IF(Kalenteri!B305=1,"su",IF(Kalenteri!B305=2,"ma",IF(Kalenteri!B305=3,"ti",IF(Kalenteri!B305=4,"ke",IF(Kalenteri!B305=5,"to",IF(Kalenteri!B305=6,"pe",IF(Kalenteri!B305=7,"la",)))))))</f>
        <v>pe</v>
      </c>
      <c r="C5" s="78"/>
      <c r="D5" s="15"/>
      <c r="E5" s="15"/>
      <c r="F5" s="16"/>
      <c r="G5" s="78"/>
      <c r="H5" s="16"/>
      <c r="I5" s="78"/>
      <c r="J5" s="16"/>
      <c r="K5" s="32">
        <f t="shared" ref="K5:K36" si="0">SUM(C5:J5)</f>
        <v>0</v>
      </c>
      <c r="L5" s="15"/>
      <c r="M5" s="15"/>
      <c r="N5" s="15"/>
      <c r="O5" s="16"/>
      <c r="P5" s="15"/>
      <c r="Q5" s="16"/>
      <c r="R5" s="29"/>
      <c r="S5" s="29"/>
      <c r="T5" s="32">
        <f t="shared" ref="T5:T36" si="1">SUM(L5:S5)</f>
        <v>0</v>
      </c>
      <c r="U5" s="15"/>
      <c r="V5" s="15"/>
      <c r="W5" s="15"/>
      <c r="X5" s="16"/>
      <c r="Y5" s="15"/>
      <c r="Z5" s="16"/>
      <c r="AA5" s="29"/>
      <c r="AB5" s="29"/>
      <c r="AC5" s="32">
        <f t="shared" ref="AC5:AC36" si="2">SUM(U5:AB5)</f>
        <v>0</v>
      </c>
      <c r="AD5" s="17">
        <f t="shared" ref="AD5:AD36" si="3">SUM(K5,T5,AC5)</f>
        <v>0</v>
      </c>
      <c r="AE5" s="39"/>
      <c r="AF5" s="39"/>
      <c r="AG5" s="39"/>
      <c r="AH5" s="39"/>
      <c r="AI5" s="39"/>
      <c r="AJ5"/>
    </row>
    <row r="6" spans="1:36" x14ac:dyDescent="0.2">
      <c r="A6" s="5">
        <f>DAY(Kalenteri!A306)</f>
        <v>2</v>
      </c>
      <c r="B6" s="3" t="str">
        <f>IF(Kalenteri!B306=1,"su",IF(Kalenteri!B306=2,"ma",IF(Kalenteri!B306=3,"ti",IF(Kalenteri!B306=4,"ke",IF(Kalenteri!B306=5,"to",IF(Kalenteri!B306=6,"pe",IF(Kalenteri!B306=7,"la",)))))))</f>
        <v>la</v>
      </c>
      <c r="C6" s="18"/>
      <c r="D6" s="10"/>
      <c r="E6" s="10"/>
      <c r="F6" s="11"/>
      <c r="G6" s="18"/>
      <c r="H6" s="11"/>
      <c r="I6" s="18"/>
      <c r="J6" s="11"/>
      <c r="K6" s="33">
        <f t="shared" si="0"/>
        <v>0</v>
      </c>
      <c r="L6" s="10"/>
      <c r="M6" s="10"/>
      <c r="N6" s="10"/>
      <c r="O6" s="11"/>
      <c r="P6" s="10"/>
      <c r="Q6" s="11"/>
      <c r="R6" s="30"/>
      <c r="S6" s="30"/>
      <c r="T6" s="33">
        <f t="shared" si="1"/>
        <v>0</v>
      </c>
      <c r="U6" s="10"/>
      <c r="V6" s="10"/>
      <c r="W6" s="10"/>
      <c r="X6" s="11"/>
      <c r="Y6" s="10"/>
      <c r="Z6" s="11"/>
      <c r="AA6" s="30"/>
      <c r="AB6" s="30"/>
      <c r="AC6" s="33">
        <f t="shared" si="2"/>
        <v>0</v>
      </c>
      <c r="AD6" s="12">
        <f t="shared" si="3"/>
        <v>0</v>
      </c>
      <c r="AE6" s="39"/>
      <c r="AF6" s="39"/>
      <c r="AG6" s="39"/>
      <c r="AH6" s="39"/>
      <c r="AI6" s="39"/>
      <c r="AJ6"/>
    </row>
    <row r="7" spans="1:36" x14ac:dyDescent="0.2">
      <c r="A7" s="5">
        <f>DAY(Kalenteri!A307)</f>
        <v>3</v>
      </c>
      <c r="B7" s="3" t="str">
        <f>IF(Kalenteri!B307=1,"su",IF(Kalenteri!B307=2,"ma",IF(Kalenteri!B307=3,"ti",IF(Kalenteri!B307=4,"ke",IF(Kalenteri!B307=5,"to",IF(Kalenteri!B307=6,"pe",IF(Kalenteri!B307=7,"la",)))))))</f>
        <v>su</v>
      </c>
      <c r="C7" s="18"/>
      <c r="D7" s="10"/>
      <c r="E7" s="10"/>
      <c r="F7" s="11"/>
      <c r="G7" s="18"/>
      <c r="H7" s="11"/>
      <c r="I7" s="18"/>
      <c r="J7" s="11"/>
      <c r="K7" s="33">
        <f t="shared" si="0"/>
        <v>0</v>
      </c>
      <c r="L7" s="10"/>
      <c r="M7" s="10"/>
      <c r="N7" s="10"/>
      <c r="O7" s="11"/>
      <c r="P7" s="10"/>
      <c r="Q7" s="11"/>
      <c r="R7" s="30"/>
      <c r="S7" s="30"/>
      <c r="T7" s="33">
        <f t="shared" si="1"/>
        <v>0</v>
      </c>
      <c r="U7" s="10"/>
      <c r="V7" s="10"/>
      <c r="W7" s="10"/>
      <c r="X7" s="11"/>
      <c r="Y7" s="10"/>
      <c r="Z7" s="11"/>
      <c r="AA7" s="30"/>
      <c r="AB7" s="30"/>
      <c r="AC7" s="33">
        <f t="shared" si="2"/>
        <v>0</v>
      </c>
      <c r="AD7" s="12">
        <f t="shared" si="3"/>
        <v>0</v>
      </c>
      <c r="AE7" s="39"/>
      <c r="AF7" s="39"/>
      <c r="AG7" s="39"/>
      <c r="AH7" s="39"/>
      <c r="AI7" s="39"/>
      <c r="AJ7"/>
    </row>
    <row r="8" spans="1:36" x14ac:dyDescent="0.2">
      <c r="A8" s="5">
        <f>DAY(Kalenteri!A308)</f>
        <v>4</v>
      </c>
      <c r="B8" s="3" t="str">
        <f>IF(Kalenteri!B308=1,"su",IF(Kalenteri!B308=2,"ma",IF(Kalenteri!B308=3,"ti",IF(Kalenteri!B308=4,"ke",IF(Kalenteri!B308=5,"to",IF(Kalenteri!B308=6,"pe",IF(Kalenteri!B308=7,"la",)))))))</f>
        <v>ma</v>
      </c>
      <c r="C8" s="18">
        <v>0</v>
      </c>
      <c r="D8" s="10">
        <v>0</v>
      </c>
      <c r="E8" s="10"/>
      <c r="F8" s="11"/>
      <c r="G8" s="18"/>
      <c r="H8" s="11"/>
      <c r="I8" s="18"/>
      <c r="J8" s="11"/>
      <c r="K8" s="33">
        <f t="shared" si="0"/>
        <v>0</v>
      </c>
      <c r="L8" s="10"/>
      <c r="M8" s="10"/>
      <c r="N8" s="10"/>
      <c r="O8" s="11"/>
      <c r="P8" s="10"/>
      <c r="Q8" s="11"/>
      <c r="R8" s="30"/>
      <c r="S8" s="30"/>
      <c r="T8" s="33">
        <f t="shared" si="1"/>
        <v>0</v>
      </c>
      <c r="U8" s="10"/>
      <c r="V8" s="10"/>
      <c r="W8" s="10"/>
      <c r="X8" s="11"/>
      <c r="Y8" s="10"/>
      <c r="Z8" s="11"/>
      <c r="AA8" s="30"/>
      <c r="AB8" s="30"/>
      <c r="AC8" s="33">
        <f t="shared" si="2"/>
        <v>0</v>
      </c>
      <c r="AD8" s="12">
        <f t="shared" si="3"/>
        <v>0</v>
      </c>
      <c r="AE8" s="39"/>
      <c r="AF8" s="39"/>
      <c r="AG8" s="39"/>
      <c r="AH8" s="39"/>
      <c r="AI8" s="39"/>
      <c r="AJ8"/>
    </row>
    <row r="9" spans="1:36" x14ac:dyDescent="0.2">
      <c r="A9" s="5">
        <f>DAY(Kalenteri!A309)</f>
        <v>5</v>
      </c>
      <c r="B9" s="3" t="str">
        <f>IF(Kalenteri!B309=1,"su",IF(Kalenteri!B309=2,"ma",IF(Kalenteri!B309=3,"ti",IF(Kalenteri!B309=4,"ke",IF(Kalenteri!B309=5,"to",IF(Kalenteri!B309=6,"pe",IF(Kalenteri!B309=7,"la",)))))))</f>
        <v>ti</v>
      </c>
      <c r="C9" s="18"/>
      <c r="D9" s="10"/>
      <c r="E9" s="10"/>
      <c r="F9" s="11"/>
      <c r="G9" s="18"/>
      <c r="H9" s="11"/>
      <c r="I9" s="18"/>
      <c r="J9" s="11"/>
      <c r="K9" s="33">
        <f t="shared" si="0"/>
        <v>0</v>
      </c>
      <c r="L9" s="10"/>
      <c r="M9" s="10"/>
      <c r="N9" s="10"/>
      <c r="O9" s="11"/>
      <c r="P9" s="10"/>
      <c r="Q9" s="11"/>
      <c r="R9" s="30"/>
      <c r="S9" s="30"/>
      <c r="T9" s="33">
        <f t="shared" si="1"/>
        <v>0</v>
      </c>
      <c r="U9" s="10"/>
      <c r="V9" s="10"/>
      <c r="W9" s="10"/>
      <c r="X9" s="11"/>
      <c r="Y9" s="10"/>
      <c r="Z9" s="11"/>
      <c r="AA9" s="30"/>
      <c r="AB9" s="30"/>
      <c r="AC9" s="33">
        <f t="shared" si="2"/>
        <v>0</v>
      </c>
      <c r="AD9" s="12">
        <f t="shared" si="3"/>
        <v>0</v>
      </c>
      <c r="AE9" s="39"/>
      <c r="AF9" s="39"/>
      <c r="AG9" s="39"/>
      <c r="AH9" s="39"/>
      <c r="AI9" s="39"/>
      <c r="AJ9"/>
    </row>
    <row r="10" spans="1:36" x14ac:dyDescent="0.2">
      <c r="A10" s="5">
        <f>DAY(Kalenteri!A310)</f>
        <v>6</v>
      </c>
      <c r="B10" s="3" t="str">
        <f>IF(Kalenteri!B310=1,"su",IF(Kalenteri!B310=2,"ma",IF(Kalenteri!B310=3,"ti",IF(Kalenteri!B310=4,"ke",IF(Kalenteri!B310=5,"to",IF(Kalenteri!B310=6,"pe",IF(Kalenteri!B310=7,"la",)))))))</f>
        <v>ke</v>
      </c>
      <c r="C10" s="18"/>
      <c r="D10" s="10"/>
      <c r="E10" s="10"/>
      <c r="F10" s="11"/>
      <c r="G10" s="18"/>
      <c r="H10" s="11"/>
      <c r="I10" s="18"/>
      <c r="J10" s="11"/>
      <c r="K10" s="33">
        <f t="shared" si="0"/>
        <v>0</v>
      </c>
      <c r="L10" s="10"/>
      <c r="M10" s="10"/>
      <c r="N10" s="10"/>
      <c r="O10" s="11"/>
      <c r="P10" s="10"/>
      <c r="Q10" s="11"/>
      <c r="R10" s="30"/>
      <c r="S10" s="30"/>
      <c r="T10" s="33">
        <f t="shared" si="1"/>
        <v>0</v>
      </c>
      <c r="U10" s="10"/>
      <c r="V10" s="10"/>
      <c r="W10" s="10"/>
      <c r="X10" s="11"/>
      <c r="Y10" s="10"/>
      <c r="Z10" s="11"/>
      <c r="AA10" s="30"/>
      <c r="AB10" s="30"/>
      <c r="AC10" s="33">
        <f t="shared" si="2"/>
        <v>0</v>
      </c>
      <c r="AD10" s="12">
        <f t="shared" si="3"/>
        <v>0</v>
      </c>
      <c r="AE10" s="39"/>
      <c r="AF10" s="39"/>
      <c r="AG10" s="39"/>
      <c r="AH10" s="39"/>
      <c r="AI10" s="39"/>
      <c r="AJ10"/>
    </row>
    <row r="11" spans="1:36" x14ac:dyDescent="0.2">
      <c r="A11" s="5">
        <f>DAY(Kalenteri!A311)</f>
        <v>7</v>
      </c>
      <c r="B11" s="3" t="str">
        <f>IF(Kalenteri!B311=1,"su",IF(Kalenteri!B311=2,"ma",IF(Kalenteri!B311=3,"ti",IF(Kalenteri!B311=4,"ke",IF(Kalenteri!B311=5,"to",IF(Kalenteri!B311=6,"pe",IF(Kalenteri!B311=7,"la",)))))))</f>
        <v>to</v>
      </c>
      <c r="C11" s="18"/>
      <c r="D11" s="10"/>
      <c r="E11" s="10"/>
      <c r="F11" s="11"/>
      <c r="G11" s="18"/>
      <c r="H11" s="11"/>
      <c r="I11" s="18"/>
      <c r="J11" s="11"/>
      <c r="K11" s="33">
        <f t="shared" si="0"/>
        <v>0</v>
      </c>
      <c r="L11" s="10"/>
      <c r="M11" s="10"/>
      <c r="N11" s="10"/>
      <c r="O11" s="11"/>
      <c r="P11" s="10"/>
      <c r="Q11" s="11"/>
      <c r="R11" s="30"/>
      <c r="S11" s="30"/>
      <c r="T11" s="33">
        <f t="shared" si="1"/>
        <v>0</v>
      </c>
      <c r="U11" s="10"/>
      <c r="V11" s="10"/>
      <c r="W11" s="10"/>
      <c r="X11" s="11"/>
      <c r="Y11" s="10"/>
      <c r="Z11" s="11"/>
      <c r="AA11" s="30"/>
      <c r="AB11" s="30"/>
      <c r="AC11" s="33">
        <f t="shared" si="2"/>
        <v>0</v>
      </c>
      <c r="AD11" s="12">
        <f t="shared" si="3"/>
        <v>0</v>
      </c>
      <c r="AE11" s="39"/>
      <c r="AF11" s="39"/>
      <c r="AG11" s="39"/>
      <c r="AH11" s="39"/>
      <c r="AI11" s="39"/>
      <c r="AJ11"/>
    </row>
    <row r="12" spans="1:36" x14ac:dyDescent="0.2">
      <c r="A12" s="5">
        <f>DAY(Kalenteri!A312)</f>
        <v>8</v>
      </c>
      <c r="B12" s="3" t="str">
        <f>IF(Kalenteri!B312=1,"su",IF(Kalenteri!B312=2,"ma",IF(Kalenteri!B312=3,"ti",IF(Kalenteri!B312=4,"ke",IF(Kalenteri!B312=5,"to",IF(Kalenteri!B312=6,"pe",IF(Kalenteri!B312=7,"la",)))))))</f>
        <v>pe</v>
      </c>
      <c r="C12" s="18"/>
      <c r="D12" s="10"/>
      <c r="E12" s="10"/>
      <c r="F12" s="11"/>
      <c r="G12" s="18"/>
      <c r="H12" s="11"/>
      <c r="I12" s="18"/>
      <c r="J12" s="11"/>
      <c r="K12" s="33">
        <f t="shared" si="0"/>
        <v>0</v>
      </c>
      <c r="L12" s="10"/>
      <c r="M12" s="10"/>
      <c r="N12" s="10"/>
      <c r="O12" s="11"/>
      <c r="P12" s="10"/>
      <c r="Q12" s="11"/>
      <c r="R12" s="30"/>
      <c r="S12" s="30"/>
      <c r="T12" s="33">
        <f t="shared" si="1"/>
        <v>0</v>
      </c>
      <c r="U12" s="10"/>
      <c r="V12" s="10"/>
      <c r="W12" s="10"/>
      <c r="X12" s="11"/>
      <c r="Y12" s="10"/>
      <c r="Z12" s="11"/>
      <c r="AA12" s="30"/>
      <c r="AB12" s="30"/>
      <c r="AC12" s="33">
        <f t="shared" si="2"/>
        <v>0</v>
      </c>
      <c r="AD12" s="12">
        <f t="shared" si="3"/>
        <v>0</v>
      </c>
      <c r="AE12" s="39"/>
      <c r="AF12" s="39"/>
      <c r="AG12" s="39"/>
      <c r="AH12" s="39"/>
      <c r="AI12" s="39"/>
      <c r="AJ12"/>
    </row>
    <row r="13" spans="1:36" x14ac:dyDescent="0.2">
      <c r="A13" s="5">
        <f>DAY(Kalenteri!A313)</f>
        <v>9</v>
      </c>
      <c r="B13" s="3" t="str">
        <f>IF(Kalenteri!B313=1,"su",IF(Kalenteri!B313=2,"ma",IF(Kalenteri!B313=3,"ti",IF(Kalenteri!B313=4,"ke",IF(Kalenteri!B313=5,"to",IF(Kalenteri!B313=6,"pe",IF(Kalenteri!B313=7,"la",)))))))</f>
        <v>la</v>
      </c>
      <c r="C13" s="18"/>
      <c r="D13" s="10"/>
      <c r="E13" s="10"/>
      <c r="F13" s="11"/>
      <c r="G13" s="18"/>
      <c r="H13" s="11"/>
      <c r="I13" s="18"/>
      <c r="J13" s="11"/>
      <c r="K13" s="33">
        <f t="shared" si="0"/>
        <v>0</v>
      </c>
      <c r="L13" s="10"/>
      <c r="M13" s="10"/>
      <c r="N13" s="10"/>
      <c r="O13" s="11"/>
      <c r="P13" s="10"/>
      <c r="Q13" s="11"/>
      <c r="R13" s="30"/>
      <c r="S13" s="30"/>
      <c r="T13" s="33">
        <f t="shared" si="1"/>
        <v>0</v>
      </c>
      <c r="U13" s="10"/>
      <c r="V13" s="10"/>
      <c r="W13" s="10"/>
      <c r="X13" s="11"/>
      <c r="Y13" s="10"/>
      <c r="Z13" s="11"/>
      <c r="AA13" s="30"/>
      <c r="AB13" s="30"/>
      <c r="AC13" s="33">
        <f t="shared" si="2"/>
        <v>0</v>
      </c>
      <c r="AD13" s="12">
        <f t="shared" si="3"/>
        <v>0</v>
      </c>
      <c r="AE13" s="39"/>
      <c r="AF13" s="39"/>
      <c r="AG13" s="39"/>
      <c r="AH13" s="39"/>
      <c r="AI13" s="39"/>
      <c r="AJ13"/>
    </row>
    <row r="14" spans="1:36" x14ac:dyDescent="0.2">
      <c r="A14" s="5">
        <f>DAY(Kalenteri!A314)</f>
        <v>10</v>
      </c>
      <c r="B14" s="3" t="str">
        <f>IF(Kalenteri!B314=1,"su",IF(Kalenteri!B314=2,"ma",IF(Kalenteri!B314=3,"ti",IF(Kalenteri!B314=4,"ke",IF(Kalenteri!B314=5,"to",IF(Kalenteri!B314=6,"pe",IF(Kalenteri!B314=7,"la",)))))))</f>
        <v>su</v>
      </c>
      <c r="C14" s="18"/>
      <c r="D14" s="10"/>
      <c r="E14" s="10"/>
      <c r="F14" s="11"/>
      <c r="G14" s="18"/>
      <c r="H14" s="11"/>
      <c r="I14" s="18"/>
      <c r="J14" s="11"/>
      <c r="K14" s="33">
        <f t="shared" si="0"/>
        <v>0</v>
      </c>
      <c r="L14" s="10"/>
      <c r="M14" s="10"/>
      <c r="N14" s="10"/>
      <c r="O14" s="11"/>
      <c r="P14" s="10"/>
      <c r="Q14" s="11"/>
      <c r="R14" s="30"/>
      <c r="S14" s="30"/>
      <c r="T14" s="33">
        <f t="shared" si="1"/>
        <v>0</v>
      </c>
      <c r="U14" s="10"/>
      <c r="V14" s="10"/>
      <c r="W14" s="10"/>
      <c r="X14" s="11"/>
      <c r="Y14" s="10"/>
      <c r="Z14" s="11"/>
      <c r="AA14" s="30"/>
      <c r="AB14" s="30"/>
      <c r="AC14" s="33">
        <f t="shared" si="2"/>
        <v>0</v>
      </c>
      <c r="AD14" s="12">
        <f t="shared" si="3"/>
        <v>0</v>
      </c>
      <c r="AE14" s="39"/>
      <c r="AF14" s="39"/>
      <c r="AG14" s="39"/>
      <c r="AH14" s="39"/>
      <c r="AI14" s="39"/>
      <c r="AJ14"/>
    </row>
    <row r="15" spans="1:36" x14ac:dyDescent="0.2">
      <c r="A15" s="5">
        <f>DAY(Kalenteri!A315)</f>
        <v>11</v>
      </c>
      <c r="B15" s="3" t="str">
        <f>IF(Kalenteri!B315=1,"su",IF(Kalenteri!B315=2,"ma",IF(Kalenteri!B315=3,"ti",IF(Kalenteri!B315=4,"ke",IF(Kalenteri!B315=5,"to",IF(Kalenteri!B315=6,"pe",IF(Kalenteri!B315=7,"la",)))))))</f>
        <v>ma</v>
      </c>
      <c r="C15" s="18">
        <v>42</v>
      </c>
      <c r="D15" s="10">
        <v>5</v>
      </c>
      <c r="E15" s="10"/>
      <c r="F15" s="11"/>
      <c r="G15" s="18"/>
      <c r="H15" s="11"/>
      <c r="I15" s="18"/>
      <c r="J15" s="11"/>
      <c r="K15" s="33">
        <f t="shared" si="0"/>
        <v>47</v>
      </c>
      <c r="L15" s="10"/>
      <c r="M15" s="10"/>
      <c r="N15" s="10"/>
      <c r="O15" s="11"/>
      <c r="P15" s="10"/>
      <c r="Q15" s="11"/>
      <c r="R15" s="30"/>
      <c r="S15" s="30"/>
      <c r="T15" s="33">
        <f t="shared" si="1"/>
        <v>0</v>
      </c>
      <c r="U15" s="10"/>
      <c r="V15" s="10"/>
      <c r="W15" s="10"/>
      <c r="X15" s="11"/>
      <c r="Y15" s="10"/>
      <c r="Z15" s="11"/>
      <c r="AA15" s="30"/>
      <c r="AB15" s="30"/>
      <c r="AC15" s="33">
        <f t="shared" si="2"/>
        <v>0</v>
      </c>
      <c r="AD15" s="12">
        <f t="shared" si="3"/>
        <v>47</v>
      </c>
      <c r="AE15" s="39"/>
      <c r="AF15" s="39"/>
      <c r="AG15" s="39"/>
      <c r="AH15" s="39"/>
      <c r="AI15" s="39"/>
      <c r="AJ15"/>
    </row>
    <row r="16" spans="1:36" x14ac:dyDescent="0.2">
      <c r="A16" s="5">
        <f>DAY(Kalenteri!A316)</f>
        <v>12</v>
      </c>
      <c r="B16" s="3" t="str">
        <f>IF(Kalenteri!B316=1,"su",IF(Kalenteri!B316=2,"ma",IF(Kalenteri!B316=3,"ti",IF(Kalenteri!B316=4,"ke",IF(Kalenteri!B316=5,"to",IF(Kalenteri!B316=6,"pe",IF(Kalenteri!B316=7,"la",)))))))</f>
        <v>ti</v>
      </c>
      <c r="C16" s="18"/>
      <c r="D16" s="10"/>
      <c r="E16" s="10"/>
      <c r="F16" s="11"/>
      <c r="G16" s="18"/>
      <c r="H16" s="11"/>
      <c r="I16" s="18"/>
      <c r="J16" s="11"/>
      <c r="K16" s="33">
        <f t="shared" si="0"/>
        <v>0</v>
      </c>
      <c r="L16" s="10"/>
      <c r="M16" s="10"/>
      <c r="N16" s="10"/>
      <c r="O16" s="11"/>
      <c r="P16" s="10"/>
      <c r="Q16" s="11"/>
      <c r="R16" s="30"/>
      <c r="S16" s="30"/>
      <c r="T16" s="33">
        <f t="shared" si="1"/>
        <v>0</v>
      </c>
      <c r="U16" s="10"/>
      <c r="V16" s="10"/>
      <c r="W16" s="10"/>
      <c r="X16" s="11"/>
      <c r="Y16" s="10"/>
      <c r="Z16" s="11"/>
      <c r="AA16" s="30"/>
      <c r="AB16" s="30"/>
      <c r="AC16" s="33">
        <f t="shared" si="2"/>
        <v>0</v>
      </c>
      <c r="AD16" s="12">
        <f t="shared" si="3"/>
        <v>0</v>
      </c>
      <c r="AE16" s="39"/>
      <c r="AF16" s="39"/>
      <c r="AG16" s="39"/>
      <c r="AH16" s="39"/>
      <c r="AI16" s="39"/>
      <c r="AJ16"/>
    </row>
    <row r="17" spans="1:36" x14ac:dyDescent="0.2">
      <c r="A17" s="5">
        <f>DAY(Kalenteri!A317)</f>
        <v>13</v>
      </c>
      <c r="B17" s="3" t="str">
        <f>IF(Kalenteri!B317=1,"su",IF(Kalenteri!B317=2,"ma",IF(Kalenteri!B317=3,"ti",IF(Kalenteri!B317=4,"ke",IF(Kalenteri!B317=5,"to",IF(Kalenteri!B317=6,"pe",IF(Kalenteri!B317=7,"la",)))))))</f>
        <v>ke</v>
      </c>
      <c r="C17" s="18"/>
      <c r="D17" s="10"/>
      <c r="E17" s="10"/>
      <c r="F17" s="11"/>
      <c r="G17" s="18"/>
      <c r="H17" s="11"/>
      <c r="I17" s="18"/>
      <c r="J17" s="11"/>
      <c r="K17" s="33">
        <f t="shared" si="0"/>
        <v>0</v>
      </c>
      <c r="L17" s="10"/>
      <c r="M17" s="10"/>
      <c r="N17" s="10"/>
      <c r="O17" s="11"/>
      <c r="P17" s="10"/>
      <c r="Q17" s="11"/>
      <c r="R17" s="30"/>
      <c r="S17" s="30"/>
      <c r="T17" s="33">
        <f t="shared" si="1"/>
        <v>0</v>
      </c>
      <c r="U17" s="10"/>
      <c r="V17" s="10"/>
      <c r="W17" s="10"/>
      <c r="X17" s="11"/>
      <c r="Y17" s="10"/>
      <c r="Z17" s="11"/>
      <c r="AA17" s="30"/>
      <c r="AB17" s="30"/>
      <c r="AC17" s="33">
        <f t="shared" si="2"/>
        <v>0</v>
      </c>
      <c r="AD17" s="12">
        <f t="shared" si="3"/>
        <v>0</v>
      </c>
      <c r="AE17" s="39"/>
      <c r="AF17" s="39"/>
      <c r="AG17" s="39"/>
      <c r="AH17" s="39"/>
      <c r="AI17" s="39"/>
      <c r="AJ17"/>
    </row>
    <row r="18" spans="1:36" x14ac:dyDescent="0.2">
      <c r="A18" s="5">
        <f>DAY(Kalenteri!A318)</f>
        <v>14</v>
      </c>
      <c r="B18" s="3" t="str">
        <f>IF(Kalenteri!B318=1,"su",IF(Kalenteri!B318=2,"ma",IF(Kalenteri!B318=3,"ti",IF(Kalenteri!B318=4,"ke",IF(Kalenteri!B318=5,"to",IF(Kalenteri!B318=6,"pe",IF(Kalenteri!B318=7,"la",)))))))</f>
        <v>to</v>
      </c>
      <c r="C18" s="18"/>
      <c r="D18" s="10"/>
      <c r="E18" s="10"/>
      <c r="F18" s="11"/>
      <c r="G18" s="18"/>
      <c r="H18" s="11"/>
      <c r="I18" s="18"/>
      <c r="J18" s="11"/>
      <c r="K18" s="33">
        <f t="shared" si="0"/>
        <v>0</v>
      </c>
      <c r="L18" s="10"/>
      <c r="M18" s="10"/>
      <c r="N18" s="10"/>
      <c r="O18" s="11"/>
      <c r="P18" s="10"/>
      <c r="Q18" s="11"/>
      <c r="R18" s="30"/>
      <c r="S18" s="30"/>
      <c r="T18" s="33">
        <f t="shared" si="1"/>
        <v>0</v>
      </c>
      <c r="U18" s="10"/>
      <c r="V18" s="10"/>
      <c r="W18" s="10"/>
      <c r="X18" s="11"/>
      <c r="Y18" s="10"/>
      <c r="Z18" s="11"/>
      <c r="AA18" s="30"/>
      <c r="AB18" s="30"/>
      <c r="AC18" s="33">
        <f t="shared" si="2"/>
        <v>0</v>
      </c>
      <c r="AD18" s="12">
        <f t="shared" si="3"/>
        <v>0</v>
      </c>
      <c r="AE18" s="39"/>
      <c r="AF18" s="39"/>
      <c r="AG18" s="39"/>
      <c r="AH18" s="39"/>
      <c r="AI18" s="39"/>
      <c r="AJ18"/>
    </row>
    <row r="19" spans="1:36" x14ac:dyDescent="0.2">
      <c r="A19" s="5">
        <f>DAY(Kalenteri!A319)</f>
        <v>15</v>
      </c>
      <c r="B19" s="3" t="str">
        <f>IF(Kalenteri!B319=1,"su",IF(Kalenteri!B319=2,"ma",IF(Kalenteri!B319=3,"ti",IF(Kalenteri!B319=4,"ke",IF(Kalenteri!B319=5,"to",IF(Kalenteri!B319=6,"pe",IF(Kalenteri!B319=7,"la",)))))))</f>
        <v>pe</v>
      </c>
      <c r="C19" s="18"/>
      <c r="D19" s="10"/>
      <c r="E19" s="10"/>
      <c r="F19" s="11"/>
      <c r="G19" s="18"/>
      <c r="H19" s="11"/>
      <c r="I19" s="18"/>
      <c r="J19" s="11"/>
      <c r="K19" s="33">
        <f t="shared" si="0"/>
        <v>0</v>
      </c>
      <c r="L19" s="10"/>
      <c r="M19" s="10"/>
      <c r="N19" s="10"/>
      <c r="O19" s="11"/>
      <c r="P19" s="10"/>
      <c r="Q19" s="11"/>
      <c r="R19" s="30"/>
      <c r="S19" s="30"/>
      <c r="T19" s="33">
        <f t="shared" si="1"/>
        <v>0</v>
      </c>
      <c r="U19" s="10"/>
      <c r="V19" s="10"/>
      <c r="W19" s="10"/>
      <c r="X19" s="11"/>
      <c r="Y19" s="10"/>
      <c r="Z19" s="11"/>
      <c r="AA19" s="30"/>
      <c r="AB19" s="30"/>
      <c r="AC19" s="33">
        <f t="shared" si="2"/>
        <v>0</v>
      </c>
      <c r="AD19" s="12">
        <f t="shared" si="3"/>
        <v>0</v>
      </c>
      <c r="AE19" s="39"/>
      <c r="AF19" s="39"/>
      <c r="AG19" s="39"/>
      <c r="AH19" s="39"/>
      <c r="AI19" s="39"/>
      <c r="AJ19"/>
    </row>
    <row r="20" spans="1:36" x14ac:dyDescent="0.2">
      <c r="A20" s="5">
        <f>DAY(Kalenteri!A320)</f>
        <v>16</v>
      </c>
      <c r="B20" s="3" t="str">
        <f>IF(Kalenteri!B320=1,"su",IF(Kalenteri!B320=2,"ma",IF(Kalenteri!B320=3,"ti",IF(Kalenteri!B320=4,"ke",IF(Kalenteri!B320=5,"to",IF(Kalenteri!B320=6,"pe",IF(Kalenteri!B320=7,"la",)))))))</f>
        <v>la</v>
      </c>
      <c r="C20" s="18"/>
      <c r="D20" s="10"/>
      <c r="E20" s="10"/>
      <c r="F20" s="11"/>
      <c r="G20" s="18"/>
      <c r="H20" s="11"/>
      <c r="I20" s="18"/>
      <c r="J20" s="11"/>
      <c r="K20" s="33">
        <f t="shared" si="0"/>
        <v>0</v>
      </c>
      <c r="L20" s="10"/>
      <c r="M20" s="10"/>
      <c r="N20" s="10"/>
      <c r="O20" s="11"/>
      <c r="P20" s="10"/>
      <c r="Q20" s="11"/>
      <c r="R20" s="30"/>
      <c r="S20" s="30"/>
      <c r="T20" s="33">
        <f t="shared" si="1"/>
        <v>0</v>
      </c>
      <c r="U20" s="10"/>
      <c r="V20" s="10"/>
      <c r="W20" s="10"/>
      <c r="X20" s="11"/>
      <c r="Y20" s="10"/>
      <c r="Z20" s="11"/>
      <c r="AA20" s="30"/>
      <c r="AB20" s="30"/>
      <c r="AC20" s="33">
        <f t="shared" si="2"/>
        <v>0</v>
      </c>
      <c r="AD20" s="12">
        <f t="shared" si="3"/>
        <v>0</v>
      </c>
      <c r="AE20" s="39"/>
      <c r="AF20" s="39"/>
      <c r="AG20" s="39"/>
      <c r="AH20" s="39"/>
      <c r="AI20" s="39"/>
      <c r="AJ20"/>
    </row>
    <row r="21" spans="1:36" x14ac:dyDescent="0.2">
      <c r="A21" s="5">
        <f>DAY(Kalenteri!A321)</f>
        <v>17</v>
      </c>
      <c r="B21" s="3" t="str">
        <f>IF(Kalenteri!B321=1,"su",IF(Kalenteri!B321=2,"ma",IF(Kalenteri!B321=3,"ti",IF(Kalenteri!B321=4,"ke",IF(Kalenteri!B321=5,"to",IF(Kalenteri!B321=6,"pe",IF(Kalenteri!B321=7,"la",)))))))</f>
        <v>su</v>
      </c>
      <c r="C21" s="18">
        <v>2</v>
      </c>
      <c r="D21" s="10"/>
      <c r="E21" s="10"/>
      <c r="F21" s="11"/>
      <c r="G21" s="18"/>
      <c r="H21" s="11"/>
      <c r="I21" s="18"/>
      <c r="J21" s="11"/>
      <c r="K21" s="33">
        <f t="shared" si="0"/>
        <v>2</v>
      </c>
      <c r="L21" s="10"/>
      <c r="M21" s="10"/>
      <c r="N21" s="10"/>
      <c r="O21" s="11"/>
      <c r="P21" s="10"/>
      <c r="Q21" s="11"/>
      <c r="R21" s="30"/>
      <c r="S21" s="30"/>
      <c r="T21" s="33">
        <f t="shared" si="1"/>
        <v>0</v>
      </c>
      <c r="U21" s="10"/>
      <c r="V21" s="10"/>
      <c r="W21" s="10"/>
      <c r="X21" s="11"/>
      <c r="Y21" s="10"/>
      <c r="Z21" s="11"/>
      <c r="AA21" s="30"/>
      <c r="AB21" s="30"/>
      <c r="AC21" s="33">
        <f t="shared" si="2"/>
        <v>0</v>
      </c>
      <c r="AD21" s="12">
        <f t="shared" si="3"/>
        <v>2</v>
      </c>
      <c r="AE21" s="39"/>
      <c r="AF21" s="39"/>
      <c r="AG21" s="39"/>
      <c r="AH21" s="39"/>
      <c r="AI21" s="39"/>
      <c r="AJ21"/>
    </row>
    <row r="22" spans="1:36" x14ac:dyDescent="0.2">
      <c r="A22" s="5">
        <f>DAY(Kalenteri!A322)</f>
        <v>18</v>
      </c>
      <c r="B22" s="3" t="str">
        <f>IF(Kalenteri!B322=1,"su",IF(Kalenteri!B322=2,"ma",IF(Kalenteri!B322=3,"ti",IF(Kalenteri!B322=4,"ke",IF(Kalenteri!B322=5,"to",IF(Kalenteri!B322=6,"pe",IF(Kalenteri!B322=7,"la",)))))))</f>
        <v>ma</v>
      </c>
      <c r="C22" s="18">
        <f>17+1+4+2</f>
        <v>24</v>
      </c>
      <c r="D22" s="10"/>
      <c r="E22" s="10"/>
      <c r="F22" s="11"/>
      <c r="G22" s="18"/>
      <c r="H22" s="11"/>
      <c r="I22" s="18"/>
      <c r="J22" s="11"/>
      <c r="K22" s="33">
        <f t="shared" si="0"/>
        <v>24</v>
      </c>
      <c r="L22" s="10"/>
      <c r="M22" s="10"/>
      <c r="N22" s="10"/>
      <c r="O22" s="11"/>
      <c r="P22" s="10"/>
      <c r="Q22" s="11"/>
      <c r="R22" s="30"/>
      <c r="S22" s="30"/>
      <c r="T22" s="33">
        <f t="shared" si="1"/>
        <v>0</v>
      </c>
      <c r="U22" s="10"/>
      <c r="V22" s="10"/>
      <c r="W22" s="10"/>
      <c r="X22" s="11"/>
      <c r="Y22" s="10"/>
      <c r="Z22" s="11"/>
      <c r="AA22" s="30"/>
      <c r="AB22" s="30"/>
      <c r="AC22" s="33">
        <f t="shared" si="2"/>
        <v>0</v>
      </c>
      <c r="AD22" s="12">
        <f t="shared" si="3"/>
        <v>24</v>
      </c>
      <c r="AE22" s="39"/>
      <c r="AF22" s="39"/>
      <c r="AG22" s="39"/>
      <c r="AH22" s="39"/>
      <c r="AI22" s="39"/>
      <c r="AJ22"/>
    </row>
    <row r="23" spans="1:36" x14ac:dyDescent="0.2">
      <c r="A23" s="5">
        <f>DAY(Kalenteri!A323)</f>
        <v>19</v>
      </c>
      <c r="B23" s="3" t="str">
        <f>IF(Kalenteri!B323=1,"su",IF(Kalenteri!B323=2,"ma",IF(Kalenteri!B323=3,"ti",IF(Kalenteri!B323=4,"ke",IF(Kalenteri!B323=5,"to",IF(Kalenteri!B323=6,"pe",IF(Kalenteri!B323=7,"la",)))))))</f>
        <v>ti</v>
      </c>
      <c r="C23" s="18"/>
      <c r="D23" s="10"/>
      <c r="E23" s="10"/>
      <c r="F23" s="11"/>
      <c r="G23" s="18"/>
      <c r="H23" s="11"/>
      <c r="I23" s="18"/>
      <c r="J23" s="11"/>
      <c r="K23" s="33">
        <f t="shared" si="0"/>
        <v>0</v>
      </c>
      <c r="L23" s="10"/>
      <c r="M23" s="10"/>
      <c r="N23" s="10"/>
      <c r="O23" s="11"/>
      <c r="P23" s="10"/>
      <c r="Q23" s="11"/>
      <c r="R23" s="30"/>
      <c r="S23" s="30"/>
      <c r="T23" s="33">
        <f t="shared" si="1"/>
        <v>0</v>
      </c>
      <c r="U23" s="10"/>
      <c r="V23" s="10"/>
      <c r="W23" s="10"/>
      <c r="X23" s="11"/>
      <c r="Y23" s="10"/>
      <c r="Z23" s="11"/>
      <c r="AA23" s="30"/>
      <c r="AB23" s="30"/>
      <c r="AC23" s="33">
        <f t="shared" si="2"/>
        <v>0</v>
      </c>
      <c r="AD23" s="12">
        <f t="shared" si="3"/>
        <v>0</v>
      </c>
      <c r="AE23" s="39"/>
      <c r="AF23" s="39"/>
      <c r="AG23" s="39"/>
      <c r="AH23" s="39"/>
      <c r="AI23" s="39"/>
      <c r="AJ23"/>
    </row>
    <row r="24" spans="1:36" x14ac:dyDescent="0.2">
      <c r="A24" s="5">
        <f>DAY(Kalenteri!A324)</f>
        <v>20</v>
      </c>
      <c r="B24" s="3" t="str">
        <f>IF(Kalenteri!B324=1,"su",IF(Kalenteri!B324=2,"ma",IF(Kalenteri!B324=3,"ti",IF(Kalenteri!B324=4,"ke",IF(Kalenteri!B324=5,"to",IF(Kalenteri!B324=6,"pe",IF(Kalenteri!B324=7,"la",)))))))</f>
        <v>ke</v>
      </c>
      <c r="C24" s="18"/>
      <c r="D24" s="10"/>
      <c r="E24" s="10"/>
      <c r="F24" s="11"/>
      <c r="G24" s="18"/>
      <c r="H24" s="11"/>
      <c r="I24" s="18"/>
      <c r="J24" s="11"/>
      <c r="K24" s="33">
        <f t="shared" si="0"/>
        <v>0</v>
      </c>
      <c r="L24" s="10"/>
      <c r="M24" s="10"/>
      <c r="N24" s="10"/>
      <c r="O24" s="11"/>
      <c r="P24" s="10"/>
      <c r="Q24" s="11"/>
      <c r="R24" s="30"/>
      <c r="S24" s="30"/>
      <c r="T24" s="33">
        <f t="shared" si="1"/>
        <v>0</v>
      </c>
      <c r="U24" s="10"/>
      <c r="V24" s="10"/>
      <c r="W24" s="10"/>
      <c r="X24" s="11"/>
      <c r="Y24" s="10"/>
      <c r="Z24" s="11"/>
      <c r="AA24" s="30"/>
      <c r="AB24" s="30"/>
      <c r="AC24" s="33">
        <f t="shared" si="2"/>
        <v>0</v>
      </c>
      <c r="AD24" s="12">
        <f t="shared" si="3"/>
        <v>0</v>
      </c>
      <c r="AE24" s="39"/>
      <c r="AF24" s="39"/>
      <c r="AG24" s="39"/>
      <c r="AH24" s="39"/>
      <c r="AI24" s="39"/>
      <c r="AJ24" s="39"/>
    </row>
    <row r="25" spans="1:36" x14ac:dyDescent="0.2">
      <c r="A25" s="5">
        <f>DAY(Kalenteri!A325)</f>
        <v>21</v>
      </c>
      <c r="B25" s="3" t="str">
        <f>IF(Kalenteri!B325=1,"su",IF(Kalenteri!B325=2,"ma",IF(Kalenteri!B325=3,"ti",IF(Kalenteri!B325=4,"ke",IF(Kalenteri!B325=5,"to",IF(Kalenteri!B325=6,"pe",IF(Kalenteri!B325=7,"la",)))))))</f>
        <v>to</v>
      </c>
      <c r="C25" s="18"/>
      <c r="D25" s="10"/>
      <c r="E25" s="10"/>
      <c r="F25" s="11"/>
      <c r="G25" s="18"/>
      <c r="H25" s="11"/>
      <c r="I25" s="18"/>
      <c r="J25" s="11"/>
      <c r="K25" s="33">
        <f t="shared" si="0"/>
        <v>0</v>
      </c>
      <c r="L25" s="10"/>
      <c r="M25" s="10"/>
      <c r="N25" s="10"/>
      <c r="O25" s="11"/>
      <c r="P25" s="10"/>
      <c r="Q25" s="11"/>
      <c r="R25" s="30"/>
      <c r="S25" s="30"/>
      <c r="T25" s="33">
        <f t="shared" si="1"/>
        <v>0</v>
      </c>
      <c r="U25" s="10"/>
      <c r="V25" s="10"/>
      <c r="W25" s="10"/>
      <c r="X25" s="11"/>
      <c r="Y25" s="10"/>
      <c r="Z25" s="11"/>
      <c r="AA25" s="30"/>
      <c r="AB25" s="30"/>
      <c r="AC25" s="33">
        <f t="shared" si="2"/>
        <v>0</v>
      </c>
      <c r="AD25" s="12">
        <f t="shared" si="3"/>
        <v>0</v>
      </c>
      <c r="AE25" s="39"/>
      <c r="AF25" s="39"/>
      <c r="AG25" s="39"/>
      <c r="AH25" s="39"/>
      <c r="AI25" s="39"/>
      <c r="AJ25" s="39"/>
    </row>
    <row r="26" spans="1:36" x14ac:dyDescent="0.2">
      <c r="A26" s="5">
        <f>DAY(Kalenteri!A326)</f>
        <v>22</v>
      </c>
      <c r="B26" s="3" t="str">
        <f>IF(Kalenteri!B326=1,"su",IF(Kalenteri!B326=2,"ma",IF(Kalenteri!B326=3,"ti",IF(Kalenteri!B326=4,"ke",IF(Kalenteri!B326=5,"to",IF(Kalenteri!B326=6,"pe",IF(Kalenteri!B326=7,"la",)))))))</f>
        <v>pe</v>
      </c>
      <c r="C26" s="18"/>
      <c r="D26" s="10"/>
      <c r="E26" s="10"/>
      <c r="F26" s="11"/>
      <c r="G26" s="18"/>
      <c r="H26" s="11"/>
      <c r="I26" s="18"/>
      <c r="J26" s="11"/>
      <c r="K26" s="33">
        <f t="shared" si="0"/>
        <v>0</v>
      </c>
      <c r="L26" s="10"/>
      <c r="M26" s="10"/>
      <c r="N26" s="10"/>
      <c r="O26" s="11"/>
      <c r="P26" s="10"/>
      <c r="Q26" s="11"/>
      <c r="R26" s="30"/>
      <c r="S26" s="30"/>
      <c r="T26" s="33">
        <f t="shared" si="1"/>
        <v>0</v>
      </c>
      <c r="U26" s="10"/>
      <c r="V26" s="10"/>
      <c r="W26" s="10"/>
      <c r="X26" s="11"/>
      <c r="Y26" s="10"/>
      <c r="Z26" s="11"/>
      <c r="AA26" s="30"/>
      <c r="AB26" s="30"/>
      <c r="AC26" s="33">
        <f t="shared" si="2"/>
        <v>0</v>
      </c>
      <c r="AD26" s="12">
        <f t="shared" si="3"/>
        <v>0</v>
      </c>
      <c r="AE26" s="39"/>
      <c r="AF26" s="39"/>
      <c r="AG26" s="39"/>
      <c r="AH26" s="39"/>
      <c r="AI26" s="39"/>
      <c r="AJ26" s="39"/>
    </row>
    <row r="27" spans="1:36" x14ac:dyDescent="0.2">
      <c r="A27" s="5">
        <f>DAY(Kalenteri!A327)</f>
        <v>23</v>
      </c>
      <c r="B27" s="3" t="str">
        <f>IF(Kalenteri!B327=1,"su",IF(Kalenteri!B327=2,"ma",IF(Kalenteri!B327=3,"ti",IF(Kalenteri!B327=4,"ke",IF(Kalenteri!B327=5,"to",IF(Kalenteri!B327=6,"pe",IF(Kalenteri!B327=7,"la",)))))))</f>
        <v>la</v>
      </c>
      <c r="C27" s="18"/>
      <c r="D27" s="10"/>
      <c r="E27" s="10"/>
      <c r="F27" s="11"/>
      <c r="G27" s="18"/>
      <c r="H27" s="11"/>
      <c r="I27" s="18"/>
      <c r="J27" s="11"/>
      <c r="K27" s="33">
        <f t="shared" si="0"/>
        <v>0</v>
      </c>
      <c r="L27" s="10"/>
      <c r="M27" s="10"/>
      <c r="N27" s="10"/>
      <c r="O27" s="11"/>
      <c r="P27" s="10"/>
      <c r="Q27" s="11"/>
      <c r="R27" s="30"/>
      <c r="S27" s="30"/>
      <c r="T27" s="33">
        <f t="shared" si="1"/>
        <v>0</v>
      </c>
      <c r="U27" s="10"/>
      <c r="V27" s="10"/>
      <c r="W27" s="10"/>
      <c r="X27" s="11"/>
      <c r="Y27" s="10"/>
      <c r="Z27" s="11"/>
      <c r="AA27" s="30"/>
      <c r="AB27" s="30"/>
      <c r="AC27" s="33">
        <f t="shared" si="2"/>
        <v>0</v>
      </c>
      <c r="AD27" s="12">
        <f t="shared" si="3"/>
        <v>0</v>
      </c>
      <c r="AE27" s="39"/>
      <c r="AF27" s="39"/>
      <c r="AG27" s="39"/>
      <c r="AH27" s="39"/>
      <c r="AI27" s="39"/>
      <c r="AJ27" s="39"/>
    </row>
    <row r="28" spans="1:36" x14ac:dyDescent="0.2">
      <c r="A28" s="5">
        <f>DAY(Kalenteri!A328)</f>
        <v>24</v>
      </c>
      <c r="B28" s="3" t="str">
        <f>IF(Kalenteri!B328=1,"su",IF(Kalenteri!B328=2,"ma",IF(Kalenteri!B328=3,"ti",IF(Kalenteri!B328=4,"ke",IF(Kalenteri!B328=5,"to",IF(Kalenteri!B328=6,"pe",IF(Kalenteri!B328=7,"la",)))))))</f>
        <v>su</v>
      </c>
      <c r="C28" s="18"/>
      <c r="D28" s="10"/>
      <c r="E28" s="10"/>
      <c r="F28" s="11"/>
      <c r="G28" s="18"/>
      <c r="H28" s="11"/>
      <c r="I28" s="18"/>
      <c r="J28" s="11"/>
      <c r="K28" s="33">
        <f t="shared" si="0"/>
        <v>0</v>
      </c>
      <c r="L28" s="10"/>
      <c r="M28" s="10"/>
      <c r="N28" s="10"/>
      <c r="O28" s="11"/>
      <c r="P28" s="10"/>
      <c r="Q28" s="11"/>
      <c r="R28" s="30"/>
      <c r="S28" s="30"/>
      <c r="T28" s="33">
        <f t="shared" si="1"/>
        <v>0</v>
      </c>
      <c r="U28" s="10"/>
      <c r="V28" s="10"/>
      <c r="W28" s="10"/>
      <c r="X28" s="11"/>
      <c r="Y28" s="10"/>
      <c r="Z28" s="11"/>
      <c r="AA28" s="30"/>
      <c r="AB28" s="30"/>
      <c r="AC28" s="33">
        <f t="shared" si="2"/>
        <v>0</v>
      </c>
      <c r="AD28" s="12">
        <f t="shared" si="3"/>
        <v>0</v>
      </c>
      <c r="AE28" s="39"/>
      <c r="AF28" s="39"/>
      <c r="AG28" s="39"/>
      <c r="AH28" s="39"/>
      <c r="AI28" s="39"/>
      <c r="AJ28" s="39"/>
    </row>
    <row r="29" spans="1:36" x14ac:dyDescent="0.2">
      <c r="A29" s="5">
        <f>DAY(Kalenteri!A329)</f>
        <v>25</v>
      </c>
      <c r="B29" s="3" t="str">
        <f>IF(Kalenteri!B329=1,"su",IF(Kalenteri!B329=2,"ma",IF(Kalenteri!B329=3,"ti",IF(Kalenteri!B329=4,"ke",IF(Kalenteri!B329=5,"to",IF(Kalenteri!B329=6,"pe",IF(Kalenteri!B329=7,"la",)))))))</f>
        <v>ma</v>
      </c>
      <c r="C29" s="18">
        <v>22</v>
      </c>
      <c r="D29" s="10">
        <v>3</v>
      </c>
      <c r="E29" s="10"/>
      <c r="F29" s="11"/>
      <c r="G29" s="18"/>
      <c r="H29" s="11"/>
      <c r="I29" s="18"/>
      <c r="J29" s="11"/>
      <c r="K29" s="33">
        <f t="shared" si="0"/>
        <v>25</v>
      </c>
      <c r="L29" s="10" t="s">
        <v>273</v>
      </c>
      <c r="M29" s="10"/>
      <c r="N29" s="10"/>
      <c r="O29" s="11"/>
      <c r="P29" s="10"/>
      <c r="Q29" s="11"/>
      <c r="R29" s="30"/>
      <c r="S29" s="30"/>
      <c r="T29" s="33">
        <f t="shared" si="1"/>
        <v>0</v>
      </c>
      <c r="U29" s="10"/>
      <c r="V29" s="10"/>
      <c r="W29" s="10"/>
      <c r="X29" s="11"/>
      <c r="Y29" s="10"/>
      <c r="Z29" s="11"/>
      <c r="AA29" s="30"/>
      <c r="AB29" s="30"/>
      <c r="AC29" s="33">
        <f t="shared" si="2"/>
        <v>0</v>
      </c>
      <c r="AD29" s="12">
        <f t="shared" si="3"/>
        <v>25</v>
      </c>
      <c r="AE29" s="39"/>
      <c r="AF29" s="39"/>
      <c r="AG29" s="39"/>
      <c r="AH29" s="39"/>
      <c r="AI29" s="39"/>
      <c r="AJ29" s="39"/>
    </row>
    <row r="30" spans="1:36" x14ac:dyDescent="0.2">
      <c r="A30" s="5">
        <f>DAY(Kalenteri!A330)</f>
        <v>26</v>
      </c>
      <c r="B30" s="3" t="str">
        <f>IF(Kalenteri!B330=1,"su",IF(Kalenteri!B330=2,"ma",IF(Kalenteri!B330=3,"ti",IF(Kalenteri!B330=4,"ke",IF(Kalenteri!B330=5,"to",IF(Kalenteri!B330=6,"pe",IF(Kalenteri!B330=7,"la",)))))))</f>
        <v>ti</v>
      </c>
      <c r="C30" s="18"/>
      <c r="D30" s="10"/>
      <c r="E30" s="10"/>
      <c r="F30" s="11"/>
      <c r="G30" s="18"/>
      <c r="H30" s="11"/>
      <c r="I30" s="18"/>
      <c r="J30" s="11"/>
      <c r="K30" s="33">
        <f t="shared" si="0"/>
        <v>0</v>
      </c>
      <c r="L30" s="10"/>
      <c r="M30" s="10"/>
      <c r="N30" s="10"/>
      <c r="O30" s="11"/>
      <c r="P30" s="10"/>
      <c r="Q30" s="11"/>
      <c r="R30" s="30"/>
      <c r="S30" s="30"/>
      <c r="T30" s="33">
        <f t="shared" si="1"/>
        <v>0</v>
      </c>
      <c r="U30" s="10"/>
      <c r="V30" s="10"/>
      <c r="W30" s="10"/>
      <c r="X30" s="11"/>
      <c r="Y30" s="10"/>
      <c r="Z30" s="11"/>
      <c r="AA30" s="30"/>
      <c r="AB30" s="30"/>
      <c r="AC30" s="33">
        <f t="shared" si="2"/>
        <v>0</v>
      </c>
      <c r="AD30" s="12">
        <f t="shared" si="3"/>
        <v>0</v>
      </c>
      <c r="AE30" s="39"/>
      <c r="AF30" s="39"/>
      <c r="AG30" s="39"/>
      <c r="AH30" s="39"/>
      <c r="AI30" s="39"/>
      <c r="AJ30" s="39"/>
    </row>
    <row r="31" spans="1:36" x14ac:dyDescent="0.2">
      <c r="A31" s="5">
        <f>DAY(Kalenteri!A331)</f>
        <v>27</v>
      </c>
      <c r="B31" s="3" t="str">
        <f>IF(Kalenteri!B331=1,"su",IF(Kalenteri!B331=2,"ma",IF(Kalenteri!B331=3,"ti",IF(Kalenteri!B331=4,"ke",IF(Kalenteri!B331=5,"to",IF(Kalenteri!B331=6,"pe",IF(Kalenteri!B331=7,"la",)))))))</f>
        <v>ke</v>
      </c>
      <c r="C31" s="18"/>
      <c r="D31" s="10"/>
      <c r="E31" s="10"/>
      <c r="F31" s="11"/>
      <c r="G31" s="18"/>
      <c r="H31" s="11"/>
      <c r="I31" s="18"/>
      <c r="J31" s="11"/>
      <c r="K31" s="33">
        <f t="shared" si="0"/>
        <v>0</v>
      </c>
      <c r="L31" s="10"/>
      <c r="M31" s="10"/>
      <c r="N31" s="10"/>
      <c r="O31" s="11"/>
      <c r="P31" s="10"/>
      <c r="Q31" s="11"/>
      <c r="R31" s="30"/>
      <c r="S31" s="30"/>
      <c r="T31" s="33">
        <f t="shared" si="1"/>
        <v>0</v>
      </c>
      <c r="U31" s="10"/>
      <c r="V31" s="10"/>
      <c r="W31" s="10"/>
      <c r="X31" s="11"/>
      <c r="Y31" s="10"/>
      <c r="Z31" s="11"/>
      <c r="AA31" s="30"/>
      <c r="AB31" s="30"/>
      <c r="AC31" s="33">
        <f t="shared" si="2"/>
        <v>0</v>
      </c>
      <c r="AD31" s="12">
        <f t="shared" si="3"/>
        <v>0</v>
      </c>
      <c r="AE31" s="39"/>
      <c r="AF31" s="39"/>
      <c r="AG31" s="39"/>
      <c r="AH31" s="39"/>
      <c r="AI31" s="39"/>
      <c r="AJ31" s="39"/>
    </row>
    <row r="32" spans="1:36" x14ac:dyDescent="0.2">
      <c r="A32" s="5">
        <f>DAY(Kalenteri!A332)</f>
        <v>28</v>
      </c>
      <c r="B32" s="3" t="str">
        <f>IF(Kalenteri!B332=1,"su",IF(Kalenteri!B332=2,"ma",IF(Kalenteri!B332=3,"ti",IF(Kalenteri!B332=4,"ke",IF(Kalenteri!B332=5,"to",IF(Kalenteri!B332=6,"pe",IF(Kalenteri!B332=7,"la",)))))))</f>
        <v>to</v>
      </c>
      <c r="C32" s="18"/>
      <c r="D32" s="10"/>
      <c r="E32" s="10"/>
      <c r="F32" s="11"/>
      <c r="G32" s="18"/>
      <c r="H32" s="11"/>
      <c r="I32" s="18"/>
      <c r="J32" s="11"/>
      <c r="K32" s="33">
        <f t="shared" si="0"/>
        <v>0</v>
      </c>
      <c r="L32" s="10"/>
      <c r="M32" s="10"/>
      <c r="N32" s="10"/>
      <c r="O32" s="11"/>
      <c r="P32" s="10"/>
      <c r="Q32" s="11"/>
      <c r="R32" s="30"/>
      <c r="S32" s="30"/>
      <c r="T32" s="33">
        <f t="shared" si="1"/>
        <v>0</v>
      </c>
      <c r="U32" s="10"/>
      <c r="V32" s="10"/>
      <c r="W32" s="10"/>
      <c r="X32" s="11"/>
      <c r="Y32" s="10"/>
      <c r="Z32" s="11"/>
      <c r="AA32" s="30"/>
      <c r="AB32" s="30"/>
      <c r="AC32" s="33">
        <f t="shared" si="2"/>
        <v>0</v>
      </c>
      <c r="AD32" s="12">
        <f t="shared" si="3"/>
        <v>0</v>
      </c>
      <c r="AE32" s="39"/>
      <c r="AF32" s="39"/>
      <c r="AG32" s="39"/>
      <c r="AH32" s="39"/>
      <c r="AI32" s="39"/>
      <c r="AJ32" s="39"/>
    </row>
    <row r="33" spans="1:36" x14ac:dyDescent="0.2">
      <c r="A33" s="5">
        <f>DAY(Kalenteri!A333)</f>
        <v>29</v>
      </c>
      <c r="B33" s="3" t="str">
        <f>IF(Kalenteri!B333=1,"su",IF(Kalenteri!B333=2,"ma",IF(Kalenteri!B333=3,"ti",IF(Kalenteri!B333=4,"ke",IF(Kalenteri!B333=5,"to",IF(Kalenteri!B333=6,"pe",IF(Kalenteri!B333=7,"la",)))))))</f>
        <v>pe</v>
      </c>
      <c r="C33" s="18"/>
      <c r="D33" s="10"/>
      <c r="E33" s="10"/>
      <c r="F33" s="11"/>
      <c r="G33" s="18"/>
      <c r="H33" s="11"/>
      <c r="I33" s="18"/>
      <c r="J33" s="11"/>
      <c r="K33" s="33">
        <f t="shared" si="0"/>
        <v>0</v>
      </c>
      <c r="L33" s="10"/>
      <c r="M33" s="10"/>
      <c r="N33" s="10"/>
      <c r="O33" s="11"/>
      <c r="P33" s="10"/>
      <c r="Q33" s="11"/>
      <c r="R33" s="30"/>
      <c r="S33" s="30"/>
      <c r="T33" s="33">
        <f t="shared" si="1"/>
        <v>0</v>
      </c>
      <c r="U33" s="10"/>
      <c r="V33" s="10"/>
      <c r="W33" s="10"/>
      <c r="X33" s="11"/>
      <c r="Y33" s="10"/>
      <c r="Z33" s="11"/>
      <c r="AA33" s="30"/>
      <c r="AB33" s="30"/>
      <c r="AC33" s="33">
        <f t="shared" si="2"/>
        <v>0</v>
      </c>
      <c r="AD33" s="12">
        <f t="shared" si="3"/>
        <v>0</v>
      </c>
      <c r="AE33" s="39"/>
      <c r="AF33" s="39"/>
      <c r="AG33" s="39"/>
      <c r="AH33" s="39"/>
      <c r="AI33" s="39"/>
      <c r="AJ33" s="39"/>
    </row>
    <row r="34" spans="1:36" x14ac:dyDescent="0.2">
      <c r="A34" s="5">
        <f>DAY(Kalenteri!A334)</f>
        <v>30</v>
      </c>
      <c r="B34" s="3" t="str">
        <f>IF(Kalenteri!B334=1,"su",IF(Kalenteri!B334=2,"ma",IF(Kalenteri!B334=3,"ti",IF(Kalenteri!B334=4,"ke",IF(Kalenteri!B334=5,"to",IF(Kalenteri!B334=6,"pe",IF(Kalenteri!B334=7,"la",)))))))</f>
        <v>la</v>
      </c>
      <c r="C34" s="18"/>
      <c r="D34" s="10"/>
      <c r="E34" s="188"/>
      <c r="F34" s="11"/>
      <c r="G34" s="18"/>
      <c r="H34" s="11"/>
      <c r="I34" s="18"/>
      <c r="J34" s="11"/>
      <c r="K34" s="33">
        <f t="shared" si="0"/>
        <v>0</v>
      </c>
      <c r="L34" s="10"/>
      <c r="M34" s="10"/>
      <c r="N34" s="10"/>
      <c r="O34" s="11"/>
      <c r="P34" s="10"/>
      <c r="Q34" s="11"/>
      <c r="R34" s="30"/>
      <c r="S34" s="30"/>
      <c r="T34" s="33">
        <f t="shared" si="1"/>
        <v>0</v>
      </c>
      <c r="U34" s="10"/>
      <c r="V34" s="10"/>
      <c r="W34" s="10"/>
      <c r="X34" s="11"/>
      <c r="Y34" s="10"/>
      <c r="Z34" s="11"/>
      <c r="AA34" s="30"/>
      <c r="AB34" s="30"/>
      <c r="AC34" s="33">
        <f t="shared" si="2"/>
        <v>0</v>
      </c>
      <c r="AD34" s="12">
        <f t="shared" si="3"/>
        <v>0</v>
      </c>
      <c r="AE34" s="39"/>
      <c r="AF34" s="39"/>
      <c r="AG34" s="39"/>
      <c r="AH34" s="39"/>
      <c r="AI34" s="39"/>
      <c r="AJ34" s="39"/>
    </row>
    <row r="35" spans="1:36" x14ac:dyDescent="0.2">
      <c r="A35" s="5"/>
      <c r="B35" s="3"/>
      <c r="C35" s="79"/>
      <c r="D35" s="80"/>
      <c r="E35" s="80"/>
      <c r="F35" s="81"/>
      <c r="G35" s="79"/>
      <c r="H35" s="81"/>
      <c r="I35" s="79"/>
      <c r="J35" s="81"/>
      <c r="K35" s="34">
        <f t="shared" si="0"/>
        <v>0</v>
      </c>
      <c r="L35" s="20"/>
      <c r="M35" s="20"/>
      <c r="N35" s="20"/>
      <c r="O35" s="21"/>
      <c r="P35" s="20"/>
      <c r="Q35" s="21"/>
      <c r="R35" s="31"/>
      <c r="S35" s="31"/>
      <c r="T35" s="34">
        <f t="shared" si="1"/>
        <v>0</v>
      </c>
      <c r="U35" s="20"/>
      <c r="V35" s="20"/>
      <c r="W35" s="20"/>
      <c r="X35" s="21"/>
      <c r="Y35" s="20"/>
      <c r="Z35" s="21"/>
      <c r="AA35" s="31"/>
      <c r="AB35" s="31"/>
      <c r="AC35" s="34">
        <f t="shared" si="2"/>
        <v>0</v>
      </c>
      <c r="AD35" s="19">
        <f t="shared" si="3"/>
        <v>0</v>
      </c>
      <c r="AE35" s="39"/>
      <c r="AF35" s="39"/>
      <c r="AG35" s="39"/>
      <c r="AH35" s="39"/>
      <c r="AI35" s="39"/>
      <c r="AJ35" s="39"/>
    </row>
    <row r="36" spans="1:36" x14ac:dyDescent="0.2">
      <c r="A36" s="6"/>
      <c r="B36"/>
      <c r="C36" s="82">
        <f t="shared" ref="C36:J36" si="4">SUM(C5:C35)</f>
        <v>90</v>
      </c>
      <c r="D36" s="83">
        <f t="shared" si="4"/>
        <v>8</v>
      </c>
      <c r="E36" s="83">
        <f t="shared" si="4"/>
        <v>0</v>
      </c>
      <c r="F36" s="84">
        <f t="shared" si="4"/>
        <v>0</v>
      </c>
      <c r="G36" s="83">
        <f t="shared" si="4"/>
        <v>0</v>
      </c>
      <c r="H36" s="84">
        <f t="shared" si="4"/>
        <v>0</v>
      </c>
      <c r="I36" s="83">
        <f t="shared" si="4"/>
        <v>0</v>
      </c>
      <c r="J36" s="84">
        <f t="shared" si="4"/>
        <v>0</v>
      </c>
      <c r="K36" s="85">
        <f t="shared" si="0"/>
        <v>98</v>
      </c>
      <c r="L36" s="83">
        <f t="shared" ref="L36:S36" si="5">SUM(L5:L35)</f>
        <v>0</v>
      </c>
      <c r="M36" s="83">
        <f t="shared" si="5"/>
        <v>0</v>
      </c>
      <c r="N36" s="83">
        <f t="shared" si="5"/>
        <v>0</v>
      </c>
      <c r="O36" s="84">
        <f t="shared" si="5"/>
        <v>0</v>
      </c>
      <c r="P36" s="83">
        <f t="shared" si="5"/>
        <v>0</v>
      </c>
      <c r="Q36" s="84">
        <f t="shared" si="5"/>
        <v>0</v>
      </c>
      <c r="R36" s="86">
        <f t="shared" si="5"/>
        <v>0</v>
      </c>
      <c r="S36" s="86">
        <f t="shared" si="5"/>
        <v>0</v>
      </c>
      <c r="T36" s="85">
        <f t="shared" si="1"/>
        <v>0</v>
      </c>
      <c r="U36" s="83">
        <f t="shared" ref="U36:AB36" si="6">SUM(U5:U35)</f>
        <v>0</v>
      </c>
      <c r="V36" s="83">
        <f t="shared" si="6"/>
        <v>0</v>
      </c>
      <c r="W36" s="83">
        <f t="shared" si="6"/>
        <v>0</v>
      </c>
      <c r="X36" s="84">
        <f t="shared" si="6"/>
        <v>0</v>
      </c>
      <c r="Y36" s="83">
        <f t="shared" si="6"/>
        <v>0</v>
      </c>
      <c r="Z36" s="84">
        <f t="shared" si="6"/>
        <v>0</v>
      </c>
      <c r="AA36" s="86">
        <f t="shared" si="6"/>
        <v>0</v>
      </c>
      <c r="AB36" s="86">
        <f t="shared" si="6"/>
        <v>0</v>
      </c>
      <c r="AC36" s="85">
        <f t="shared" si="2"/>
        <v>0</v>
      </c>
      <c r="AD36" s="87">
        <f t="shared" si="3"/>
        <v>98</v>
      </c>
      <c r="AE36" s="66"/>
      <c r="AF36" s="66"/>
      <c r="AG36" s="66"/>
      <c r="AH36" s="66"/>
      <c r="AI36" s="66"/>
      <c r="AJ36" s="66"/>
    </row>
    <row r="37" spans="1:36" ht="8.1" customHeight="1" thickBot="1" x14ac:dyDescent="0.25">
      <c r="A37" s="6"/>
      <c r="B37"/>
      <c r="C37" s="2"/>
      <c r="D37" s="5"/>
      <c r="E37" s="5"/>
      <c r="F37" s="2"/>
      <c r="G37" s="2"/>
      <c r="H37" s="2"/>
      <c r="I37" s="5"/>
      <c r="J37" s="2"/>
      <c r="K37" s="2"/>
      <c r="L37" s="5"/>
      <c r="M37" s="2"/>
      <c r="N37" s="5"/>
      <c r="O37" s="5"/>
      <c r="P37" s="2"/>
      <c r="Q37" s="5"/>
      <c r="R37" s="42"/>
      <c r="S37" s="42"/>
      <c r="T37" s="2"/>
      <c r="U37" s="2"/>
      <c r="V37" s="2"/>
      <c r="W37" s="2"/>
      <c r="X37" s="5"/>
      <c r="Y37" s="2"/>
      <c r="Z37" s="2"/>
      <c r="AA37" s="39"/>
      <c r="AB37" s="39"/>
      <c r="AC37" s="5"/>
      <c r="AD37" s="40"/>
      <c r="AE37" s="40"/>
      <c r="AF37" s="40"/>
      <c r="AG37" s="40"/>
      <c r="AH37" s="40"/>
      <c r="AI37" s="40"/>
      <c r="AJ37" s="40"/>
    </row>
    <row r="38" spans="1:36" ht="24.95" customHeight="1" thickTop="1" x14ac:dyDescent="0.3">
      <c r="A38" s="6"/>
      <c r="B38"/>
      <c r="C38" s="171" t="str">
        <f>Kalenteri!E38</f>
        <v>Lippujen hinnat:</v>
      </c>
      <c r="D38" s="5"/>
      <c r="E38" s="5"/>
      <c r="F38" s="2"/>
      <c r="G38" s="2"/>
      <c r="H38" s="2"/>
      <c r="I38" s="5"/>
      <c r="J38" s="2"/>
      <c r="K38" s="2"/>
      <c r="L38" s="5"/>
      <c r="M38" s="2"/>
      <c r="N38" s="5"/>
      <c r="O38" s="5"/>
      <c r="P38" s="2"/>
      <c r="Q38"/>
      <c r="R38"/>
      <c r="S38"/>
      <c r="T38"/>
      <c r="U38" s="49" t="s">
        <v>40</v>
      </c>
      <c r="V38" s="50"/>
      <c r="W38" s="43"/>
      <c r="X38" s="44"/>
      <c r="Y38" s="43"/>
      <c r="Z38" s="43"/>
      <c r="AA38" s="44"/>
      <c r="AB38" s="44"/>
      <c r="AC38" s="47"/>
      <c r="AD38" s="45">
        <f>AD36</f>
        <v>98</v>
      </c>
      <c r="AE38" s="41"/>
      <c r="AF38" s="41"/>
      <c r="AG38" s="41"/>
      <c r="AH38" s="41"/>
      <c r="AI38" s="41"/>
      <c r="AJ38" s="41"/>
    </row>
    <row r="39" spans="1:36" ht="24.95" customHeight="1" x14ac:dyDescent="0.3">
      <c r="A39" s="6"/>
      <c r="B39"/>
      <c r="C39" s="193" t="str">
        <f>Kalenteri!E39</f>
        <v>Mustikkamaan kautta: 1.9.-30.4. aik. 10 €, lapset 5 €, kimppalippu 30 €    1.5.-30.8. aik. 12 €, lapset 6 €, kimppalippu 36 €</v>
      </c>
      <c r="D39" s="89"/>
      <c r="E39" s="89"/>
      <c r="F39" s="90"/>
      <c r="G39" s="102"/>
      <c r="H39" s="174"/>
      <c r="I39" s="89"/>
      <c r="J39" s="90"/>
      <c r="K39" s="90"/>
      <c r="L39" s="89"/>
      <c r="M39" s="90"/>
      <c r="N39" s="89"/>
      <c r="O39" s="89"/>
      <c r="P39" s="89"/>
      <c r="Q39" s="104"/>
      <c r="R39" s="103"/>
      <c r="S39"/>
      <c r="T39"/>
      <c r="U39" s="62" t="s">
        <v>13</v>
      </c>
      <c r="V39" s="52"/>
      <c r="W39" s="53"/>
      <c r="X39" s="54"/>
      <c r="Y39" s="53"/>
      <c r="Z39" s="53"/>
      <c r="AA39" s="54"/>
      <c r="AB39" s="54"/>
      <c r="AC39" s="55"/>
      <c r="AD39" s="56">
        <f>AD36-Edellisvuosi!L8</f>
        <v>-301</v>
      </c>
      <c r="AE39" s="67"/>
      <c r="AF39" s="67"/>
      <c r="AG39" s="67"/>
      <c r="AH39" s="67"/>
      <c r="AI39" s="67"/>
      <c r="AJ39" s="67"/>
    </row>
    <row r="40" spans="1:36" ht="24.95" customHeight="1" x14ac:dyDescent="0.3">
      <c r="A40" s="6"/>
      <c r="B40" s="6"/>
      <c r="C40" s="194" t="str">
        <f>Kalenteri!E40</f>
        <v xml:space="preserve">                                    Vuosikortti:     aik. 50 €, lapset 20 €, perhekortti 100 €</v>
      </c>
      <c r="D40" s="39"/>
      <c r="E40" s="39"/>
      <c r="F40" s="42"/>
      <c r="G40" s="65"/>
      <c r="H40" s="176"/>
      <c r="I40" s="39"/>
      <c r="J40" s="42"/>
      <c r="K40" s="42"/>
      <c r="L40" s="39"/>
      <c r="M40" s="42"/>
      <c r="N40" s="39"/>
      <c r="O40" s="39"/>
      <c r="P40" s="39"/>
      <c r="Q40" s="23"/>
      <c r="R40" s="97"/>
      <c r="S40"/>
      <c r="T40"/>
      <c r="U40" s="63" t="s">
        <v>41</v>
      </c>
      <c r="V40" s="37"/>
      <c r="W40" s="51"/>
      <c r="X40" s="41"/>
      <c r="Y40" s="51"/>
      <c r="Z40" s="41"/>
      <c r="AA40" s="41"/>
      <c r="AB40" s="41"/>
      <c r="AC40" s="48"/>
      <c r="AD40" s="46">
        <f>AD36+'K1'!AD36+'K2'!AD36+'K3'!AD36+'K4'!AD36+'K5'!AD36+'K6'!AD36+'K7'!AD36+'K8'!AD36+'K9'!AD36+'K10'!AD36</f>
        <v>12441</v>
      </c>
      <c r="AE40" s="41"/>
      <c r="AF40" s="41"/>
      <c r="AG40" s="41"/>
      <c r="AH40" s="41"/>
      <c r="AI40" s="41"/>
      <c r="AJ40" s="41"/>
    </row>
    <row r="41" spans="1:36" ht="24.95" customHeight="1" thickBot="1" x14ac:dyDescent="0.35">
      <c r="A41" s="4"/>
      <c r="B41" s="4"/>
      <c r="C41" s="195" t="str">
        <f>Kalenteri!E41</f>
        <v>Vesibusseilla:             1.9.-30.4. aik. 16 €, lapset 8 €, kimppalippu 47 €    1.5.-31.8. aik. 18 €, lapset 9 €, kimppalippu 53 €</v>
      </c>
      <c r="D41" s="93"/>
      <c r="E41" s="93"/>
      <c r="F41" s="94"/>
      <c r="G41" s="94"/>
      <c r="H41" s="175"/>
      <c r="I41" s="93"/>
      <c r="J41" s="96"/>
      <c r="K41" s="96"/>
      <c r="L41" s="93"/>
      <c r="M41" s="95"/>
      <c r="N41" s="95"/>
      <c r="O41" s="93"/>
      <c r="P41" s="93"/>
      <c r="Q41" s="95"/>
      <c r="R41" s="98"/>
      <c r="S41"/>
      <c r="T41"/>
      <c r="U41" s="64" t="s">
        <v>13</v>
      </c>
      <c r="V41" s="57"/>
      <c r="W41" s="58"/>
      <c r="X41" s="59"/>
      <c r="Y41" s="59"/>
      <c r="Z41" s="59"/>
      <c r="AA41" s="59"/>
      <c r="AB41" s="59"/>
      <c r="AC41" s="60"/>
      <c r="AD41" s="61">
        <f>AD40-Edellisvuosi!B8-Edellisvuosi!C8-Edellisvuosi!D8-Edellisvuosi!E8-Edellisvuosi!F8-Edellisvuosi!G8-Edellisvuosi!H8-Edellisvuosi!I8-Edellisvuosi!J8-Edellisvuosi!K8-Edellisvuosi!L8</f>
        <v>99</v>
      </c>
      <c r="AE41" s="68"/>
      <c r="AF41" s="68"/>
      <c r="AG41" s="68"/>
      <c r="AH41" s="68"/>
      <c r="AI41" s="68"/>
      <c r="AJ41" s="68"/>
    </row>
    <row r="42" spans="1:36" ht="13.5" thickTop="1" x14ac:dyDescent="0.2"/>
  </sheetData>
  <sheetProtection password="C4AC" sheet="1" objects="1" scenarios="1"/>
  <phoneticPr fontId="4" type="noConversion"/>
  <pageMargins left="0" right="0" top="0.27559055118110237" bottom="0" header="0" footer="0"/>
  <pageSetup paperSize="9" scale="75" fitToHeight="0" orientation="landscape" horizontalDpi="4294967292" verticalDpi="4294967292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99329" r:id="rId4" name="Button 1">
              <controlPr defaultSize="0" print="0" autoFill="0" autoLine="0" autoPict="0" macro="[1]!TAMMI">
                <anchor moveWithCells="1" sizeWithCells="1">
                  <from>
                    <xdr:col>35</xdr:col>
                    <xdr:colOff>0</xdr:colOff>
                    <xdr:row>3</xdr:row>
                    <xdr:rowOff>9525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9330" r:id="rId5" name="Button 2">
              <controlPr defaultSize="0" print="0" autoFill="0" autoLine="0" autoPict="0" macro="[1]KTMAKRO!$A$1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9331" r:id="rId6" name="Button 3">
              <controlPr defaultSize="0" print="0" autoFill="0" autoLine="0" autoPict="0" macro="[1]!MAALIS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9332" r:id="rId7" name="Button 4">
              <controlPr defaultSize="0" print="0" autoFill="0" autoLine="0" autoPict="0" macro="[1]KTMAKRO!$D$1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9333" r:id="rId8" name="Button 5">
              <controlPr defaultSize="0" print="0" autoFill="0" autoLine="0" autoPict="0" macro="[1]KTMAKRO!$E$1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9334" r:id="rId9" name="Button 6">
              <controlPr defaultSize="0" print="0" autoFill="0" autoLine="0" autoPict="0" macro="[1]!KESÄ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9335" r:id="rId10" name="Button 7">
              <controlPr defaultSize="0" print="0" autoFill="0" autoLine="0" autoPict="0" macro="[1]!HELMI">
                <anchor moveWithCells="1" sizeWithCells="1">
                  <from>
                    <xdr:col>35</xdr:col>
                    <xdr:colOff>0</xdr:colOff>
                    <xdr:row>3</xdr:row>
                    <xdr:rowOff>9525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9336" r:id="rId11" name="Button 8">
              <controlPr defaultSize="0" print="0" autoFill="0" autoLine="0" autoPict="0" macro="[1]KTMAKRO!$G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9337" r:id="rId12" name="Button 9">
              <controlPr defaultSize="0" print="0" autoFill="0" autoLine="0" autoPict="0" macro="[1]KTMAKRO!$I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9338" r:id="rId13" name="Button 10">
              <controlPr defaultSize="0" print="0" autoFill="0" autoLine="0" autoPict="0" macro="[1]KTMAKRO!$J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9339" r:id="rId14" name="Button 11">
              <controlPr defaultSize="0" print="0" autoFill="0" autoLine="0" autoPict="0" macro="[1]KTMAKRO!$K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9340" r:id="rId15" name="Button 12">
              <controlPr defaultSize="0" print="0" autoFill="0" autoLine="0" autoPict="0" macro="[1]KTMAKRO!$L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9341" r:id="rId16" name="Button 13">
              <controlPr defaultSize="0" print="0" autoFill="0" autoLine="0" autoPict="0" macro="[1]KTMAKRO!$H$1">
                <anchor moveWithCells="1" sizeWithCells="1">
                  <from>
                    <xdr:col>35</xdr:col>
                    <xdr:colOff>0</xdr:colOff>
                    <xdr:row>5</xdr:row>
                    <xdr:rowOff>0</xdr:rowOff>
                  </from>
                  <to>
                    <xdr:col>35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9342" r:id="rId17" name="Button 14">
              <controlPr defaultSize="0" print="0" autoFill="0" autoLine="0" autoPict="0" macro="[1]!Yhteenveto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5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9343" r:id="rId18" name="Button 15">
              <controlPr defaultSize="0" print="0" autoFill="0" autoLine="0" autoPict="0" macro="[1]!GRAFIIKKA1">
                <anchor moveWithCells="1" sizeWithCells="1">
                  <from>
                    <xdr:col>35</xdr:col>
                    <xdr:colOff>0</xdr:colOff>
                    <xdr:row>8</xdr:row>
                    <xdr:rowOff>142875</xdr:rowOff>
                  </from>
                  <to>
                    <xdr:col>35</xdr:col>
                    <xdr:colOff>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9344" r:id="rId19" name="Button 16">
              <controlPr defaultSize="0" print="0" autoFill="0" autoLine="0" autoPict="0" macro="[1]!Grafiikka2">
                <anchor moveWithCells="1" sizeWithCells="1">
                  <from>
                    <xdr:col>35</xdr:col>
                    <xdr:colOff>0</xdr:colOff>
                    <xdr:row>8</xdr:row>
                    <xdr:rowOff>152400</xdr:rowOff>
                  </from>
                  <to>
                    <xdr:col>35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9345" r:id="rId20" name="Button 17">
              <controlPr defaultSize="0" print="0" autoFill="0" autoLine="0" autoPict="0" macro="[1]!Grafiikka4">
                <anchor moveWithCells="1" sizeWithCells="1">
                  <from>
                    <xdr:col>35</xdr:col>
                    <xdr:colOff>0</xdr:colOff>
                    <xdr:row>8</xdr:row>
                    <xdr:rowOff>142875</xdr:rowOff>
                  </from>
                  <to>
                    <xdr:col>35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9346" r:id="rId21" name="Button 18">
              <controlPr defaultSize="0" print="0" autoFill="0" autoLine="0" autoPict="0" macro="[1]!Grafiikka4">
                <anchor moveWithCells="1" sizeWithCells="1">
                  <from>
                    <xdr:col>35</xdr:col>
                    <xdr:colOff>0</xdr:colOff>
                    <xdr:row>8</xdr:row>
                    <xdr:rowOff>152400</xdr:rowOff>
                  </from>
                  <to>
                    <xdr:col>35</xdr:col>
                    <xdr:colOff>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9347" r:id="rId22" name="Button 19">
              <controlPr defaultSize="0" print="0" autoFill="0" autoLine="0" autoPict="0" macro="[1]!Grafiikka5">
                <anchor moveWithCells="1" sizeWithCells="1">
                  <from>
                    <xdr:col>35</xdr:col>
                    <xdr:colOff>0</xdr:colOff>
                    <xdr:row>8</xdr:row>
                    <xdr:rowOff>152400</xdr:rowOff>
                  </from>
                  <to>
                    <xdr:col>35</xdr:col>
                    <xdr:colOff>0</xdr:colOff>
                    <xdr:row>12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9348" r:id="rId23" name="Button 20">
              <controlPr defaultSize="0" print="0" autoFill="0" autoLine="0" autoPict="0" macro="[1]!Perusikkuna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12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/>
  <dimension ref="A1:AJ42"/>
  <sheetViews>
    <sheetView showGridLines="0" zoomScale="80" zoomScaleNormal="80" workbookViewId="0"/>
  </sheetViews>
  <sheetFormatPr defaultColWidth="9.75" defaultRowHeight="12.75" x14ac:dyDescent="0.2"/>
  <cols>
    <col min="1" max="1" width="3.75" style="1" customWidth="1"/>
    <col min="2" max="2" width="2.75" style="1" customWidth="1"/>
    <col min="3" max="4" width="6.125" style="1" customWidth="1"/>
    <col min="5" max="5" width="4" style="1" customWidth="1"/>
    <col min="6" max="6" width="4.5" style="1" customWidth="1"/>
    <col min="7" max="10" width="6.125" style="1" customWidth="1"/>
    <col min="11" max="11" width="5.875" style="1" customWidth="1"/>
    <col min="12" max="13" width="6.125" style="1" customWidth="1"/>
    <col min="14" max="14" width="5.25" style="1" customWidth="1"/>
    <col min="15" max="15" width="4.5" style="1" customWidth="1"/>
    <col min="16" max="16" width="6.125" style="1" customWidth="1"/>
    <col min="17" max="17" width="5.5" style="1" customWidth="1"/>
    <col min="18" max="19" width="6.125" style="1" customWidth="1"/>
    <col min="20" max="20" width="5.875" style="1" customWidth="1"/>
    <col min="21" max="22" width="6.125" style="1" customWidth="1"/>
    <col min="23" max="23" width="4.375" style="1" customWidth="1"/>
    <col min="24" max="24" width="4.25" style="1" customWidth="1"/>
    <col min="25" max="29" width="6.125" style="1" customWidth="1"/>
    <col min="30" max="36" width="15.625" style="1" customWidth="1"/>
  </cols>
  <sheetData>
    <row r="1" spans="1:36" ht="30" customHeight="1" x14ac:dyDescent="0.35">
      <c r="A1" s="22"/>
      <c r="B1" s="4"/>
      <c r="C1" s="105" t="s">
        <v>15</v>
      </c>
      <c r="D1" s="106"/>
      <c r="E1" s="106"/>
      <c r="F1" s="106"/>
      <c r="G1" s="106"/>
      <c r="H1" s="106"/>
      <c r="I1" s="106"/>
      <c r="J1" s="106"/>
      <c r="K1" s="106"/>
      <c r="L1" s="105" t="str">
        <f>Kalenteri!$H$1</f>
        <v>KÄVIJÄTILASTO 2013</v>
      </c>
      <c r="M1" s="107"/>
      <c r="N1" s="107"/>
      <c r="O1" s="107"/>
      <c r="P1" s="106"/>
      <c r="Q1" s="106"/>
      <c r="R1" s="105" t="s">
        <v>81</v>
      </c>
      <c r="S1" s="108"/>
      <c r="T1" s="106"/>
      <c r="U1" s="109"/>
      <c r="V1" s="105" t="s">
        <v>39</v>
      </c>
      <c r="W1" s="109"/>
      <c r="X1" s="106"/>
      <c r="Y1" s="106"/>
      <c r="Z1" s="106"/>
      <c r="AA1" s="106"/>
      <c r="AB1" s="106"/>
      <c r="AC1" s="106"/>
      <c r="AD1" s="110"/>
      <c r="AE1" s="4"/>
      <c r="AF1" s="4"/>
      <c r="AG1" s="4"/>
      <c r="AH1" s="4"/>
      <c r="AI1" s="4"/>
      <c r="AJ1" s="4"/>
    </row>
    <row r="2" spans="1:36" ht="30" customHeight="1" x14ac:dyDescent="0.3">
      <c r="A2" s="3"/>
      <c r="B2" s="4"/>
      <c r="C2" s="72"/>
      <c r="D2" s="73"/>
      <c r="E2" s="74" t="s">
        <v>1</v>
      </c>
      <c r="F2" s="75"/>
      <c r="G2" s="75"/>
      <c r="H2" s="75"/>
      <c r="I2" s="75"/>
      <c r="J2" s="75"/>
      <c r="K2" s="76"/>
      <c r="L2" s="72"/>
      <c r="M2" s="77"/>
      <c r="N2" s="73"/>
      <c r="O2" s="74" t="s">
        <v>2</v>
      </c>
      <c r="P2" s="75"/>
      <c r="Q2" s="75"/>
      <c r="R2" s="75"/>
      <c r="S2" s="75"/>
      <c r="T2" s="76"/>
      <c r="U2" s="72"/>
      <c r="V2" s="75"/>
      <c r="W2" s="73"/>
      <c r="X2" s="74" t="s">
        <v>3</v>
      </c>
      <c r="Y2" s="75"/>
      <c r="Z2" s="75"/>
      <c r="AA2" s="75"/>
      <c r="AB2" s="75"/>
      <c r="AC2" s="76"/>
      <c r="AD2" s="13"/>
      <c r="AE2" s="35"/>
      <c r="AF2" s="69"/>
      <c r="AG2" s="69"/>
      <c r="AH2" s="69"/>
      <c r="AI2" s="69"/>
      <c r="AJ2" s="69"/>
    </row>
    <row r="3" spans="1:36" x14ac:dyDescent="0.2">
      <c r="A3" s="4"/>
      <c r="B3" s="4"/>
      <c r="C3" s="24" t="s">
        <v>4</v>
      </c>
      <c r="D3" s="25"/>
      <c r="E3" s="25"/>
      <c r="F3" s="26"/>
      <c r="G3" s="24" t="s">
        <v>5</v>
      </c>
      <c r="H3" s="26"/>
      <c r="I3" s="25" t="s">
        <v>6</v>
      </c>
      <c r="J3" s="25"/>
      <c r="K3" s="27"/>
      <c r="L3" s="24" t="s">
        <v>4</v>
      </c>
      <c r="M3" s="25"/>
      <c r="N3" s="25"/>
      <c r="O3" s="26"/>
      <c r="P3" s="24" t="s">
        <v>5</v>
      </c>
      <c r="Q3" s="26"/>
      <c r="R3" s="25" t="s">
        <v>6</v>
      </c>
      <c r="S3" s="25"/>
      <c r="T3" s="27"/>
      <c r="U3" s="24" t="s">
        <v>4</v>
      </c>
      <c r="V3" s="25"/>
      <c r="W3" s="25"/>
      <c r="X3" s="26"/>
      <c r="Y3" s="24" t="s">
        <v>5</v>
      </c>
      <c r="Z3" s="26"/>
      <c r="AA3" s="25" t="s">
        <v>6</v>
      </c>
      <c r="AB3" s="25"/>
      <c r="AC3" s="27"/>
      <c r="AD3" s="36" t="s">
        <v>7</v>
      </c>
      <c r="AE3" s="38"/>
      <c r="AF3" s="70"/>
      <c r="AG3" s="70"/>
      <c r="AH3" s="70"/>
      <c r="AI3" s="70"/>
      <c r="AJ3"/>
    </row>
    <row r="4" spans="1:36" x14ac:dyDescent="0.2">
      <c r="A4" s="6"/>
      <c r="B4" s="4"/>
      <c r="C4" s="7" t="s">
        <v>8</v>
      </c>
      <c r="D4" s="8" t="s">
        <v>9</v>
      </c>
      <c r="E4" s="8" t="s">
        <v>10</v>
      </c>
      <c r="F4" s="9" t="s">
        <v>11</v>
      </c>
      <c r="G4" s="7" t="s">
        <v>8</v>
      </c>
      <c r="H4" s="9" t="s">
        <v>9</v>
      </c>
      <c r="I4" s="8" t="s">
        <v>8</v>
      </c>
      <c r="J4" s="8" t="s">
        <v>9</v>
      </c>
      <c r="K4" s="14" t="s">
        <v>0</v>
      </c>
      <c r="L4" s="7" t="s">
        <v>8</v>
      </c>
      <c r="M4" s="8" t="s">
        <v>9</v>
      </c>
      <c r="N4" s="8" t="s">
        <v>10</v>
      </c>
      <c r="O4" s="9" t="s">
        <v>11</v>
      </c>
      <c r="P4" s="7" t="s">
        <v>8</v>
      </c>
      <c r="Q4" s="9" t="s">
        <v>9</v>
      </c>
      <c r="R4" s="8" t="s">
        <v>8</v>
      </c>
      <c r="S4" s="8" t="s">
        <v>9</v>
      </c>
      <c r="T4" s="14" t="s">
        <v>0</v>
      </c>
      <c r="U4" s="7" t="s">
        <v>8</v>
      </c>
      <c r="V4" s="8" t="s">
        <v>9</v>
      </c>
      <c r="W4" s="8" t="s">
        <v>10</v>
      </c>
      <c r="X4" s="9" t="s">
        <v>11</v>
      </c>
      <c r="Y4" s="7" t="s">
        <v>8</v>
      </c>
      <c r="Z4" s="9" t="s">
        <v>9</v>
      </c>
      <c r="AA4" s="8" t="s">
        <v>8</v>
      </c>
      <c r="AB4" s="8" t="s">
        <v>9</v>
      </c>
      <c r="AC4" s="14" t="s">
        <v>0</v>
      </c>
      <c r="AD4" s="28"/>
      <c r="AE4" s="23"/>
      <c r="AF4" s="23"/>
      <c r="AG4" s="23"/>
      <c r="AH4" s="23"/>
      <c r="AI4" s="23"/>
      <c r="AJ4"/>
    </row>
    <row r="5" spans="1:36" x14ac:dyDescent="0.2">
      <c r="A5" s="5">
        <f>DAY(Kalenteri!A335)</f>
        <v>1</v>
      </c>
      <c r="B5" s="3" t="str">
        <f>IF(Kalenteri!B335=1,"su",IF(Kalenteri!B335=2,"ma",IF(Kalenteri!B335=3,"ti",IF(Kalenteri!B335=4,"ke",IF(Kalenteri!B335=5,"to",IF(Kalenteri!B335=6,"pe",IF(Kalenteri!B335=7,"la",)))))))</f>
        <v>su</v>
      </c>
      <c r="C5" s="78"/>
      <c r="D5" s="15"/>
      <c r="E5" s="15"/>
      <c r="F5" s="16"/>
      <c r="G5" s="78"/>
      <c r="H5" s="16"/>
      <c r="I5" s="78"/>
      <c r="J5" s="16"/>
      <c r="K5" s="32">
        <f t="shared" ref="K5:K36" si="0">SUM(C5:J5)</f>
        <v>0</v>
      </c>
      <c r="L5" s="15"/>
      <c r="M5" s="15"/>
      <c r="N5" s="15"/>
      <c r="O5" s="16"/>
      <c r="P5" s="15"/>
      <c r="Q5" s="16"/>
      <c r="R5" s="29"/>
      <c r="S5" s="29"/>
      <c r="T5" s="32">
        <f t="shared" ref="T5:T36" si="1">SUM(L5:S5)</f>
        <v>0</v>
      </c>
      <c r="U5" s="15"/>
      <c r="V5" s="15"/>
      <c r="W5" s="15"/>
      <c r="X5" s="16"/>
      <c r="Y5" s="15"/>
      <c r="Z5" s="16"/>
      <c r="AA5" s="29"/>
      <c r="AB5" s="29"/>
      <c r="AC5" s="32">
        <f t="shared" ref="AC5:AC36" si="2">SUM(U5:AB5)</f>
        <v>0</v>
      </c>
      <c r="AD5" s="17">
        <f t="shared" ref="AD5:AD36" si="3">SUM(K5,T5,AC5)</f>
        <v>0</v>
      </c>
      <c r="AE5" s="39"/>
      <c r="AF5" s="39"/>
      <c r="AG5" s="39"/>
      <c r="AH5" s="39"/>
      <c r="AI5" s="39"/>
      <c r="AJ5"/>
    </row>
    <row r="6" spans="1:36" x14ac:dyDescent="0.2">
      <c r="A6" s="5">
        <f>DAY(Kalenteri!A336)</f>
        <v>2</v>
      </c>
      <c r="B6" s="3" t="str">
        <f>IF(Kalenteri!B336=1,"su",IF(Kalenteri!B336=2,"ma",IF(Kalenteri!B336=3,"ti",IF(Kalenteri!B336=4,"ke",IF(Kalenteri!B336=5,"to",IF(Kalenteri!B336=6,"pe",IF(Kalenteri!B336=7,"la",)))))))</f>
        <v>ma</v>
      </c>
      <c r="C6" s="18">
        <f>12+4</f>
        <v>16</v>
      </c>
      <c r="D6" s="10">
        <v>1</v>
      </c>
      <c r="E6" s="10"/>
      <c r="F6" s="11"/>
      <c r="G6" s="18"/>
      <c r="H6" s="11"/>
      <c r="I6" s="18"/>
      <c r="J6" s="11"/>
      <c r="K6" s="33">
        <f t="shared" si="0"/>
        <v>17</v>
      </c>
      <c r="L6" s="10" t="s">
        <v>273</v>
      </c>
      <c r="M6" s="10"/>
      <c r="N6" s="10"/>
      <c r="O6" s="11"/>
      <c r="P6" s="10"/>
      <c r="Q6" s="11"/>
      <c r="R6" s="30"/>
      <c r="S6" s="30"/>
      <c r="T6" s="33">
        <f t="shared" si="1"/>
        <v>0</v>
      </c>
      <c r="U6" s="10"/>
      <c r="V6" s="10"/>
      <c r="W6" s="10"/>
      <c r="X6" s="11"/>
      <c r="Y6" s="10"/>
      <c r="Z6" s="11"/>
      <c r="AA6" s="30"/>
      <c r="AB6" s="30"/>
      <c r="AC6" s="33">
        <f t="shared" si="2"/>
        <v>0</v>
      </c>
      <c r="AD6" s="12">
        <f t="shared" si="3"/>
        <v>17</v>
      </c>
      <c r="AE6" s="39"/>
      <c r="AF6" s="39"/>
      <c r="AG6" s="39"/>
      <c r="AH6" s="39"/>
      <c r="AI6" s="39"/>
      <c r="AJ6"/>
    </row>
    <row r="7" spans="1:36" x14ac:dyDescent="0.2">
      <c r="A7" s="5">
        <f>DAY(Kalenteri!A337)</f>
        <v>3</v>
      </c>
      <c r="B7" s="3" t="str">
        <f>IF(Kalenteri!B337=1,"su",IF(Kalenteri!B337=2,"ma",IF(Kalenteri!B337=3,"ti",IF(Kalenteri!B337=4,"ke",IF(Kalenteri!B337=5,"to",IF(Kalenteri!B337=6,"pe",IF(Kalenteri!B337=7,"la",)))))))</f>
        <v>ti</v>
      </c>
      <c r="C7" s="18"/>
      <c r="D7" s="10"/>
      <c r="E7" s="10"/>
      <c r="F7" s="11"/>
      <c r="G7" s="18"/>
      <c r="H7" s="11"/>
      <c r="I7" s="18"/>
      <c r="J7" s="11"/>
      <c r="K7" s="33">
        <f t="shared" si="0"/>
        <v>0</v>
      </c>
      <c r="L7" s="10"/>
      <c r="M7" s="10"/>
      <c r="N7" s="10"/>
      <c r="O7" s="11"/>
      <c r="P7" s="10"/>
      <c r="Q7" s="11"/>
      <c r="R7" s="30"/>
      <c r="S7" s="30"/>
      <c r="T7" s="33">
        <f t="shared" si="1"/>
        <v>0</v>
      </c>
      <c r="U7" s="10"/>
      <c r="V7" s="10"/>
      <c r="W7" s="10"/>
      <c r="X7" s="11"/>
      <c r="Y7" s="10"/>
      <c r="Z7" s="11"/>
      <c r="AA7" s="30"/>
      <c r="AB7" s="30"/>
      <c r="AC7" s="33">
        <f t="shared" si="2"/>
        <v>0</v>
      </c>
      <c r="AD7" s="12">
        <f t="shared" si="3"/>
        <v>0</v>
      </c>
      <c r="AE7" s="39"/>
      <c r="AF7" s="39"/>
      <c r="AG7" s="39"/>
      <c r="AH7" s="39"/>
      <c r="AI7" s="39"/>
      <c r="AJ7"/>
    </row>
    <row r="8" spans="1:36" x14ac:dyDescent="0.2">
      <c r="A8" s="5">
        <f>DAY(Kalenteri!A338)</f>
        <v>4</v>
      </c>
      <c r="B8" s="3" t="str">
        <f>IF(Kalenteri!B338=1,"su",IF(Kalenteri!B338=2,"ma",IF(Kalenteri!B338=3,"ti",IF(Kalenteri!B338=4,"ke",IF(Kalenteri!B338=5,"to",IF(Kalenteri!B338=6,"pe",IF(Kalenteri!B338=7,"la",)))))))</f>
        <v>ke</v>
      </c>
      <c r="C8" s="18"/>
      <c r="D8" s="10"/>
      <c r="E8" s="10"/>
      <c r="F8" s="11"/>
      <c r="G8" s="18"/>
      <c r="H8" s="11"/>
      <c r="I8" s="18"/>
      <c r="J8" s="11"/>
      <c r="K8" s="33">
        <f t="shared" si="0"/>
        <v>0</v>
      </c>
      <c r="L8" s="10"/>
      <c r="M8" s="10"/>
      <c r="N8" s="10"/>
      <c r="O8" s="11"/>
      <c r="P8" s="10"/>
      <c r="Q8" s="11"/>
      <c r="R8" s="30"/>
      <c r="S8" s="30"/>
      <c r="T8" s="33">
        <f t="shared" si="1"/>
        <v>0</v>
      </c>
      <c r="U8" s="10"/>
      <c r="V8" s="10"/>
      <c r="W8" s="10"/>
      <c r="X8" s="11"/>
      <c r="Y8" s="10"/>
      <c r="Z8" s="11"/>
      <c r="AA8" s="30"/>
      <c r="AB8" s="30"/>
      <c r="AC8" s="33">
        <f t="shared" si="2"/>
        <v>0</v>
      </c>
      <c r="AD8" s="12">
        <f t="shared" si="3"/>
        <v>0</v>
      </c>
      <c r="AE8" s="39"/>
      <c r="AF8" s="39"/>
      <c r="AG8" s="39"/>
      <c r="AH8" s="39"/>
      <c r="AI8" s="39"/>
      <c r="AJ8"/>
    </row>
    <row r="9" spans="1:36" x14ac:dyDescent="0.2">
      <c r="A9" s="5">
        <f>DAY(Kalenteri!A339)</f>
        <v>5</v>
      </c>
      <c r="B9" s="3" t="str">
        <f>IF(Kalenteri!B339=1,"su",IF(Kalenteri!B339=2,"ma",IF(Kalenteri!B339=3,"ti",IF(Kalenteri!B339=4,"ke",IF(Kalenteri!B339=5,"to",IF(Kalenteri!B339=6,"pe",IF(Kalenteri!B339=7,"la",)))))))</f>
        <v>to</v>
      </c>
      <c r="C9" s="18"/>
      <c r="D9" s="10"/>
      <c r="E9" s="10"/>
      <c r="F9" s="11"/>
      <c r="G9" s="18"/>
      <c r="H9" s="11"/>
      <c r="I9" s="18"/>
      <c r="J9" s="11"/>
      <c r="K9" s="33">
        <f t="shared" si="0"/>
        <v>0</v>
      </c>
      <c r="L9" s="10"/>
      <c r="M9" s="10"/>
      <c r="N9" s="10"/>
      <c r="O9" s="11"/>
      <c r="P9" s="10"/>
      <c r="Q9" s="11"/>
      <c r="R9" s="30"/>
      <c r="S9" s="30"/>
      <c r="T9" s="33">
        <f t="shared" si="1"/>
        <v>0</v>
      </c>
      <c r="U9" s="10"/>
      <c r="V9" s="10"/>
      <c r="W9" s="10"/>
      <c r="X9" s="11"/>
      <c r="Y9" s="10"/>
      <c r="Z9" s="11"/>
      <c r="AA9" s="30"/>
      <c r="AB9" s="30"/>
      <c r="AC9" s="33">
        <f t="shared" si="2"/>
        <v>0</v>
      </c>
      <c r="AD9" s="12">
        <f t="shared" si="3"/>
        <v>0</v>
      </c>
      <c r="AE9" s="39"/>
      <c r="AF9" s="39"/>
      <c r="AG9" s="39"/>
      <c r="AH9" s="39"/>
      <c r="AI9" s="39"/>
      <c r="AJ9"/>
    </row>
    <row r="10" spans="1:36" x14ac:dyDescent="0.2">
      <c r="A10" s="5">
        <f>DAY(Kalenteri!A340)</f>
        <v>6</v>
      </c>
      <c r="B10" s="3" t="str">
        <f>IF(Kalenteri!B340=1,"su",IF(Kalenteri!B340=2,"ma",IF(Kalenteri!B340=3,"ti",IF(Kalenteri!B340=4,"ke",IF(Kalenteri!B340=5,"to",IF(Kalenteri!B340=6,"pe",IF(Kalenteri!B340=7,"la",)))))))</f>
        <v>pe</v>
      </c>
      <c r="C10" s="18"/>
      <c r="D10" s="10"/>
      <c r="E10" s="10"/>
      <c r="F10" s="11"/>
      <c r="G10" s="18"/>
      <c r="H10" s="11"/>
      <c r="I10" s="18"/>
      <c r="J10" s="11"/>
      <c r="K10" s="33">
        <f t="shared" si="0"/>
        <v>0</v>
      </c>
      <c r="L10" s="10"/>
      <c r="M10" s="10"/>
      <c r="N10" s="10"/>
      <c r="O10" s="11"/>
      <c r="P10" s="10"/>
      <c r="Q10" s="11"/>
      <c r="R10" s="30"/>
      <c r="S10" s="30"/>
      <c r="T10" s="33">
        <f t="shared" si="1"/>
        <v>0</v>
      </c>
      <c r="U10" s="10"/>
      <c r="V10" s="10"/>
      <c r="W10" s="10"/>
      <c r="X10" s="11"/>
      <c r="Y10" s="10"/>
      <c r="Z10" s="11"/>
      <c r="AA10" s="30"/>
      <c r="AB10" s="30"/>
      <c r="AC10" s="33">
        <f t="shared" si="2"/>
        <v>0</v>
      </c>
      <c r="AD10" s="12">
        <f t="shared" si="3"/>
        <v>0</v>
      </c>
      <c r="AE10" s="39"/>
      <c r="AF10" s="39"/>
      <c r="AG10" s="39"/>
      <c r="AH10" s="39"/>
      <c r="AI10" s="39"/>
      <c r="AJ10"/>
    </row>
    <row r="11" spans="1:36" x14ac:dyDescent="0.2">
      <c r="A11" s="5">
        <f>DAY(Kalenteri!A341)</f>
        <v>7</v>
      </c>
      <c r="B11" s="3" t="str">
        <f>IF(Kalenteri!B341=1,"su",IF(Kalenteri!B341=2,"ma",IF(Kalenteri!B341=3,"ti",IF(Kalenteri!B341=4,"ke",IF(Kalenteri!B341=5,"to",IF(Kalenteri!B341=6,"pe",IF(Kalenteri!B341=7,"la",)))))))</f>
        <v>la</v>
      </c>
      <c r="C11" s="18"/>
      <c r="D11" s="10"/>
      <c r="E11" s="10"/>
      <c r="F11" s="11"/>
      <c r="G11" s="18"/>
      <c r="H11" s="11"/>
      <c r="I11" s="18"/>
      <c r="J11" s="11"/>
      <c r="K11" s="33">
        <f t="shared" si="0"/>
        <v>0</v>
      </c>
      <c r="L11" s="10"/>
      <c r="M11" s="10"/>
      <c r="N11" s="10"/>
      <c r="O11" s="11"/>
      <c r="P11" s="10"/>
      <c r="Q11" s="11"/>
      <c r="R11" s="30"/>
      <c r="S11" s="30"/>
      <c r="T11" s="33">
        <f t="shared" si="1"/>
        <v>0</v>
      </c>
      <c r="U11" s="10"/>
      <c r="V11" s="10"/>
      <c r="W11" s="10"/>
      <c r="X11" s="11"/>
      <c r="Y11" s="10"/>
      <c r="Z11" s="11"/>
      <c r="AA11" s="30"/>
      <c r="AB11" s="30"/>
      <c r="AC11" s="33">
        <f t="shared" si="2"/>
        <v>0</v>
      </c>
      <c r="AD11" s="12">
        <f t="shared" si="3"/>
        <v>0</v>
      </c>
      <c r="AE11" s="39"/>
      <c r="AF11" s="39"/>
      <c r="AG11" s="39"/>
      <c r="AH11" s="39"/>
      <c r="AI11" s="39"/>
      <c r="AJ11"/>
    </row>
    <row r="12" spans="1:36" x14ac:dyDescent="0.2">
      <c r="A12" s="5">
        <f>DAY(Kalenteri!A342)</f>
        <v>8</v>
      </c>
      <c r="B12" s="3" t="str">
        <f>IF(Kalenteri!B342=1,"su",IF(Kalenteri!B342=2,"ma",IF(Kalenteri!B342=3,"ti",IF(Kalenteri!B342=4,"ke",IF(Kalenteri!B342=5,"to",IF(Kalenteri!B342=6,"pe",IF(Kalenteri!B342=7,"la",)))))))</f>
        <v>su</v>
      </c>
      <c r="C12" s="18"/>
      <c r="D12" s="10"/>
      <c r="E12" s="10"/>
      <c r="F12" s="11"/>
      <c r="G12" s="18"/>
      <c r="H12" s="11"/>
      <c r="I12" s="18"/>
      <c r="J12" s="11"/>
      <c r="K12" s="33">
        <f t="shared" si="0"/>
        <v>0</v>
      </c>
      <c r="L12" s="10"/>
      <c r="M12" s="10"/>
      <c r="N12" s="10"/>
      <c r="O12" s="11"/>
      <c r="P12" s="10"/>
      <c r="Q12" s="11"/>
      <c r="R12" s="30"/>
      <c r="S12" s="30"/>
      <c r="T12" s="33">
        <f t="shared" si="1"/>
        <v>0</v>
      </c>
      <c r="U12" s="10"/>
      <c r="V12" s="10"/>
      <c r="W12" s="10"/>
      <c r="X12" s="11"/>
      <c r="Y12" s="10"/>
      <c r="Z12" s="11"/>
      <c r="AA12" s="30"/>
      <c r="AB12" s="30"/>
      <c r="AC12" s="33">
        <f t="shared" si="2"/>
        <v>0</v>
      </c>
      <c r="AD12" s="12">
        <f t="shared" si="3"/>
        <v>0</v>
      </c>
      <c r="AE12" s="39"/>
      <c r="AF12" s="39"/>
      <c r="AG12" s="39"/>
      <c r="AH12" s="39"/>
      <c r="AI12" s="39"/>
      <c r="AJ12"/>
    </row>
    <row r="13" spans="1:36" x14ac:dyDescent="0.2">
      <c r="A13" s="5">
        <f>DAY(Kalenteri!A343)</f>
        <v>9</v>
      </c>
      <c r="B13" s="3" t="str">
        <f>IF(Kalenteri!B343=1,"su",IF(Kalenteri!B343=2,"ma",IF(Kalenteri!B343=3,"ti",IF(Kalenteri!B343=4,"ke",IF(Kalenteri!B343=5,"to",IF(Kalenteri!B343=6,"pe",IF(Kalenteri!B343=7,"la",)))))))</f>
        <v>ma</v>
      </c>
      <c r="C13" s="18">
        <f>12+5+5</f>
        <v>22</v>
      </c>
      <c r="D13" s="10">
        <v>4</v>
      </c>
      <c r="E13" s="10"/>
      <c r="F13" s="11"/>
      <c r="G13" s="18"/>
      <c r="H13" s="11"/>
      <c r="I13" s="18"/>
      <c r="J13" s="11"/>
      <c r="K13" s="33">
        <f t="shared" si="0"/>
        <v>26</v>
      </c>
      <c r="L13" s="10"/>
      <c r="M13" s="10"/>
      <c r="N13" s="10"/>
      <c r="O13" s="11"/>
      <c r="P13" s="10"/>
      <c r="Q13" s="11"/>
      <c r="R13" s="30"/>
      <c r="S13" s="30"/>
      <c r="T13" s="33">
        <f t="shared" si="1"/>
        <v>0</v>
      </c>
      <c r="U13" s="10"/>
      <c r="V13" s="10"/>
      <c r="W13" s="10"/>
      <c r="X13" s="11"/>
      <c r="Y13" s="10"/>
      <c r="Z13" s="11"/>
      <c r="AA13" s="30"/>
      <c r="AB13" s="30"/>
      <c r="AC13" s="33">
        <f t="shared" si="2"/>
        <v>0</v>
      </c>
      <c r="AD13" s="12">
        <f t="shared" si="3"/>
        <v>26</v>
      </c>
      <c r="AE13" s="39"/>
      <c r="AF13" s="39"/>
      <c r="AG13" s="39"/>
      <c r="AH13" s="39"/>
      <c r="AI13" s="39"/>
      <c r="AJ13"/>
    </row>
    <row r="14" spans="1:36" x14ac:dyDescent="0.2">
      <c r="A14" s="5">
        <f>DAY(Kalenteri!A344)</f>
        <v>10</v>
      </c>
      <c r="B14" s="3" t="str">
        <f>IF(Kalenteri!B344=1,"su",IF(Kalenteri!B344=2,"ma",IF(Kalenteri!B344=3,"ti",IF(Kalenteri!B344=4,"ke",IF(Kalenteri!B344=5,"to",IF(Kalenteri!B344=6,"pe",IF(Kalenteri!B344=7,"la",)))))))</f>
        <v>ti</v>
      </c>
      <c r="C14" s="18"/>
      <c r="D14" s="10"/>
      <c r="E14" s="10"/>
      <c r="F14" s="11"/>
      <c r="G14" s="18"/>
      <c r="H14" s="11"/>
      <c r="I14" s="18"/>
      <c r="J14" s="11"/>
      <c r="K14" s="33">
        <f t="shared" si="0"/>
        <v>0</v>
      </c>
      <c r="L14" s="10"/>
      <c r="M14" s="10"/>
      <c r="N14" s="10"/>
      <c r="O14" s="11"/>
      <c r="P14" s="10"/>
      <c r="Q14" s="11"/>
      <c r="R14" s="30"/>
      <c r="S14" s="30"/>
      <c r="T14" s="33">
        <f t="shared" si="1"/>
        <v>0</v>
      </c>
      <c r="U14" s="10"/>
      <c r="V14" s="10"/>
      <c r="W14" s="10"/>
      <c r="X14" s="11"/>
      <c r="Y14" s="10"/>
      <c r="Z14" s="11"/>
      <c r="AA14" s="30"/>
      <c r="AB14" s="30"/>
      <c r="AC14" s="33">
        <f t="shared" si="2"/>
        <v>0</v>
      </c>
      <c r="AD14" s="12">
        <f t="shared" si="3"/>
        <v>0</v>
      </c>
      <c r="AE14" s="39"/>
      <c r="AF14" s="39"/>
      <c r="AG14" s="39"/>
      <c r="AH14" s="39"/>
      <c r="AI14" s="39"/>
      <c r="AJ14"/>
    </row>
    <row r="15" spans="1:36" x14ac:dyDescent="0.2">
      <c r="A15" s="5">
        <f>DAY(Kalenteri!A345)</f>
        <v>11</v>
      </c>
      <c r="B15" s="3" t="str">
        <f>IF(Kalenteri!B345=1,"su",IF(Kalenteri!B345=2,"ma",IF(Kalenteri!B345=3,"ti",IF(Kalenteri!B345=4,"ke",IF(Kalenteri!B345=5,"to",IF(Kalenteri!B345=6,"pe",IF(Kalenteri!B345=7,"la",)))))))</f>
        <v>ke</v>
      </c>
      <c r="C15" s="18"/>
      <c r="D15" s="10"/>
      <c r="E15" s="10"/>
      <c r="F15" s="11"/>
      <c r="G15" s="18"/>
      <c r="H15" s="11"/>
      <c r="I15" s="18"/>
      <c r="J15" s="11"/>
      <c r="K15" s="33">
        <f t="shared" si="0"/>
        <v>0</v>
      </c>
      <c r="L15" s="10"/>
      <c r="M15" s="10"/>
      <c r="N15" s="10"/>
      <c r="O15" s="11"/>
      <c r="P15" s="10"/>
      <c r="Q15" s="11"/>
      <c r="R15" s="30"/>
      <c r="S15" s="30"/>
      <c r="T15" s="33">
        <f t="shared" si="1"/>
        <v>0</v>
      </c>
      <c r="U15" s="10"/>
      <c r="V15" s="10"/>
      <c r="W15" s="10"/>
      <c r="X15" s="11"/>
      <c r="Y15" s="10"/>
      <c r="Z15" s="11"/>
      <c r="AA15" s="30"/>
      <c r="AB15" s="30"/>
      <c r="AC15" s="33">
        <f t="shared" si="2"/>
        <v>0</v>
      </c>
      <c r="AD15" s="12">
        <f t="shared" si="3"/>
        <v>0</v>
      </c>
      <c r="AE15" s="39"/>
      <c r="AF15" s="39"/>
      <c r="AG15" s="39"/>
      <c r="AH15" s="39"/>
      <c r="AI15" s="39"/>
      <c r="AJ15"/>
    </row>
    <row r="16" spans="1:36" x14ac:dyDescent="0.2">
      <c r="A16" s="5">
        <f>DAY(Kalenteri!A346)</f>
        <v>12</v>
      </c>
      <c r="B16" s="3" t="str">
        <f>IF(Kalenteri!B346=1,"su",IF(Kalenteri!B346=2,"ma",IF(Kalenteri!B346=3,"ti",IF(Kalenteri!B346=4,"ke",IF(Kalenteri!B346=5,"to",IF(Kalenteri!B346=6,"pe",IF(Kalenteri!B346=7,"la",)))))))</f>
        <v>to</v>
      </c>
      <c r="C16" s="18"/>
      <c r="D16" s="10"/>
      <c r="E16" s="10"/>
      <c r="F16" s="11"/>
      <c r="G16" s="18"/>
      <c r="H16" s="11"/>
      <c r="I16" s="18"/>
      <c r="J16" s="11"/>
      <c r="K16" s="33">
        <f t="shared" si="0"/>
        <v>0</v>
      </c>
      <c r="L16" s="10"/>
      <c r="M16" s="10"/>
      <c r="N16" s="10"/>
      <c r="O16" s="11"/>
      <c r="P16" s="10"/>
      <c r="Q16" s="11"/>
      <c r="R16" s="30"/>
      <c r="S16" s="30"/>
      <c r="T16" s="33">
        <f t="shared" si="1"/>
        <v>0</v>
      </c>
      <c r="U16" s="10"/>
      <c r="V16" s="10"/>
      <c r="W16" s="10"/>
      <c r="X16" s="11"/>
      <c r="Y16" s="10"/>
      <c r="Z16" s="11"/>
      <c r="AA16" s="30"/>
      <c r="AB16" s="30"/>
      <c r="AC16" s="33">
        <f t="shared" si="2"/>
        <v>0</v>
      </c>
      <c r="AD16" s="12">
        <f t="shared" si="3"/>
        <v>0</v>
      </c>
      <c r="AE16" s="39"/>
      <c r="AF16" s="39"/>
      <c r="AG16" s="39"/>
      <c r="AH16" s="39"/>
      <c r="AI16" s="39"/>
      <c r="AJ16"/>
    </row>
    <row r="17" spans="1:36" x14ac:dyDescent="0.2">
      <c r="A17" s="5">
        <f>DAY(Kalenteri!A347)</f>
        <v>13</v>
      </c>
      <c r="B17" s="3" t="str">
        <f>IF(Kalenteri!B347=1,"su",IF(Kalenteri!B347=2,"ma",IF(Kalenteri!B347=3,"ti",IF(Kalenteri!B347=4,"ke",IF(Kalenteri!B347=5,"to",IF(Kalenteri!B347=6,"pe",IF(Kalenteri!B347=7,"la",)))))))</f>
        <v>pe</v>
      </c>
      <c r="C17" s="18"/>
      <c r="D17" s="10"/>
      <c r="E17" s="10"/>
      <c r="F17" s="11"/>
      <c r="G17" s="18"/>
      <c r="H17" s="11"/>
      <c r="I17" s="18"/>
      <c r="J17" s="11"/>
      <c r="K17" s="33">
        <f t="shared" si="0"/>
        <v>0</v>
      </c>
      <c r="L17" s="10"/>
      <c r="M17" s="10"/>
      <c r="N17" s="10"/>
      <c r="O17" s="11"/>
      <c r="P17" s="10"/>
      <c r="Q17" s="11"/>
      <c r="R17" s="30"/>
      <c r="S17" s="30"/>
      <c r="T17" s="33">
        <f t="shared" si="1"/>
        <v>0</v>
      </c>
      <c r="U17" s="10"/>
      <c r="V17" s="10"/>
      <c r="W17" s="10"/>
      <c r="X17" s="11"/>
      <c r="Y17" s="10"/>
      <c r="Z17" s="11"/>
      <c r="AA17" s="30"/>
      <c r="AB17" s="30"/>
      <c r="AC17" s="33">
        <f t="shared" si="2"/>
        <v>0</v>
      </c>
      <c r="AD17" s="12">
        <f t="shared" si="3"/>
        <v>0</v>
      </c>
      <c r="AE17" s="39"/>
      <c r="AF17" s="39"/>
      <c r="AG17" s="39"/>
      <c r="AH17" s="39"/>
      <c r="AI17" s="39"/>
      <c r="AJ17"/>
    </row>
    <row r="18" spans="1:36" x14ac:dyDescent="0.2">
      <c r="A18" s="5">
        <f>DAY(Kalenteri!A348)</f>
        <v>14</v>
      </c>
      <c r="B18" s="3" t="str">
        <f>IF(Kalenteri!B348=1,"su",IF(Kalenteri!B348=2,"ma",IF(Kalenteri!B348=3,"ti",IF(Kalenteri!B348=4,"ke",IF(Kalenteri!B348=5,"to",IF(Kalenteri!B348=6,"pe",IF(Kalenteri!B348=7,"la",)))))))</f>
        <v>la</v>
      </c>
      <c r="C18" s="18"/>
      <c r="D18" s="10"/>
      <c r="E18" s="10"/>
      <c r="F18" s="11"/>
      <c r="G18" s="18"/>
      <c r="H18" s="11"/>
      <c r="I18" s="18"/>
      <c r="J18" s="11"/>
      <c r="K18" s="33">
        <f t="shared" si="0"/>
        <v>0</v>
      </c>
      <c r="L18" s="10"/>
      <c r="M18" s="10"/>
      <c r="N18" s="10"/>
      <c r="O18" s="11"/>
      <c r="P18" s="10"/>
      <c r="Q18" s="11"/>
      <c r="R18" s="30"/>
      <c r="S18" s="30"/>
      <c r="T18" s="33">
        <f t="shared" si="1"/>
        <v>0</v>
      </c>
      <c r="U18" s="10"/>
      <c r="V18" s="10"/>
      <c r="W18" s="10"/>
      <c r="X18" s="11"/>
      <c r="Y18" s="10"/>
      <c r="Z18" s="11"/>
      <c r="AA18" s="30"/>
      <c r="AB18" s="30"/>
      <c r="AC18" s="33">
        <f t="shared" si="2"/>
        <v>0</v>
      </c>
      <c r="AD18" s="12">
        <f t="shared" si="3"/>
        <v>0</v>
      </c>
      <c r="AE18" s="39"/>
      <c r="AF18" s="39"/>
      <c r="AG18" s="39"/>
      <c r="AH18" s="39"/>
      <c r="AI18" s="39"/>
      <c r="AJ18"/>
    </row>
    <row r="19" spans="1:36" x14ac:dyDescent="0.2">
      <c r="A19" s="5">
        <f>DAY(Kalenteri!A349)</f>
        <v>15</v>
      </c>
      <c r="B19" s="3" t="str">
        <f>IF(Kalenteri!B349=1,"su",IF(Kalenteri!B349=2,"ma",IF(Kalenteri!B349=3,"ti",IF(Kalenteri!B349=4,"ke",IF(Kalenteri!B349=5,"to",IF(Kalenteri!B349=6,"pe",IF(Kalenteri!B349=7,"la",)))))))</f>
        <v>su</v>
      </c>
      <c r="C19" s="18"/>
      <c r="D19" s="10"/>
      <c r="E19" s="10"/>
      <c r="F19" s="11"/>
      <c r="G19" s="18"/>
      <c r="H19" s="11"/>
      <c r="I19" s="18"/>
      <c r="J19" s="11"/>
      <c r="K19" s="33">
        <f t="shared" si="0"/>
        <v>0</v>
      </c>
      <c r="L19" s="10"/>
      <c r="M19" s="10"/>
      <c r="N19" s="10"/>
      <c r="O19" s="11"/>
      <c r="P19" s="10"/>
      <c r="Q19" s="11"/>
      <c r="R19" s="30"/>
      <c r="S19" s="30"/>
      <c r="T19" s="33">
        <f t="shared" si="1"/>
        <v>0</v>
      </c>
      <c r="U19" s="10"/>
      <c r="V19" s="10"/>
      <c r="W19" s="10"/>
      <c r="X19" s="11"/>
      <c r="Y19" s="10"/>
      <c r="Z19" s="11"/>
      <c r="AA19" s="30"/>
      <c r="AB19" s="30"/>
      <c r="AC19" s="33">
        <f t="shared" si="2"/>
        <v>0</v>
      </c>
      <c r="AD19" s="12">
        <f t="shared" si="3"/>
        <v>0</v>
      </c>
      <c r="AE19" s="39"/>
      <c r="AF19" s="39"/>
      <c r="AG19" s="39"/>
      <c r="AH19" s="39"/>
      <c r="AI19" s="39"/>
      <c r="AJ19"/>
    </row>
    <row r="20" spans="1:36" x14ac:dyDescent="0.2">
      <c r="A20" s="5">
        <f>DAY(Kalenteri!A350)</f>
        <v>16</v>
      </c>
      <c r="B20" s="3" t="str">
        <f>IF(Kalenteri!B350=1,"su",IF(Kalenteri!B350=2,"ma",IF(Kalenteri!B350=3,"ti",IF(Kalenteri!B350=4,"ke",IF(Kalenteri!B350=5,"to",IF(Kalenteri!B350=6,"pe",IF(Kalenteri!B350=7,"la",)))))))</f>
        <v>ma</v>
      </c>
      <c r="C20" s="18">
        <v>17</v>
      </c>
      <c r="D20" s="10">
        <v>3</v>
      </c>
      <c r="E20" s="10"/>
      <c r="F20" s="11"/>
      <c r="G20" s="18"/>
      <c r="H20" s="11"/>
      <c r="I20" s="18"/>
      <c r="J20" s="11"/>
      <c r="K20" s="33">
        <f t="shared" si="0"/>
        <v>20</v>
      </c>
      <c r="L20" s="10"/>
      <c r="M20" s="10"/>
      <c r="N20" s="10"/>
      <c r="O20" s="11"/>
      <c r="P20" s="10"/>
      <c r="Q20" s="11"/>
      <c r="R20" s="30"/>
      <c r="S20" s="30"/>
      <c r="T20" s="33">
        <f t="shared" si="1"/>
        <v>0</v>
      </c>
      <c r="U20" s="10"/>
      <c r="V20" s="10"/>
      <c r="W20" s="10"/>
      <c r="X20" s="11"/>
      <c r="Y20" s="10"/>
      <c r="Z20" s="11"/>
      <c r="AA20" s="30"/>
      <c r="AB20" s="30"/>
      <c r="AC20" s="33">
        <f t="shared" si="2"/>
        <v>0</v>
      </c>
      <c r="AD20" s="12">
        <f t="shared" si="3"/>
        <v>20</v>
      </c>
      <c r="AE20" s="39"/>
      <c r="AF20" s="39"/>
      <c r="AG20" s="39"/>
      <c r="AH20" s="39"/>
      <c r="AI20" s="39"/>
      <c r="AJ20"/>
    </row>
    <row r="21" spans="1:36" x14ac:dyDescent="0.2">
      <c r="A21" s="5">
        <f>DAY(Kalenteri!A351)</f>
        <v>17</v>
      </c>
      <c r="B21" s="3" t="str">
        <f>IF(Kalenteri!B351=1,"su",IF(Kalenteri!B351=2,"ma",IF(Kalenteri!B351=3,"ti",IF(Kalenteri!B351=4,"ke",IF(Kalenteri!B351=5,"to",IF(Kalenteri!B351=6,"pe",IF(Kalenteri!B351=7,"la",)))))))</f>
        <v>ti</v>
      </c>
      <c r="C21" s="18"/>
      <c r="D21" s="10"/>
      <c r="E21" s="10"/>
      <c r="F21" s="11"/>
      <c r="G21" s="18"/>
      <c r="H21" s="11"/>
      <c r="I21" s="18"/>
      <c r="J21" s="11"/>
      <c r="K21" s="33">
        <f t="shared" si="0"/>
        <v>0</v>
      </c>
      <c r="L21" s="10"/>
      <c r="M21" s="10"/>
      <c r="N21" s="10"/>
      <c r="O21" s="11"/>
      <c r="P21" s="10"/>
      <c r="Q21" s="11"/>
      <c r="R21" s="30"/>
      <c r="S21" s="30"/>
      <c r="T21" s="33">
        <f t="shared" si="1"/>
        <v>0</v>
      </c>
      <c r="U21" s="10"/>
      <c r="V21" s="10"/>
      <c r="W21" s="10"/>
      <c r="X21" s="11"/>
      <c r="Y21" s="10"/>
      <c r="Z21" s="11"/>
      <c r="AA21" s="30"/>
      <c r="AB21" s="30"/>
      <c r="AC21" s="33">
        <f t="shared" si="2"/>
        <v>0</v>
      </c>
      <c r="AD21" s="12">
        <f t="shared" si="3"/>
        <v>0</v>
      </c>
      <c r="AE21" s="39"/>
      <c r="AF21" s="39"/>
      <c r="AG21" s="39"/>
      <c r="AH21" s="39"/>
      <c r="AI21" s="39"/>
      <c r="AJ21"/>
    </row>
    <row r="22" spans="1:36" x14ac:dyDescent="0.2">
      <c r="A22" s="5">
        <f>DAY(Kalenteri!A352)</f>
        <v>18</v>
      </c>
      <c r="B22" s="3" t="str">
        <f>IF(Kalenteri!B352=1,"su",IF(Kalenteri!B352=2,"ma",IF(Kalenteri!B352=3,"ti",IF(Kalenteri!B352=4,"ke",IF(Kalenteri!B352=5,"to",IF(Kalenteri!B352=6,"pe",IF(Kalenteri!B352=7,"la",)))))))</f>
        <v>ke</v>
      </c>
      <c r="C22" s="18"/>
      <c r="D22" s="10"/>
      <c r="E22" s="10"/>
      <c r="F22" s="11"/>
      <c r="G22" s="18"/>
      <c r="H22" s="11"/>
      <c r="I22" s="18"/>
      <c r="J22" s="11"/>
      <c r="K22" s="33">
        <f t="shared" si="0"/>
        <v>0</v>
      </c>
      <c r="L22" s="10"/>
      <c r="M22" s="10"/>
      <c r="N22" s="10"/>
      <c r="O22" s="11"/>
      <c r="P22" s="10"/>
      <c r="Q22" s="11"/>
      <c r="R22" s="30"/>
      <c r="S22" s="30"/>
      <c r="T22" s="33">
        <f t="shared" si="1"/>
        <v>0</v>
      </c>
      <c r="U22" s="10"/>
      <c r="V22" s="10"/>
      <c r="W22" s="10"/>
      <c r="X22" s="11"/>
      <c r="Y22" s="10"/>
      <c r="Z22" s="11"/>
      <c r="AA22" s="30"/>
      <c r="AB22" s="30"/>
      <c r="AC22" s="33">
        <f t="shared" si="2"/>
        <v>0</v>
      </c>
      <c r="AD22" s="12">
        <f t="shared" si="3"/>
        <v>0</v>
      </c>
      <c r="AE22" s="39"/>
      <c r="AF22" s="39"/>
      <c r="AG22" s="39"/>
      <c r="AH22" s="39"/>
      <c r="AI22" s="39"/>
      <c r="AJ22"/>
    </row>
    <row r="23" spans="1:36" x14ac:dyDescent="0.2">
      <c r="A23" s="5">
        <f>DAY(Kalenteri!A353)</f>
        <v>19</v>
      </c>
      <c r="B23" s="3" t="str">
        <f>IF(Kalenteri!B353=1,"su",IF(Kalenteri!B353=2,"ma",IF(Kalenteri!B353=3,"ti",IF(Kalenteri!B353=4,"ke",IF(Kalenteri!B353=5,"to",IF(Kalenteri!B353=6,"pe",IF(Kalenteri!B353=7,"la",)))))))</f>
        <v>to</v>
      </c>
      <c r="C23" s="18"/>
      <c r="D23" s="10"/>
      <c r="E23" s="10"/>
      <c r="F23" s="11"/>
      <c r="G23" s="18"/>
      <c r="H23" s="11"/>
      <c r="I23" s="18"/>
      <c r="J23" s="11"/>
      <c r="K23" s="33">
        <f t="shared" si="0"/>
        <v>0</v>
      </c>
      <c r="L23" s="10"/>
      <c r="M23" s="10"/>
      <c r="N23" s="10"/>
      <c r="O23" s="11"/>
      <c r="P23" s="10"/>
      <c r="Q23" s="11"/>
      <c r="R23" s="30"/>
      <c r="S23" s="30"/>
      <c r="T23" s="33">
        <f t="shared" si="1"/>
        <v>0</v>
      </c>
      <c r="U23" s="10"/>
      <c r="V23" s="10"/>
      <c r="W23" s="10"/>
      <c r="X23" s="11"/>
      <c r="Y23" s="10"/>
      <c r="Z23" s="11"/>
      <c r="AA23" s="30"/>
      <c r="AB23" s="30"/>
      <c r="AC23" s="33">
        <f t="shared" si="2"/>
        <v>0</v>
      </c>
      <c r="AD23" s="12">
        <f t="shared" si="3"/>
        <v>0</v>
      </c>
      <c r="AE23" s="39"/>
      <c r="AF23" s="39"/>
      <c r="AG23" s="39"/>
      <c r="AH23" s="39"/>
      <c r="AI23" s="39"/>
      <c r="AJ23"/>
    </row>
    <row r="24" spans="1:36" x14ac:dyDescent="0.2">
      <c r="A24" s="5">
        <f>DAY(Kalenteri!A354)</f>
        <v>20</v>
      </c>
      <c r="B24" s="3" t="str">
        <f>IF(Kalenteri!B354=1,"su",IF(Kalenteri!B354=2,"ma",IF(Kalenteri!B354=3,"ti",IF(Kalenteri!B354=4,"ke",IF(Kalenteri!B354=5,"to",IF(Kalenteri!B354=6,"pe",IF(Kalenteri!B354=7,"la",)))))))</f>
        <v>pe</v>
      </c>
      <c r="C24" s="18"/>
      <c r="D24" s="10"/>
      <c r="E24" s="10"/>
      <c r="F24" s="11"/>
      <c r="G24" s="18"/>
      <c r="H24" s="11"/>
      <c r="I24" s="18"/>
      <c r="J24" s="11"/>
      <c r="K24" s="33">
        <f t="shared" si="0"/>
        <v>0</v>
      </c>
      <c r="L24" s="10"/>
      <c r="M24" s="10"/>
      <c r="N24" s="10"/>
      <c r="O24" s="11"/>
      <c r="P24" s="10"/>
      <c r="Q24" s="11"/>
      <c r="R24" s="30"/>
      <c r="S24" s="30"/>
      <c r="T24" s="33">
        <f t="shared" si="1"/>
        <v>0</v>
      </c>
      <c r="U24" s="10"/>
      <c r="V24" s="10"/>
      <c r="W24" s="10"/>
      <c r="X24" s="11"/>
      <c r="Y24" s="10"/>
      <c r="Z24" s="11"/>
      <c r="AA24" s="30"/>
      <c r="AB24" s="30"/>
      <c r="AC24" s="33">
        <f t="shared" si="2"/>
        <v>0</v>
      </c>
      <c r="AD24" s="12">
        <f t="shared" si="3"/>
        <v>0</v>
      </c>
      <c r="AE24" s="39"/>
      <c r="AF24" s="39"/>
      <c r="AG24" s="39"/>
      <c r="AH24" s="39"/>
      <c r="AI24" s="39"/>
      <c r="AJ24" s="39"/>
    </row>
    <row r="25" spans="1:36" x14ac:dyDescent="0.2">
      <c r="A25" s="5">
        <f>DAY(Kalenteri!A355)</f>
        <v>21</v>
      </c>
      <c r="B25" s="3" t="str">
        <f>IF(Kalenteri!B355=1,"su",IF(Kalenteri!B355=2,"ma",IF(Kalenteri!B355=3,"ti",IF(Kalenteri!B355=4,"ke",IF(Kalenteri!B355=5,"to",IF(Kalenteri!B355=6,"pe",IF(Kalenteri!B355=7,"la",)))))))</f>
        <v>la</v>
      </c>
      <c r="C25" s="18"/>
      <c r="D25" s="10"/>
      <c r="E25" s="10"/>
      <c r="F25" s="11"/>
      <c r="G25" s="18"/>
      <c r="H25" s="11"/>
      <c r="I25" s="18"/>
      <c r="J25" s="11"/>
      <c r="K25" s="33">
        <f t="shared" si="0"/>
        <v>0</v>
      </c>
      <c r="L25" s="10"/>
      <c r="M25" s="10"/>
      <c r="N25" s="10"/>
      <c r="O25" s="11"/>
      <c r="P25" s="10"/>
      <c r="Q25" s="11"/>
      <c r="R25" s="30"/>
      <c r="S25" s="30"/>
      <c r="T25" s="33">
        <f t="shared" si="1"/>
        <v>0</v>
      </c>
      <c r="U25" s="10"/>
      <c r="V25" s="10"/>
      <c r="W25" s="10"/>
      <c r="X25" s="11"/>
      <c r="Y25" s="10"/>
      <c r="Z25" s="11"/>
      <c r="AA25" s="30"/>
      <c r="AB25" s="30"/>
      <c r="AC25" s="33">
        <f t="shared" si="2"/>
        <v>0</v>
      </c>
      <c r="AD25" s="12">
        <f t="shared" si="3"/>
        <v>0</v>
      </c>
      <c r="AE25" s="39"/>
      <c r="AF25" s="39"/>
      <c r="AG25" s="39"/>
      <c r="AH25" s="39"/>
      <c r="AI25" s="39"/>
      <c r="AJ25" s="39"/>
    </row>
    <row r="26" spans="1:36" x14ac:dyDescent="0.2">
      <c r="A26" s="5">
        <f>DAY(Kalenteri!A356)</f>
        <v>22</v>
      </c>
      <c r="B26" s="3" t="str">
        <f>IF(Kalenteri!B356=1,"su",IF(Kalenteri!B356=2,"ma",IF(Kalenteri!B356=3,"ti",IF(Kalenteri!B356=4,"ke",IF(Kalenteri!B356=5,"to",IF(Kalenteri!B356=6,"pe",IF(Kalenteri!B356=7,"la",)))))))</f>
        <v>su</v>
      </c>
      <c r="C26" s="18"/>
      <c r="D26" s="10"/>
      <c r="E26" s="10"/>
      <c r="F26" s="11"/>
      <c r="G26" s="18"/>
      <c r="H26" s="11"/>
      <c r="I26" s="18"/>
      <c r="J26" s="11"/>
      <c r="K26" s="33">
        <f t="shared" si="0"/>
        <v>0</v>
      </c>
      <c r="L26" s="10"/>
      <c r="M26" s="10"/>
      <c r="N26" s="10"/>
      <c r="O26" s="11"/>
      <c r="P26" s="10"/>
      <c r="Q26" s="11"/>
      <c r="R26" s="30"/>
      <c r="S26" s="30"/>
      <c r="T26" s="33">
        <f t="shared" si="1"/>
        <v>0</v>
      </c>
      <c r="U26" s="10"/>
      <c r="V26" s="10"/>
      <c r="W26" s="10"/>
      <c r="X26" s="11"/>
      <c r="Y26" s="10"/>
      <c r="Z26" s="11"/>
      <c r="AA26" s="30"/>
      <c r="AB26" s="30"/>
      <c r="AC26" s="33">
        <f t="shared" si="2"/>
        <v>0</v>
      </c>
      <c r="AD26" s="12">
        <f t="shared" si="3"/>
        <v>0</v>
      </c>
      <c r="AE26" s="39"/>
      <c r="AF26" s="39"/>
      <c r="AG26" s="39"/>
      <c r="AH26" s="39"/>
      <c r="AI26" s="39"/>
      <c r="AJ26" s="39"/>
    </row>
    <row r="27" spans="1:36" x14ac:dyDescent="0.2">
      <c r="A27" s="5">
        <f>DAY(Kalenteri!A357)</f>
        <v>23</v>
      </c>
      <c r="B27" s="3" t="str">
        <f>IF(Kalenteri!B357=1,"su",IF(Kalenteri!B357=2,"ma",IF(Kalenteri!B357=3,"ti",IF(Kalenteri!B357=4,"ke",IF(Kalenteri!B357=5,"to",IF(Kalenteri!B357=6,"pe",IF(Kalenteri!B357=7,"la",)))))))</f>
        <v>ma</v>
      </c>
      <c r="C27" s="18">
        <v>42</v>
      </c>
      <c r="D27" s="10">
        <v>15</v>
      </c>
      <c r="E27" s="10"/>
      <c r="F27" s="11"/>
      <c r="G27" s="18"/>
      <c r="H27" s="11"/>
      <c r="I27" s="18"/>
      <c r="J27" s="11"/>
      <c r="K27" s="33">
        <f t="shared" si="0"/>
        <v>57</v>
      </c>
      <c r="L27" s="10"/>
      <c r="M27" s="10"/>
      <c r="N27" s="10"/>
      <c r="O27" s="11"/>
      <c r="P27" s="10"/>
      <c r="Q27" s="11"/>
      <c r="R27" s="30"/>
      <c r="S27" s="30"/>
      <c r="T27" s="33">
        <f t="shared" si="1"/>
        <v>0</v>
      </c>
      <c r="U27" s="10"/>
      <c r="V27" s="10"/>
      <c r="W27" s="10"/>
      <c r="X27" s="11"/>
      <c r="Y27" s="10"/>
      <c r="Z27" s="11"/>
      <c r="AA27" s="30"/>
      <c r="AB27" s="30"/>
      <c r="AC27" s="33">
        <f t="shared" si="2"/>
        <v>0</v>
      </c>
      <c r="AD27" s="12">
        <f t="shared" si="3"/>
        <v>57</v>
      </c>
      <c r="AE27" s="39"/>
      <c r="AF27" s="39"/>
      <c r="AG27" s="39"/>
      <c r="AH27" s="39"/>
      <c r="AI27" s="39"/>
      <c r="AJ27" s="39"/>
    </row>
    <row r="28" spans="1:36" x14ac:dyDescent="0.2">
      <c r="A28" s="5">
        <f>DAY(Kalenteri!A358)</f>
        <v>24</v>
      </c>
      <c r="B28" s="3" t="str">
        <f>IF(Kalenteri!B358=1,"su",IF(Kalenteri!B358=2,"ma",IF(Kalenteri!B358=3,"ti",IF(Kalenteri!B358=4,"ke",IF(Kalenteri!B358=5,"to",IF(Kalenteri!B358=6,"pe",IF(Kalenteri!B358=7,"la",)))))))</f>
        <v>ti</v>
      </c>
      <c r="C28" s="18"/>
      <c r="D28" s="10"/>
      <c r="E28" s="10"/>
      <c r="F28" s="11"/>
      <c r="G28" s="18"/>
      <c r="H28" s="11"/>
      <c r="I28" s="18"/>
      <c r="J28" s="11"/>
      <c r="K28" s="33">
        <f t="shared" si="0"/>
        <v>0</v>
      </c>
      <c r="L28" s="10"/>
      <c r="M28" s="10"/>
      <c r="N28" s="10"/>
      <c r="O28" s="11"/>
      <c r="P28" s="10"/>
      <c r="Q28" s="11"/>
      <c r="R28" s="30"/>
      <c r="S28" s="30"/>
      <c r="T28" s="33">
        <f t="shared" si="1"/>
        <v>0</v>
      </c>
      <c r="U28" s="10"/>
      <c r="V28" s="10"/>
      <c r="W28" s="10"/>
      <c r="X28" s="11"/>
      <c r="Y28" s="10"/>
      <c r="Z28" s="11"/>
      <c r="AA28" s="30"/>
      <c r="AB28" s="30"/>
      <c r="AC28" s="33">
        <f t="shared" si="2"/>
        <v>0</v>
      </c>
      <c r="AD28" s="12">
        <f t="shared" si="3"/>
        <v>0</v>
      </c>
      <c r="AE28" s="39"/>
      <c r="AF28" s="39"/>
      <c r="AG28" s="39"/>
      <c r="AH28" s="39"/>
      <c r="AI28" s="39"/>
      <c r="AJ28" s="39"/>
    </row>
    <row r="29" spans="1:36" x14ac:dyDescent="0.2">
      <c r="A29" s="5">
        <f>DAY(Kalenteri!A359)</f>
        <v>25</v>
      </c>
      <c r="B29" s="3" t="str">
        <f>IF(Kalenteri!B359=1,"su",IF(Kalenteri!B359=2,"ma",IF(Kalenteri!B359=3,"ti",IF(Kalenteri!B359=4,"ke",IF(Kalenteri!B359=5,"to",IF(Kalenteri!B359=6,"pe",IF(Kalenteri!B359=7,"la",)))))))</f>
        <v>ke</v>
      </c>
      <c r="C29" s="18"/>
      <c r="D29" s="10"/>
      <c r="E29" s="10"/>
      <c r="F29" s="11"/>
      <c r="G29" s="18"/>
      <c r="H29" s="11"/>
      <c r="I29" s="18"/>
      <c r="J29" s="11"/>
      <c r="K29" s="33">
        <f t="shared" si="0"/>
        <v>0</v>
      </c>
      <c r="L29" s="10"/>
      <c r="M29" s="10"/>
      <c r="N29" s="10"/>
      <c r="O29" s="11"/>
      <c r="P29" s="10"/>
      <c r="Q29" s="11"/>
      <c r="R29" s="30"/>
      <c r="S29" s="30"/>
      <c r="T29" s="33">
        <f t="shared" si="1"/>
        <v>0</v>
      </c>
      <c r="U29" s="10"/>
      <c r="V29" s="10"/>
      <c r="W29" s="10"/>
      <c r="X29" s="11"/>
      <c r="Y29" s="10"/>
      <c r="Z29" s="11"/>
      <c r="AA29" s="30"/>
      <c r="AB29" s="30"/>
      <c r="AC29" s="33">
        <f t="shared" si="2"/>
        <v>0</v>
      </c>
      <c r="AD29" s="12">
        <f t="shared" si="3"/>
        <v>0</v>
      </c>
      <c r="AE29" s="39"/>
      <c r="AF29" s="39"/>
      <c r="AG29" s="39"/>
      <c r="AH29" s="39"/>
      <c r="AI29" s="39"/>
      <c r="AJ29" s="39"/>
    </row>
    <row r="30" spans="1:36" x14ac:dyDescent="0.2">
      <c r="A30" s="5">
        <f>DAY(Kalenteri!A360)</f>
        <v>26</v>
      </c>
      <c r="B30" s="3" t="str">
        <f>IF(Kalenteri!B360=1,"su",IF(Kalenteri!B360=2,"ma",IF(Kalenteri!B360=3,"ti",IF(Kalenteri!B360=4,"ke",IF(Kalenteri!B360=5,"to",IF(Kalenteri!B360=6,"pe",IF(Kalenteri!B360=7,"la",)))))))</f>
        <v>to</v>
      </c>
      <c r="C30" s="18"/>
      <c r="D30" s="10"/>
      <c r="E30" s="10"/>
      <c r="F30" s="11"/>
      <c r="G30" s="18"/>
      <c r="H30" s="11"/>
      <c r="I30" s="18"/>
      <c r="J30" s="11"/>
      <c r="K30" s="33">
        <f t="shared" si="0"/>
        <v>0</v>
      </c>
      <c r="L30" s="10"/>
      <c r="M30" s="10"/>
      <c r="N30" s="10"/>
      <c r="O30" s="11"/>
      <c r="P30" s="10"/>
      <c r="Q30" s="11"/>
      <c r="R30" s="30"/>
      <c r="S30" s="30"/>
      <c r="T30" s="33">
        <f t="shared" si="1"/>
        <v>0</v>
      </c>
      <c r="U30" s="10"/>
      <c r="V30" s="10"/>
      <c r="W30" s="10"/>
      <c r="X30" s="11"/>
      <c r="Y30" s="10"/>
      <c r="Z30" s="11"/>
      <c r="AA30" s="30"/>
      <c r="AB30" s="30"/>
      <c r="AC30" s="33">
        <f t="shared" si="2"/>
        <v>0</v>
      </c>
      <c r="AD30" s="12">
        <f t="shared" si="3"/>
        <v>0</v>
      </c>
      <c r="AE30" s="39"/>
      <c r="AF30" s="39"/>
      <c r="AG30" s="39"/>
      <c r="AH30" s="39"/>
      <c r="AI30" s="39"/>
      <c r="AJ30" s="39"/>
    </row>
    <row r="31" spans="1:36" x14ac:dyDescent="0.2">
      <c r="A31" s="5">
        <f>DAY(Kalenteri!A361)</f>
        <v>27</v>
      </c>
      <c r="B31" s="3" t="str">
        <f>IF(Kalenteri!B361=1,"su",IF(Kalenteri!B361=2,"ma",IF(Kalenteri!B361=3,"ti",IF(Kalenteri!B361=4,"ke",IF(Kalenteri!B361=5,"to",IF(Kalenteri!B361=6,"pe",IF(Kalenteri!B361=7,"la",)))))))</f>
        <v>pe</v>
      </c>
      <c r="C31" s="18"/>
      <c r="D31" s="10"/>
      <c r="E31" s="10"/>
      <c r="F31" s="11"/>
      <c r="G31" s="18"/>
      <c r="H31" s="11"/>
      <c r="I31" s="18"/>
      <c r="J31" s="11"/>
      <c r="K31" s="33">
        <f t="shared" si="0"/>
        <v>0</v>
      </c>
      <c r="L31" s="10"/>
      <c r="M31" s="10"/>
      <c r="N31" s="10"/>
      <c r="O31" s="11"/>
      <c r="P31" s="10"/>
      <c r="Q31" s="11"/>
      <c r="R31" s="30"/>
      <c r="S31" s="30"/>
      <c r="T31" s="33">
        <f t="shared" si="1"/>
        <v>0</v>
      </c>
      <c r="U31" s="10"/>
      <c r="V31" s="10"/>
      <c r="W31" s="10"/>
      <c r="X31" s="11"/>
      <c r="Y31" s="10"/>
      <c r="Z31" s="11"/>
      <c r="AA31" s="30"/>
      <c r="AB31" s="30"/>
      <c r="AC31" s="33">
        <f t="shared" si="2"/>
        <v>0</v>
      </c>
      <c r="AD31" s="12">
        <f t="shared" si="3"/>
        <v>0</v>
      </c>
      <c r="AE31" s="39"/>
      <c r="AF31" s="39"/>
      <c r="AG31" s="39"/>
      <c r="AH31" s="39"/>
      <c r="AI31" s="39"/>
      <c r="AJ31" s="39"/>
    </row>
    <row r="32" spans="1:36" x14ac:dyDescent="0.2">
      <c r="A32" s="5">
        <f>DAY(Kalenteri!A362)</f>
        <v>28</v>
      </c>
      <c r="B32" s="3" t="str">
        <f>IF(Kalenteri!B362=1,"su",IF(Kalenteri!B362=2,"ma",IF(Kalenteri!B362=3,"ti",IF(Kalenteri!B362=4,"ke",IF(Kalenteri!B362=5,"to",IF(Kalenteri!B362=6,"pe",IF(Kalenteri!B362=7,"la",)))))))</f>
        <v>la</v>
      </c>
      <c r="C32" s="18"/>
      <c r="D32" s="10"/>
      <c r="E32" s="10"/>
      <c r="F32" s="11"/>
      <c r="G32" s="18"/>
      <c r="H32" s="11"/>
      <c r="I32" s="18"/>
      <c r="J32" s="11"/>
      <c r="K32" s="33">
        <f t="shared" si="0"/>
        <v>0</v>
      </c>
      <c r="L32" s="10"/>
      <c r="M32" s="10"/>
      <c r="N32" s="10"/>
      <c r="O32" s="11"/>
      <c r="P32" s="10"/>
      <c r="Q32" s="11"/>
      <c r="R32" s="30"/>
      <c r="S32" s="30"/>
      <c r="T32" s="33">
        <f t="shared" si="1"/>
        <v>0</v>
      </c>
      <c r="U32" s="10"/>
      <c r="V32" s="10"/>
      <c r="W32" s="10"/>
      <c r="X32" s="11"/>
      <c r="Y32" s="10"/>
      <c r="Z32" s="11"/>
      <c r="AA32" s="30"/>
      <c r="AB32" s="30"/>
      <c r="AC32" s="33">
        <f t="shared" si="2"/>
        <v>0</v>
      </c>
      <c r="AD32" s="12">
        <f t="shared" si="3"/>
        <v>0</v>
      </c>
      <c r="AE32" s="39"/>
      <c r="AF32" s="39"/>
      <c r="AG32" s="39"/>
      <c r="AH32" s="39"/>
      <c r="AI32" s="39"/>
      <c r="AJ32" s="39"/>
    </row>
    <row r="33" spans="1:36" x14ac:dyDescent="0.2">
      <c r="A33" s="5">
        <f>DAY(Kalenteri!A363)</f>
        <v>29</v>
      </c>
      <c r="B33" s="3" t="str">
        <f>IF(Kalenteri!B363=1,"su",IF(Kalenteri!B363=2,"ma",IF(Kalenteri!B363=3,"ti",IF(Kalenteri!B363=4,"ke",IF(Kalenteri!B363=5,"to",IF(Kalenteri!B363=6,"pe",IF(Kalenteri!B363=7,"la",)))))))</f>
        <v>su</v>
      </c>
      <c r="C33" s="18"/>
      <c r="D33" s="10"/>
      <c r="E33" s="10"/>
      <c r="F33" s="11"/>
      <c r="G33" s="18"/>
      <c r="H33" s="11"/>
      <c r="I33" s="18"/>
      <c r="J33" s="11"/>
      <c r="K33" s="33">
        <f t="shared" si="0"/>
        <v>0</v>
      </c>
      <c r="L33" s="10"/>
      <c r="M33" s="10"/>
      <c r="N33" s="10"/>
      <c r="O33" s="11"/>
      <c r="P33" s="10"/>
      <c r="Q33" s="11"/>
      <c r="R33" s="30"/>
      <c r="S33" s="30"/>
      <c r="T33" s="33">
        <f t="shared" si="1"/>
        <v>0</v>
      </c>
      <c r="U33" s="10"/>
      <c r="V33" s="10"/>
      <c r="W33" s="10"/>
      <c r="X33" s="11"/>
      <c r="Y33" s="10"/>
      <c r="Z33" s="11"/>
      <c r="AA33" s="30"/>
      <c r="AB33" s="30"/>
      <c r="AC33" s="33">
        <f t="shared" si="2"/>
        <v>0</v>
      </c>
      <c r="AD33" s="12">
        <f t="shared" si="3"/>
        <v>0</v>
      </c>
      <c r="AE33" s="39"/>
      <c r="AF33" s="39"/>
      <c r="AG33" s="39"/>
      <c r="AH33" s="39"/>
      <c r="AI33" s="39"/>
      <c r="AJ33" s="39"/>
    </row>
    <row r="34" spans="1:36" x14ac:dyDescent="0.2">
      <c r="A34" s="5">
        <f>DAY(Kalenteri!A364)</f>
        <v>30</v>
      </c>
      <c r="B34" s="3" t="str">
        <f>IF(Kalenteri!B364=1,"su",IF(Kalenteri!B364=2,"ma",IF(Kalenteri!B364=3,"ti",IF(Kalenteri!B364=4,"ke",IF(Kalenteri!B364=5,"to",IF(Kalenteri!B364=6,"pe",IF(Kalenteri!B364=7,"la",)))))))</f>
        <v>ma</v>
      </c>
      <c r="C34" s="18">
        <v>198</v>
      </c>
      <c r="D34" s="10">
        <v>90</v>
      </c>
      <c r="E34" s="10"/>
      <c r="F34" s="11"/>
      <c r="G34" s="18"/>
      <c r="H34" s="11"/>
      <c r="I34" s="18">
        <v>5</v>
      </c>
      <c r="J34" s="11"/>
      <c r="K34" s="33">
        <f t="shared" si="0"/>
        <v>293</v>
      </c>
      <c r="L34" s="10"/>
      <c r="M34" s="10"/>
      <c r="N34" s="10"/>
      <c r="O34" s="11"/>
      <c r="P34" s="10"/>
      <c r="Q34" s="11"/>
      <c r="R34" s="30"/>
      <c r="S34" s="30"/>
      <c r="T34" s="33">
        <f t="shared" si="1"/>
        <v>0</v>
      </c>
      <c r="U34" s="10"/>
      <c r="V34" s="10"/>
      <c r="W34" s="10"/>
      <c r="X34" s="11"/>
      <c r="Y34" s="10"/>
      <c r="Z34" s="11"/>
      <c r="AA34" s="30"/>
      <c r="AB34" s="30"/>
      <c r="AC34" s="33">
        <f t="shared" si="2"/>
        <v>0</v>
      </c>
      <c r="AD34" s="12">
        <f t="shared" si="3"/>
        <v>293</v>
      </c>
      <c r="AE34" s="39"/>
      <c r="AF34" s="39"/>
      <c r="AG34" s="39"/>
      <c r="AH34" s="39"/>
      <c r="AI34" s="39"/>
      <c r="AJ34" s="39"/>
    </row>
    <row r="35" spans="1:36" x14ac:dyDescent="0.2">
      <c r="A35" s="5">
        <f>DAY(Kalenteri!A365)</f>
        <v>31</v>
      </c>
      <c r="B35" s="3" t="str">
        <f>IF(Kalenteri!B365=1,"su",IF(Kalenteri!B365=2,"ma",IF(Kalenteri!B365=3,"ti",IF(Kalenteri!B365=4,"ke",IF(Kalenteri!B365=5,"to",IF(Kalenteri!B365=6,"pe",IF(Kalenteri!B365=7,"la",)))))))</f>
        <v>ti</v>
      </c>
      <c r="C35" s="79"/>
      <c r="D35" s="80"/>
      <c r="E35" s="80"/>
      <c r="F35" s="81"/>
      <c r="G35" s="79"/>
      <c r="H35" s="81"/>
      <c r="I35" s="79"/>
      <c r="J35" s="81"/>
      <c r="K35" s="34">
        <f t="shared" si="0"/>
        <v>0</v>
      </c>
      <c r="L35" s="20"/>
      <c r="M35" s="20"/>
      <c r="N35" s="20"/>
      <c r="O35" s="21"/>
      <c r="P35" s="20"/>
      <c r="Q35" s="21"/>
      <c r="R35" s="31"/>
      <c r="S35" s="31"/>
      <c r="T35" s="34">
        <f t="shared" si="1"/>
        <v>0</v>
      </c>
      <c r="U35" s="20"/>
      <c r="V35" s="20"/>
      <c r="W35" s="20"/>
      <c r="X35" s="21"/>
      <c r="Y35" s="20"/>
      <c r="Z35" s="21"/>
      <c r="AA35" s="31"/>
      <c r="AB35" s="31"/>
      <c r="AC35" s="34">
        <f t="shared" si="2"/>
        <v>0</v>
      </c>
      <c r="AD35" s="19">
        <f t="shared" si="3"/>
        <v>0</v>
      </c>
      <c r="AE35" s="39"/>
      <c r="AF35" s="39"/>
      <c r="AG35" s="39"/>
      <c r="AH35" s="39"/>
      <c r="AI35" s="39"/>
      <c r="AJ35" s="39"/>
    </row>
    <row r="36" spans="1:36" x14ac:dyDescent="0.2">
      <c r="A36" s="6"/>
      <c r="B36"/>
      <c r="C36" s="82">
        <f t="shared" ref="C36:J36" si="4">SUM(C5:C35)</f>
        <v>295</v>
      </c>
      <c r="D36" s="83">
        <f t="shared" si="4"/>
        <v>113</v>
      </c>
      <c r="E36" s="83">
        <f t="shared" si="4"/>
        <v>0</v>
      </c>
      <c r="F36" s="84">
        <f t="shared" si="4"/>
        <v>0</v>
      </c>
      <c r="G36" s="83">
        <f t="shared" si="4"/>
        <v>0</v>
      </c>
      <c r="H36" s="84">
        <f t="shared" si="4"/>
        <v>0</v>
      </c>
      <c r="I36" s="83">
        <f t="shared" si="4"/>
        <v>5</v>
      </c>
      <c r="J36" s="84">
        <f t="shared" si="4"/>
        <v>0</v>
      </c>
      <c r="K36" s="85">
        <f t="shared" si="0"/>
        <v>413</v>
      </c>
      <c r="L36" s="83">
        <f t="shared" ref="L36:S36" si="5">SUM(L5:L35)</f>
        <v>0</v>
      </c>
      <c r="M36" s="83">
        <f t="shared" si="5"/>
        <v>0</v>
      </c>
      <c r="N36" s="83">
        <f t="shared" si="5"/>
        <v>0</v>
      </c>
      <c r="O36" s="84">
        <f t="shared" si="5"/>
        <v>0</v>
      </c>
      <c r="P36" s="83">
        <f t="shared" si="5"/>
        <v>0</v>
      </c>
      <c r="Q36" s="84">
        <f t="shared" si="5"/>
        <v>0</v>
      </c>
      <c r="R36" s="86">
        <f t="shared" si="5"/>
        <v>0</v>
      </c>
      <c r="S36" s="86">
        <f t="shared" si="5"/>
        <v>0</v>
      </c>
      <c r="T36" s="85">
        <f t="shared" si="1"/>
        <v>0</v>
      </c>
      <c r="U36" s="83">
        <f t="shared" ref="U36:AB36" si="6">SUM(U5:U35)</f>
        <v>0</v>
      </c>
      <c r="V36" s="83">
        <f t="shared" si="6"/>
        <v>0</v>
      </c>
      <c r="W36" s="83">
        <f t="shared" si="6"/>
        <v>0</v>
      </c>
      <c r="X36" s="84">
        <f t="shared" si="6"/>
        <v>0</v>
      </c>
      <c r="Y36" s="83">
        <f t="shared" si="6"/>
        <v>0</v>
      </c>
      <c r="Z36" s="84">
        <f t="shared" si="6"/>
        <v>0</v>
      </c>
      <c r="AA36" s="86">
        <f t="shared" si="6"/>
        <v>0</v>
      </c>
      <c r="AB36" s="86">
        <f t="shared" si="6"/>
        <v>0</v>
      </c>
      <c r="AC36" s="85">
        <f t="shared" si="2"/>
        <v>0</v>
      </c>
      <c r="AD36" s="87">
        <f t="shared" si="3"/>
        <v>413</v>
      </c>
      <c r="AE36" s="66"/>
      <c r="AF36" s="66"/>
      <c r="AG36" s="66"/>
      <c r="AH36" s="66"/>
      <c r="AI36" s="66"/>
      <c r="AJ36" s="66"/>
    </row>
    <row r="37" spans="1:36" ht="8.1" customHeight="1" thickBot="1" x14ac:dyDescent="0.25">
      <c r="A37" s="6"/>
      <c r="B37"/>
      <c r="C37" s="2"/>
      <c r="D37" s="5"/>
      <c r="E37" s="5"/>
      <c r="F37" s="2"/>
      <c r="G37" s="2"/>
      <c r="H37" s="2"/>
      <c r="I37" s="5"/>
      <c r="J37" s="2"/>
      <c r="K37" s="2"/>
      <c r="L37" s="5"/>
      <c r="M37" s="2"/>
      <c r="N37" s="5"/>
      <c r="O37" s="5"/>
      <c r="P37" s="2"/>
      <c r="Q37" s="5"/>
      <c r="R37" s="42"/>
      <c r="S37" s="42"/>
      <c r="T37" s="2"/>
      <c r="U37" s="2"/>
      <c r="V37" s="2"/>
      <c r="W37" s="2"/>
      <c r="X37" s="5"/>
      <c r="Y37" s="2"/>
      <c r="Z37" s="2"/>
      <c r="AA37" s="39"/>
      <c r="AB37" s="39"/>
      <c r="AC37" s="5"/>
      <c r="AD37" s="40"/>
      <c r="AE37" s="40"/>
      <c r="AF37" s="40"/>
      <c r="AG37" s="40"/>
      <c r="AH37" s="40"/>
      <c r="AI37" s="40"/>
      <c r="AJ37" s="40"/>
    </row>
    <row r="38" spans="1:36" ht="24.95" customHeight="1" thickTop="1" x14ac:dyDescent="0.3">
      <c r="A38" s="6"/>
      <c r="B38"/>
      <c r="C38" s="171" t="str">
        <f>Kalenteri!E38</f>
        <v>Lippujen hinnat:</v>
      </c>
      <c r="D38" s="5"/>
      <c r="E38" s="5"/>
      <c r="F38" s="2"/>
      <c r="G38" s="2"/>
      <c r="H38" s="2"/>
      <c r="I38" s="5"/>
      <c r="J38" s="2"/>
      <c r="K38" s="2"/>
      <c r="L38" s="5"/>
      <c r="M38" s="2"/>
      <c r="N38" s="5"/>
      <c r="O38" s="5"/>
      <c r="P38" s="2"/>
      <c r="Q38"/>
      <c r="R38"/>
      <c r="S38"/>
      <c r="T38"/>
      <c r="U38" s="49" t="s">
        <v>40</v>
      </c>
      <c r="V38" s="50"/>
      <c r="W38" s="43"/>
      <c r="X38" s="44"/>
      <c r="Y38" s="43"/>
      <c r="Z38" s="43"/>
      <c r="AA38" s="44"/>
      <c r="AB38" s="44"/>
      <c r="AC38" s="47"/>
      <c r="AD38" s="45">
        <f>AD36</f>
        <v>413</v>
      </c>
      <c r="AE38" s="41"/>
      <c r="AF38" s="41"/>
      <c r="AG38" s="41"/>
      <c r="AH38" s="41"/>
      <c r="AI38" s="41"/>
      <c r="AJ38" s="41"/>
    </row>
    <row r="39" spans="1:36" ht="24.95" customHeight="1" x14ac:dyDescent="0.3">
      <c r="A39" s="6"/>
      <c r="B39"/>
      <c r="C39" s="193" t="str">
        <f>Kalenteri!E39</f>
        <v>Mustikkamaan kautta: 1.9.-30.4. aik. 10 €, lapset 5 €, kimppalippu 30 €    1.5.-30.8. aik. 12 €, lapset 6 €, kimppalippu 36 €</v>
      </c>
      <c r="D39" s="89"/>
      <c r="E39" s="89"/>
      <c r="F39" s="90"/>
      <c r="G39" s="102"/>
      <c r="H39" s="174"/>
      <c r="I39" s="89"/>
      <c r="J39" s="90"/>
      <c r="K39" s="90"/>
      <c r="L39" s="89"/>
      <c r="M39" s="90"/>
      <c r="N39" s="89"/>
      <c r="O39" s="89"/>
      <c r="P39" s="89"/>
      <c r="Q39" s="104"/>
      <c r="R39" s="103"/>
      <c r="S39"/>
      <c r="T39"/>
      <c r="U39" s="62" t="s">
        <v>13</v>
      </c>
      <c r="V39" s="52"/>
      <c r="W39" s="53"/>
      <c r="X39" s="54"/>
      <c r="Y39" s="53"/>
      <c r="Z39" s="53"/>
      <c r="AA39" s="54"/>
      <c r="AB39" s="54"/>
      <c r="AC39" s="55"/>
      <c r="AD39" s="56">
        <f>AD36-Edellisvuosi!M8</f>
        <v>-320</v>
      </c>
      <c r="AE39" s="67"/>
      <c r="AF39" s="67"/>
      <c r="AG39" s="67"/>
      <c r="AH39" s="67"/>
      <c r="AI39" s="67"/>
      <c r="AJ39" s="67"/>
    </row>
    <row r="40" spans="1:36" ht="24.95" customHeight="1" x14ac:dyDescent="0.3">
      <c r="A40" s="6"/>
      <c r="B40" s="6"/>
      <c r="C40" s="194" t="str">
        <f>Kalenteri!E40</f>
        <v xml:space="preserve">                                    Vuosikortti:     aik. 50 €, lapset 20 €, perhekortti 100 €</v>
      </c>
      <c r="D40" s="39"/>
      <c r="E40" s="39"/>
      <c r="F40" s="42"/>
      <c r="G40" s="65"/>
      <c r="H40" s="176"/>
      <c r="I40" s="39"/>
      <c r="J40" s="42"/>
      <c r="K40" s="42"/>
      <c r="L40" s="39"/>
      <c r="M40" s="42"/>
      <c r="N40" s="39"/>
      <c r="O40" s="39"/>
      <c r="P40" s="39"/>
      <c r="Q40" s="23"/>
      <c r="R40" s="97"/>
      <c r="S40"/>
      <c r="T40"/>
      <c r="U40" s="63" t="s">
        <v>41</v>
      </c>
      <c r="V40" s="37"/>
      <c r="W40" s="51"/>
      <c r="X40" s="41"/>
      <c r="Y40" s="51"/>
      <c r="Z40" s="41"/>
      <c r="AA40" s="41"/>
      <c r="AB40" s="41"/>
      <c r="AC40" s="48"/>
      <c r="AD40" s="46">
        <f>AD36+'K1'!AD36+'K2'!AD36+'K3'!AD36+'K4'!AD36+'K5'!AD36+'K6'!AD36+'K7'!AD36+'K8'!AD36+'K9'!AD36+'K10'!AD36+'K11'!AD36</f>
        <v>12854</v>
      </c>
      <c r="AE40" s="41"/>
      <c r="AF40" s="41"/>
      <c r="AG40" s="41"/>
      <c r="AH40" s="41"/>
      <c r="AI40" s="41"/>
      <c r="AJ40" s="41"/>
    </row>
    <row r="41" spans="1:36" ht="24.95" customHeight="1" thickBot="1" x14ac:dyDescent="0.35">
      <c r="A41" s="4"/>
      <c r="B41" s="4"/>
      <c r="C41" s="195" t="str">
        <f>Kalenteri!E41</f>
        <v>Vesibusseilla:             1.9.-30.4. aik. 16 €, lapset 8 €, kimppalippu 47 €    1.5.-31.8. aik. 18 €, lapset 9 €, kimppalippu 53 €</v>
      </c>
      <c r="D41" s="93"/>
      <c r="E41" s="93"/>
      <c r="F41" s="94"/>
      <c r="G41" s="94"/>
      <c r="H41" s="175"/>
      <c r="I41" s="93"/>
      <c r="J41" s="96"/>
      <c r="K41" s="96"/>
      <c r="L41" s="93"/>
      <c r="M41" s="95"/>
      <c r="N41" s="95"/>
      <c r="O41" s="93"/>
      <c r="P41" s="93"/>
      <c r="Q41" s="95"/>
      <c r="R41" s="98"/>
      <c r="S41"/>
      <c r="T41"/>
      <c r="U41" s="64" t="s">
        <v>13</v>
      </c>
      <c r="V41" s="57"/>
      <c r="W41" s="58"/>
      <c r="X41" s="59"/>
      <c r="Y41" s="59"/>
      <c r="Z41" s="59"/>
      <c r="AA41" s="59"/>
      <c r="AB41" s="59"/>
      <c r="AC41" s="60"/>
      <c r="AD41" s="61">
        <f>AD40-Edellisvuosi!B8-Edellisvuosi!C8-Edellisvuosi!D8-Edellisvuosi!E8-Edellisvuosi!F8-Edellisvuosi!G8-Edellisvuosi!H8-Edellisvuosi!I8-Edellisvuosi!J8-Edellisvuosi!K8-Edellisvuosi!L8-Edellisvuosi!M8</f>
        <v>-221</v>
      </c>
      <c r="AE41" s="68"/>
      <c r="AF41" s="68"/>
      <c r="AG41" s="68"/>
      <c r="AH41" s="68"/>
      <c r="AI41" s="68"/>
      <c r="AJ41" s="68"/>
    </row>
    <row r="42" spans="1:36" ht="13.5" thickTop="1" x14ac:dyDescent="0.2"/>
  </sheetData>
  <sheetProtection password="C4AC" sheet="1" objects="1" scenarios="1"/>
  <phoneticPr fontId="4" type="noConversion"/>
  <pageMargins left="0" right="0" top="0.27559055118110237" bottom="0" header="0" footer="0"/>
  <pageSetup paperSize="9" scale="75" fitToHeight="0" orientation="landscape" horizontalDpi="4294967292" verticalDpi="4294967292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401" r:id="rId4" name="Button 1">
              <controlPr defaultSize="0" print="0" autoFill="0" autoLine="0" autoPict="0" macro="[1]!TAMMI">
                <anchor moveWithCells="1" sizeWithCells="1">
                  <from>
                    <xdr:col>35</xdr:col>
                    <xdr:colOff>0</xdr:colOff>
                    <xdr:row>3</xdr:row>
                    <xdr:rowOff>9525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02" r:id="rId5" name="Button 2">
              <controlPr defaultSize="0" print="0" autoFill="0" autoLine="0" autoPict="0" macro="[1]KTMAKRO!$A$1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03" r:id="rId6" name="Button 3">
              <controlPr defaultSize="0" print="0" autoFill="0" autoLine="0" autoPict="0" macro="[1]!MAALIS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04" r:id="rId7" name="Button 4">
              <controlPr defaultSize="0" print="0" autoFill="0" autoLine="0" autoPict="0" macro="[1]KTMAKRO!$D$1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05" r:id="rId8" name="Button 5">
              <controlPr defaultSize="0" print="0" autoFill="0" autoLine="0" autoPict="0" macro="[1]KTMAKRO!$E$1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06" r:id="rId9" name="Button 6">
              <controlPr defaultSize="0" print="0" autoFill="0" autoLine="0" autoPict="0" macro="[1]!KESÄ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07" r:id="rId10" name="Button 7">
              <controlPr defaultSize="0" print="0" autoFill="0" autoLine="0" autoPict="0" macro="[1]!HELMI">
                <anchor moveWithCells="1" sizeWithCells="1">
                  <from>
                    <xdr:col>35</xdr:col>
                    <xdr:colOff>0</xdr:colOff>
                    <xdr:row>3</xdr:row>
                    <xdr:rowOff>9525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08" r:id="rId11" name="Button 8">
              <controlPr defaultSize="0" print="0" autoFill="0" autoLine="0" autoPict="0" macro="[1]KTMAKRO!$G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09" r:id="rId12" name="Button 9">
              <controlPr defaultSize="0" print="0" autoFill="0" autoLine="0" autoPict="0" macro="[1]KTMAKRO!$I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10" r:id="rId13" name="Button 10">
              <controlPr defaultSize="0" print="0" autoFill="0" autoLine="0" autoPict="0" macro="[1]KTMAKRO!$J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11" r:id="rId14" name="Button 11">
              <controlPr defaultSize="0" print="0" autoFill="0" autoLine="0" autoPict="0" macro="[1]KTMAKRO!$K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12" r:id="rId15" name="Button 12">
              <controlPr defaultSize="0" print="0" autoFill="0" autoLine="0" autoPict="0" macro="[1]KTMAKRO!$L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13" r:id="rId16" name="Button 13">
              <controlPr defaultSize="0" print="0" autoFill="0" autoLine="0" autoPict="0" macro="[1]KTMAKRO!$H$1">
                <anchor moveWithCells="1" sizeWithCells="1">
                  <from>
                    <xdr:col>35</xdr:col>
                    <xdr:colOff>0</xdr:colOff>
                    <xdr:row>5</xdr:row>
                    <xdr:rowOff>0</xdr:rowOff>
                  </from>
                  <to>
                    <xdr:col>35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14" r:id="rId17" name="Button 14">
              <controlPr defaultSize="0" print="0" autoFill="0" autoLine="0" autoPict="0" macro="[1]!Yhteenveto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5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15" r:id="rId18" name="Button 15">
              <controlPr defaultSize="0" print="0" autoFill="0" autoLine="0" autoPict="0" macro="[1]!GRAFIIKKA1">
                <anchor moveWithCells="1" sizeWithCells="1">
                  <from>
                    <xdr:col>35</xdr:col>
                    <xdr:colOff>0</xdr:colOff>
                    <xdr:row>8</xdr:row>
                    <xdr:rowOff>142875</xdr:rowOff>
                  </from>
                  <to>
                    <xdr:col>35</xdr:col>
                    <xdr:colOff>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16" r:id="rId19" name="Button 16">
              <controlPr defaultSize="0" print="0" autoFill="0" autoLine="0" autoPict="0" macro="[1]!Grafiikka2">
                <anchor moveWithCells="1" sizeWithCells="1">
                  <from>
                    <xdr:col>35</xdr:col>
                    <xdr:colOff>0</xdr:colOff>
                    <xdr:row>8</xdr:row>
                    <xdr:rowOff>152400</xdr:rowOff>
                  </from>
                  <to>
                    <xdr:col>35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17" r:id="rId20" name="Button 17">
              <controlPr defaultSize="0" print="0" autoFill="0" autoLine="0" autoPict="0" macro="[1]!Grafiikka4">
                <anchor moveWithCells="1" sizeWithCells="1">
                  <from>
                    <xdr:col>35</xdr:col>
                    <xdr:colOff>0</xdr:colOff>
                    <xdr:row>8</xdr:row>
                    <xdr:rowOff>142875</xdr:rowOff>
                  </from>
                  <to>
                    <xdr:col>35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18" r:id="rId21" name="Button 18">
              <controlPr defaultSize="0" print="0" autoFill="0" autoLine="0" autoPict="0" macro="[1]!Grafiikka4">
                <anchor moveWithCells="1" sizeWithCells="1">
                  <from>
                    <xdr:col>35</xdr:col>
                    <xdr:colOff>0</xdr:colOff>
                    <xdr:row>8</xdr:row>
                    <xdr:rowOff>152400</xdr:rowOff>
                  </from>
                  <to>
                    <xdr:col>35</xdr:col>
                    <xdr:colOff>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19" r:id="rId22" name="Button 19">
              <controlPr defaultSize="0" print="0" autoFill="0" autoLine="0" autoPict="0" macro="[1]!Grafiikka5">
                <anchor moveWithCells="1" sizeWithCells="1">
                  <from>
                    <xdr:col>35</xdr:col>
                    <xdr:colOff>0</xdr:colOff>
                    <xdr:row>8</xdr:row>
                    <xdr:rowOff>152400</xdr:rowOff>
                  </from>
                  <to>
                    <xdr:col>35</xdr:col>
                    <xdr:colOff>0</xdr:colOff>
                    <xdr:row>12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20" r:id="rId23" name="Button 20">
              <controlPr defaultSize="0" print="0" autoFill="0" autoLine="0" autoPict="0" macro="[1]!Perusikkuna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12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/>
  <dimension ref="A1:AJ42"/>
  <sheetViews>
    <sheetView showGridLines="0" zoomScale="75" workbookViewId="0"/>
  </sheetViews>
  <sheetFormatPr defaultColWidth="9.75" defaultRowHeight="12.75" x14ac:dyDescent="0.2"/>
  <cols>
    <col min="1" max="1" width="3.75" style="1" customWidth="1"/>
    <col min="2" max="2" width="2.75" style="1" customWidth="1"/>
    <col min="3" max="4" width="6.125" style="1" customWidth="1"/>
    <col min="5" max="5" width="4" style="1" customWidth="1"/>
    <col min="6" max="6" width="4.5" style="1" customWidth="1"/>
    <col min="7" max="10" width="6.125" style="1" customWidth="1"/>
    <col min="11" max="11" width="5.875" style="1" customWidth="1"/>
    <col min="12" max="13" width="6.125" style="1" customWidth="1"/>
    <col min="14" max="14" width="5.25" style="1" customWidth="1"/>
    <col min="15" max="15" width="4.5" style="1" customWidth="1"/>
    <col min="16" max="16" width="6.125" style="1" customWidth="1"/>
    <col min="17" max="17" width="5.5" style="1" customWidth="1"/>
    <col min="18" max="19" width="6.125" style="1" customWidth="1"/>
    <col min="20" max="20" width="5.875" style="1" customWidth="1"/>
    <col min="21" max="22" width="6.125" style="1" customWidth="1"/>
    <col min="23" max="23" width="4.375" style="1" customWidth="1"/>
    <col min="24" max="24" width="4.25" style="1" customWidth="1"/>
    <col min="25" max="29" width="6.125" style="1" customWidth="1"/>
    <col min="30" max="36" width="15.625" style="1" customWidth="1"/>
  </cols>
  <sheetData>
    <row r="1" spans="1:36" ht="30" customHeight="1" x14ac:dyDescent="0.35">
      <c r="A1" s="22"/>
      <c r="B1" s="4"/>
      <c r="C1" s="105" t="s">
        <v>15</v>
      </c>
      <c r="D1" s="106"/>
      <c r="E1" s="106"/>
      <c r="F1" s="106"/>
      <c r="G1" s="106"/>
      <c r="H1" s="106"/>
      <c r="I1" s="106"/>
      <c r="J1" s="106"/>
      <c r="K1" s="106"/>
      <c r="L1" s="105" t="str">
        <f>Kalenteri!$H$1</f>
        <v>KÄVIJÄTILASTO 2013</v>
      </c>
      <c r="M1" s="107"/>
      <c r="N1" s="107"/>
      <c r="O1" s="107"/>
      <c r="P1" s="106"/>
      <c r="Q1" s="106"/>
      <c r="R1" s="105" t="s">
        <v>21</v>
      </c>
      <c r="S1" s="108"/>
      <c r="T1" s="106"/>
      <c r="U1" s="109"/>
      <c r="V1" s="105" t="s">
        <v>42</v>
      </c>
      <c r="W1" s="109"/>
      <c r="X1" s="106"/>
      <c r="Y1" s="106"/>
      <c r="Z1" s="106"/>
      <c r="AA1" s="106"/>
      <c r="AB1" s="106"/>
      <c r="AC1" s="106"/>
      <c r="AD1" s="110"/>
      <c r="AE1" s="4"/>
      <c r="AF1" s="4"/>
      <c r="AG1" s="4"/>
      <c r="AH1" s="4"/>
      <c r="AI1" s="4"/>
      <c r="AJ1" s="4"/>
    </row>
    <row r="2" spans="1:36" ht="30" customHeight="1" x14ac:dyDescent="0.3">
      <c r="A2" s="3"/>
      <c r="B2" s="4"/>
      <c r="C2" s="72"/>
      <c r="D2" s="73"/>
      <c r="E2" s="74" t="s">
        <v>1</v>
      </c>
      <c r="F2" s="75"/>
      <c r="G2" s="75"/>
      <c r="H2" s="75"/>
      <c r="I2" s="75"/>
      <c r="J2" s="75"/>
      <c r="K2" s="76"/>
      <c r="L2" s="72"/>
      <c r="M2" s="77"/>
      <c r="N2" s="73"/>
      <c r="O2" s="74" t="s">
        <v>2</v>
      </c>
      <c r="P2" s="75"/>
      <c r="Q2" s="75"/>
      <c r="R2" s="75"/>
      <c r="S2" s="75"/>
      <c r="T2" s="76"/>
      <c r="U2" s="72"/>
      <c r="V2" s="75"/>
      <c r="W2" s="73"/>
      <c r="X2" s="74" t="s">
        <v>3</v>
      </c>
      <c r="Y2" s="75"/>
      <c r="Z2" s="75"/>
      <c r="AA2" s="75"/>
      <c r="AB2" s="75"/>
      <c r="AC2" s="76"/>
      <c r="AD2" s="13"/>
      <c r="AE2" s="35"/>
      <c r="AF2" s="69"/>
      <c r="AG2" s="69"/>
      <c r="AH2" s="69"/>
      <c r="AI2" s="69"/>
      <c r="AJ2" s="69"/>
    </row>
    <row r="3" spans="1:36" x14ac:dyDescent="0.2">
      <c r="A3" s="4"/>
      <c r="B3" s="4"/>
      <c r="C3" s="24" t="s">
        <v>4</v>
      </c>
      <c r="D3" s="25"/>
      <c r="E3" s="25"/>
      <c r="F3" s="26"/>
      <c r="G3" s="24" t="s">
        <v>5</v>
      </c>
      <c r="H3" s="26"/>
      <c r="I3" s="25" t="s">
        <v>6</v>
      </c>
      <c r="J3" s="25"/>
      <c r="K3" s="27"/>
      <c r="L3" s="24" t="s">
        <v>4</v>
      </c>
      <c r="M3" s="25"/>
      <c r="N3" s="25"/>
      <c r="O3" s="26"/>
      <c r="P3" s="24" t="s">
        <v>5</v>
      </c>
      <c r="Q3" s="26"/>
      <c r="R3" s="25" t="s">
        <v>6</v>
      </c>
      <c r="S3" s="25"/>
      <c r="T3" s="27"/>
      <c r="U3" s="24" t="s">
        <v>4</v>
      </c>
      <c r="V3" s="25"/>
      <c r="W3" s="25"/>
      <c r="X3" s="26"/>
      <c r="Y3" s="24" t="s">
        <v>5</v>
      </c>
      <c r="Z3" s="26"/>
      <c r="AA3" s="25" t="s">
        <v>6</v>
      </c>
      <c r="AB3" s="25"/>
      <c r="AC3" s="27"/>
      <c r="AD3" s="36" t="s">
        <v>7</v>
      </c>
      <c r="AE3" s="38"/>
      <c r="AF3" s="70"/>
      <c r="AG3" s="70"/>
      <c r="AH3" s="70"/>
      <c r="AI3" s="70"/>
      <c r="AJ3"/>
    </row>
    <row r="4" spans="1:36" x14ac:dyDescent="0.2">
      <c r="A4" s="6"/>
      <c r="B4" s="4"/>
      <c r="C4" s="7" t="s">
        <v>8</v>
      </c>
      <c r="D4" s="8" t="s">
        <v>9</v>
      </c>
      <c r="E4" s="8" t="s">
        <v>10</v>
      </c>
      <c r="F4" s="9" t="s">
        <v>11</v>
      </c>
      <c r="G4" s="7" t="s">
        <v>8</v>
      </c>
      <c r="H4" s="9" t="s">
        <v>9</v>
      </c>
      <c r="I4" s="8" t="s">
        <v>8</v>
      </c>
      <c r="J4" s="8" t="s">
        <v>9</v>
      </c>
      <c r="K4" s="14" t="s">
        <v>0</v>
      </c>
      <c r="L4" s="7" t="s">
        <v>8</v>
      </c>
      <c r="M4" s="8" t="s">
        <v>9</v>
      </c>
      <c r="N4" s="8" t="s">
        <v>10</v>
      </c>
      <c r="O4" s="9" t="s">
        <v>11</v>
      </c>
      <c r="P4" s="7" t="s">
        <v>8</v>
      </c>
      <c r="Q4" s="9" t="s">
        <v>9</v>
      </c>
      <c r="R4" s="8" t="s">
        <v>8</v>
      </c>
      <c r="S4" s="8" t="s">
        <v>9</v>
      </c>
      <c r="T4" s="14" t="s">
        <v>0</v>
      </c>
      <c r="U4" s="7" t="s">
        <v>8</v>
      </c>
      <c r="V4" s="8" t="s">
        <v>9</v>
      </c>
      <c r="W4" s="8" t="s">
        <v>10</v>
      </c>
      <c r="X4" s="9" t="s">
        <v>11</v>
      </c>
      <c r="Y4" s="7" t="s">
        <v>8</v>
      </c>
      <c r="Z4" s="9" t="s">
        <v>9</v>
      </c>
      <c r="AA4" s="8" t="s">
        <v>8</v>
      </c>
      <c r="AB4" s="8" t="s">
        <v>9</v>
      </c>
      <c r="AC4" s="14" t="s">
        <v>0</v>
      </c>
      <c r="AD4" s="28"/>
      <c r="AE4" s="23"/>
      <c r="AF4" s="23"/>
      <c r="AG4" s="23"/>
      <c r="AH4" s="23"/>
      <c r="AI4" s="23"/>
      <c r="AJ4"/>
    </row>
    <row r="5" spans="1:36" x14ac:dyDescent="0.2">
      <c r="A5" s="5">
        <f>DAY(Kalenteri!A1)</f>
        <v>1</v>
      </c>
      <c r="B5" s="3" t="str">
        <f>IF(Kalenteri!B1=1,"su",IF(Kalenteri!B1=2,"ma",IF(Kalenteri!B1=3,"ti",IF(Kalenteri!B1=4,"ke",IF(Kalenteri!B1=5,"to",IF(Kalenteri!B1=6,"pe",IF(Kalenteri!B1=7,"la",)))))))</f>
        <v>ti</v>
      </c>
      <c r="C5" s="111">
        <f>'N1'!C5+'K1'!C5</f>
        <v>132</v>
      </c>
      <c r="D5" s="112">
        <f>'N1'!D5+'K1'!D5</f>
        <v>38</v>
      </c>
      <c r="E5" s="112">
        <f>'N1'!E5+'K1'!E5</f>
        <v>6</v>
      </c>
      <c r="F5" s="113">
        <f>'N1'!F5+'K1'!F5</f>
        <v>17</v>
      </c>
      <c r="G5" s="111">
        <f>'N1'!G5+'K1'!G5</f>
        <v>0</v>
      </c>
      <c r="H5" s="113">
        <f>'N1'!H5+'K1'!H5</f>
        <v>38</v>
      </c>
      <c r="I5" s="111">
        <f>'N1'!I5+'K1'!I5</f>
        <v>0</v>
      </c>
      <c r="J5" s="113">
        <f>'N1'!J5+'K1'!J5</f>
        <v>2</v>
      </c>
      <c r="K5" s="32">
        <f>'N1'!K5+'K1'!K5</f>
        <v>233</v>
      </c>
      <c r="L5" s="112">
        <f>'N1'!L5+'K1'!L5</f>
        <v>0</v>
      </c>
      <c r="M5" s="112">
        <f>'N1'!M5+'K1'!M5</f>
        <v>0</v>
      </c>
      <c r="N5" s="112">
        <f>'N1'!N5+'K1'!N5</f>
        <v>0</v>
      </c>
      <c r="O5" s="113">
        <f>'N1'!O5+'K1'!O5</f>
        <v>0</v>
      </c>
      <c r="P5" s="112">
        <f>'N1'!P5+'K1'!P5</f>
        <v>0</v>
      </c>
      <c r="Q5" s="113">
        <f>'N1'!Q5+'K1'!Q5</f>
        <v>0</v>
      </c>
      <c r="R5" s="120">
        <f>'N1'!R5+'K1'!R5</f>
        <v>0</v>
      </c>
      <c r="S5" s="120">
        <f>'N1'!S5+'K1'!S5</f>
        <v>0</v>
      </c>
      <c r="T5" s="32">
        <f>'N1'!T5+'K1'!T5</f>
        <v>0</v>
      </c>
      <c r="U5" s="112">
        <f>'N1'!U5+'K1'!U5</f>
        <v>0</v>
      </c>
      <c r="V5" s="112">
        <f>'N1'!V5+'K1'!V5</f>
        <v>0</v>
      </c>
      <c r="W5" s="112">
        <f>'N1'!W5+'K1'!W5</f>
        <v>0</v>
      </c>
      <c r="X5" s="113">
        <f>'N1'!X5+'K1'!X5</f>
        <v>0</v>
      </c>
      <c r="Y5" s="112">
        <f>'N1'!Y5+'K1'!Y5</f>
        <v>0</v>
      </c>
      <c r="Z5" s="113">
        <f>'N1'!Z5+'K1'!Z5</f>
        <v>0</v>
      </c>
      <c r="AA5" s="120">
        <f>'N1'!AA5+'K1'!AA5</f>
        <v>0</v>
      </c>
      <c r="AB5" s="120">
        <f>'N1'!AB5+'K1'!AB5</f>
        <v>0</v>
      </c>
      <c r="AC5" s="32">
        <f>'N1'!AC5+'K1'!AC5</f>
        <v>0</v>
      </c>
      <c r="AD5" s="17">
        <f>'N1'!AD5+'K1'!AD5</f>
        <v>233</v>
      </c>
      <c r="AE5" s="39"/>
      <c r="AF5" s="39"/>
      <c r="AG5" s="39"/>
      <c r="AH5" s="39"/>
      <c r="AI5" s="39"/>
      <c r="AJ5"/>
    </row>
    <row r="6" spans="1:36" x14ac:dyDescent="0.2">
      <c r="A6" s="5">
        <f>DAY(Kalenteri!A2)</f>
        <v>2</v>
      </c>
      <c r="B6" s="3" t="str">
        <f>IF(Kalenteri!B2=1,"su",IF(Kalenteri!B2=2,"ma",IF(Kalenteri!B2=3,"ti",IF(Kalenteri!B2=4,"ke",IF(Kalenteri!B2=5,"to",IF(Kalenteri!B2=6,"pe",IF(Kalenteri!B2=7,"la",)))))))</f>
        <v>ke</v>
      </c>
      <c r="C6" s="114">
        <f>'N1'!C6+'K1'!C6</f>
        <v>189</v>
      </c>
      <c r="D6" s="115">
        <f>'N1'!D6+'K1'!D6</f>
        <v>62</v>
      </c>
      <c r="E6" s="115">
        <f>'N1'!E6+'K1'!E6</f>
        <v>2</v>
      </c>
      <c r="F6" s="116">
        <f>'N1'!F6+'K1'!F6</f>
        <v>25</v>
      </c>
      <c r="G6" s="114">
        <f>'N1'!G6+'K1'!G6</f>
        <v>0</v>
      </c>
      <c r="H6" s="116">
        <f>'N1'!H6+'K1'!H6</f>
        <v>37</v>
      </c>
      <c r="I6" s="114">
        <f>'N1'!I6+'K1'!I6</f>
        <v>0</v>
      </c>
      <c r="J6" s="116">
        <f>'N1'!J6+'K1'!J6</f>
        <v>0</v>
      </c>
      <c r="K6" s="33">
        <f>'N1'!K6+'K1'!K6</f>
        <v>315</v>
      </c>
      <c r="L6" s="115">
        <f>'N1'!L6+'K1'!L6</f>
        <v>0</v>
      </c>
      <c r="M6" s="115">
        <f>'N1'!M6+'K1'!M6</f>
        <v>0</v>
      </c>
      <c r="N6" s="115">
        <f>'N1'!N6+'K1'!N6</f>
        <v>0</v>
      </c>
      <c r="O6" s="116">
        <f>'N1'!O6+'K1'!O6</f>
        <v>0</v>
      </c>
      <c r="P6" s="115">
        <f>'N1'!P6+'K1'!P6</f>
        <v>0</v>
      </c>
      <c r="Q6" s="116">
        <f>'N1'!Q6+'K1'!Q6</f>
        <v>0</v>
      </c>
      <c r="R6" s="121">
        <f>'N1'!R6+'K1'!R6</f>
        <v>0</v>
      </c>
      <c r="S6" s="121">
        <f>'N1'!S6+'K1'!S6</f>
        <v>0</v>
      </c>
      <c r="T6" s="33">
        <f>'N1'!T6+'K1'!T6</f>
        <v>0</v>
      </c>
      <c r="U6" s="115">
        <f>'N1'!U6+'K1'!U6</f>
        <v>0</v>
      </c>
      <c r="V6" s="115">
        <f>'N1'!V6+'K1'!V6</f>
        <v>0</v>
      </c>
      <c r="W6" s="115">
        <f>'N1'!W6+'K1'!W6</f>
        <v>0</v>
      </c>
      <c r="X6" s="116">
        <f>'N1'!X6+'K1'!X6</f>
        <v>0</v>
      </c>
      <c r="Y6" s="115">
        <f>'N1'!Y6+'K1'!Y6</f>
        <v>0</v>
      </c>
      <c r="Z6" s="116">
        <f>'N1'!Z6+'K1'!Z6</f>
        <v>0</v>
      </c>
      <c r="AA6" s="121">
        <f>'N1'!AA6+'K1'!AA6</f>
        <v>0</v>
      </c>
      <c r="AB6" s="121">
        <f>'N1'!AB6+'K1'!AB6</f>
        <v>0</v>
      </c>
      <c r="AC6" s="33">
        <f>'N1'!AC6+'K1'!AC6</f>
        <v>0</v>
      </c>
      <c r="AD6" s="12">
        <f>'N1'!AD6+'K1'!AD6</f>
        <v>315</v>
      </c>
      <c r="AE6" s="39"/>
      <c r="AF6" s="39"/>
      <c r="AG6" s="39"/>
      <c r="AH6" s="39"/>
      <c r="AI6" s="39"/>
      <c r="AJ6"/>
    </row>
    <row r="7" spans="1:36" x14ac:dyDescent="0.2">
      <c r="A7" s="5">
        <f>DAY(Kalenteri!A3)</f>
        <v>3</v>
      </c>
      <c r="B7" s="3" t="str">
        <f>IF(Kalenteri!B3=1,"su",IF(Kalenteri!B3=2,"ma",IF(Kalenteri!B3=3,"ti",IF(Kalenteri!B3=4,"ke",IF(Kalenteri!B3=5,"to",IF(Kalenteri!B3=6,"pe",IF(Kalenteri!B3=7,"la",)))))))</f>
        <v>to</v>
      </c>
      <c r="C7" s="114">
        <f>'N1'!C7+'K1'!C7</f>
        <v>413</v>
      </c>
      <c r="D7" s="115">
        <f>'N1'!D7+'K1'!D7</f>
        <v>137</v>
      </c>
      <c r="E7" s="115">
        <f>'N1'!E7+'K1'!E7</f>
        <v>16</v>
      </c>
      <c r="F7" s="116">
        <f>'N1'!F7+'K1'!F7</f>
        <v>21</v>
      </c>
      <c r="G7" s="114">
        <f>'N1'!G7+'K1'!G7</f>
        <v>2</v>
      </c>
      <c r="H7" s="116">
        <f>'N1'!H7+'K1'!H7</f>
        <v>102</v>
      </c>
      <c r="I7" s="114">
        <f>'N1'!I7+'K1'!I7</f>
        <v>2</v>
      </c>
      <c r="J7" s="116">
        <f>'N1'!J7+'K1'!J7</f>
        <v>3</v>
      </c>
      <c r="K7" s="33">
        <f>'N1'!K7+'K1'!K7</f>
        <v>696</v>
      </c>
      <c r="L7" s="115">
        <f>'N1'!L7+'K1'!L7</f>
        <v>0</v>
      </c>
      <c r="M7" s="115">
        <f>'N1'!M7+'K1'!M7</f>
        <v>0</v>
      </c>
      <c r="N7" s="115">
        <f>'N1'!N7+'K1'!N7</f>
        <v>0</v>
      </c>
      <c r="O7" s="116">
        <f>'N1'!O7+'K1'!O7</f>
        <v>0</v>
      </c>
      <c r="P7" s="115">
        <f>'N1'!P7+'K1'!P7</f>
        <v>0</v>
      </c>
      <c r="Q7" s="116">
        <f>'N1'!Q7+'K1'!Q7</f>
        <v>0</v>
      </c>
      <c r="R7" s="121">
        <f>'N1'!R7+'K1'!R7</f>
        <v>0</v>
      </c>
      <c r="S7" s="121">
        <f>'N1'!S7+'K1'!S7</f>
        <v>0</v>
      </c>
      <c r="T7" s="33">
        <f>'N1'!T7+'K1'!T7</f>
        <v>0</v>
      </c>
      <c r="U7" s="115">
        <f>'N1'!U7+'K1'!U7</f>
        <v>0</v>
      </c>
      <c r="V7" s="115">
        <f>'N1'!V7+'K1'!V7</f>
        <v>0</v>
      </c>
      <c r="W7" s="115">
        <f>'N1'!W7+'K1'!W7</f>
        <v>0</v>
      </c>
      <c r="X7" s="116">
        <f>'N1'!X7+'K1'!X7</f>
        <v>0</v>
      </c>
      <c r="Y7" s="115">
        <f>'N1'!Y7+'K1'!Y7</f>
        <v>0</v>
      </c>
      <c r="Z7" s="116">
        <f>'N1'!Z7+'K1'!Z7</f>
        <v>0</v>
      </c>
      <c r="AA7" s="121">
        <f>'N1'!AA7+'K1'!AA7</f>
        <v>0</v>
      </c>
      <c r="AB7" s="121">
        <f>'N1'!AB7+'K1'!AB7</f>
        <v>0</v>
      </c>
      <c r="AC7" s="33">
        <f>'N1'!AC7+'K1'!AC7</f>
        <v>0</v>
      </c>
      <c r="AD7" s="12">
        <f>'N1'!AD7+'K1'!AD7</f>
        <v>696</v>
      </c>
      <c r="AE7" s="39"/>
      <c r="AF7" s="39"/>
      <c r="AG7" s="39"/>
      <c r="AH7" s="39"/>
      <c r="AI7" s="39"/>
      <c r="AJ7"/>
    </row>
    <row r="8" spans="1:36" x14ac:dyDescent="0.2">
      <c r="A8" s="5">
        <f>DAY(Kalenteri!A4)</f>
        <v>4</v>
      </c>
      <c r="B8" s="3" t="str">
        <f>IF(Kalenteri!B4=1,"su",IF(Kalenteri!B4=2,"ma",IF(Kalenteri!B4=3,"ti",IF(Kalenteri!B4=4,"ke",IF(Kalenteri!B4=5,"to",IF(Kalenteri!B4=6,"pe",IF(Kalenteri!B4=7,"la",)))))))</f>
        <v>pe</v>
      </c>
      <c r="C8" s="114">
        <f>'N1'!C8+'K1'!C8</f>
        <v>372</v>
      </c>
      <c r="D8" s="115">
        <f>'N1'!D8+'K1'!D8</f>
        <v>136</v>
      </c>
      <c r="E8" s="115">
        <f>'N1'!E8+'K1'!E8</f>
        <v>2</v>
      </c>
      <c r="F8" s="116">
        <f>'N1'!F8+'K1'!F8</f>
        <v>31</v>
      </c>
      <c r="G8" s="114">
        <f>'N1'!G8+'K1'!G8</f>
        <v>1</v>
      </c>
      <c r="H8" s="116">
        <f>'N1'!H8+'K1'!H8</f>
        <v>91</v>
      </c>
      <c r="I8" s="114">
        <f>'N1'!I8+'K1'!I8</f>
        <v>4</v>
      </c>
      <c r="J8" s="116">
        <f>'N1'!J8+'K1'!J8</f>
        <v>6</v>
      </c>
      <c r="K8" s="33">
        <f>'N1'!K8+'K1'!K8</f>
        <v>643</v>
      </c>
      <c r="L8" s="115">
        <f>'N1'!L8+'K1'!L8</f>
        <v>0</v>
      </c>
      <c r="M8" s="115">
        <f>'N1'!M8+'K1'!M8</f>
        <v>0</v>
      </c>
      <c r="N8" s="115">
        <f>'N1'!N8+'K1'!N8</f>
        <v>0</v>
      </c>
      <c r="O8" s="116">
        <f>'N1'!O8+'K1'!O8</f>
        <v>0</v>
      </c>
      <c r="P8" s="115">
        <f>'N1'!P8+'K1'!P8</f>
        <v>0</v>
      </c>
      <c r="Q8" s="116">
        <f>'N1'!Q8+'K1'!Q8</f>
        <v>0</v>
      </c>
      <c r="R8" s="121">
        <f>'N1'!R8+'K1'!R8</f>
        <v>0</v>
      </c>
      <c r="S8" s="121">
        <f>'N1'!S8+'K1'!S8</f>
        <v>0</v>
      </c>
      <c r="T8" s="33">
        <f>'N1'!T8+'K1'!T8</f>
        <v>0</v>
      </c>
      <c r="U8" s="115">
        <f>'N1'!U8+'K1'!U8</f>
        <v>0</v>
      </c>
      <c r="V8" s="115">
        <f>'N1'!V8+'K1'!V8</f>
        <v>0</v>
      </c>
      <c r="W8" s="115">
        <f>'N1'!W8+'K1'!W8</f>
        <v>0</v>
      </c>
      <c r="X8" s="116">
        <f>'N1'!X8+'K1'!X8</f>
        <v>0</v>
      </c>
      <c r="Y8" s="115">
        <f>'N1'!Y8+'K1'!Y8</f>
        <v>0</v>
      </c>
      <c r="Z8" s="116">
        <f>'N1'!Z8+'K1'!Z8</f>
        <v>0</v>
      </c>
      <c r="AA8" s="121">
        <f>'N1'!AA8+'K1'!AA8</f>
        <v>0</v>
      </c>
      <c r="AB8" s="121">
        <f>'N1'!AB8+'K1'!AB8</f>
        <v>0</v>
      </c>
      <c r="AC8" s="33">
        <f>'N1'!AC8+'K1'!AC8</f>
        <v>0</v>
      </c>
      <c r="AD8" s="12">
        <f>'N1'!AD8+'K1'!AD8</f>
        <v>643</v>
      </c>
      <c r="AE8" s="39"/>
      <c r="AF8" s="39"/>
      <c r="AG8" s="39"/>
      <c r="AH8" s="39"/>
      <c r="AI8" s="39"/>
      <c r="AJ8"/>
    </row>
    <row r="9" spans="1:36" x14ac:dyDescent="0.2">
      <c r="A9" s="5">
        <f>DAY(Kalenteri!A5)</f>
        <v>5</v>
      </c>
      <c r="B9" s="3" t="str">
        <f>IF(Kalenteri!B5=1,"su",IF(Kalenteri!B5=2,"ma",IF(Kalenteri!B5=3,"ti",IF(Kalenteri!B5=4,"ke",IF(Kalenteri!B5=5,"to",IF(Kalenteri!B5=6,"pe",IF(Kalenteri!B5=7,"la",)))))))</f>
        <v>la</v>
      </c>
      <c r="C9" s="114">
        <f>'N1'!C9+'K1'!C9</f>
        <v>529</v>
      </c>
      <c r="D9" s="115">
        <f>'N1'!D9+'K1'!D9</f>
        <v>232</v>
      </c>
      <c r="E9" s="115">
        <f>'N1'!E9+'K1'!E9</f>
        <v>12</v>
      </c>
      <c r="F9" s="116">
        <f>'N1'!F9+'K1'!F9</f>
        <v>81</v>
      </c>
      <c r="G9" s="114">
        <f>'N1'!G9+'K1'!G9</f>
        <v>3</v>
      </c>
      <c r="H9" s="116">
        <f>'N1'!H9+'K1'!H9</f>
        <v>160</v>
      </c>
      <c r="I9" s="114">
        <f>'N1'!I9+'K1'!I9</f>
        <v>4</v>
      </c>
      <c r="J9" s="116">
        <f>'N1'!J9+'K1'!J9</f>
        <v>6</v>
      </c>
      <c r="K9" s="33">
        <f>'N1'!K9+'K1'!K9</f>
        <v>1027</v>
      </c>
      <c r="L9" s="115">
        <f>'N1'!L9+'K1'!L9</f>
        <v>0</v>
      </c>
      <c r="M9" s="115">
        <f>'N1'!M9+'K1'!M9</f>
        <v>0</v>
      </c>
      <c r="N9" s="115">
        <f>'N1'!N9+'K1'!N9</f>
        <v>0</v>
      </c>
      <c r="O9" s="116">
        <f>'N1'!O9+'K1'!O9</f>
        <v>0</v>
      </c>
      <c r="P9" s="115">
        <f>'N1'!P9+'K1'!P9</f>
        <v>0</v>
      </c>
      <c r="Q9" s="116">
        <f>'N1'!Q9+'K1'!Q9</f>
        <v>0</v>
      </c>
      <c r="R9" s="121">
        <f>'N1'!R9+'K1'!R9</f>
        <v>0</v>
      </c>
      <c r="S9" s="121">
        <f>'N1'!S9+'K1'!S9</f>
        <v>0</v>
      </c>
      <c r="T9" s="33">
        <f>'N1'!T9+'K1'!T9</f>
        <v>0</v>
      </c>
      <c r="U9" s="115">
        <f>'N1'!U9+'K1'!U9</f>
        <v>0</v>
      </c>
      <c r="V9" s="115">
        <f>'N1'!V9+'K1'!V9</f>
        <v>0</v>
      </c>
      <c r="W9" s="115">
        <f>'N1'!W9+'K1'!W9</f>
        <v>0</v>
      </c>
      <c r="X9" s="116">
        <f>'N1'!X9+'K1'!X9</f>
        <v>0</v>
      </c>
      <c r="Y9" s="115">
        <f>'N1'!Y9+'K1'!Y9</f>
        <v>0</v>
      </c>
      <c r="Z9" s="116">
        <f>'N1'!Z9+'K1'!Z9</f>
        <v>0</v>
      </c>
      <c r="AA9" s="121">
        <f>'N1'!AA9+'K1'!AA9</f>
        <v>0</v>
      </c>
      <c r="AB9" s="121">
        <f>'N1'!AB9+'K1'!AB9</f>
        <v>0</v>
      </c>
      <c r="AC9" s="33">
        <f>'N1'!AC9+'K1'!AC9</f>
        <v>0</v>
      </c>
      <c r="AD9" s="12">
        <f>'N1'!AD9+'K1'!AD9</f>
        <v>1027</v>
      </c>
      <c r="AE9" s="39"/>
      <c r="AF9" s="39"/>
      <c r="AG9" s="39"/>
      <c r="AH9" s="39"/>
      <c r="AI9" s="39"/>
      <c r="AJ9"/>
    </row>
    <row r="10" spans="1:36" x14ac:dyDescent="0.2">
      <c r="A10" s="5">
        <f>DAY(Kalenteri!A6)</f>
        <v>6</v>
      </c>
      <c r="B10" s="3" t="str">
        <f>IF(Kalenteri!B6=1,"su",IF(Kalenteri!B6=2,"ma",IF(Kalenteri!B6=3,"ti",IF(Kalenteri!B6=4,"ke",IF(Kalenteri!B6=5,"to",IF(Kalenteri!B6=6,"pe",IF(Kalenteri!B6=7,"la",)))))))</f>
        <v>su</v>
      </c>
      <c r="C10" s="114">
        <f>'N1'!C10+'K1'!C10</f>
        <v>363</v>
      </c>
      <c r="D10" s="115">
        <f>'N1'!D10+'K1'!D10</f>
        <v>179</v>
      </c>
      <c r="E10" s="115">
        <f>'N1'!E10+'K1'!E10</f>
        <v>7</v>
      </c>
      <c r="F10" s="116">
        <f>'N1'!F10+'K1'!F10</f>
        <v>85</v>
      </c>
      <c r="G10" s="114">
        <f>'N1'!G10+'K1'!G10</f>
        <v>2</v>
      </c>
      <c r="H10" s="116">
        <f>'N1'!H10+'K1'!H10</f>
        <v>90</v>
      </c>
      <c r="I10" s="114">
        <f>'N1'!I10+'K1'!I10</f>
        <v>2</v>
      </c>
      <c r="J10" s="116">
        <f>'N1'!J10+'K1'!J10</f>
        <v>4</v>
      </c>
      <c r="K10" s="33">
        <f>'N1'!K10+'K1'!K10</f>
        <v>732</v>
      </c>
      <c r="L10" s="115">
        <f>'N1'!L10+'K1'!L10</f>
        <v>0</v>
      </c>
      <c r="M10" s="115">
        <f>'N1'!M10+'K1'!M10</f>
        <v>0</v>
      </c>
      <c r="N10" s="115">
        <f>'N1'!N10+'K1'!N10</f>
        <v>0</v>
      </c>
      <c r="O10" s="116">
        <f>'N1'!O10+'K1'!O10</f>
        <v>0</v>
      </c>
      <c r="P10" s="115">
        <f>'N1'!P10+'K1'!P10</f>
        <v>0</v>
      </c>
      <c r="Q10" s="116">
        <f>'N1'!Q10+'K1'!Q10</f>
        <v>0</v>
      </c>
      <c r="R10" s="121">
        <f>'N1'!R10+'K1'!R10</f>
        <v>0</v>
      </c>
      <c r="S10" s="121">
        <f>'N1'!S10+'K1'!S10</f>
        <v>0</v>
      </c>
      <c r="T10" s="33">
        <f>'N1'!T10+'K1'!T10</f>
        <v>0</v>
      </c>
      <c r="U10" s="115">
        <f>'N1'!U10+'K1'!U10</f>
        <v>0</v>
      </c>
      <c r="V10" s="115">
        <f>'N1'!V10+'K1'!V10</f>
        <v>0</v>
      </c>
      <c r="W10" s="115">
        <f>'N1'!W10+'K1'!W10</f>
        <v>0</v>
      </c>
      <c r="X10" s="116">
        <f>'N1'!X10+'K1'!X10</f>
        <v>0</v>
      </c>
      <c r="Y10" s="115">
        <f>'N1'!Y10+'K1'!Y10</f>
        <v>0</v>
      </c>
      <c r="Z10" s="116">
        <f>'N1'!Z10+'K1'!Z10</f>
        <v>0</v>
      </c>
      <c r="AA10" s="121">
        <f>'N1'!AA10+'K1'!AA10</f>
        <v>0</v>
      </c>
      <c r="AB10" s="121">
        <f>'N1'!AB10+'K1'!AB10</f>
        <v>0</v>
      </c>
      <c r="AC10" s="33">
        <f>'N1'!AC10+'K1'!AC10</f>
        <v>0</v>
      </c>
      <c r="AD10" s="12">
        <f>'N1'!AD10+'K1'!AD10</f>
        <v>732</v>
      </c>
      <c r="AE10" s="39"/>
      <c r="AF10" s="39"/>
      <c r="AG10" s="39"/>
      <c r="AH10" s="39"/>
      <c r="AI10" s="39"/>
      <c r="AJ10"/>
    </row>
    <row r="11" spans="1:36" x14ac:dyDescent="0.2">
      <c r="A11" s="5">
        <f>DAY(Kalenteri!A7)</f>
        <v>7</v>
      </c>
      <c r="B11" s="3" t="str">
        <f>IF(Kalenteri!B7=1,"su",IF(Kalenteri!B7=2,"ma",IF(Kalenteri!B7=3,"ti",IF(Kalenteri!B7=4,"ke",IF(Kalenteri!B7=5,"to",IF(Kalenteri!B7=6,"pe",IF(Kalenteri!B7=7,"la",)))))))</f>
        <v>ma</v>
      </c>
      <c r="C11" s="114">
        <f>'N1'!C11+'K1'!C11</f>
        <v>90</v>
      </c>
      <c r="D11" s="115">
        <f>'N1'!D11+'K1'!D11</f>
        <v>25</v>
      </c>
      <c r="E11" s="115">
        <f>'N1'!E11+'K1'!E11</f>
        <v>5</v>
      </c>
      <c r="F11" s="116">
        <f>'N1'!F11+'K1'!F11</f>
        <v>3</v>
      </c>
      <c r="G11" s="114">
        <f>'N1'!G11+'K1'!G11</f>
        <v>1</v>
      </c>
      <c r="H11" s="116">
        <f>'N1'!H11+'K1'!H11</f>
        <v>52</v>
      </c>
      <c r="I11" s="114">
        <f>'N1'!I11+'K1'!I11</f>
        <v>0</v>
      </c>
      <c r="J11" s="116">
        <f>'N1'!J11+'K1'!J11</f>
        <v>1</v>
      </c>
      <c r="K11" s="33">
        <f>'N1'!K11+'K1'!K11</f>
        <v>177</v>
      </c>
      <c r="L11" s="115">
        <f>'N1'!L11+'K1'!L11</f>
        <v>0</v>
      </c>
      <c r="M11" s="115">
        <f>'N1'!M11+'K1'!M11</f>
        <v>0</v>
      </c>
      <c r="N11" s="115">
        <f>'N1'!N11+'K1'!N11</f>
        <v>0</v>
      </c>
      <c r="O11" s="116">
        <f>'N1'!O11+'K1'!O11</f>
        <v>0</v>
      </c>
      <c r="P11" s="115">
        <f>'N1'!P11+'K1'!P11</f>
        <v>0</v>
      </c>
      <c r="Q11" s="116">
        <f>'N1'!Q11+'K1'!Q11</f>
        <v>0</v>
      </c>
      <c r="R11" s="121">
        <f>'N1'!R11+'K1'!R11</f>
        <v>0</v>
      </c>
      <c r="S11" s="121">
        <f>'N1'!S11+'K1'!S11</f>
        <v>0</v>
      </c>
      <c r="T11" s="33">
        <f>'N1'!T11+'K1'!T11</f>
        <v>0</v>
      </c>
      <c r="U11" s="115">
        <f>'N1'!U11+'K1'!U11</f>
        <v>0</v>
      </c>
      <c r="V11" s="115">
        <f>'N1'!V11+'K1'!V11</f>
        <v>0</v>
      </c>
      <c r="W11" s="115">
        <f>'N1'!W11+'K1'!W11</f>
        <v>0</v>
      </c>
      <c r="X11" s="116">
        <f>'N1'!X11+'K1'!X11</f>
        <v>0</v>
      </c>
      <c r="Y11" s="115">
        <f>'N1'!Y11+'K1'!Y11</f>
        <v>0</v>
      </c>
      <c r="Z11" s="116">
        <f>'N1'!Z11+'K1'!Z11</f>
        <v>0</v>
      </c>
      <c r="AA11" s="121">
        <f>'N1'!AA11+'K1'!AA11</f>
        <v>0</v>
      </c>
      <c r="AB11" s="121">
        <f>'N1'!AB11+'K1'!AB11</f>
        <v>0</v>
      </c>
      <c r="AC11" s="33">
        <f>'N1'!AC11+'K1'!AC11</f>
        <v>0</v>
      </c>
      <c r="AD11" s="12">
        <f>'N1'!AD11+'K1'!AD11</f>
        <v>177</v>
      </c>
      <c r="AE11" s="39"/>
      <c r="AF11" s="39"/>
      <c r="AG11" s="39"/>
      <c r="AH11" s="39"/>
      <c r="AI11" s="39"/>
      <c r="AJ11"/>
    </row>
    <row r="12" spans="1:36" x14ac:dyDescent="0.2">
      <c r="A12" s="5">
        <f>DAY(Kalenteri!A8)</f>
        <v>8</v>
      </c>
      <c r="B12" s="3" t="str">
        <f>IF(Kalenteri!B8=1,"su",IF(Kalenteri!B8=2,"ma",IF(Kalenteri!B8=3,"ti",IF(Kalenteri!B8=4,"ke",IF(Kalenteri!B8=5,"to",IF(Kalenteri!B8=6,"pe",IF(Kalenteri!B8=7,"la",)))))))</f>
        <v>ti</v>
      </c>
      <c r="C12" s="114">
        <f>'N1'!C12+'K1'!C12</f>
        <v>61</v>
      </c>
      <c r="D12" s="115">
        <f>'N1'!D12+'K1'!D12</f>
        <v>16</v>
      </c>
      <c r="E12" s="115">
        <f>'N1'!E12+'K1'!E12</f>
        <v>0</v>
      </c>
      <c r="F12" s="116">
        <f>'N1'!F12+'K1'!F12</f>
        <v>2</v>
      </c>
      <c r="G12" s="114">
        <f>'N1'!G12+'K1'!G12</f>
        <v>1</v>
      </c>
      <c r="H12" s="116">
        <f>'N1'!H12+'K1'!H12</f>
        <v>8</v>
      </c>
      <c r="I12" s="114">
        <f>'N1'!I12+'K1'!I12</f>
        <v>0</v>
      </c>
      <c r="J12" s="116">
        <f>'N1'!J12+'K1'!J12</f>
        <v>0</v>
      </c>
      <c r="K12" s="33">
        <f>'N1'!K12+'K1'!K12</f>
        <v>88</v>
      </c>
      <c r="L12" s="115">
        <f>'N1'!L12+'K1'!L12</f>
        <v>0</v>
      </c>
      <c r="M12" s="115">
        <f>'N1'!M12+'K1'!M12</f>
        <v>0</v>
      </c>
      <c r="N12" s="115">
        <f>'N1'!N12+'K1'!N12</f>
        <v>0</v>
      </c>
      <c r="O12" s="116">
        <f>'N1'!O12+'K1'!O12</f>
        <v>0</v>
      </c>
      <c r="P12" s="115">
        <f>'N1'!P12+'K1'!P12</f>
        <v>0</v>
      </c>
      <c r="Q12" s="116">
        <f>'N1'!Q12+'K1'!Q12</f>
        <v>0</v>
      </c>
      <c r="R12" s="121">
        <f>'N1'!R12+'K1'!R12</f>
        <v>0</v>
      </c>
      <c r="S12" s="121">
        <f>'N1'!S12+'K1'!S12</f>
        <v>0</v>
      </c>
      <c r="T12" s="33">
        <f>'N1'!T12+'K1'!T12</f>
        <v>0</v>
      </c>
      <c r="U12" s="115">
        <f>'N1'!U12+'K1'!U12</f>
        <v>0</v>
      </c>
      <c r="V12" s="115">
        <f>'N1'!V12+'K1'!V12</f>
        <v>0</v>
      </c>
      <c r="W12" s="115">
        <f>'N1'!W12+'K1'!W12</f>
        <v>0</v>
      </c>
      <c r="X12" s="116">
        <f>'N1'!X12+'K1'!X12</f>
        <v>0</v>
      </c>
      <c r="Y12" s="115">
        <f>'N1'!Y12+'K1'!Y12</f>
        <v>0</v>
      </c>
      <c r="Z12" s="116">
        <f>'N1'!Z12+'K1'!Z12</f>
        <v>0</v>
      </c>
      <c r="AA12" s="121">
        <f>'N1'!AA12+'K1'!AA12</f>
        <v>0</v>
      </c>
      <c r="AB12" s="121">
        <f>'N1'!AB12+'K1'!AB12</f>
        <v>0</v>
      </c>
      <c r="AC12" s="33">
        <f>'N1'!AC12+'K1'!AC12</f>
        <v>0</v>
      </c>
      <c r="AD12" s="12">
        <f>'N1'!AD12+'K1'!AD12</f>
        <v>88</v>
      </c>
      <c r="AE12" s="39"/>
      <c r="AF12" s="39"/>
      <c r="AG12" s="39"/>
      <c r="AH12" s="39"/>
      <c r="AI12" s="39"/>
      <c r="AJ12"/>
    </row>
    <row r="13" spans="1:36" x14ac:dyDescent="0.2">
      <c r="A13" s="5">
        <f>DAY(Kalenteri!A9)</f>
        <v>9</v>
      </c>
      <c r="B13" s="3" t="str">
        <f>IF(Kalenteri!B9=1,"su",IF(Kalenteri!B9=2,"ma",IF(Kalenteri!B9=3,"ti",IF(Kalenteri!B9=4,"ke",IF(Kalenteri!B9=5,"to",IF(Kalenteri!B9=6,"pe",IF(Kalenteri!B9=7,"la",)))))))</f>
        <v>ke</v>
      </c>
      <c r="C13" s="114">
        <f>'N1'!C13+'K1'!C13</f>
        <v>42</v>
      </c>
      <c r="D13" s="115">
        <f>'N1'!D13+'K1'!D13</f>
        <v>14</v>
      </c>
      <c r="E13" s="115">
        <f>'N1'!E13+'K1'!E13</f>
        <v>0</v>
      </c>
      <c r="F13" s="116">
        <f>'N1'!F13+'K1'!F13</f>
        <v>4</v>
      </c>
      <c r="G13" s="114">
        <f>'N1'!G13+'K1'!G13</f>
        <v>3</v>
      </c>
      <c r="H13" s="116">
        <f>'N1'!H13+'K1'!H13</f>
        <v>7</v>
      </c>
      <c r="I13" s="114">
        <f>'N1'!I13+'K1'!I13</f>
        <v>0</v>
      </c>
      <c r="J13" s="116">
        <f>'N1'!J13+'K1'!J13</f>
        <v>0</v>
      </c>
      <c r="K13" s="33">
        <f>'N1'!K13+'K1'!K13</f>
        <v>70</v>
      </c>
      <c r="L13" s="115">
        <f>'N1'!L13+'K1'!L13</f>
        <v>0</v>
      </c>
      <c r="M13" s="115">
        <f>'N1'!M13+'K1'!M13</f>
        <v>0</v>
      </c>
      <c r="N13" s="115">
        <f>'N1'!N13+'K1'!N13</f>
        <v>0</v>
      </c>
      <c r="O13" s="116">
        <f>'N1'!O13+'K1'!O13</f>
        <v>0</v>
      </c>
      <c r="P13" s="115">
        <f>'N1'!P13+'K1'!P13</f>
        <v>0</v>
      </c>
      <c r="Q13" s="116">
        <f>'N1'!Q13+'K1'!Q13</f>
        <v>0</v>
      </c>
      <c r="R13" s="121">
        <f>'N1'!R13+'K1'!R13</f>
        <v>0</v>
      </c>
      <c r="S13" s="121">
        <f>'N1'!S13+'K1'!S13</f>
        <v>0</v>
      </c>
      <c r="T13" s="33">
        <f>'N1'!T13+'K1'!T13</f>
        <v>0</v>
      </c>
      <c r="U13" s="115">
        <f>'N1'!U13+'K1'!U13</f>
        <v>0</v>
      </c>
      <c r="V13" s="115">
        <f>'N1'!V13+'K1'!V13</f>
        <v>0</v>
      </c>
      <c r="W13" s="115">
        <f>'N1'!W13+'K1'!W13</f>
        <v>0</v>
      </c>
      <c r="X13" s="116">
        <f>'N1'!X13+'K1'!X13</f>
        <v>0</v>
      </c>
      <c r="Y13" s="115">
        <f>'N1'!Y13+'K1'!Y13</f>
        <v>0</v>
      </c>
      <c r="Z13" s="116">
        <f>'N1'!Z13+'K1'!Z13</f>
        <v>0</v>
      </c>
      <c r="AA13" s="121">
        <f>'N1'!AA13+'K1'!AA13</f>
        <v>0</v>
      </c>
      <c r="AB13" s="121">
        <f>'N1'!AB13+'K1'!AB13</f>
        <v>0</v>
      </c>
      <c r="AC13" s="33">
        <f>'N1'!AC13+'K1'!AC13</f>
        <v>0</v>
      </c>
      <c r="AD13" s="12">
        <f>'N1'!AD13+'K1'!AD13</f>
        <v>70</v>
      </c>
      <c r="AE13" s="39"/>
      <c r="AF13" s="39"/>
      <c r="AG13" s="39"/>
      <c r="AH13" s="39"/>
      <c r="AI13" s="39"/>
      <c r="AJ13"/>
    </row>
    <row r="14" spans="1:36" x14ac:dyDescent="0.2">
      <c r="A14" s="5">
        <f>DAY(Kalenteri!A10)</f>
        <v>10</v>
      </c>
      <c r="B14" s="3" t="str">
        <f>IF(Kalenteri!B10=1,"su",IF(Kalenteri!B10=2,"ma",IF(Kalenteri!B10=3,"ti",IF(Kalenteri!B10=4,"ke",IF(Kalenteri!B10=5,"to",IF(Kalenteri!B10=6,"pe",IF(Kalenteri!B10=7,"la",)))))))</f>
        <v>to</v>
      </c>
      <c r="C14" s="114">
        <f>'N1'!C14+'K1'!C14</f>
        <v>29</v>
      </c>
      <c r="D14" s="115">
        <f>'N1'!D14+'K1'!D14</f>
        <v>9</v>
      </c>
      <c r="E14" s="115">
        <f>'N1'!E14+'K1'!E14</f>
        <v>0</v>
      </c>
      <c r="F14" s="116">
        <f>'N1'!F14+'K1'!F14</f>
        <v>7</v>
      </c>
      <c r="G14" s="114">
        <f>'N1'!G14+'K1'!G14</f>
        <v>2</v>
      </c>
      <c r="H14" s="116">
        <f>'N1'!H14+'K1'!H14</f>
        <v>11</v>
      </c>
      <c r="I14" s="114">
        <f>'N1'!I14+'K1'!I14</f>
        <v>0</v>
      </c>
      <c r="J14" s="116">
        <f>'N1'!J14+'K1'!J14</f>
        <v>0</v>
      </c>
      <c r="K14" s="33">
        <f>'N1'!K14+'K1'!K14</f>
        <v>58</v>
      </c>
      <c r="L14" s="115">
        <f>'N1'!L14+'K1'!L14</f>
        <v>0</v>
      </c>
      <c r="M14" s="115">
        <f>'N1'!M14+'K1'!M14</f>
        <v>0</v>
      </c>
      <c r="N14" s="115">
        <f>'N1'!N14+'K1'!N14</f>
        <v>0</v>
      </c>
      <c r="O14" s="116">
        <f>'N1'!O14+'K1'!O14</f>
        <v>0</v>
      </c>
      <c r="P14" s="115">
        <f>'N1'!P14+'K1'!P14</f>
        <v>0</v>
      </c>
      <c r="Q14" s="116">
        <f>'N1'!Q14+'K1'!Q14</f>
        <v>0</v>
      </c>
      <c r="R14" s="121">
        <f>'N1'!R14+'K1'!R14</f>
        <v>0</v>
      </c>
      <c r="S14" s="121">
        <f>'N1'!S14+'K1'!S14</f>
        <v>0</v>
      </c>
      <c r="T14" s="33">
        <f>'N1'!T14+'K1'!T14</f>
        <v>0</v>
      </c>
      <c r="U14" s="115">
        <f>'N1'!U14+'K1'!U14</f>
        <v>0</v>
      </c>
      <c r="V14" s="115">
        <f>'N1'!V14+'K1'!V14</f>
        <v>0</v>
      </c>
      <c r="W14" s="115">
        <f>'N1'!W14+'K1'!W14</f>
        <v>0</v>
      </c>
      <c r="X14" s="116">
        <f>'N1'!X14+'K1'!X14</f>
        <v>0</v>
      </c>
      <c r="Y14" s="115">
        <f>'N1'!Y14+'K1'!Y14</f>
        <v>0</v>
      </c>
      <c r="Z14" s="116">
        <f>'N1'!Z14+'K1'!Z14</f>
        <v>0</v>
      </c>
      <c r="AA14" s="121">
        <f>'N1'!AA14+'K1'!AA14</f>
        <v>0</v>
      </c>
      <c r="AB14" s="121">
        <f>'N1'!AB14+'K1'!AB14</f>
        <v>0</v>
      </c>
      <c r="AC14" s="33">
        <f>'N1'!AC14+'K1'!AC14</f>
        <v>0</v>
      </c>
      <c r="AD14" s="12">
        <f>'N1'!AD14+'K1'!AD14</f>
        <v>58</v>
      </c>
      <c r="AE14" s="39"/>
      <c r="AF14" s="39"/>
      <c r="AG14" s="39"/>
      <c r="AH14" s="39"/>
      <c r="AI14" s="39"/>
      <c r="AJ14"/>
    </row>
    <row r="15" spans="1:36" x14ac:dyDescent="0.2">
      <c r="A15" s="5">
        <f>DAY(Kalenteri!A11)</f>
        <v>11</v>
      </c>
      <c r="B15" s="3" t="str">
        <f>IF(Kalenteri!B11=1,"su",IF(Kalenteri!B11=2,"ma",IF(Kalenteri!B11=3,"ti",IF(Kalenteri!B11=4,"ke",IF(Kalenteri!B11=5,"to",IF(Kalenteri!B11=6,"pe",IF(Kalenteri!B11=7,"la",)))))))</f>
        <v>pe</v>
      </c>
      <c r="C15" s="114">
        <f>'N1'!C15+'K1'!C15</f>
        <v>26</v>
      </c>
      <c r="D15" s="115">
        <f>'N1'!D15+'K1'!D15</f>
        <v>10</v>
      </c>
      <c r="E15" s="115">
        <f>'N1'!E15+'K1'!E15</f>
        <v>5</v>
      </c>
      <c r="F15" s="116">
        <f>'N1'!F15+'K1'!F15</f>
        <v>3</v>
      </c>
      <c r="G15" s="114">
        <f>'N1'!G15+'K1'!G15</f>
        <v>2</v>
      </c>
      <c r="H15" s="116">
        <f>'N1'!H15+'K1'!H15</f>
        <v>16</v>
      </c>
      <c r="I15" s="114">
        <f>'N1'!I15+'K1'!I15</f>
        <v>0</v>
      </c>
      <c r="J15" s="116">
        <f>'N1'!J15+'K1'!J15</f>
        <v>0</v>
      </c>
      <c r="K15" s="33">
        <f>'N1'!K15+'K1'!K15</f>
        <v>62</v>
      </c>
      <c r="L15" s="115">
        <f>'N1'!L15+'K1'!L15</f>
        <v>0</v>
      </c>
      <c r="M15" s="115">
        <f>'N1'!M15+'K1'!M15</f>
        <v>0</v>
      </c>
      <c r="N15" s="115">
        <f>'N1'!N15+'K1'!N15</f>
        <v>0</v>
      </c>
      <c r="O15" s="116">
        <f>'N1'!O15+'K1'!O15</f>
        <v>0</v>
      </c>
      <c r="P15" s="115">
        <f>'N1'!P15+'K1'!P15</f>
        <v>0</v>
      </c>
      <c r="Q15" s="116">
        <f>'N1'!Q15+'K1'!Q15</f>
        <v>0</v>
      </c>
      <c r="R15" s="121">
        <f>'N1'!R15+'K1'!R15</f>
        <v>0</v>
      </c>
      <c r="S15" s="121">
        <f>'N1'!S15+'K1'!S15</f>
        <v>0</v>
      </c>
      <c r="T15" s="33">
        <f>'N1'!T15+'K1'!T15</f>
        <v>0</v>
      </c>
      <c r="U15" s="115">
        <f>'N1'!U15+'K1'!U15</f>
        <v>0</v>
      </c>
      <c r="V15" s="115">
        <f>'N1'!V15+'K1'!V15</f>
        <v>0</v>
      </c>
      <c r="W15" s="115">
        <f>'N1'!W15+'K1'!W15</f>
        <v>0</v>
      </c>
      <c r="X15" s="116">
        <f>'N1'!X15+'K1'!X15</f>
        <v>0</v>
      </c>
      <c r="Y15" s="115">
        <f>'N1'!Y15+'K1'!Y15</f>
        <v>0</v>
      </c>
      <c r="Z15" s="116">
        <f>'N1'!Z15+'K1'!Z15</f>
        <v>0</v>
      </c>
      <c r="AA15" s="121">
        <f>'N1'!AA15+'K1'!AA15</f>
        <v>0</v>
      </c>
      <c r="AB15" s="121">
        <f>'N1'!AB15+'K1'!AB15</f>
        <v>0</v>
      </c>
      <c r="AC15" s="33">
        <f>'N1'!AC15+'K1'!AC15</f>
        <v>0</v>
      </c>
      <c r="AD15" s="12">
        <f>'N1'!AD15+'K1'!AD15</f>
        <v>62</v>
      </c>
      <c r="AE15" s="39"/>
      <c r="AF15" s="39"/>
      <c r="AG15" s="39"/>
      <c r="AH15" s="39"/>
      <c r="AI15" s="39"/>
      <c r="AJ15"/>
    </row>
    <row r="16" spans="1:36" x14ac:dyDescent="0.2">
      <c r="A16" s="5">
        <f>DAY(Kalenteri!A12)</f>
        <v>12</v>
      </c>
      <c r="B16" s="3" t="str">
        <f>IF(Kalenteri!B12=1,"su",IF(Kalenteri!B12=2,"ma",IF(Kalenteri!B12=3,"ti",IF(Kalenteri!B12=4,"ke",IF(Kalenteri!B12=5,"to",IF(Kalenteri!B12=6,"pe",IF(Kalenteri!B12=7,"la",)))))))</f>
        <v>la</v>
      </c>
      <c r="C16" s="114">
        <f>'N1'!C16+'K1'!C16</f>
        <v>76</v>
      </c>
      <c r="D16" s="115">
        <f>'N1'!D16+'K1'!D16</f>
        <v>52</v>
      </c>
      <c r="E16" s="115">
        <f>'N1'!E16+'K1'!E16</f>
        <v>1</v>
      </c>
      <c r="F16" s="116">
        <f>'N1'!F16+'K1'!F16</f>
        <v>33</v>
      </c>
      <c r="G16" s="114">
        <f>'N1'!G16+'K1'!G16</f>
        <v>14</v>
      </c>
      <c r="H16" s="116">
        <f>'N1'!H16+'K1'!H16</f>
        <v>33</v>
      </c>
      <c r="I16" s="114">
        <f>'N1'!I16+'K1'!I16</f>
        <v>0</v>
      </c>
      <c r="J16" s="116">
        <f>'N1'!J16+'K1'!J16</f>
        <v>0</v>
      </c>
      <c r="K16" s="33">
        <f>'N1'!K16+'K1'!K16</f>
        <v>209</v>
      </c>
      <c r="L16" s="115">
        <f>'N1'!L16+'K1'!L16</f>
        <v>0</v>
      </c>
      <c r="M16" s="115">
        <f>'N1'!M16+'K1'!M16</f>
        <v>0</v>
      </c>
      <c r="N16" s="115">
        <f>'N1'!N16+'K1'!N16</f>
        <v>0</v>
      </c>
      <c r="O16" s="116">
        <f>'N1'!O16+'K1'!O16</f>
        <v>0</v>
      </c>
      <c r="P16" s="115">
        <f>'N1'!P16+'K1'!P16</f>
        <v>0</v>
      </c>
      <c r="Q16" s="116">
        <f>'N1'!Q16+'K1'!Q16</f>
        <v>0</v>
      </c>
      <c r="R16" s="121">
        <f>'N1'!R16+'K1'!R16</f>
        <v>0</v>
      </c>
      <c r="S16" s="121">
        <f>'N1'!S16+'K1'!S16</f>
        <v>0</v>
      </c>
      <c r="T16" s="33">
        <f>'N1'!T16+'K1'!T16</f>
        <v>0</v>
      </c>
      <c r="U16" s="115">
        <f>'N1'!U16+'K1'!U16</f>
        <v>0</v>
      </c>
      <c r="V16" s="115">
        <f>'N1'!V16+'K1'!V16</f>
        <v>0</v>
      </c>
      <c r="W16" s="115">
        <f>'N1'!W16+'K1'!W16</f>
        <v>0</v>
      </c>
      <c r="X16" s="116">
        <f>'N1'!X16+'K1'!X16</f>
        <v>0</v>
      </c>
      <c r="Y16" s="115">
        <f>'N1'!Y16+'K1'!Y16</f>
        <v>0</v>
      </c>
      <c r="Z16" s="116">
        <f>'N1'!Z16+'K1'!Z16</f>
        <v>0</v>
      </c>
      <c r="AA16" s="121">
        <f>'N1'!AA16+'K1'!AA16</f>
        <v>0</v>
      </c>
      <c r="AB16" s="121">
        <f>'N1'!AB16+'K1'!AB16</f>
        <v>0</v>
      </c>
      <c r="AC16" s="33">
        <f>'N1'!AC16+'K1'!AC16</f>
        <v>0</v>
      </c>
      <c r="AD16" s="12">
        <f>'N1'!AD16+'K1'!AD16</f>
        <v>209</v>
      </c>
      <c r="AE16" s="39"/>
      <c r="AF16" s="39"/>
      <c r="AG16" s="39"/>
      <c r="AH16" s="39"/>
      <c r="AI16" s="39"/>
      <c r="AJ16"/>
    </row>
    <row r="17" spans="1:36" x14ac:dyDescent="0.2">
      <c r="A17" s="5">
        <f>DAY(Kalenteri!A13)</f>
        <v>13</v>
      </c>
      <c r="B17" s="3" t="str">
        <f>IF(Kalenteri!B13=1,"su",IF(Kalenteri!B13=2,"ma",IF(Kalenteri!B13=3,"ti",IF(Kalenteri!B13=4,"ke",IF(Kalenteri!B13=5,"to",IF(Kalenteri!B13=6,"pe",IF(Kalenteri!B13=7,"la",)))))))</f>
        <v>su</v>
      </c>
      <c r="C17" s="114">
        <f>'N1'!C17+'K1'!C17</f>
        <v>123</v>
      </c>
      <c r="D17" s="115">
        <f>'N1'!D17+'K1'!D17</f>
        <v>68</v>
      </c>
      <c r="E17" s="115">
        <f>'N1'!E17+'K1'!E17</f>
        <v>0</v>
      </c>
      <c r="F17" s="116">
        <f>'N1'!F17+'K1'!F17</f>
        <v>30</v>
      </c>
      <c r="G17" s="114">
        <f>'N1'!G17+'K1'!G17</f>
        <v>0</v>
      </c>
      <c r="H17" s="116">
        <f>'N1'!H17+'K1'!H17</f>
        <v>47</v>
      </c>
      <c r="I17" s="114">
        <f>'N1'!I17+'K1'!I17</f>
        <v>0</v>
      </c>
      <c r="J17" s="116">
        <f>'N1'!J17+'K1'!J17</f>
        <v>0</v>
      </c>
      <c r="K17" s="33">
        <f>'N1'!K17+'K1'!K17</f>
        <v>268</v>
      </c>
      <c r="L17" s="115">
        <f>'N1'!L17+'K1'!L17</f>
        <v>0</v>
      </c>
      <c r="M17" s="115">
        <f>'N1'!M17+'K1'!M17</f>
        <v>0</v>
      </c>
      <c r="N17" s="115">
        <f>'N1'!N17+'K1'!N17</f>
        <v>0</v>
      </c>
      <c r="O17" s="116">
        <f>'N1'!O17+'K1'!O17</f>
        <v>0</v>
      </c>
      <c r="P17" s="115">
        <f>'N1'!P17+'K1'!P17</f>
        <v>0</v>
      </c>
      <c r="Q17" s="116">
        <f>'N1'!Q17+'K1'!Q17</f>
        <v>0</v>
      </c>
      <c r="R17" s="121">
        <f>'N1'!R17+'K1'!R17</f>
        <v>0</v>
      </c>
      <c r="S17" s="121">
        <f>'N1'!S17+'K1'!S17</f>
        <v>0</v>
      </c>
      <c r="T17" s="33">
        <f>'N1'!T17+'K1'!T17</f>
        <v>0</v>
      </c>
      <c r="U17" s="115">
        <f>'N1'!U17+'K1'!U17</f>
        <v>0</v>
      </c>
      <c r="V17" s="115">
        <f>'N1'!V17+'K1'!V17</f>
        <v>0</v>
      </c>
      <c r="W17" s="115">
        <f>'N1'!W17+'K1'!W17</f>
        <v>0</v>
      </c>
      <c r="X17" s="116">
        <f>'N1'!X17+'K1'!X17</f>
        <v>0</v>
      </c>
      <c r="Y17" s="115">
        <f>'N1'!Y17+'K1'!Y17</f>
        <v>0</v>
      </c>
      <c r="Z17" s="116">
        <f>'N1'!Z17+'K1'!Z17</f>
        <v>0</v>
      </c>
      <c r="AA17" s="121">
        <f>'N1'!AA17+'K1'!AA17</f>
        <v>0</v>
      </c>
      <c r="AB17" s="121">
        <f>'N1'!AB17+'K1'!AB17</f>
        <v>0</v>
      </c>
      <c r="AC17" s="33">
        <f>'N1'!AC17+'K1'!AC17</f>
        <v>0</v>
      </c>
      <c r="AD17" s="12">
        <f>'N1'!AD17+'K1'!AD17</f>
        <v>268</v>
      </c>
      <c r="AE17" s="39"/>
      <c r="AF17" s="39"/>
      <c r="AG17" s="39"/>
      <c r="AH17" s="39"/>
      <c r="AI17" s="39"/>
      <c r="AJ17"/>
    </row>
    <row r="18" spans="1:36" x14ac:dyDescent="0.2">
      <c r="A18" s="5">
        <f>DAY(Kalenteri!A14)</f>
        <v>14</v>
      </c>
      <c r="B18" s="3" t="str">
        <f>IF(Kalenteri!B14=1,"su",IF(Kalenteri!B14=2,"ma",IF(Kalenteri!B14=3,"ti",IF(Kalenteri!B14=4,"ke",IF(Kalenteri!B14=5,"to",IF(Kalenteri!B14=6,"pe",IF(Kalenteri!B14=7,"la",)))))))</f>
        <v>ma</v>
      </c>
      <c r="C18" s="114">
        <f>'N1'!C18+'K1'!C18</f>
        <v>11</v>
      </c>
      <c r="D18" s="115">
        <f>'N1'!D18+'K1'!D18</f>
        <v>7</v>
      </c>
      <c r="E18" s="115">
        <f>'N1'!E18+'K1'!E18</f>
        <v>0</v>
      </c>
      <c r="F18" s="116">
        <f>'N1'!F18+'K1'!F18</f>
        <v>4</v>
      </c>
      <c r="G18" s="114">
        <f>'N1'!G18+'K1'!G18</f>
        <v>11</v>
      </c>
      <c r="H18" s="116">
        <f>'N1'!H18+'K1'!H18</f>
        <v>23</v>
      </c>
      <c r="I18" s="114">
        <f>'N1'!I18+'K1'!I18</f>
        <v>0</v>
      </c>
      <c r="J18" s="116">
        <f>'N1'!J18+'K1'!J18</f>
        <v>0</v>
      </c>
      <c r="K18" s="33">
        <f>'N1'!K18+'K1'!K18</f>
        <v>56</v>
      </c>
      <c r="L18" s="115">
        <f>'N1'!L18+'K1'!L18</f>
        <v>0</v>
      </c>
      <c r="M18" s="115">
        <f>'N1'!M18+'K1'!M18</f>
        <v>0</v>
      </c>
      <c r="N18" s="115">
        <f>'N1'!N18+'K1'!N18</f>
        <v>0</v>
      </c>
      <c r="O18" s="116">
        <f>'N1'!O18+'K1'!O18</f>
        <v>0</v>
      </c>
      <c r="P18" s="115">
        <f>'N1'!P18+'K1'!P18</f>
        <v>0</v>
      </c>
      <c r="Q18" s="116">
        <f>'N1'!Q18+'K1'!Q18</f>
        <v>0</v>
      </c>
      <c r="R18" s="121">
        <f>'N1'!R18+'K1'!R18</f>
        <v>0</v>
      </c>
      <c r="S18" s="121">
        <f>'N1'!S18+'K1'!S18</f>
        <v>0</v>
      </c>
      <c r="T18" s="33">
        <f>'N1'!T18+'K1'!T18</f>
        <v>0</v>
      </c>
      <c r="U18" s="115">
        <f>'N1'!U18+'K1'!U18</f>
        <v>0</v>
      </c>
      <c r="V18" s="115">
        <f>'N1'!V18+'K1'!V18</f>
        <v>0</v>
      </c>
      <c r="W18" s="115">
        <f>'N1'!W18+'K1'!W18</f>
        <v>0</v>
      </c>
      <c r="X18" s="116">
        <f>'N1'!X18+'K1'!X18</f>
        <v>0</v>
      </c>
      <c r="Y18" s="115">
        <f>'N1'!Y18+'K1'!Y18</f>
        <v>0</v>
      </c>
      <c r="Z18" s="116">
        <f>'N1'!Z18+'K1'!Z18</f>
        <v>0</v>
      </c>
      <c r="AA18" s="121">
        <f>'N1'!AA18+'K1'!AA18</f>
        <v>0</v>
      </c>
      <c r="AB18" s="121">
        <f>'N1'!AB18+'K1'!AB18</f>
        <v>0</v>
      </c>
      <c r="AC18" s="33">
        <f>'N1'!AC18+'K1'!AC18</f>
        <v>0</v>
      </c>
      <c r="AD18" s="12">
        <f>'N1'!AD18+'K1'!AD18</f>
        <v>56</v>
      </c>
      <c r="AE18" s="39"/>
      <c r="AF18" s="39"/>
      <c r="AG18" s="39"/>
      <c r="AH18" s="39"/>
      <c r="AI18" s="39"/>
      <c r="AJ18"/>
    </row>
    <row r="19" spans="1:36" x14ac:dyDescent="0.2">
      <c r="A19" s="5">
        <f>DAY(Kalenteri!A15)</f>
        <v>15</v>
      </c>
      <c r="B19" s="3" t="str">
        <f>IF(Kalenteri!B15=1,"su",IF(Kalenteri!B15=2,"ma",IF(Kalenteri!B15=3,"ti",IF(Kalenteri!B15=4,"ke",IF(Kalenteri!B15=5,"to",IF(Kalenteri!B15=6,"pe",IF(Kalenteri!B15=7,"la",)))))))</f>
        <v>ti</v>
      </c>
      <c r="C19" s="114">
        <f>'N1'!C19+'K1'!C19</f>
        <v>19</v>
      </c>
      <c r="D19" s="115">
        <f>'N1'!D19+'K1'!D19</f>
        <v>6</v>
      </c>
      <c r="E19" s="115">
        <f>'N1'!E19+'K1'!E19</f>
        <v>0</v>
      </c>
      <c r="F19" s="116">
        <f>'N1'!F19+'K1'!F19</f>
        <v>3</v>
      </c>
      <c r="G19" s="114">
        <f>'N1'!G19+'K1'!G19</f>
        <v>0</v>
      </c>
      <c r="H19" s="116">
        <f>'N1'!H19+'K1'!H19</f>
        <v>1</v>
      </c>
      <c r="I19" s="114">
        <f>'N1'!I19+'K1'!I19</f>
        <v>0</v>
      </c>
      <c r="J19" s="116">
        <f>'N1'!J19+'K1'!J19</f>
        <v>0</v>
      </c>
      <c r="K19" s="33">
        <f>'N1'!K19+'K1'!K19</f>
        <v>29</v>
      </c>
      <c r="L19" s="115">
        <f>'N1'!L19+'K1'!L19</f>
        <v>0</v>
      </c>
      <c r="M19" s="115">
        <f>'N1'!M19+'K1'!M19</f>
        <v>0</v>
      </c>
      <c r="N19" s="115">
        <f>'N1'!N19+'K1'!N19</f>
        <v>0</v>
      </c>
      <c r="O19" s="116">
        <f>'N1'!O19+'K1'!O19</f>
        <v>0</v>
      </c>
      <c r="P19" s="115">
        <f>'N1'!P19+'K1'!P19</f>
        <v>0</v>
      </c>
      <c r="Q19" s="116">
        <f>'N1'!Q19+'K1'!Q19</f>
        <v>0</v>
      </c>
      <c r="R19" s="121">
        <f>'N1'!R19+'K1'!R19</f>
        <v>0</v>
      </c>
      <c r="S19" s="121">
        <f>'N1'!S19+'K1'!S19</f>
        <v>0</v>
      </c>
      <c r="T19" s="33">
        <f>'N1'!T19+'K1'!T19</f>
        <v>0</v>
      </c>
      <c r="U19" s="115">
        <f>'N1'!U19+'K1'!U19</f>
        <v>0</v>
      </c>
      <c r="V19" s="115">
        <f>'N1'!V19+'K1'!V19</f>
        <v>0</v>
      </c>
      <c r="W19" s="115">
        <f>'N1'!W19+'K1'!W19</f>
        <v>0</v>
      </c>
      <c r="X19" s="116">
        <f>'N1'!X19+'K1'!X19</f>
        <v>0</v>
      </c>
      <c r="Y19" s="115">
        <f>'N1'!Y19+'K1'!Y19</f>
        <v>0</v>
      </c>
      <c r="Z19" s="116">
        <f>'N1'!Z19+'K1'!Z19</f>
        <v>0</v>
      </c>
      <c r="AA19" s="121">
        <f>'N1'!AA19+'K1'!AA19</f>
        <v>0</v>
      </c>
      <c r="AB19" s="121">
        <f>'N1'!AB19+'K1'!AB19</f>
        <v>0</v>
      </c>
      <c r="AC19" s="33">
        <f>'N1'!AC19+'K1'!AC19</f>
        <v>0</v>
      </c>
      <c r="AD19" s="12">
        <f>'N1'!AD19+'K1'!AD19</f>
        <v>29</v>
      </c>
      <c r="AE19" s="39"/>
      <c r="AF19" s="39"/>
      <c r="AG19" s="39"/>
      <c r="AH19" s="39"/>
      <c r="AI19" s="39"/>
      <c r="AJ19"/>
    </row>
    <row r="20" spans="1:36" x14ac:dyDescent="0.2">
      <c r="A20" s="5">
        <f>DAY(Kalenteri!A16)</f>
        <v>16</v>
      </c>
      <c r="B20" s="3" t="str">
        <f>IF(Kalenteri!B16=1,"su",IF(Kalenteri!B16=2,"ma",IF(Kalenteri!B16=3,"ti",IF(Kalenteri!B16=4,"ke",IF(Kalenteri!B16=5,"to",IF(Kalenteri!B16=6,"pe",IF(Kalenteri!B16=7,"la",)))))))</f>
        <v>ke</v>
      </c>
      <c r="C20" s="114">
        <f>'N1'!C20+'K1'!C20</f>
        <v>5</v>
      </c>
      <c r="D20" s="115">
        <f>'N1'!D20+'K1'!D20</f>
        <v>0</v>
      </c>
      <c r="E20" s="115">
        <f>'N1'!E20+'K1'!E20</f>
        <v>0</v>
      </c>
      <c r="F20" s="116">
        <f>'N1'!F20+'K1'!F20</f>
        <v>1</v>
      </c>
      <c r="G20" s="114">
        <f>'N1'!G20+'K1'!G20</f>
        <v>2</v>
      </c>
      <c r="H20" s="116">
        <f>'N1'!H20+'K1'!H20</f>
        <v>30</v>
      </c>
      <c r="I20" s="114">
        <f>'N1'!I20+'K1'!I20</f>
        <v>0</v>
      </c>
      <c r="J20" s="116">
        <f>'N1'!J20+'K1'!J20</f>
        <v>0</v>
      </c>
      <c r="K20" s="33">
        <f>'N1'!K20+'K1'!K20</f>
        <v>38</v>
      </c>
      <c r="L20" s="115">
        <f>'N1'!L20+'K1'!L20</f>
        <v>0</v>
      </c>
      <c r="M20" s="115">
        <f>'N1'!M20+'K1'!M20</f>
        <v>0</v>
      </c>
      <c r="N20" s="115">
        <f>'N1'!N20+'K1'!N20</f>
        <v>0</v>
      </c>
      <c r="O20" s="116">
        <f>'N1'!O20+'K1'!O20</f>
        <v>0</v>
      </c>
      <c r="P20" s="115">
        <f>'N1'!P20+'K1'!P20</f>
        <v>0</v>
      </c>
      <c r="Q20" s="116">
        <f>'N1'!Q20+'K1'!Q20</f>
        <v>0</v>
      </c>
      <c r="R20" s="121">
        <f>'N1'!R20+'K1'!R20</f>
        <v>0</v>
      </c>
      <c r="S20" s="121">
        <f>'N1'!S20+'K1'!S20</f>
        <v>0</v>
      </c>
      <c r="T20" s="33">
        <f>'N1'!T20+'K1'!T20</f>
        <v>0</v>
      </c>
      <c r="U20" s="115">
        <f>'N1'!U20+'K1'!U20</f>
        <v>0</v>
      </c>
      <c r="V20" s="115">
        <f>'N1'!V20+'K1'!V20</f>
        <v>0</v>
      </c>
      <c r="W20" s="115">
        <f>'N1'!W20+'K1'!W20</f>
        <v>0</v>
      </c>
      <c r="X20" s="116">
        <f>'N1'!X20+'K1'!X20</f>
        <v>0</v>
      </c>
      <c r="Y20" s="115">
        <f>'N1'!Y20+'K1'!Y20</f>
        <v>0</v>
      </c>
      <c r="Z20" s="116">
        <f>'N1'!Z20+'K1'!Z20</f>
        <v>0</v>
      </c>
      <c r="AA20" s="121">
        <f>'N1'!AA20+'K1'!AA20</f>
        <v>0</v>
      </c>
      <c r="AB20" s="121">
        <f>'N1'!AB20+'K1'!AB20</f>
        <v>0</v>
      </c>
      <c r="AC20" s="33">
        <f>'N1'!AC20+'K1'!AC20</f>
        <v>0</v>
      </c>
      <c r="AD20" s="12">
        <f>'N1'!AD20+'K1'!AD20</f>
        <v>38</v>
      </c>
      <c r="AE20" s="39"/>
      <c r="AF20" s="39"/>
      <c r="AG20" s="39"/>
      <c r="AH20" s="39"/>
      <c r="AI20" s="39"/>
      <c r="AJ20"/>
    </row>
    <row r="21" spans="1:36" x14ac:dyDescent="0.2">
      <c r="A21" s="5">
        <f>DAY(Kalenteri!A17)</f>
        <v>17</v>
      </c>
      <c r="B21" s="3" t="str">
        <f>IF(Kalenteri!B17=1,"su",IF(Kalenteri!B17=2,"ma",IF(Kalenteri!B17=3,"ti",IF(Kalenteri!B17=4,"ke",IF(Kalenteri!B17=5,"to",IF(Kalenteri!B17=6,"pe",IF(Kalenteri!B17=7,"la",)))))))</f>
        <v>to</v>
      </c>
      <c r="C21" s="114">
        <f>'N1'!C21+'K1'!C21</f>
        <v>23</v>
      </c>
      <c r="D21" s="115">
        <f>'N1'!D21+'K1'!D21</f>
        <v>8</v>
      </c>
      <c r="E21" s="115">
        <f>'N1'!E21+'K1'!E21</f>
        <v>0</v>
      </c>
      <c r="F21" s="116">
        <f>'N1'!F21+'K1'!F21</f>
        <v>4</v>
      </c>
      <c r="G21" s="114">
        <f>'N1'!G21+'K1'!G21</f>
        <v>2</v>
      </c>
      <c r="H21" s="116">
        <f>'N1'!H21+'K1'!H21</f>
        <v>6</v>
      </c>
      <c r="I21" s="114">
        <f>'N1'!I21+'K1'!I21</f>
        <v>0</v>
      </c>
      <c r="J21" s="116">
        <f>'N1'!J21+'K1'!J21</f>
        <v>0</v>
      </c>
      <c r="K21" s="33">
        <f>'N1'!K21+'K1'!K21</f>
        <v>43</v>
      </c>
      <c r="L21" s="115">
        <f>'N1'!L21+'K1'!L21</f>
        <v>0</v>
      </c>
      <c r="M21" s="115">
        <f>'N1'!M21+'K1'!M21</f>
        <v>0</v>
      </c>
      <c r="N21" s="115">
        <f>'N1'!N21+'K1'!N21</f>
        <v>0</v>
      </c>
      <c r="O21" s="116">
        <f>'N1'!O21+'K1'!O21</f>
        <v>0</v>
      </c>
      <c r="P21" s="115">
        <f>'N1'!P21+'K1'!P21</f>
        <v>0</v>
      </c>
      <c r="Q21" s="116">
        <f>'N1'!Q21+'K1'!Q21</f>
        <v>0</v>
      </c>
      <c r="R21" s="121">
        <f>'N1'!R21+'K1'!R21</f>
        <v>0</v>
      </c>
      <c r="S21" s="121">
        <f>'N1'!S21+'K1'!S21</f>
        <v>0</v>
      </c>
      <c r="T21" s="33">
        <f>'N1'!T21+'K1'!T21</f>
        <v>0</v>
      </c>
      <c r="U21" s="115">
        <f>'N1'!U21+'K1'!U21</f>
        <v>0</v>
      </c>
      <c r="V21" s="115">
        <f>'N1'!V21+'K1'!V21</f>
        <v>0</v>
      </c>
      <c r="W21" s="115">
        <f>'N1'!W21+'K1'!W21</f>
        <v>0</v>
      </c>
      <c r="X21" s="116">
        <f>'N1'!X21+'K1'!X21</f>
        <v>0</v>
      </c>
      <c r="Y21" s="115">
        <f>'N1'!Y21+'K1'!Y21</f>
        <v>0</v>
      </c>
      <c r="Z21" s="116">
        <f>'N1'!Z21+'K1'!Z21</f>
        <v>0</v>
      </c>
      <c r="AA21" s="121">
        <f>'N1'!AA21+'K1'!AA21</f>
        <v>0</v>
      </c>
      <c r="AB21" s="121">
        <f>'N1'!AB21+'K1'!AB21</f>
        <v>0</v>
      </c>
      <c r="AC21" s="33">
        <f>'N1'!AC21+'K1'!AC21</f>
        <v>0</v>
      </c>
      <c r="AD21" s="12">
        <f>'N1'!AD21+'K1'!AD21</f>
        <v>43</v>
      </c>
      <c r="AE21" s="39"/>
      <c r="AF21" s="39"/>
      <c r="AG21" s="39"/>
      <c r="AH21" s="39"/>
      <c r="AI21" s="39"/>
      <c r="AJ21"/>
    </row>
    <row r="22" spans="1:36" x14ac:dyDescent="0.2">
      <c r="A22" s="5">
        <f>DAY(Kalenteri!A18)</f>
        <v>18</v>
      </c>
      <c r="B22" s="3" t="str">
        <f>IF(Kalenteri!B18=1,"su",IF(Kalenteri!B18=2,"ma",IF(Kalenteri!B18=3,"ti",IF(Kalenteri!B18=4,"ke",IF(Kalenteri!B18=5,"to",IF(Kalenteri!B18=6,"pe",IF(Kalenteri!B18=7,"la",)))))))</f>
        <v>pe</v>
      </c>
      <c r="C22" s="114">
        <f>'N1'!C22+'K1'!C22</f>
        <v>21</v>
      </c>
      <c r="D22" s="115">
        <f>'N1'!D22+'K1'!D22</f>
        <v>3</v>
      </c>
      <c r="E22" s="115">
        <f>'N1'!E22+'K1'!E22</f>
        <v>0</v>
      </c>
      <c r="F22" s="116">
        <f>'N1'!F22+'K1'!F22</f>
        <v>2</v>
      </c>
      <c r="G22" s="114">
        <f>'N1'!G22+'K1'!G22</f>
        <v>2</v>
      </c>
      <c r="H22" s="116">
        <f>'N1'!H22+'K1'!H22</f>
        <v>9</v>
      </c>
      <c r="I22" s="114">
        <f>'N1'!I22+'K1'!I22</f>
        <v>0</v>
      </c>
      <c r="J22" s="116">
        <f>'N1'!J22+'K1'!J22</f>
        <v>0</v>
      </c>
      <c r="K22" s="33">
        <f>'N1'!K22+'K1'!K22</f>
        <v>37</v>
      </c>
      <c r="L22" s="115">
        <f>'N1'!L22+'K1'!L22</f>
        <v>0</v>
      </c>
      <c r="M22" s="115">
        <f>'N1'!M22+'K1'!M22</f>
        <v>0</v>
      </c>
      <c r="N22" s="115">
        <f>'N1'!N22+'K1'!N22</f>
        <v>0</v>
      </c>
      <c r="O22" s="116">
        <f>'N1'!O22+'K1'!O22</f>
        <v>0</v>
      </c>
      <c r="P22" s="115">
        <f>'N1'!P22+'K1'!P22</f>
        <v>0</v>
      </c>
      <c r="Q22" s="116">
        <f>'N1'!Q22+'K1'!Q22</f>
        <v>0</v>
      </c>
      <c r="R22" s="121">
        <f>'N1'!R22+'K1'!R22</f>
        <v>0</v>
      </c>
      <c r="S22" s="121">
        <f>'N1'!S22+'K1'!S22</f>
        <v>0</v>
      </c>
      <c r="T22" s="33">
        <f>'N1'!T22+'K1'!T22</f>
        <v>0</v>
      </c>
      <c r="U22" s="115">
        <f>'N1'!U22+'K1'!U22</f>
        <v>0</v>
      </c>
      <c r="V22" s="115">
        <f>'N1'!V22+'K1'!V22</f>
        <v>0</v>
      </c>
      <c r="W22" s="115">
        <f>'N1'!W22+'K1'!W22</f>
        <v>0</v>
      </c>
      <c r="X22" s="116">
        <f>'N1'!X22+'K1'!X22</f>
        <v>0</v>
      </c>
      <c r="Y22" s="115">
        <f>'N1'!Y22+'K1'!Y22</f>
        <v>0</v>
      </c>
      <c r="Z22" s="116">
        <f>'N1'!Z22+'K1'!Z22</f>
        <v>0</v>
      </c>
      <c r="AA22" s="121">
        <f>'N1'!AA22+'K1'!AA22</f>
        <v>0</v>
      </c>
      <c r="AB22" s="121">
        <f>'N1'!AB22+'K1'!AB22</f>
        <v>0</v>
      </c>
      <c r="AC22" s="33">
        <f>'N1'!AC22+'K1'!AC22</f>
        <v>0</v>
      </c>
      <c r="AD22" s="12">
        <f>'N1'!AD22+'K1'!AD22</f>
        <v>37</v>
      </c>
      <c r="AE22" s="39"/>
      <c r="AF22" s="39"/>
      <c r="AG22" s="39"/>
      <c r="AH22" s="39"/>
      <c r="AI22" s="39"/>
      <c r="AJ22"/>
    </row>
    <row r="23" spans="1:36" x14ac:dyDescent="0.2">
      <c r="A23" s="5">
        <f>DAY(Kalenteri!A19)</f>
        <v>19</v>
      </c>
      <c r="B23" s="3" t="str">
        <f>IF(Kalenteri!B19=1,"su",IF(Kalenteri!B19=2,"ma",IF(Kalenteri!B19=3,"ti",IF(Kalenteri!B19=4,"ke",IF(Kalenteri!B19=5,"to",IF(Kalenteri!B19=6,"pe",IF(Kalenteri!B19=7,"la",)))))))</f>
        <v>la</v>
      </c>
      <c r="C23" s="114">
        <f>'N1'!C23+'K1'!C23</f>
        <v>38</v>
      </c>
      <c r="D23" s="115">
        <f>'N1'!D23+'K1'!D23</f>
        <v>12</v>
      </c>
      <c r="E23" s="115">
        <f>'N1'!E23+'K1'!E23</f>
        <v>0</v>
      </c>
      <c r="F23" s="116">
        <f>'N1'!F23+'K1'!F23</f>
        <v>8</v>
      </c>
      <c r="G23" s="114">
        <f>'N1'!G23+'K1'!G23</f>
        <v>0</v>
      </c>
      <c r="H23" s="116">
        <f>'N1'!H23+'K1'!H23</f>
        <v>9</v>
      </c>
      <c r="I23" s="114">
        <f>'N1'!I23+'K1'!I23</f>
        <v>0</v>
      </c>
      <c r="J23" s="116">
        <f>'N1'!J23+'K1'!J23</f>
        <v>0</v>
      </c>
      <c r="K23" s="33">
        <f>'N1'!K23+'K1'!K23</f>
        <v>67</v>
      </c>
      <c r="L23" s="115">
        <f>'N1'!L23+'K1'!L23</f>
        <v>0</v>
      </c>
      <c r="M23" s="115">
        <f>'N1'!M23+'K1'!M23</f>
        <v>0</v>
      </c>
      <c r="N23" s="115">
        <f>'N1'!N23+'K1'!N23</f>
        <v>0</v>
      </c>
      <c r="O23" s="116">
        <f>'N1'!O23+'K1'!O23</f>
        <v>0</v>
      </c>
      <c r="P23" s="115">
        <f>'N1'!P23+'K1'!P23</f>
        <v>0</v>
      </c>
      <c r="Q23" s="116">
        <f>'N1'!Q23+'K1'!Q23</f>
        <v>0</v>
      </c>
      <c r="R23" s="121">
        <f>'N1'!R23+'K1'!R23</f>
        <v>0</v>
      </c>
      <c r="S23" s="121">
        <f>'N1'!S23+'K1'!S23</f>
        <v>0</v>
      </c>
      <c r="T23" s="33">
        <f>'N1'!T23+'K1'!T23</f>
        <v>0</v>
      </c>
      <c r="U23" s="115">
        <f>'N1'!U23+'K1'!U23</f>
        <v>0</v>
      </c>
      <c r="V23" s="115">
        <f>'N1'!V23+'K1'!V23</f>
        <v>0</v>
      </c>
      <c r="W23" s="115">
        <f>'N1'!W23+'K1'!W23</f>
        <v>0</v>
      </c>
      <c r="X23" s="116">
        <f>'N1'!X23+'K1'!X23</f>
        <v>0</v>
      </c>
      <c r="Y23" s="115">
        <f>'N1'!Y23+'K1'!Y23</f>
        <v>0</v>
      </c>
      <c r="Z23" s="116">
        <f>'N1'!Z23+'K1'!Z23</f>
        <v>0</v>
      </c>
      <c r="AA23" s="121">
        <f>'N1'!AA23+'K1'!AA23</f>
        <v>0</v>
      </c>
      <c r="AB23" s="121">
        <f>'N1'!AB23+'K1'!AB23</f>
        <v>0</v>
      </c>
      <c r="AC23" s="33">
        <f>'N1'!AC23+'K1'!AC23</f>
        <v>0</v>
      </c>
      <c r="AD23" s="12">
        <f>'N1'!AD23+'K1'!AD23</f>
        <v>67</v>
      </c>
      <c r="AE23" s="39"/>
      <c r="AF23" s="39"/>
      <c r="AG23" s="39"/>
      <c r="AH23" s="39"/>
      <c r="AI23" s="39"/>
      <c r="AJ23"/>
    </row>
    <row r="24" spans="1:36" x14ac:dyDescent="0.2">
      <c r="A24" s="5">
        <f>DAY(Kalenteri!A20)</f>
        <v>20</v>
      </c>
      <c r="B24" s="3" t="str">
        <f>IF(Kalenteri!B20=1,"su",IF(Kalenteri!B20=2,"ma",IF(Kalenteri!B20=3,"ti",IF(Kalenteri!B20=4,"ke",IF(Kalenteri!B20=5,"to",IF(Kalenteri!B20=6,"pe",IF(Kalenteri!B20=7,"la",)))))))</f>
        <v>su</v>
      </c>
      <c r="C24" s="114">
        <f>'N1'!C24+'K1'!C24</f>
        <v>98</v>
      </c>
      <c r="D24" s="115">
        <f>'N1'!D24+'K1'!D24</f>
        <v>98</v>
      </c>
      <c r="E24" s="115">
        <f>'N1'!E24+'K1'!E24</f>
        <v>2</v>
      </c>
      <c r="F24" s="116">
        <f>'N1'!F24+'K1'!F24</f>
        <v>103</v>
      </c>
      <c r="G24" s="114">
        <f>'N1'!G24+'K1'!G24</f>
        <v>0</v>
      </c>
      <c r="H24" s="116">
        <f>'N1'!H24+'K1'!H24</f>
        <v>41</v>
      </c>
      <c r="I24" s="114">
        <f>'N1'!I24+'K1'!I24</f>
        <v>2</v>
      </c>
      <c r="J24" s="116">
        <f>'N1'!J24+'K1'!J24</f>
        <v>3</v>
      </c>
      <c r="K24" s="33">
        <f>'N1'!K24+'K1'!K24</f>
        <v>347</v>
      </c>
      <c r="L24" s="115">
        <f>'N1'!L24+'K1'!L24</f>
        <v>0</v>
      </c>
      <c r="M24" s="115">
        <f>'N1'!M24+'K1'!M24</f>
        <v>0</v>
      </c>
      <c r="N24" s="115">
        <f>'N1'!N24+'K1'!N24</f>
        <v>0</v>
      </c>
      <c r="O24" s="116">
        <f>'N1'!O24+'K1'!O24</f>
        <v>0</v>
      </c>
      <c r="P24" s="115">
        <f>'N1'!P24+'K1'!P24</f>
        <v>0</v>
      </c>
      <c r="Q24" s="116">
        <f>'N1'!Q24+'K1'!Q24</f>
        <v>0</v>
      </c>
      <c r="R24" s="121">
        <f>'N1'!R24+'K1'!R24</f>
        <v>0</v>
      </c>
      <c r="S24" s="121">
        <f>'N1'!S24+'K1'!S24</f>
        <v>0</v>
      </c>
      <c r="T24" s="33">
        <f>'N1'!T24+'K1'!T24</f>
        <v>0</v>
      </c>
      <c r="U24" s="115">
        <f>'N1'!U24+'K1'!U24</f>
        <v>0</v>
      </c>
      <c r="V24" s="115">
        <f>'N1'!V24+'K1'!V24</f>
        <v>0</v>
      </c>
      <c r="W24" s="115">
        <f>'N1'!W24+'K1'!W24</f>
        <v>0</v>
      </c>
      <c r="X24" s="116">
        <f>'N1'!X24+'K1'!X24</f>
        <v>0</v>
      </c>
      <c r="Y24" s="115">
        <f>'N1'!Y24+'K1'!Y24</f>
        <v>0</v>
      </c>
      <c r="Z24" s="116">
        <f>'N1'!Z24+'K1'!Z24</f>
        <v>0</v>
      </c>
      <c r="AA24" s="121">
        <f>'N1'!AA24+'K1'!AA24</f>
        <v>0</v>
      </c>
      <c r="AB24" s="121">
        <f>'N1'!AB24+'K1'!AB24</f>
        <v>0</v>
      </c>
      <c r="AC24" s="33">
        <f>'N1'!AC24+'K1'!AC24</f>
        <v>0</v>
      </c>
      <c r="AD24" s="12">
        <f>'N1'!AD24+'K1'!AD24</f>
        <v>347</v>
      </c>
      <c r="AE24" s="39"/>
      <c r="AF24" s="39"/>
      <c r="AG24" s="39"/>
      <c r="AH24" s="39"/>
      <c r="AI24" s="39"/>
      <c r="AJ24" s="39"/>
    </row>
    <row r="25" spans="1:36" x14ac:dyDescent="0.2">
      <c r="A25" s="5">
        <f>DAY(Kalenteri!A21)</f>
        <v>21</v>
      </c>
      <c r="B25" s="3" t="str">
        <f>IF(Kalenteri!B21=1,"su",IF(Kalenteri!B21=2,"ma",IF(Kalenteri!B21=3,"ti",IF(Kalenteri!B21=4,"ke",IF(Kalenteri!B21=5,"to",IF(Kalenteri!B21=6,"pe",IF(Kalenteri!B21=7,"la",)))))))</f>
        <v>ma</v>
      </c>
      <c r="C25" s="114">
        <f>'N1'!C25+'K1'!C25</f>
        <v>14</v>
      </c>
      <c r="D25" s="115">
        <f>'N1'!D25+'K1'!D25</f>
        <v>4</v>
      </c>
      <c r="E25" s="115">
        <f>'N1'!E25+'K1'!E25</f>
        <v>0</v>
      </c>
      <c r="F25" s="116">
        <f>'N1'!F25+'K1'!F25</f>
        <v>4</v>
      </c>
      <c r="G25" s="114">
        <f>'N1'!G25+'K1'!G25</f>
        <v>0</v>
      </c>
      <c r="H25" s="116">
        <f>'N1'!H25+'K1'!H25</f>
        <v>16</v>
      </c>
      <c r="I25" s="114">
        <f>'N1'!I25+'K1'!I25</f>
        <v>0</v>
      </c>
      <c r="J25" s="116">
        <f>'N1'!J25+'K1'!J25</f>
        <v>0</v>
      </c>
      <c r="K25" s="33">
        <f>'N1'!K25+'K1'!K25</f>
        <v>38</v>
      </c>
      <c r="L25" s="115">
        <f>'N1'!L25+'K1'!L25</f>
        <v>0</v>
      </c>
      <c r="M25" s="115">
        <f>'N1'!M25+'K1'!M25</f>
        <v>2</v>
      </c>
      <c r="N25" s="115">
        <f>'N1'!N25+'K1'!N25</f>
        <v>0</v>
      </c>
      <c r="O25" s="116">
        <f>'N1'!O25+'K1'!O25</f>
        <v>3</v>
      </c>
      <c r="P25" s="115">
        <f>'N1'!P25+'K1'!P25</f>
        <v>0</v>
      </c>
      <c r="Q25" s="116">
        <f>'N1'!Q25+'K1'!Q25</f>
        <v>0</v>
      </c>
      <c r="R25" s="121">
        <f>'N1'!R25+'K1'!R25</f>
        <v>0</v>
      </c>
      <c r="S25" s="121">
        <f>'N1'!S25+'K1'!S25</f>
        <v>0</v>
      </c>
      <c r="T25" s="33">
        <f>'N1'!T25+'K1'!T25</f>
        <v>5</v>
      </c>
      <c r="U25" s="115">
        <f>'N1'!U25+'K1'!U25</f>
        <v>0</v>
      </c>
      <c r="V25" s="115">
        <f>'N1'!V25+'K1'!V25</f>
        <v>0</v>
      </c>
      <c r="W25" s="115">
        <f>'N1'!W25+'K1'!W25</f>
        <v>0</v>
      </c>
      <c r="X25" s="116">
        <f>'N1'!X25+'K1'!X25</f>
        <v>0</v>
      </c>
      <c r="Y25" s="115">
        <f>'N1'!Y25+'K1'!Y25</f>
        <v>0</v>
      </c>
      <c r="Z25" s="116">
        <f>'N1'!Z25+'K1'!Z25</f>
        <v>0</v>
      </c>
      <c r="AA25" s="121">
        <f>'N1'!AA25+'K1'!AA25</f>
        <v>0</v>
      </c>
      <c r="AB25" s="121">
        <f>'N1'!AB25+'K1'!AB25</f>
        <v>0</v>
      </c>
      <c r="AC25" s="33">
        <f>'N1'!AC25+'K1'!AC25</f>
        <v>0</v>
      </c>
      <c r="AD25" s="12">
        <f>'N1'!AD25+'K1'!AD25</f>
        <v>43</v>
      </c>
      <c r="AE25" s="39"/>
      <c r="AF25" s="39"/>
      <c r="AG25" s="39"/>
      <c r="AH25" s="39"/>
      <c r="AI25" s="39"/>
      <c r="AJ25" s="39"/>
    </row>
    <row r="26" spans="1:36" x14ac:dyDescent="0.2">
      <c r="A26" s="5">
        <f>DAY(Kalenteri!A22)</f>
        <v>22</v>
      </c>
      <c r="B26" s="3" t="str">
        <f>IF(Kalenteri!B22=1,"su",IF(Kalenteri!B22=2,"ma",IF(Kalenteri!B22=3,"ti",IF(Kalenteri!B22=4,"ke",IF(Kalenteri!B22=5,"to",IF(Kalenteri!B22=6,"pe",IF(Kalenteri!B22=7,"la",)))))))</f>
        <v>ti</v>
      </c>
      <c r="C26" s="114">
        <f>'N1'!C26+'K1'!C26</f>
        <v>29</v>
      </c>
      <c r="D26" s="115">
        <f>'N1'!D26+'K1'!D26</f>
        <v>2</v>
      </c>
      <c r="E26" s="115">
        <f>'N1'!E26+'K1'!E26</f>
        <v>0</v>
      </c>
      <c r="F26" s="116">
        <f>'N1'!F26+'K1'!F26</f>
        <v>1</v>
      </c>
      <c r="G26" s="114">
        <f>'N1'!G26+'K1'!G26</f>
        <v>0</v>
      </c>
      <c r="H26" s="116">
        <f>'N1'!H26+'K1'!H26</f>
        <v>4</v>
      </c>
      <c r="I26" s="114">
        <f>'N1'!I26+'K1'!I26</f>
        <v>0</v>
      </c>
      <c r="J26" s="116">
        <f>'N1'!J26+'K1'!J26</f>
        <v>0</v>
      </c>
      <c r="K26" s="33">
        <f>'N1'!K26+'K1'!K26</f>
        <v>36</v>
      </c>
      <c r="L26" s="115">
        <f>'N1'!L26+'K1'!L26</f>
        <v>0</v>
      </c>
      <c r="M26" s="115">
        <f>'N1'!M26+'K1'!M26</f>
        <v>0</v>
      </c>
      <c r="N26" s="115">
        <f>'N1'!N26+'K1'!N26</f>
        <v>0</v>
      </c>
      <c r="O26" s="116">
        <f>'N1'!O26+'K1'!O26</f>
        <v>0</v>
      </c>
      <c r="P26" s="115">
        <f>'N1'!P26+'K1'!P26</f>
        <v>0</v>
      </c>
      <c r="Q26" s="116">
        <f>'N1'!Q26+'K1'!Q26</f>
        <v>0</v>
      </c>
      <c r="R26" s="121">
        <f>'N1'!R26+'K1'!R26</f>
        <v>0</v>
      </c>
      <c r="S26" s="121">
        <f>'N1'!S26+'K1'!S26</f>
        <v>0</v>
      </c>
      <c r="T26" s="33">
        <f>'N1'!T26+'K1'!T26</f>
        <v>0</v>
      </c>
      <c r="U26" s="115">
        <f>'N1'!U26+'K1'!U26</f>
        <v>0</v>
      </c>
      <c r="V26" s="115">
        <f>'N1'!V26+'K1'!V26</f>
        <v>0</v>
      </c>
      <c r="W26" s="115">
        <f>'N1'!W26+'K1'!W26</f>
        <v>0</v>
      </c>
      <c r="X26" s="116">
        <f>'N1'!X26+'K1'!X26</f>
        <v>0</v>
      </c>
      <c r="Y26" s="115">
        <f>'N1'!Y26+'K1'!Y26</f>
        <v>0</v>
      </c>
      <c r="Z26" s="116">
        <f>'N1'!Z26+'K1'!Z26</f>
        <v>0</v>
      </c>
      <c r="AA26" s="121">
        <f>'N1'!AA26+'K1'!AA26</f>
        <v>0</v>
      </c>
      <c r="AB26" s="121">
        <f>'N1'!AB26+'K1'!AB26</f>
        <v>0</v>
      </c>
      <c r="AC26" s="33">
        <f>'N1'!AC26+'K1'!AC26</f>
        <v>0</v>
      </c>
      <c r="AD26" s="12">
        <f>'N1'!AD26+'K1'!AD26</f>
        <v>36</v>
      </c>
      <c r="AE26" s="39"/>
      <c r="AF26" s="39"/>
      <c r="AG26" s="39"/>
      <c r="AH26" s="39"/>
      <c r="AI26" s="39"/>
      <c r="AJ26" s="39"/>
    </row>
    <row r="27" spans="1:36" x14ac:dyDescent="0.2">
      <c r="A27" s="5">
        <f>DAY(Kalenteri!A23)</f>
        <v>23</v>
      </c>
      <c r="B27" s="3" t="str">
        <f>IF(Kalenteri!B23=1,"su",IF(Kalenteri!B23=2,"ma",IF(Kalenteri!B23=3,"ti",IF(Kalenteri!B23=4,"ke",IF(Kalenteri!B23=5,"to",IF(Kalenteri!B23=6,"pe",IF(Kalenteri!B23=7,"la",)))))))</f>
        <v>ke</v>
      </c>
      <c r="C27" s="114">
        <f>'N1'!C27+'K1'!C27</f>
        <v>14</v>
      </c>
      <c r="D27" s="115">
        <f>'N1'!D27+'K1'!D27</f>
        <v>7</v>
      </c>
      <c r="E27" s="115">
        <f>'N1'!E27+'K1'!E27</f>
        <v>2</v>
      </c>
      <c r="F27" s="116">
        <f>'N1'!F27+'K1'!F27</f>
        <v>4</v>
      </c>
      <c r="G27" s="114">
        <f>'N1'!G27+'K1'!G27</f>
        <v>0</v>
      </c>
      <c r="H27" s="116">
        <f>'N1'!H27+'K1'!H27</f>
        <v>1</v>
      </c>
      <c r="I27" s="114">
        <f>'N1'!I27+'K1'!I27</f>
        <v>0</v>
      </c>
      <c r="J27" s="116">
        <f>'N1'!J27+'K1'!J27</f>
        <v>0</v>
      </c>
      <c r="K27" s="33">
        <f>'N1'!K27+'K1'!K27</f>
        <v>28</v>
      </c>
      <c r="L27" s="115">
        <f>'N1'!L27+'K1'!L27</f>
        <v>0</v>
      </c>
      <c r="M27" s="115">
        <f>'N1'!M27+'K1'!M27</f>
        <v>0</v>
      </c>
      <c r="N27" s="115">
        <f>'N1'!N27+'K1'!N27</f>
        <v>0</v>
      </c>
      <c r="O27" s="116">
        <f>'N1'!O27+'K1'!O27</f>
        <v>0</v>
      </c>
      <c r="P27" s="115">
        <f>'N1'!P27+'K1'!P27</f>
        <v>0</v>
      </c>
      <c r="Q27" s="116">
        <f>'N1'!Q27+'K1'!Q27</f>
        <v>0</v>
      </c>
      <c r="R27" s="121">
        <f>'N1'!R27+'K1'!R27</f>
        <v>0</v>
      </c>
      <c r="S27" s="121">
        <f>'N1'!S27+'K1'!S27</f>
        <v>0</v>
      </c>
      <c r="T27" s="33">
        <f>'N1'!T27+'K1'!T27</f>
        <v>0</v>
      </c>
      <c r="U27" s="115">
        <f>'N1'!U27+'K1'!U27</f>
        <v>0</v>
      </c>
      <c r="V27" s="115">
        <f>'N1'!V27+'K1'!V27</f>
        <v>0</v>
      </c>
      <c r="W27" s="115">
        <f>'N1'!W27+'K1'!W27</f>
        <v>0</v>
      </c>
      <c r="X27" s="116">
        <f>'N1'!X27+'K1'!X27</f>
        <v>0</v>
      </c>
      <c r="Y27" s="115">
        <f>'N1'!Y27+'K1'!Y27</f>
        <v>0</v>
      </c>
      <c r="Z27" s="116">
        <f>'N1'!Z27+'K1'!Z27</f>
        <v>0</v>
      </c>
      <c r="AA27" s="121">
        <f>'N1'!AA27+'K1'!AA27</f>
        <v>0</v>
      </c>
      <c r="AB27" s="121">
        <f>'N1'!AB27+'K1'!AB27</f>
        <v>0</v>
      </c>
      <c r="AC27" s="33">
        <f>'N1'!AC27+'K1'!AC27</f>
        <v>0</v>
      </c>
      <c r="AD27" s="12">
        <f>'N1'!AD27+'K1'!AD27</f>
        <v>28</v>
      </c>
      <c r="AE27" s="39"/>
      <c r="AF27" s="39"/>
      <c r="AG27" s="39"/>
      <c r="AH27" s="39"/>
      <c r="AI27" s="39"/>
      <c r="AJ27" s="39"/>
    </row>
    <row r="28" spans="1:36" x14ac:dyDescent="0.2">
      <c r="A28" s="5">
        <f>DAY(Kalenteri!A24)</f>
        <v>24</v>
      </c>
      <c r="B28" s="3" t="str">
        <f>IF(Kalenteri!B24=1,"su",IF(Kalenteri!B24=2,"ma",IF(Kalenteri!B24=3,"ti",IF(Kalenteri!B24=4,"ke",IF(Kalenteri!B24=5,"to",IF(Kalenteri!B24=6,"pe",IF(Kalenteri!B24=7,"la",)))))))</f>
        <v>to</v>
      </c>
      <c r="C28" s="114">
        <f>'N1'!C28+'K1'!C28</f>
        <v>28</v>
      </c>
      <c r="D28" s="115">
        <f>'N1'!D28+'K1'!D28</f>
        <v>12</v>
      </c>
      <c r="E28" s="115">
        <f>'N1'!E28+'K1'!E28</f>
        <v>0</v>
      </c>
      <c r="F28" s="116">
        <f>'N1'!F28+'K1'!F28</f>
        <v>5</v>
      </c>
      <c r="G28" s="114">
        <f>'N1'!G28+'K1'!G28</f>
        <v>2</v>
      </c>
      <c r="H28" s="116">
        <f>'N1'!H28+'K1'!H28</f>
        <v>26</v>
      </c>
      <c r="I28" s="114">
        <f>'N1'!I28+'K1'!I28</f>
        <v>0</v>
      </c>
      <c r="J28" s="116">
        <f>'N1'!J28+'K1'!J28</f>
        <v>0</v>
      </c>
      <c r="K28" s="33">
        <f>'N1'!K28+'K1'!K28</f>
        <v>73</v>
      </c>
      <c r="L28" s="115">
        <f>'N1'!L28+'K1'!L28</f>
        <v>0</v>
      </c>
      <c r="M28" s="115">
        <f>'N1'!M28+'K1'!M28</f>
        <v>0</v>
      </c>
      <c r="N28" s="115">
        <f>'N1'!N28+'K1'!N28</f>
        <v>0</v>
      </c>
      <c r="O28" s="116">
        <f>'N1'!O28+'K1'!O28</f>
        <v>0</v>
      </c>
      <c r="P28" s="115">
        <f>'N1'!P28+'K1'!P28</f>
        <v>0</v>
      </c>
      <c r="Q28" s="116">
        <f>'N1'!Q28+'K1'!Q28</f>
        <v>0</v>
      </c>
      <c r="R28" s="121">
        <f>'N1'!R28+'K1'!R28</f>
        <v>0</v>
      </c>
      <c r="S28" s="121">
        <f>'N1'!S28+'K1'!S28</f>
        <v>0</v>
      </c>
      <c r="T28" s="33">
        <f>'N1'!T28+'K1'!T28</f>
        <v>0</v>
      </c>
      <c r="U28" s="115">
        <f>'N1'!U28+'K1'!U28</f>
        <v>0</v>
      </c>
      <c r="V28" s="115">
        <f>'N1'!V28+'K1'!V28</f>
        <v>0</v>
      </c>
      <c r="W28" s="115">
        <f>'N1'!W28+'K1'!W28</f>
        <v>0</v>
      </c>
      <c r="X28" s="116">
        <f>'N1'!X28+'K1'!X28</f>
        <v>0</v>
      </c>
      <c r="Y28" s="115">
        <f>'N1'!Y28+'K1'!Y28</f>
        <v>0</v>
      </c>
      <c r="Z28" s="116">
        <f>'N1'!Z28+'K1'!Z28</f>
        <v>0</v>
      </c>
      <c r="AA28" s="121">
        <f>'N1'!AA28+'K1'!AA28</f>
        <v>0</v>
      </c>
      <c r="AB28" s="121">
        <f>'N1'!AB28+'K1'!AB28</f>
        <v>0</v>
      </c>
      <c r="AC28" s="33">
        <f>'N1'!AC28+'K1'!AC28</f>
        <v>0</v>
      </c>
      <c r="AD28" s="12">
        <f>'N1'!AD28+'K1'!AD28</f>
        <v>73</v>
      </c>
      <c r="AE28" s="39"/>
      <c r="AF28" s="39"/>
      <c r="AG28" s="39"/>
      <c r="AH28" s="39"/>
      <c r="AI28" s="39"/>
      <c r="AJ28" s="39"/>
    </row>
    <row r="29" spans="1:36" x14ac:dyDescent="0.2">
      <c r="A29" s="5">
        <f>DAY(Kalenteri!A25)</f>
        <v>25</v>
      </c>
      <c r="B29" s="3" t="str">
        <f>IF(Kalenteri!B25=1,"su",IF(Kalenteri!B25=2,"ma",IF(Kalenteri!B25=3,"ti",IF(Kalenteri!B25=4,"ke",IF(Kalenteri!B25=5,"to",IF(Kalenteri!B25=6,"pe",IF(Kalenteri!B25=7,"la",)))))))</f>
        <v>pe</v>
      </c>
      <c r="C29" s="114">
        <f>'N1'!C29+'K1'!C29</f>
        <v>30</v>
      </c>
      <c r="D29" s="115">
        <f>'N1'!D29+'K1'!D29</f>
        <v>16</v>
      </c>
      <c r="E29" s="115">
        <f>'N1'!E29+'K1'!E29</f>
        <v>0</v>
      </c>
      <c r="F29" s="116">
        <f>'N1'!F29+'K1'!F29</f>
        <v>4</v>
      </c>
      <c r="G29" s="114">
        <f>'N1'!G29+'K1'!G29</f>
        <v>3</v>
      </c>
      <c r="H29" s="116">
        <f>'N1'!H29+'K1'!H29</f>
        <v>30</v>
      </c>
      <c r="I29" s="114">
        <f>'N1'!I29+'K1'!I29</f>
        <v>0</v>
      </c>
      <c r="J29" s="116">
        <f>'N1'!J29+'K1'!J29</f>
        <v>0</v>
      </c>
      <c r="K29" s="33">
        <f>'N1'!K29+'K1'!K29</f>
        <v>83</v>
      </c>
      <c r="L29" s="115">
        <f>'N1'!L29+'K1'!L29</f>
        <v>0</v>
      </c>
      <c r="M29" s="115">
        <f>'N1'!M29+'K1'!M29</f>
        <v>0</v>
      </c>
      <c r="N29" s="115">
        <f>'N1'!N29+'K1'!N29</f>
        <v>0</v>
      </c>
      <c r="O29" s="116">
        <f>'N1'!O29+'K1'!O29</f>
        <v>0</v>
      </c>
      <c r="P29" s="115">
        <f>'N1'!P29+'K1'!P29</f>
        <v>0</v>
      </c>
      <c r="Q29" s="116">
        <f>'N1'!Q29+'K1'!Q29</f>
        <v>0</v>
      </c>
      <c r="R29" s="121">
        <f>'N1'!R29+'K1'!R29</f>
        <v>0</v>
      </c>
      <c r="S29" s="121">
        <f>'N1'!S29+'K1'!S29</f>
        <v>0</v>
      </c>
      <c r="T29" s="33">
        <f>'N1'!T29+'K1'!T29</f>
        <v>0</v>
      </c>
      <c r="U29" s="115">
        <f>'N1'!U29+'K1'!U29</f>
        <v>0</v>
      </c>
      <c r="V29" s="115">
        <f>'N1'!V29+'K1'!V29</f>
        <v>0</v>
      </c>
      <c r="W29" s="115">
        <f>'N1'!W29+'K1'!W29</f>
        <v>0</v>
      </c>
      <c r="X29" s="116">
        <f>'N1'!X29+'K1'!X29</f>
        <v>0</v>
      </c>
      <c r="Y29" s="115">
        <f>'N1'!Y29+'K1'!Y29</f>
        <v>0</v>
      </c>
      <c r="Z29" s="116">
        <f>'N1'!Z29+'K1'!Z29</f>
        <v>0</v>
      </c>
      <c r="AA29" s="121">
        <f>'N1'!AA29+'K1'!AA29</f>
        <v>0</v>
      </c>
      <c r="AB29" s="121">
        <f>'N1'!AB29+'K1'!AB29</f>
        <v>0</v>
      </c>
      <c r="AC29" s="33">
        <f>'N1'!AC29+'K1'!AC29</f>
        <v>0</v>
      </c>
      <c r="AD29" s="12">
        <f>'N1'!AD29+'K1'!AD29</f>
        <v>83</v>
      </c>
      <c r="AE29" s="39"/>
      <c r="AF29" s="39"/>
      <c r="AG29" s="39"/>
      <c r="AH29" s="39"/>
      <c r="AI29" s="39"/>
      <c r="AJ29" s="39"/>
    </row>
    <row r="30" spans="1:36" x14ac:dyDescent="0.2">
      <c r="A30" s="5">
        <f>DAY(Kalenteri!A26)</f>
        <v>26</v>
      </c>
      <c r="B30" s="3" t="str">
        <f>IF(Kalenteri!B26=1,"su",IF(Kalenteri!B26=2,"ma",IF(Kalenteri!B26=3,"ti",IF(Kalenteri!B26=4,"ke",IF(Kalenteri!B26=5,"to",IF(Kalenteri!B26=6,"pe",IF(Kalenteri!B26=7,"la",)))))))</f>
        <v>la</v>
      </c>
      <c r="C30" s="114">
        <f>'N1'!C30+'K1'!C30</f>
        <v>166</v>
      </c>
      <c r="D30" s="115">
        <f>'N1'!D30+'K1'!D30</f>
        <v>161</v>
      </c>
      <c r="E30" s="115">
        <f>'N1'!E30+'K1'!E30</f>
        <v>2</v>
      </c>
      <c r="F30" s="116">
        <f>'N1'!F30+'K1'!F30</f>
        <v>104</v>
      </c>
      <c r="G30" s="114">
        <f>'N1'!G30+'K1'!G30</f>
        <v>6</v>
      </c>
      <c r="H30" s="116">
        <f>'N1'!H30+'K1'!H30</f>
        <v>124</v>
      </c>
      <c r="I30" s="114">
        <f>'N1'!I30+'K1'!I30</f>
        <v>4</v>
      </c>
      <c r="J30" s="116">
        <f>'N1'!J30+'K1'!J30</f>
        <v>6</v>
      </c>
      <c r="K30" s="33">
        <f>'N1'!K30+'K1'!K30</f>
        <v>573</v>
      </c>
      <c r="L30" s="115">
        <f>'N1'!L30+'K1'!L30</f>
        <v>0</v>
      </c>
      <c r="M30" s="115">
        <f>'N1'!M30+'K1'!M30</f>
        <v>0</v>
      </c>
      <c r="N30" s="115">
        <f>'N1'!N30+'K1'!N30</f>
        <v>0</v>
      </c>
      <c r="O30" s="116">
        <f>'N1'!O30+'K1'!O30</f>
        <v>0</v>
      </c>
      <c r="P30" s="115">
        <f>'N1'!P30+'K1'!P30</f>
        <v>0</v>
      </c>
      <c r="Q30" s="116">
        <f>'N1'!Q30+'K1'!Q30</f>
        <v>0</v>
      </c>
      <c r="R30" s="121">
        <f>'N1'!R30+'K1'!R30</f>
        <v>0</v>
      </c>
      <c r="S30" s="121">
        <f>'N1'!S30+'K1'!S30</f>
        <v>0</v>
      </c>
      <c r="T30" s="33">
        <f>'N1'!T30+'K1'!T30</f>
        <v>0</v>
      </c>
      <c r="U30" s="115">
        <f>'N1'!U30+'K1'!U30</f>
        <v>0</v>
      </c>
      <c r="V30" s="115">
        <f>'N1'!V30+'K1'!V30</f>
        <v>0</v>
      </c>
      <c r="W30" s="115">
        <f>'N1'!W30+'K1'!W30</f>
        <v>0</v>
      </c>
      <c r="X30" s="116">
        <f>'N1'!X30+'K1'!X30</f>
        <v>0</v>
      </c>
      <c r="Y30" s="115">
        <f>'N1'!Y30+'K1'!Y30</f>
        <v>0</v>
      </c>
      <c r="Z30" s="116">
        <f>'N1'!Z30+'K1'!Z30</f>
        <v>0</v>
      </c>
      <c r="AA30" s="121">
        <f>'N1'!AA30+'K1'!AA30</f>
        <v>0</v>
      </c>
      <c r="AB30" s="121">
        <f>'N1'!AB30+'K1'!AB30</f>
        <v>0</v>
      </c>
      <c r="AC30" s="33">
        <f>'N1'!AC30+'K1'!AC30</f>
        <v>0</v>
      </c>
      <c r="AD30" s="12">
        <f>'N1'!AD30+'K1'!AD30</f>
        <v>573</v>
      </c>
      <c r="AE30" s="39"/>
      <c r="AF30" s="39"/>
      <c r="AG30" s="39"/>
      <c r="AH30" s="39"/>
      <c r="AI30" s="39"/>
      <c r="AJ30" s="39"/>
    </row>
    <row r="31" spans="1:36" x14ac:dyDescent="0.2">
      <c r="A31" s="5">
        <f>DAY(Kalenteri!A27)</f>
        <v>27</v>
      </c>
      <c r="B31" s="3" t="str">
        <f>IF(Kalenteri!B27=1,"su",IF(Kalenteri!B27=2,"ma",IF(Kalenteri!B27=3,"ti",IF(Kalenteri!B27=4,"ke",IF(Kalenteri!B27=5,"to",IF(Kalenteri!B27=6,"pe",IF(Kalenteri!B27=7,"la",)))))))</f>
        <v>su</v>
      </c>
      <c r="C31" s="114">
        <f>'N1'!C31+'K1'!C31</f>
        <v>94</v>
      </c>
      <c r="D31" s="115">
        <f>'N1'!D31+'K1'!D31</f>
        <v>184</v>
      </c>
      <c r="E31" s="115">
        <f>'N1'!E31+'K1'!E31</f>
        <v>1</v>
      </c>
      <c r="F31" s="116">
        <f>'N1'!F31+'K1'!F31</f>
        <v>108</v>
      </c>
      <c r="G31" s="114">
        <f>'N1'!G31+'K1'!G31</f>
        <v>0</v>
      </c>
      <c r="H31" s="116">
        <f>'N1'!H31+'K1'!H31</f>
        <v>57</v>
      </c>
      <c r="I31" s="114">
        <f>'N1'!I31+'K1'!I31</f>
        <v>0</v>
      </c>
      <c r="J31" s="116">
        <f>'N1'!J31+'K1'!J31</f>
        <v>0</v>
      </c>
      <c r="K31" s="33">
        <f>'N1'!K31+'K1'!K31</f>
        <v>444</v>
      </c>
      <c r="L31" s="115">
        <f>'N1'!L31+'K1'!L31</f>
        <v>0</v>
      </c>
      <c r="M31" s="115">
        <f>'N1'!M31+'K1'!M31</f>
        <v>0</v>
      </c>
      <c r="N31" s="115">
        <f>'N1'!N31+'K1'!N31</f>
        <v>0</v>
      </c>
      <c r="O31" s="116">
        <f>'N1'!O31+'K1'!O31</f>
        <v>0</v>
      </c>
      <c r="P31" s="115">
        <f>'N1'!P31+'K1'!P31</f>
        <v>0</v>
      </c>
      <c r="Q31" s="116">
        <f>'N1'!Q31+'K1'!Q31</f>
        <v>0</v>
      </c>
      <c r="R31" s="121">
        <f>'N1'!R31+'K1'!R31</f>
        <v>0</v>
      </c>
      <c r="S31" s="121">
        <f>'N1'!S31+'K1'!S31</f>
        <v>0</v>
      </c>
      <c r="T31" s="33">
        <f>'N1'!T31+'K1'!T31</f>
        <v>0</v>
      </c>
      <c r="U31" s="115">
        <f>'N1'!U31+'K1'!U31</f>
        <v>0</v>
      </c>
      <c r="V31" s="115">
        <f>'N1'!V31+'K1'!V31</f>
        <v>0</v>
      </c>
      <c r="W31" s="115">
        <f>'N1'!W31+'K1'!W31</f>
        <v>0</v>
      </c>
      <c r="X31" s="116">
        <f>'N1'!X31+'K1'!X31</f>
        <v>0</v>
      </c>
      <c r="Y31" s="115">
        <f>'N1'!Y31+'K1'!Y31</f>
        <v>0</v>
      </c>
      <c r="Z31" s="116">
        <f>'N1'!Z31+'K1'!Z31</f>
        <v>0</v>
      </c>
      <c r="AA31" s="121">
        <f>'N1'!AA31+'K1'!AA31</f>
        <v>0</v>
      </c>
      <c r="AB31" s="121">
        <f>'N1'!AB31+'K1'!AB31</f>
        <v>0</v>
      </c>
      <c r="AC31" s="33">
        <f>'N1'!AC31+'K1'!AC31</f>
        <v>0</v>
      </c>
      <c r="AD31" s="12">
        <f>'N1'!AD31+'K1'!AD31</f>
        <v>444</v>
      </c>
      <c r="AE31" s="39"/>
      <c r="AF31" s="39"/>
      <c r="AG31" s="39"/>
      <c r="AH31" s="39"/>
      <c r="AI31" s="39"/>
      <c r="AJ31" s="39"/>
    </row>
    <row r="32" spans="1:36" x14ac:dyDescent="0.2">
      <c r="A32" s="5">
        <f>DAY(Kalenteri!A28)</f>
        <v>28</v>
      </c>
      <c r="B32" s="3" t="str">
        <f>IF(Kalenteri!B28=1,"su",IF(Kalenteri!B28=2,"ma",IF(Kalenteri!B28=3,"ti",IF(Kalenteri!B28=4,"ke",IF(Kalenteri!B28=5,"to",IF(Kalenteri!B28=6,"pe",IF(Kalenteri!B28=7,"la",)))))))</f>
        <v>ma</v>
      </c>
      <c r="C32" s="114">
        <f>'N1'!C32+'K1'!C32</f>
        <v>12</v>
      </c>
      <c r="D32" s="115">
        <f>'N1'!D32+'K1'!D32</f>
        <v>10</v>
      </c>
      <c r="E32" s="115">
        <f>'N1'!E32+'K1'!E32</f>
        <v>0</v>
      </c>
      <c r="F32" s="116">
        <f>'N1'!F32+'K1'!F32</f>
        <v>7</v>
      </c>
      <c r="G32" s="114">
        <f>'N1'!G32+'K1'!G32</f>
        <v>0</v>
      </c>
      <c r="H32" s="116">
        <f>'N1'!H32+'K1'!H32</f>
        <v>4</v>
      </c>
      <c r="I32" s="114">
        <f>'N1'!I32+'K1'!I32</f>
        <v>0</v>
      </c>
      <c r="J32" s="116">
        <f>'N1'!J32+'K1'!J32</f>
        <v>2</v>
      </c>
      <c r="K32" s="33">
        <f>'N1'!K32+'K1'!K32</f>
        <v>35</v>
      </c>
      <c r="L32" s="115">
        <f>'N1'!L32+'K1'!L32</f>
        <v>0</v>
      </c>
      <c r="M32" s="115">
        <f>'N1'!M32+'K1'!M32</f>
        <v>0</v>
      </c>
      <c r="N32" s="115">
        <f>'N1'!N32+'K1'!N32</f>
        <v>0</v>
      </c>
      <c r="O32" s="116">
        <f>'N1'!O32+'K1'!O32</f>
        <v>0</v>
      </c>
      <c r="P32" s="115">
        <f>'N1'!P32+'K1'!P32</f>
        <v>0</v>
      </c>
      <c r="Q32" s="116">
        <f>'N1'!Q32+'K1'!Q32</f>
        <v>0</v>
      </c>
      <c r="R32" s="121">
        <f>'N1'!R32+'K1'!R32</f>
        <v>0</v>
      </c>
      <c r="S32" s="121">
        <f>'N1'!S32+'K1'!S32</f>
        <v>0</v>
      </c>
      <c r="T32" s="33">
        <f>'N1'!T32+'K1'!T32</f>
        <v>0</v>
      </c>
      <c r="U32" s="115">
        <f>'N1'!U32+'K1'!U32</f>
        <v>0</v>
      </c>
      <c r="V32" s="115">
        <f>'N1'!V32+'K1'!V32</f>
        <v>0</v>
      </c>
      <c r="W32" s="115">
        <f>'N1'!W32+'K1'!W32</f>
        <v>0</v>
      </c>
      <c r="X32" s="116">
        <f>'N1'!X32+'K1'!X32</f>
        <v>0</v>
      </c>
      <c r="Y32" s="115">
        <f>'N1'!Y32+'K1'!Y32</f>
        <v>0</v>
      </c>
      <c r="Z32" s="116">
        <f>'N1'!Z32+'K1'!Z32</f>
        <v>0</v>
      </c>
      <c r="AA32" s="121">
        <f>'N1'!AA32+'K1'!AA32</f>
        <v>0</v>
      </c>
      <c r="AB32" s="121">
        <f>'N1'!AB32+'K1'!AB32</f>
        <v>0</v>
      </c>
      <c r="AC32" s="33">
        <f>'N1'!AC32+'K1'!AC32</f>
        <v>0</v>
      </c>
      <c r="AD32" s="12">
        <f>'N1'!AD32+'K1'!AD32</f>
        <v>35</v>
      </c>
      <c r="AE32" s="39"/>
      <c r="AF32" s="39"/>
      <c r="AG32" s="39"/>
      <c r="AH32" s="39"/>
      <c r="AI32" s="39"/>
      <c r="AJ32" s="39"/>
    </row>
    <row r="33" spans="1:36" x14ac:dyDescent="0.2">
      <c r="A33" s="5">
        <f>DAY(Kalenteri!A29)</f>
        <v>29</v>
      </c>
      <c r="B33" s="3" t="str">
        <f>IF(Kalenteri!B29=1,"su",IF(Kalenteri!B29=2,"ma",IF(Kalenteri!B29=3,"ti",IF(Kalenteri!B29=4,"ke",IF(Kalenteri!B29=5,"to",IF(Kalenteri!B29=6,"pe",IF(Kalenteri!B29=7,"la",)))))))</f>
        <v>ti</v>
      </c>
      <c r="C33" s="114">
        <f>'N1'!C33+'K1'!C33</f>
        <v>17</v>
      </c>
      <c r="D33" s="115">
        <f>'N1'!D33+'K1'!D33</f>
        <v>11</v>
      </c>
      <c r="E33" s="115">
        <f>'N1'!E33+'K1'!E33</f>
        <v>0</v>
      </c>
      <c r="F33" s="116">
        <f>'N1'!F33+'K1'!F33</f>
        <v>8</v>
      </c>
      <c r="G33" s="114">
        <f>'N1'!G33+'K1'!G33</f>
        <v>1</v>
      </c>
      <c r="H33" s="116">
        <f>'N1'!H33+'K1'!H33</f>
        <v>19</v>
      </c>
      <c r="I33" s="114">
        <f>'N1'!I33+'K1'!I33</f>
        <v>0</v>
      </c>
      <c r="J33" s="116">
        <f>'N1'!J33+'K1'!J33</f>
        <v>0</v>
      </c>
      <c r="K33" s="33">
        <f>'N1'!K33+'K1'!K33</f>
        <v>56</v>
      </c>
      <c r="L33" s="115">
        <f>'N1'!L33+'K1'!L33</f>
        <v>0</v>
      </c>
      <c r="M33" s="115">
        <f>'N1'!M33+'K1'!M33</f>
        <v>0</v>
      </c>
      <c r="N33" s="115">
        <f>'N1'!N33+'K1'!N33</f>
        <v>0</v>
      </c>
      <c r="O33" s="116">
        <f>'N1'!O33+'K1'!O33</f>
        <v>0</v>
      </c>
      <c r="P33" s="115">
        <f>'N1'!P33+'K1'!P33</f>
        <v>0</v>
      </c>
      <c r="Q33" s="116">
        <f>'N1'!Q33+'K1'!Q33</f>
        <v>0</v>
      </c>
      <c r="R33" s="121">
        <f>'N1'!R33+'K1'!R33</f>
        <v>0</v>
      </c>
      <c r="S33" s="121">
        <f>'N1'!S33+'K1'!S33</f>
        <v>0</v>
      </c>
      <c r="T33" s="33">
        <f>'N1'!T33+'K1'!T33</f>
        <v>0</v>
      </c>
      <c r="U33" s="115">
        <f>'N1'!U33+'K1'!U33</f>
        <v>0</v>
      </c>
      <c r="V33" s="115">
        <f>'N1'!V33+'K1'!V33</f>
        <v>0</v>
      </c>
      <c r="W33" s="115">
        <f>'N1'!W33+'K1'!W33</f>
        <v>0</v>
      </c>
      <c r="X33" s="116">
        <f>'N1'!X33+'K1'!X33</f>
        <v>0</v>
      </c>
      <c r="Y33" s="115">
        <f>'N1'!Y33+'K1'!Y33</f>
        <v>0</v>
      </c>
      <c r="Z33" s="116">
        <f>'N1'!Z33+'K1'!Z33</f>
        <v>0</v>
      </c>
      <c r="AA33" s="121">
        <f>'N1'!AA33+'K1'!AA33</f>
        <v>0</v>
      </c>
      <c r="AB33" s="121">
        <f>'N1'!AB33+'K1'!AB33</f>
        <v>0</v>
      </c>
      <c r="AC33" s="33">
        <f>'N1'!AC33+'K1'!AC33</f>
        <v>0</v>
      </c>
      <c r="AD33" s="12">
        <f>'N1'!AD33+'K1'!AD33</f>
        <v>56</v>
      </c>
      <c r="AE33" s="39"/>
      <c r="AF33" s="39"/>
      <c r="AG33" s="39"/>
      <c r="AH33" s="39"/>
      <c r="AI33" s="39"/>
      <c r="AJ33" s="39"/>
    </row>
    <row r="34" spans="1:36" x14ac:dyDescent="0.2">
      <c r="A34" s="5">
        <f>DAY(Kalenteri!A30)</f>
        <v>30</v>
      </c>
      <c r="B34" s="3" t="str">
        <f>IF(Kalenteri!B30=1,"su",IF(Kalenteri!B30=2,"ma",IF(Kalenteri!B30=3,"ti",IF(Kalenteri!B30=4,"ke",IF(Kalenteri!B30=5,"to",IF(Kalenteri!B30=6,"pe",IF(Kalenteri!B30=7,"la",)))))))</f>
        <v>ke</v>
      </c>
      <c r="C34" s="114">
        <f>'N1'!C34+'K1'!C34</f>
        <v>17</v>
      </c>
      <c r="D34" s="115">
        <f>'N1'!D34+'K1'!D34</f>
        <v>20</v>
      </c>
      <c r="E34" s="115">
        <f>'N1'!E34+'K1'!E34</f>
        <v>0</v>
      </c>
      <c r="F34" s="116">
        <f>'N1'!F34+'K1'!F34</f>
        <v>16</v>
      </c>
      <c r="G34" s="114">
        <f>'N1'!G34+'K1'!G34</f>
        <v>0</v>
      </c>
      <c r="H34" s="116">
        <f>'N1'!H34+'K1'!H34</f>
        <v>6</v>
      </c>
      <c r="I34" s="114">
        <f>'N1'!I34+'K1'!I34</f>
        <v>0</v>
      </c>
      <c r="J34" s="116">
        <f>'N1'!J34+'K1'!J34</f>
        <v>0</v>
      </c>
      <c r="K34" s="33">
        <f>'N1'!K34+'K1'!K34</f>
        <v>59</v>
      </c>
      <c r="L34" s="115">
        <f>'N1'!L34+'K1'!L34</f>
        <v>0</v>
      </c>
      <c r="M34" s="115">
        <f>'N1'!M34+'K1'!M34</f>
        <v>0</v>
      </c>
      <c r="N34" s="115">
        <f>'N1'!N34+'K1'!N34</f>
        <v>0</v>
      </c>
      <c r="O34" s="116">
        <f>'N1'!O34+'K1'!O34</f>
        <v>0</v>
      </c>
      <c r="P34" s="115">
        <f>'N1'!P34+'K1'!P34</f>
        <v>0</v>
      </c>
      <c r="Q34" s="116">
        <f>'N1'!Q34+'K1'!Q34</f>
        <v>0</v>
      </c>
      <c r="R34" s="121">
        <f>'N1'!R34+'K1'!R34</f>
        <v>0</v>
      </c>
      <c r="S34" s="121">
        <f>'N1'!S34+'K1'!S34</f>
        <v>0</v>
      </c>
      <c r="T34" s="33">
        <f>'N1'!T34+'K1'!T34</f>
        <v>0</v>
      </c>
      <c r="U34" s="115">
        <f>'N1'!U34+'K1'!U34</f>
        <v>0</v>
      </c>
      <c r="V34" s="115">
        <f>'N1'!V34+'K1'!V34</f>
        <v>0</v>
      </c>
      <c r="W34" s="115">
        <f>'N1'!W34+'K1'!W34</f>
        <v>0</v>
      </c>
      <c r="X34" s="116">
        <f>'N1'!X34+'K1'!X34</f>
        <v>0</v>
      </c>
      <c r="Y34" s="115">
        <f>'N1'!Y34+'K1'!Y34</f>
        <v>0</v>
      </c>
      <c r="Z34" s="116">
        <f>'N1'!Z34+'K1'!Z34</f>
        <v>0</v>
      </c>
      <c r="AA34" s="121">
        <f>'N1'!AA34+'K1'!AA34</f>
        <v>0</v>
      </c>
      <c r="AB34" s="121">
        <f>'N1'!AB34+'K1'!AB34</f>
        <v>0</v>
      </c>
      <c r="AC34" s="33">
        <f>'N1'!AC34+'K1'!AC34</f>
        <v>0</v>
      </c>
      <c r="AD34" s="12">
        <f>'N1'!AD34+'K1'!AD34</f>
        <v>59</v>
      </c>
      <c r="AE34" s="39"/>
      <c r="AF34" s="39"/>
      <c r="AG34" s="39"/>
      <c r="AH34" s="39"/>
      <c r="AI34" s="39"/>
      <c r="AJ34" s="39"/>
    </row>
    <row r="35" spans="1:36" x14ac:dyDescent="0.2">
      <c r="A35" s="5">
        <f>DAY(Kalenteri!A31)</f>
        <v>31</v>
      </c>
      <c r="B35" s="3" t="str">
        <f>IF(Kalenteri!B31=1,"su",IF(Kalenteri!B31=2,"ma",IF(Kalenteri!B31=3,"ti",IF(Kalenteri!B31=4,"ke",IF(Kalenteri!B31=5,"to",IF(Kalenteri!B31=6,"pe",IF(Kalenteri!B31=7,"la",)))))))</f>
        <v>to</v>
      </c>
      <c r="C35" s="117">
        <f>'N1'!C35+'K1'!C35</f>
        <v>19</v>
      </c>
      <c r="D35" s="118">
        <f>'N1'!D35+'K1'!D35</f>
        <v>32</v>
      </c>
      <c r="E35" s="118">
        <f>'N1'!E35+'K1'!E35</f>
        <v>2</v>
      </c>
      <c r="F35" s="119">
        <f>'N1'!F35+'K1'!F35</f>
        <v>21</v>
      </c>
      <c r="G35" s="117">
        <f>'N1'!G35+'K1'!G35</f>
        <v>2</v>
      </c>
      <c r="H35" s="119">
        <f>'N1'!H35+'K1'!H35</f>
        <v>29</v>
      </c>
      <c r="I35" s="117">
        <f>'N1'!I35+'K1'!I35</f>
        <v>0</v>
      </c>
      <c r="J35" s="119">
        <f>'N1'!J35+'K1'!J35</f>
        <v>0</v>
      </c>
      <c r="K35" s="34">
        <f>'N1'!K35+'K1'!K35</f>
        <v>105</v>
      </c>
      <c r="L35" s="122">
        <f>'N1'!L35+'K1'!L35</f>
        <v>0</v>
      </c>
      <c r="M35" s="122">
        <f>'N1'!M35+'K1'!M35</f>
        <v>0</v>
      </c>
      <c r="N35" s="122">
        <f>'N1'!N35+'K1'!N35</f>
        <v>0</v>
      </c>
      <c r="O35" s="123">
        <f>'N1'!O35+'K1'!O35</f>
        <v>0</v>
      </c>
      <c r="P35" s="122">
        <f>'N1'!P35+'K1'!P35</f>
        <v>0</v>
      </c>
      <c r="Q35" s="123">
        <f>'N1'!Q35+'K1'!Q35</f>
        <v>0</v>
      </c>
      <c r="R35" s="124">
        <f>'N1'!R35+'K1'!R35</f>
        <v>0</v>
      </c>
      <c r="S35" s="124">
        <f>'N1'!S35+'K1'!S35</f>
        <v>0</v>
      </c>
      <c r="T35" s="34">
        <f>'N1'!T35+'K1'!T35</f>
        <v>0</v>
      </c>
      <c r="U35" s="122">
        <f>'N1'!U35+'K1'!U35</f>
        <v>0</v>
      </c>
      <c r="V35" s="122">
        <f>'N1'!V35+'K1'!V35</f>
        <v>0</v>
      </c>
      <c r="W35" s="122">
        <f>'N1'!W35+'K1'!W35</f>
        <v>0</v>
      </c>
      <c r="X35" s="123">
        <f>'N1'!X35+'K1'!X35</f>
        <v>0</v>
      </c>
      <c r="Y35" s="122">
        <f>'N1'!Y35+'K1'!Y35</f>
        <v>0</v>
      </c>
      <c r="Z35" s="123">
        <f>'N1'!Z35+'K1'!Z35</f>
        <v>0</v>
      </c>
      <c r="AA35" s="124">
        <f>'N1'!AA35+'K1'!AA35</f>
        <v>0</v>
      </c>
      <c r="AB35" s="124">
        <f>'N1'!AB35+'K1'!AB35</f>
        <v>0</v>
      </c>
      <c r="AC35" s="34">
        <f>'N1'!AC35+'K1'!AC35</f>
        <v>0</v>
      </c>
      <c r="AD35" s="19">
        <f>'N1'!AD35+'K1'!AD35</f>
        <v>105</v>
      </c>
      <c r="AE35" s="39"/>
      <c r="AF35" s="39"/>
      <c r="AG35" s="39"/>
      <c r="AH35" s="39"/>
      <c r="AI35" s="39"/>
      <c r="AJ35" s="39"/>
    </row>
    <row r="36" spans="1:36" x14ac:dyDescent="0.2">
      <c r="A36" s="6"/>
      <c r="B36"/>
      <c r="C36" s="82">
        <f>'N1'!C36+'K1'!C36</f>
        <v>3100</v>
      </c>
      <c r="D36" s="83">
        <f>'N1'!D36+'K1'!D36</f>
        <v>1571</v>
      </c>
      <c r="E36" s="83">
        <f>'N1'!E36+'K1'!E36</f>
        <v>65</v>
      </c>
      <c r="F36" s="84">
        <f>'N1'!F36+'K1'!F36</f>
        <v>749</v>
      </c>
      <c r="G36" s="83">
        <f>'N1'!G36+'K1'!G36</f>
        <v>62</v>
      </c>
      <c r="H36" s="84">
        <f>'N1'!H36+'K1'!H36</f>
        <v>1127</v>
      </c>
      <c r="I36" s="83">
        <f>'N1'!I36+'K1'!I36</f>
        <v>18</v>
      </c>
      <c r="J36" s="84">
        <f>'N1'!J36+'K1'!J36</f>
        <v>33</v>
      </c>
      <c r="K36" s="85">
        <f>'N1'!K36+'K1'!K36</f>
        <v>6725</v>
      </c>
      <c r="L36" s="83">
        <f>'N1'!L36+'K1'!L36</f>
        <v>0</v>
      </c>
      <c r="M36" s="83">
        <f>'N1'!M36+'K1'!M36</f>
        <v>2</v>
      </c>
      <c r="N36" s="83">
        <f>'N1'!N36+'K1'!N36</f>
        <v>0</v>
      </c>
      <c r="O36" s="84">
        <f>'N1'!O36+'K1'!O36</f>
        <v>3</v>
      </c>
      <c r="P36" s="83">
        <f>'N1'!P36+'K1'!P36</f>
        <v>0</v>
      </c>
      <c r="Q36" s="84">
        <f>'N1'!Q36+'K1'!Q36</f>
        <v>0</v>
      </c>
      <c r="R36" s="86">
        <f>'N1'!R36+'K1'!R36</f>
        <v>0</v>
      </c>
      <c r="S36" s="86">
        <f>'N1'!S36+'K1'!S36</f>
        <v>0</v>
      </c>
      <c r="T36" s="85">
        <f>'N1'!T36+'K1'!T36</f>
        <v>5</v>
      </c>
      <c r="U36" s="83">
        <f>'N1'!U36+'K1'!U36</f>
        <v>0</v>
      </c>
      <c r="V36" s="83">
        <f>'N1'!V36+'K1'!V36</f>
        <v>0</v>
      </c>
      <c r="W36" s="83">
        <f>'N1'!W36+'K1'!W36</f>
        <v>0</v>
      </c>
      <c r="X36" s="84">
        <f>'N1'!X36+'K1'!X36</f>
        <v>0</v>
      </c>
      <c r="Y36" s="83">
        <f>'N1'!Y36+'K1'!Y36</f>
        <v>0</v>
      </c>
      <c r="Z36" s="84">
        <f>'N1'!Z36+'K1'!Z36</f>
        <v>0</v>
      </c>
      <c r="AA36" s="86">
        <f>'N1'!AA36+'K1'!AA36</f>
        <v>0</v>
      </c>
      <c r="AB36" s="86">
        <f>'N1'!AB36+'K1'!AB36</f>
        <v>0</v>
      </c>
      <c r="AC36" s="85">
        <f>'N1'!AC36+'K1'!AC36</f>
        <v>0</v>
      </c>
      <c r="AD36" s="87">
        <f>'N1'!AD36+'K1'!AD36</f>
        <v>6730</v>
      </c>
      <c r="AE36" s="66"/>
      <c r="AF36" s="66"/>
      <c r="AG36" s="66"/>
      <c r="AH36" s="66"/>
      <c r="AI36" s="66"/>
      <c r="AJ36" s="66"/>
    </row>
    <row r="37" spans="1:36" ht="8.1" customHeight="1" thickBot="1" x14ac:dyDescent="0.25">
      <c r="A37" s="6"/>
      <c r="B37"/>
      <c r="C37" s="2"/>
      <c r="D37" s="5"/>
      <c r="E37" s="5"/>
      <c r="F37" s="2"/>
      <c r="G37" s="2"/>
      <c r="H37" s="2"/>
      <c r="I37" s="5"/>
      <c r="J37" s="2"/>
      <c r="K37" s="2"/>
      <c r="L37" s="5"/>
      <c r="M37" s="2"/>
      <c r="N37" s="5"/>
      <c r="O37" s="5"/>
      <c r="P37" s="2"/>
      <c r="Q37" s="5"/>
      <c r="R37" s="42"/>
      <c r="S37" s="42"/>
      <c r="T37" s="2"/>
      <c r="U37" s="2"/>
      <c r="V37" s="2"/>
      <c r="W37" s="2"/>
      <c r="X37" s="5"/>
      <c r="Y37" s="2"/>
      <c r="Z37" s="2"/>
      <c r="AA37" s="39"/>
      <c r="AB37" s="39"/>
      <c r="AC37" s="5"/>
      <c r="AD37" s="40"/>
      <c r="AE37" s="40"/>
      <c r="AF37" s="40"/>
      <c r="AG37" s="40"/>
      <c r="AH37" s="40"/>
      <c r="AI37" s="40"/>
      <c r="AJ37" s="40"/>
    </row>
    <row r="38" spans="1:36" ht="24.95" customHeight="1" thickTop="1" x14ac:dyDescent="0.3">
      <c r="A38" s="6"/>
      <c r="B38"/>
      <c r="C38" s="171" t="str">
        <f>Kalenteri!E38</f>
        <v>Lippujen hinnat:</v>
      </c>
      <c r="D38" s="5"/>
      <c r="E38" s="5"/>
      <c r="F38" s="2"/>
      <c r="G38" s="2"/>
      <c r="H38" s="2"/>
      <c r="I38" s="5"/>
      <c r="J38" s="2"/>
      <c r="K38" s="2"/>
      <c r="L38" s="5"/>
      <c r="M38" s="2"/>
      <c r="N38" s="5"/>
      <c r="O38" s="5"/>
      <c r="P38" s="2"/>
      <c r="Q38"/>
      <c r="R38"/>
      <c r="S38"/>
      <c r="T38"/>
      <c r="U38" s="49" t="s">
        <v>12</v>
      </c>
      <c r="V38" s="50"/>
      <c r="W38" s="43"/>
      <c r="X38" s="44"/>
      <c r="Y38" s="43"/>
      <c r="Z38" s="43"/>
      <c r="AA38" s="44"/>
      <c r="AB38" s="44"/>
      <c r="AC38" s="47"/>
      <c r="AD38" s="45">
        <f>'N1'!AD38+'K1'!AD38</f>
        <v>6730</v>
      </c>
      <c r="AE38" s="41"/>
      <c r="AF38" s="41"/>
      <c r="AG38" s="41"/>
      <c r="AH38" s="41"/>
      <c r="AI38" s="41"/>
      <c r="AJ38" s="41"/>
    </row>
    <row r="39" spans="1:36" ht="24.95" customHeight="1" x14ac:dyDescent="0.3">
      <c r="A39" s="6"/>
      <c r="B39"/>
      <c r="C39" s="193" t="str">
        <f>Kalenteri!E39</f>
        <v>Mustikkamaan kautta: 1.9.-30.4. aik. 10 €, lapset 5 €, kimppalippu 30 €    1.5.-30.8. aik. 12 €, lapset 6 €, kimppalippu 36 €</v>
      </c>
      <c r="D39" s="89"/>
      <c r="E39" s="89"/>
      <c r="F39" s="90"/>
      <c r="G39" s="102"/>
      <c r="H39" s="174"/>
      <c r="I39" s="89"/>
      <c r="J39" s="90"/>
      <c r="K39" s="90"/>
      <c r="L39" s="89"/>
      <c r="M39" s="90"/>
      <c r="N39" s="89"/>
      <c r="O39" s="89"/>
      <c r="P39" s="90"/>
      <c r="Q39" s="104"/>
      <c r="R39" s="103"/>
      <c r="S39"/>
      <c r="T39"/>
      <c r="U39" s="62" t="s">
        <v>13</v>
      </c>
      <c r="V39" s="52"/>
      <c r="W39" s="53"/>
      <c r="X39" s="54"/>
      <c r="Y39" s="53"/>
      <c r="Z39" s="53"/>
      <c r="AA39" s="54"/>
      <c r="AB39" s="54"/>
      <c r="AC39" s="55"/>
      <c r="AD39" s="56">
        <f>'N1'!AD39+'K1'!AD39</f>
        <v>988</v>
      </c>
      <c r="AE39" s="67"/>
      <c r="AF39" s="67"/>
      <c r="AG39" s="67"/>
      <c r="AH39" s="67"/>
      <c r="AI39" s="67"/>
      <c r="AJ39" s="67"/>
    </row>
    <row r="40" spans="1:36" ht="24.95" customHeight="1" x14ac:dyDescent="0.3">
      <c r="A40" s="6"/>
      <c r="B40" s="6"/>
      <c r="C40" s="194" t="str">
        <f>Kalenteri!E40</f>
        <v xml:space="preserve">                                    Vuosikortti:     aik. 50 €, lapset 20 €, perhekortti 100 €</v>
      </c>
      <c r="D40" s="39"/>
      <c r="E40" s="39"/>
      <c r="F40" s="42"/>
      <c r="G40" s="65"/>
      <c r="H40" s="176"/>
      <c r="I40" s="39"/>
      <c r="J40" s="42"/>
      <c r="K40" s="42"/>
      <c r="L40" s="39"/>
      <c r="M40" s="42"/>
      <c r="N40" s="39"/>
      <c r="O40" s="39"/>
      <c r="P40" s="39"/>
      <c r="Q40" s="23"/>
      <c r="R40" s="97"/>
      <c r="S40"/>
      <c r="T40"/>
      <c r="U40" s="63" t="s">
        <v>14</v>
      </c>
      <c r="V40" s="37"/>
      <c r="W40" s="51"/>
      <c r="X40" s="41"/>
      <c r="Y40" s="51"/>
      <c r="Z40" s="41"/>
      <c r="AA40" s="41"/>
      <c r="AB40" s="41"/>
      <c r="AC40" s="48"/>
      <c r="AD40" s="46">
        <f>'N1'!AD40+'K1'!AD40</f>
        <v>6730</v>
      </c>
      <c r="AE40" s="41"/>
      <c r="AF40" s="41"/>
      <c r="AG40" s="41"/>
      <c r="AH40" s="41"/>
      <c r="AI40" s="41"/>
      <c r="AJ40" s="41"/>
    </row>
    <row r="41" spans="1:36" ht="24.95" customHeight="1" thickBot="1" x14ac:dyDescent="0.35">
      <c r="A41" s="4"/>
      <c r="B41" s="4"/>
      <c r="C41" s="195" t="str">
        <f>Kalenteri!E41</f>
        <v>Vesibusseilla:             1.9.-30.4. aik. 16 €, lapset 8 €, kimppalippu 47 €    1.5.-31.8. aik. 18 €, lapset 9 €, kimppalippu 53 €</v>
      </c>
      <c r="D41" s="93"/>
      <c r="E41" s="93"/>
      <c r="F41" s="94"/>
      <c r="G41" s="94"/>
      <c r="H41" s="175"/>
      <c r="I41" s="93"/>
      <c r="J41" s="96"/>
      <c r="K41" s="96"/>
      <c r="L41" s="93"/>
      <c r="M41" s="95"/>
      <c r="N41" s="95"/>
      <c r="O41" s="93"/>
      <c r="P41" s="95"/>
      <c r="Q41" s="95"/>
      <c r="R41" s="98"/>
      <c r="S41"/>
      <c r="T41"/>
      <c r="U41" s="64" t="s">
        <v>13</v>
      </c>
      <c r="V41" s="57"/>
      <c r="W41" s="58"/>
      <c r="X41" s="59"/>
      <c r="Y41" s="59"/>
      <c r="Z41" s="59"/>
      <c r="AA41" s="59"/>
      <c r="AB41" s="59"/>
      <c r="AC41" s="60"/>
      <c r="AD41" s="61">
        <f>'N1'!AD41+'K1'!AD41</f>
        <v>988</v>
      </c>
      <c r="AE41" s="68"/>
      <c r="AF41" s="68"/>
      <c r="AG41" s="68"/>
      <c r="AH41" s="68"/>
      <c r="AI41" s="68"/>
      <c r="AJ41" s="68"/>
    </row>
    <row r="42" spans="1:36" ht="13.5" thickTop="1" x14ac:dyDescent="0.2"/>
  </sheetData>
  <sheetProtection password="C4AC" sheet="1" objects="1" scenarios="1"/>
  <phoneticPr fontId="4" type="noConversion"/>
  <pageMargins left="0" right="0" top="0.27559055118110237" bottom="0" header="0" footer="0"/>
  <pageSetup paperSize="9" scale="75" fitToHeight="0" orientation="landscape" horizontalDpi="4294967292" verticalDpi="4294967292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6385" r:id="rId4" name="Button 1">
              <controlPr defaultSize="0" print="0" autoFill="0" autoLine="0" autoPict="0" macro="[1]!TAMMI">
                <anchor moveWithCells="1" sizeWithCells="1">
                  <from>
                    <xdr:col>35</xdr:col>
                    <xdr:colOff>0</xdr:colOff>
                    <xdr:row>3</xdr:row>
                    <xdr:rowOff>9525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6" r:id="rId5" name="Button 2">
              <controlPr defaultSize="0" print="0" autoFill="0" autoLine="0" autoPict="0" macro="[1]KTMAKRO!$A$1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7" r:id="rId6" name="Button 3">
              <controlPr defaultSize="0" print="0" autoFill="0" autoLine="0" autoPict="0" macro="[1]!MAALIS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8" r:id="rId7" name="Button 4">
              <controlPr defaultSize="0" print="0" autoFill="0" autoLine="0" autoPict="0" macro="[1]KTMAKRO!$D$1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9" r:id="rId8" name="Button 5">
              <controlPr defaultSize="0" print="0" autoFill="0" autoLine="0" autoPict="0" macro="[1]KTMAKRO!$E$1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0" r:id="rId9" name="Button 6">
              <controlPr defaultSize="0" print="0" autoFill="0" autoLine="0" autoPict="0" macro="[1]!KESÄ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1" r:id="rId10" name="Button 7">
              <controlPr defaultSize="0" print="0" autoFill="0" autoLine="0" autoPict="0" macro="[1]!HELMI">
                <anchor moveWithCells="1" sizeWithCells="1">
                  <from>
                    <xdr:col>35</xdr:col>
                    <xdr:colOff>0</xdr:colOff>
                    <xdr:row>3</xdr:row>
                    <xdr:rowOff>9525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2" r:id="rId11" name="Button 8">
              <controlPr defaultSize="0" print="0" autoFill="0" autoLine="0" autoPict="0" macro="[1]KTMAKRO!$G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3" r:id="rId12" name="Button 9">
              <controlPr defaultSize="0" print="0" autoFill="0" autoLine="0" autoPict="0" macro="[1]KTMAKRO!$I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4" r:id="rId13" name="Button 10">
              <controlPr defaultSize="0" print="0" autoFill="0" autoLine="0" autoPict="0" macro="[1]KTMAKRO!$J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5" r:id="rId14" name="Button 11">
              <controlPr defaultSize="0" print="0" autoFill="0" autoLine="0" autoPict="0" macro="[1]KTMAKRO!$K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6" r:id="rId15" name="Button 12">
              <controlPr defaultSize="0" print="0" autoFill="0" autoLine="0" autoPict="0" macro="[1]KTMAKRO!$L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7" r:id="rId16" name="Button 13">
              <controlPr defaultSize="0" print="0" autoFill="0" autoLine="0" autoPict="0" macro="[1]KTMAKRO!$H$1">
                <anchor moveWithCells="1" sizeWithCells="1">
                  <from>
                    <xdr:col>35</xdr:col>
                    <xdr:colOff>0</xdr:colOff>
                    <xdr:row>5</xdr:row>
                    <xdr:rowOff>0</xdr:rowOff>
                  </from>
                  <to>
                    <xdr:col>35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8" r:id="rId17" name="Button 14">
              <controlPr defaultSize="0" print="0" autoFill="0" autoLine="0" autoPict="0" macro="[1]!Yhteenveto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5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9" r:id="rId18" name="Button 15">
              <controlPr defaultSize="0" print="0" autoFill="0" autoLine="0" autoPict="0" macro="[1]!GRAFIIKKA1">
                <anchor moveWithCells="1" sizeWithCells="1">
                  <from>
                    <xdr:col>35</xdr:col>
                    <xdr:colOff>0</xdr:colOff>
                    <xdr:row>8</xdr:row>
                    <xdr:rowOff>142875</xdr:rowOff>
                  </from>
                  <to>
                    <xdr:col>35</xdr:col>
                    <xdr:colOff>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0" r:id="rId19" name="Button 16">
              <controlPr defaultSize="0" print="0" autoFill="0" autoLine="0" autoPict="0" macro="[1]!Grafiikka2">
                <anchor moveWithCells="1" sizeWithCells="1">
                  <from>
                    <xdr:col>35</xdr:col>
                    <xdr:colOff>0</xdr:colOff>
                    <xdr:row>8</xdr:row>
                    <xdr:rowOff>152400</xdr:rowOff>
                  </from>
                  <to>
                    <xdr:col>35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1" r:id="rId20" name="Button 17">
              <controlPr defaultSize="0" print="0" autoFill="0" autoLine="0" autoPict="0" macro="[1]!Grafiikka4">
                <anchor moveWithCells="1" sizeWithCells="1">
                  <from>
                    <xdr:col>35</xdr:col>
                    <xdr:colOff>0</xdr:colOff>
                    <xdr:row>8</xdr:row>
                    <xdr:rowOff>142875</xdr:rowOff>
                  </from>
                  <to>
                    <xdr:col>35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2" r:id="rId21" name="Button 18">
              <controlPr defaultSize="0" print="0" autoFill="0" autoLine="0" autoPict="0" macro="[1]!Grafiikka4">
                <anchor moveWithCells="1" sizeWithCells="1">
                  <from>
                    <xdr:col>35</xdr:col>
                    <xdr:colOff>0</xdr:colOff>
                    <xdr:row>8</xdr:row>
                    <xdr:rowOff>152400</xdr:rowOff>
                  </from>
                  <to>
                    <xdr:col>35</xdr:col>
                    <xdr:colOff>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3" r:id="rId22" name="Button 19">
              <controlPr defaultSize="0" print="0" autoFill="0" autoLine="0" autoPict="0" macro="[1]!Grafiikka5">
                <anchor moveWithCells="1" sizeWithCells="1">
                  <from>
                    <xdr:col>35</xdr:col>
                    <xdr:colOff>0</xdr:colOff>
                    <xdr:row>8</xdr:row>
                    <xdr:rowOff>152400</xdr:rowOff>
                  </from>
                  <to>
                    <xdr:col>35</xdr:col>
                    <xdr:colOff>0</xdr:colOff>
                    <xdr:row>12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4" r:id="rId23" name="Button 20">
              <controlPr defaultSize="0" print="0" autoFill="0" autoLine="0" autoPict="0" macro="[1]!Perusikkuna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12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/>
  <dimension ref="A1:AJ42"/>
  <sheetViews>
    <sheetView showGridLines="0" zoomScale="75" workbookViewId="0"/>
  </sheetViews>
  <sheetFormatPr defaultColWidth="9.75" defaultRowHeight="12.75" x14ac:dyDescent="0.2"/>
  <cols>
    <col min="1" max="1" width="3.75" style="1" customWidth="1"/>
    <col min="2" max="2" width="2.75" style="1" customWidth="1"/>
    <col min="3" max="4" width="6.125" style="1" customWidth="1"/>
    <col min="5" max="5" width="4" style="1" customWidth="1"/>
    <col min="6" max="6" width="4.5" style="1" customWidth="1"/>
    <col min="7" max="10" width="6.125" style="1" customWidth="1"/>
    <col min="11" max="11" width="5.875" style="1" customWidth="1"/>
    <col min="12" max="13" width="6.125" style="1" customWidth="1"/>
    <col min="14" max="14" width="5.25" style="1" customWidth="1"/>
    <col min="15" max="15" width="4.5" style="1" customWidth="1"/>
    <col min="16" max="16" width="6.125" style="1" customWidth="1"/>
    <col min="17" max="17" width="5.5" style="1" customWidth="1"/>
    <col min="18" max="19" width="6.125" style="1" customWidth="1"/>
    <col min="20" max="20" width="5.875" style="1" customWidth="1"/>
    <col min="21" max="22" width="6.125" style="1" customWidth="1"/>
    <col min="23" max="23" width="4.375" style="1" customWidth="1"/>
    <col min="24" max="24" width="4.25" style="1" customWidth="1"/>
    <col min="25" max="29" width="6.125" style="1" customWidth="1"/>
    <col min="30" max="36" width="15.625" style="1" customWidth="1"/>
  </cols>
  <sheetData>
    <row r="1" spans="1:36" ht="30" customHeight="1" x14ac:dyDescent="0.35">
      <c r="A1" s="22"/>
      <c r="B1" s="4"/>
      <c r="C1" s="105" t="s">
        <v>15</v>
      </c>
      <c r="D1" s="106"/>
      <c r="E1" s="106"/>
      <c r="F1" s="106"/>
      <c r="G1" s="106"/>
      <c r="H1" s="106"/>
      <c r="I1" s="106"/>
      <c r="J1" s="106"/>
      <c r="K1" s="106"/>
      <c r="L1" s="105" t="str">
        <f>Kalenteri!$H$1</f>
        <v>KÄVIJÄTILASTO 2013</v>
      </c>
      <c r="M1" s="107"/>
      <c r="N1" s="107"/>
      <c r="O1" s="107"/>
      <c r="P1" s="106"/>
      <c r="Q1" s="106"/>
      <c r="R1" s="105" t="s">
        <v>63</v>
      </c>
      <c r="S1" s="108"/>
      <c r="T1" s="106"/>
      <c r="U1" s="109"/>
      <c r="V1" s="105" t="s">
        <v>42</v>
      </c>
      <c r="W1" s="109"/>
      <c r="X1" s="106"/>
      <c r="Y1" s="106"/>
      <c r="Z1" s="106"/>
      <c r="AA1" s="106"/>
      <c r="AB1" s="106"/>
      <c r="AC1" s="106"/>
      <c r="AD1" s="110"/>
      <c r="AE1" s="4"/>
      <c r="AF1" s="4"/>
      <c r="AG1" s="4"/>
      <c r="AH1" s="4"/>
      <c r="AI1" s="4"/>
      <c r="AJ1" s="4"/>
    </row>
    <row r="2" spans="1:36" ht="30" customHeight="1" x14ac:dyDescent="0.3">
      <c r="A2" s="3"/>
      <c r="B2" s="4"/>
      <c r="C2" s="72"/>
      <c r="D2" s="73"/>
      <c r="E2" s="74" t="s">
        <v>1</v>
      </c>
      <c r="F2" s="75"/>
      <c r="G2" s="75"/>
      <c r="H2" s="75"/>
      <c r="I2" s="75"/>
      <c r="J2" s="75"/>
      <c r="K2" s="76"/>
      <c r="L2" s="72"/>
      <c r="M2" s="77"/>
      <c r="N2" s="73"/>
      <c r="O2" s="74" t="s">
        <v>2</v>
      </c>
      <c r="P2" s="75"/>
      <c r="Q2" s="75"/>
      <c r="R2" s="75"/>
      <c r="S2" s="75"/>
      <c r="T2" s="76"/>
      <c r="U2" s="72"/>
      <c r="V2" s="75"/>
      <c r="W2" s="73"/>
      <c r="X2" s="74" t="s">
        <v>3</v>
      </c>
      <c r="Y2" s="75"/>
      <c r="Z2" s="75"/>
      <c r="AA2" s="75"/>
      <c r="AB2" s="75"/>
      <c r="AC2" s="76"/>
      <c r="AD2" s="13"/>
      <c r="AE2" s="35"/>
      <c r="AF2" s="69"/>
      <c r="AG2" s="69"/>
      <c r="AH2" s="69"/>
      <c r="AI2" s="69"/>
      <c r="AJ2" s="69"/>
    </row>
    <row r="3" spans="1:36" x14ac:dyDescent="0.2">
      <c r="A3" s="4"/>
      <c r="B3" s="4"/>
      <c r="C3" s="24" t="s">
        <v>4</v>
      </c>
      <c r="D3" s="25"/>
      <c r="E3" s="25"/>
      <c r="F3" s="26"/>
      <c r="G3" s="24" t="s">
        <v>5</v>
      </c>
      <c r="H3" s="26"/>
      <c r="I3" s="25" t="s">
        <v>6</v>
      </c>
      <c r="J3" s="25"/>
      <c r="K3" s="27"/>
      <c r="L3" s="24" t="s">
        <v>4</v>
      </c>
      <c r="M3" s="25"/>
      <c r="N3" s="25"/>
      <c r="O3" s="26"/>
      <c r="P3" s="24" t="s">
        <v>5</v>
      </c>
      <c r="Q3" s="26"/>
      <c r="R3" s="25" t="s">
        <v>6</v>
      </c>
      <c r="S3" s="25"/>
      <c r="T3" s="27"/>
      <c r="U3" s="24" t="s">
        <v>4</v>
      </c>
      <c r="V3" s="25"/>
      <c r="W3" s="25"/>
      <c r="X3" s="26"/>
      <c r="Y3" s="24" t="s">
        <v>5</v>
      </c>
      <c r="Z3" s="26"/>
      <c r="AA3" s="25" t="s">
        <v>6</v>
      </c>
      <c r="AB3" s="25"/>
      <c r="AC3" s="27"/>
      <c r="AD3" s="36" t="s">
        <v>7</v>
      </c>
      <c r="AE3" s="38"/>
      <c r="AF3" s="70"/>
      <c r="AG3" s="70"/>
      <c r="AH3" s="70"/>
      <c r="AI3" s="70"/>
      <c r="AJ3"/>
    </row>
    <row r="4" spans="1:36" x14ac:dyDescent="0.2">
      <c r="A4" s="6"/>
      <c r="B4" s="4"/>
      <c r="C4" s="7" t="s">
        <v>8</v>
      </c>
      <c r="D4" s="8" t="s">
        <v>9</v>
      </c>
      <c r="E4" s="8" t="s">
        <v>10</v>
      </c>
      <c r="F4" s="9" t="s">
        <v>11</v>
      </c>
      <c r="G4" s="7" t="s">
        <v>8</v>
      </c>
      <c r="H4" s="9" t="s">
        <v>9</v>
      </c>
      <c r="I4" s="8" t="s">
        <v>8</v>
      </c>
      <c r="J4" s="8" t="s">
        <v>9</v>
      </c>
      <c r="K4" s="14" t="s">
        <v>0</v>
      </c>
      <c r="L4" s="7" t="s">
        <v>8</v>
      </c>
      <c r="M4" s="8" t="s">
        <v>9</v>
      </c>
      <c r="N4" s="8" t="s">
        <v>10</v>
      </c>
      <c r="O4" s="9" t="s">
        <v>11</v>
      </c>
      <c r="P4" s="7" t="s">
        <v>8</v>
      </c>
      <c r="Q4" s="9" t="s">
        <v>9</v>
      </c>
      <c r="R4" s="8" t="s">
        <v>8</v>
      </c>
      <c r="S4" s="8" t="s">
        <v>9</v>
      </c>
      <c r="T4" s="14" t="s">
        <v>0</v>
      </c>
      <c r="U4" s="7" t="s">
        <v>8</v>
      </c>
      <c r="V4" s="8" t="s">
        <v>9</v>
      </c>
      <c r="W4" s="8" t="s">
        <v>10</v>
      </c>
      <c r="X4" s="9" t="s">
        <v>11</v>
      </c>
      <c r="Y4" s="7" t="s">
        <v>8</v>
      </c>
      <c r="Z4" s="9" t="s">
        <v>9</v>
      </c>
      <c r="AA4" s="8" t="s">
        <v>8</v>
      </c>
      <c r="AB4" s="8" t="s">
        <v>9</v>
      </c>
      <c r="AC4" s="14" t="s">
        <v>0</v>
      </c>
      <c r="AD4" s="28"/>
      <c r="AE4" s="23"/>
      <c r="AF4" s="23"/>
      <c r="AG4" s="23"/>
      <c r="AH4" s="23"/>
      <c r="AI4" s="23"/>
      <c r="AJ4"/>
    </row>
    <row r="5" spans="1:36" x14ac:dyDescent="0.2">
      <c r="A5" s="5">
        <f>DAY(Kalenteri!A32)</f>
        <v>1</v>
      </c>
      <c r="B5" s="3" t="str">
        <f>IF(Kalenteri!B32=1,"su",IF(Kalenteri!B32=2,"ma",IF(Kalenteri!B32=3,"ti",IF(Kalenteri!B32=4,"ke",IF(Kalenteri!B32=5,"to",IF(Kalenteri!B32=6,"pe",IF(Kalenteri!B32=7,"la",)))))))</f>
        <v>pe</v>
      </c>
      <c r="C5" s="111">
        <f>'N2'!C5+'K2'!C5</f>
        <v>25</v>
      </c>
      <c r="D5" s="112">
        <f>'N2'!D5+'K2'!D5</f>
        <v>1</v>
      </c>
      <c r="E5" s="112">
        <f>'N2'!E5+'K2'!E5</f>
        <v>0</v>
      </c>
      <c r="F5" s="113">
        <f>'N2'!F5+'K2'!F5</f>
        <v>1</v>
      </c>
      <c r="G5" s="111">
        <f>'N2'!G5+'K2'!G5</f>
        <v>1</v>
      </c>
      <c r="H5" s="113">
        <f>'N2'!H5+'K2'!H5</f>
        <v>16</v>
      </c>
      <c r="I5" s="111">
        <f>'N2'!I5+'K2'!I5</f>
        <v>0</v>
      </c>
      <c r="J5" s="113">
        <f>'N2'!J5+'K2'!J5</f>
        <v>0</v>
      </c>
      <c r="K5" s="32">
        <f>'N2'!K5+'K2'!K5</f>
        <v>44</v>
      </c>
      <c r="L5" s="112">
        <f>'N2'!L5+'K2'!L5</f>
        <v>0</v>
      </c>
      <c r="M5" s="112">
        <f>'N2'!M5+'K2'!M5</f>
        <v>0</v>
      </c>
      <c r="N5" s="112">
        <f>'N2'!N5+'K2'!N5</f>
        <v>0</v>
      </c>
      <c r="O5" s="113">
        <f>'N2'!O5+'K2'!O5</f>
        <v>0</v>
      </c>
      <c r="P5" s="112">
        <f>'N2'!P5+'K2'!P5</f>
        <v>0</v>
      </c>
      <c r="Q5" s="113">
        <f>'N2'!Q5+'K2'!Q5</f>
        <v>0</v>
      </c>
      <c r="R5" s="120">
        <f>'N2'!R5+'K2'!R5</f>
        <v>0</v>
      </c>
      <c r="S5" s="120">
        <f>'N2'!S5+'K2'!S5</f>
        <v>0</v>
      </c>
      <c r="T5" s="32">
        <f>'N2'!T5+'K2'!T5</f>
        <v>0</v>
      </c>
      <c r="U5" s="112">
        <f>'N2'!U5+'K2'!U5</f>
        <v>0</v>
      </c>
      <c r="V5" s="112">
        <f>'N2'!V5+'K2'!V5</f>
        <v>0</v>
      </c>
      <c r="W5" s="112">
        <f>'N2'!W5+'K2'!W5</f>
        <v>0</v>
      </c>
      <c r="X5" s="113">
        <f>'N2'!X5+'K2'!X5</f>
        <v>0</v>
      </c>
      <c r="Y5" s="112">
        <f>'N2'!Y5+'K2'!Y5</f>
        <v>0</v>
      </c>
      <c r="Z5" s="113">
        <f>'N2'!Z5+'K2'!Z5</f>
        <v>0</v>
      </c>
      <c r="AA5" s="120">
        <f>'N2'!AA5+'K2'!AA5</f>
        <v>0</v>
      </c>
      <c r="AB5" s="120">
        <f>'N2'!AB5+'K2'!AB5</f>
        <v>0</v>
      </c>
      <c r="AC5" s="32">
        <f>'N2'!AC5+'K2'!AC5</f>
        <v>0</v>
      </c>
      <c r="AD5" s="17">
        <f>'N2'!AD5+'K2'!AD5</f>
        <v>44</v>
      </c>
      <c r="AE5" s="39"/>
      <c r="AF5" s="39"/>
      <c r="AG5" s="39"/>
      <c r="AH5" s="39"/>
      <c r="AI5" s="39"/>
      <c r="AJ5"/>
    </row>
    <row r="6" spans="1:36" x14ac:dyDescent="0.2">
      <c r="A6" s="5">
        <f>DAY(Kalenteri!A33)</f>
        <v>2</v>
      </c>
      <c r="B6" s="3" t="str">
        <f>IF(Kalenteri!B33=1,"su",IF(Kalenteri!B33=2,"ma",IF(Kalenteri!B33=3,"ti",IF(Kalenteri!B33=4,"ke",IF(Kalenteri!B33=5,"to",IF(Kalenteri!B33=6,"pe",IF(Kalenteri!B33=7,"la",)))))))</f>
        <v>la</v>
      </c>
      <c r="C6" s="114">
        <f>'N2'!C6+'K2'!C6</f>
        <v>615</v>
      </c>
      <c r="D6" s="115">
        <f>'N2'!D6+'K2'!D6</f>
        <v>104</v>
      </c>
      <c r="E6" s="115">
        <f>'N2'!E6+'K2'!E6</f>
        <v>8</v>
      </c>
      <c r="F6" s="116">
        <f>'N2'!F6+'K2'!F6</f>
        <v>79</v>
      </c>
      <c r="G6" s="114">
        <f>'N2'!G6+'K2'!G6</f>
        <v>9</v>
      </c>
      <c r="H6" s="116">
        <f>'N2'!H6+'K2'!H6</f>
        <v>119</v>
      </c>
      <c r="I6" s="114">
        <f>'N2'!I6+'K2'!I6</f>
        <v>16</v>
      </c>
      <c r="J6" s="116">
        <f>'N2'!J6+'K2'!J6</f>
        <v>24</v>
      </c>
      <c r="K6" s="33">
        <f>'N2'!K6+'K2'!K6</f>
        <v>974</v>
      </c>
      <c r="L6" s="115">
        <f>'N2'!L6+'K2'!L6</f>
        <v>0</v>
      </c>
      <c r="M6" s="115">
        <f>'N2'!M6+'K2'!M6</f>
        <v>0</v>
      </c>
      <c r="N6" s="115">
        <f>'N2'!N6+'K2'!N6</f>
        <v>0</v>
      </c>
      <c r="O6" s="116">
        <f>'N2'!O6+'K2'!O6</f>
        <v>0</v>
      </c>
      <c r="P6" s="115">
        <f>'N2'!P6+'K2'!P6</f>
        <v>0</v>
      </c>
      <c r="Q6" s="116">
        <f>'N2'!Q6+'K2'!Q6</f>
        <v>0</v>
      </c>
      <c r="R6" s="121">
        <f>'N2'!R6+'K2'!R6</f>
        <v>0</v>
      </c>
      <c r="S6" s="121">
        <f>'N2'!S6+'K2'!S6</f>
        <v>0</v>
      </c>
      <c r="T6" s="33">
        <f>'N2'!T6+'K2'!T6</f>
        <v>0</v>
      </c>
      <c r="U6" s="115">
        <f>'N2'!U6+'K2'!U6</f>
        <v>0</v>
      </c>
      <c r="V6" s="115">
        <f>'N2'!V6+'K2'!V6</f>
        <v>0</v>
      </c>
      <c r="W6" s="115">
        <f>'N2'!W6+'K2'!W6</f>
        <v>0</v>
      </c>
      <c r="X6" s="116">
        <f>'N2'!X6+'K2'!X6</f>
        <v>0</v>
      </c>
      <c r="Y6" s="115">
        <f>'N2'!Y6+'K2'!Y6</f>
        <v>0</v>
      </c>
      <c r="Z6" s="116">
        <f>'N2'!Z6+'K2'!Z6</f>
        <v>0</v>
      </c>
      <c r="AA6" s="121">
        <f>'N2'!AA6+'K2'!AA6</f>
        <v>0</v>
      </c>
      <c r="AB6" s="121">
        <f>'N2'!AB6+'K2'!AB6</f>
        <v>0</v>
      </c>
      <c r="AC6" s="33">
        <f>'N2'!AC6+'K2'!AC6</f>
        <v>0</v>
      </c>
      <c r="AD6" s="12">
        <f>'N2'!AD6+'K2'!AD6</f>
        <v>974</v>
      </c>
      <c r="AE6" s="39"/>
      <c r="AF6" s="39"/>
      <c r="AG6" s="39"/>
      <c r="AH6" s="39"/>
      <c r="AI6" s="39"/>
      <c r="AJ6"/>
    </row>
    <row r="7" spans="1:36" x14ac:dyDescent="0.2">
      <c r="A7" s="5">
        <f>DAY(Kalenteri!A34)</f>
        <v>3</v>
      </c>
      <c r="B7" s="3" t="str">
        <f>IF(Kalenteri!B34=1,"su",IF(Kalenteri!B34=2,"ma",IF(Kalenteri!B34=3,"ti",IF(Kalenteri!B34=4,"ke",IF(Kalenteri!B34=5,"to",IF(Kalenteri!B34=6,"pe",IF(Kalenteri!B34=7,"la",)))))))</f>
        <v>su</v>
      </c>
      <c r="C7" s="114">
        <f>'N2'!C7+'K2'!C7</f>
        <v>1097</v>
      </c>
      <c r="D7" s="115">
        <f>'N2'!D7+'K2'!D7</f>
        <v>168</v>
      </c>
      <c r="E7" s="115">
        <f>'N2'!E7+'K2'!E7</f>
        <v>2</v>
      </c>
      <c r="F7" s="116">
        <f>'N2'!F7+'K2'!F7</f>
        <v>96</v>
      </c>
      <c r="G7" s="114">
        <f>'N2'!G7+'K2'!G7</f>
        <v>32</v>
      </c>
      <c r="H7" s="116">
        <f>'N2'!H7+'K2'!H7</f>
        <v>157</v>
      </c>
      <c r="I7" s="114">
        <f>'N2'!I7+'K2'!I7</f>
        <v>54</v>
      </c>
      <c r="J7" s="116">
        <f>'N2'!J7+'K2'!J7</f>
        <v>81</v>
      </c>
      <c r="K7" s="33">
        <f>'N2'!K7+'K2'!K7</f>
        <v>1687</v>
      </c>
      <c r="L7" s="115">
        <f>'N2'!L7+'K2'!L7</f>
        <v>0</v>
      </c>
      <c r="M7" s="115">
        <f>'N2'!M7+'K2'!M7</f>
        <v>0</v>
      </c>
      <c r="N7" s="115">
        <f>'N2'!N7+'K2'!N7</f>
        <v>0</v>
      </c>
      <c r="O7" s="116">
        <f>'N2'!O7+'K2'!O7</f>
        <v>0</v>
      </c>
      <c r="P7" s="115">
        <f>'N2'!P7+'K2'!P7</f>
        <v>0</v>
      </c>
      <c r="Q7" s="116">
        <f>'N2'!Q7+'K2'!Q7</f>
        <v>0</v>
      </c>
      <c r="R7" s="121">
        <f>'N2'!R7+'K2'!R7</f>
        <v>0</v>
      </c>
      <c r="S7" s="121">
        <f>'N2'!S7+'K2'!S7</f>
        <v>0</v>
      </c>
      <c r="T7" s="33">
        <f>'N2'!T7+'K2'!T7</f>
        <v>0</v>
      </c>
      <c r="U7" s="115">
        <f>'N2'!U7+'K2'!U7</f>
        <v>0</v>
      </c>
      <c r="V7" s="115">
        <f>'N2'!V7+'K2'!V7</f>
        <v>0</v>
      </c>
      <c r="W7" s="115">
        <f>'N2'!W7+'K2'!W7</f>
        <v>0</v>
      </c>
      <c r="X7" s="116">
        <f>'N2'!X7+'K2'!X7</f>
        <v>0</v>
      </c>
      <c r="Y7" s="115">
        <f>'N2'!Y7+'K2'!Y7</f>
        <v>0</v>
      </c>
      <c r="Z7" s="116">
        <f>'N2'!Z7+'K2'!Z7</f>
        <v>0</v>
      </c>
      <c r="AA7" s="121">
        <f>'N2'!AA7+'K2'!AA7</f>
        <v>0</v>
      </c>
      <c r="AB7" s="121">
        <f>'N2'!AB7+'K2'!AB7</f>
        <v>0</v>
      </c>
      <c r="AC7" s="33">
        <f>'N2'!AC7+'K2'!AC7</f>
        <v>0</v>
      </c>
      <c r="AD7" s="12">
        <f>'N2'!AD7+'K2'!AD7</f>
        <v>1687</v>
      </c>
      <c r="AE7" s="39"/>
      <c r="AF7" s="39"/>
      <c r="AG7" s="39"/>
      <c r="AH7" s="39"/>
      <c r="AI7" s="39"/>
      <c r="AJ7"/>
    </row>
    <row r="8" spans="1:36" x14ac:dyDescent="0.2">
      <c r="A8" s="5">
        <f>DAY(Kalenteri!A35)</f>
        <v>4</v>
      </c>
      <c r="B8" s="3" t="str">
        <f>IF(Kalenteri!B35=1,"su",IF(Kalenteri!B35=2,"ma",IF(Kalenteri!B35=3,"ti",IF(Kalenteri!B35=4,"ke",IF(Kalenteri!B35=5,"to",IF(Kalenteri!B35=6,"pe",IF(Kalenteri!B35=7,"la",)))))))</f>
        <v>ma</v>
      </c>
      <c r="C8" s="114">
        <f>'N2'!C8+'K2'!C8</f>
        <v>19</v>
      </c>
      <c r="D8" s="115">
        <f>'N2'!D8+'K2'!D8</f>
        <v>54</v>
      </c>
      <c r="E8" s="115">
        <f>'N2'!E8+'K2'!E8</f>
        <v>2</v>
      </c>
      <c r="F8" s="116">
        <f>'N2'!F8+'K2'!F8</f>
        <v>9</v>
      </c>
      <c r="G8" s="114">
        <f>'N2'!G8+'K2'!G8</f>
        <v>4</v>
      </c>
      <c r="H8" s="116">
        <f>'N2'!H8+'K2'!H8</f>
        <v>10</v>
      </c>
      <c r="I8" s="114">
        <f>'N2'!I8+'K2'!I8</f>
        <v>0</v>
      </c>
      <c r="J8" s="116">
        <f>'N2'!J8+'K2'!J8</f>
        <v>0</v>
      </c>
      <c r="K8" s="33">
        <f>'N2'!K8+'K2'!K8</f>
        <v>98</v>
      </c>
      <c r="L8" s="115">
        <f>'N2'!L8+'K2'!L8</f>
        <v>0</v>
      </c>
      <c r="M8" s="115">
        <f>'N2'!M8+'K2'!M8</f>
        <v>0</v>
      </c>
      <c r="N8" s="115">
        <f>'N2'!N8+'K2'!N8</f>
        <v>0</v>
      </c>
      <c r="O8" s="116">
        <f>'N2'!O8+'K2'!O8</f>
        <v>0</v>
      </c>
      <c r="P8" s="115">
        <f>'N2'!P8+'K2'!P8</f>
        <v>0</v>
      </c>
      <c r="Q8" s="116">
        <f>'N2'!Q8+'K2'!Q8</f>
        <v>0</v>
      </c>
      <c r="R8" s="121">
        <f>'N2'!R8+'K2'!R8</f>
        <v>0</v>
      </c>
      <c r="S8" s="121">
        <f>'N2'!S8+'K2'!S8</f>
        <v>0</v>
      </c>
      <c r="T8" s="33">
        <f>'N2'!T8+'K2'!T8</f>
        <v>0</v>
      </c>
      <c r="U8" s="115">
        <f>'N2'!U8+'K2'!U8</f>
        <v>0</v>
      </c>
      <c r="V8" s="115">
        <f>'N2'!V8+'K2'!V8</f>
        <v>0</v>
      </c>
      <c r="W8" s="115">
        <f>'N2'!W8+'K2'!W8</f>
        <v>0</v>
      </c>
      <c r="X8" s="116">
        <f>'N2'!X8+'K2'!X8</f>
        <v>0</v>
      </c>
      <c r="Y8" s="115">
        <f>'N2'!Y8+'K2'!Y8</f>
        <v>0</v>
      </c>
      <c r="Z8" s="116">
        <f>'N2'!Z8+'K2'!Z8</f>
        <v>0</v>
      </c>
      <c r="AA8" s="121">
        <f>'N2'!AA8+'K2'!AA8</f>
        <v>0</v>
      </c>
      <c r="AB8" s="121">
        <f>'N2'!AB8+'K2'!AB8</f>
        <v>0</v>
      </c>
      <c r="AC8" s="33">
        <f>'N2'!AC8+'K2'!AC8</f>
        <v>0</v>
      </c>
      <c r="AD8" s="12">
        <f>'N2'!AD8+'K2'!AD8</f>
        <v>98</v>
      </c>
      <c r="AE8" s="39"/>
      <c r="AF8" s="39"/>
      <c r="AG8" s="39"/>
      <c r="AH8" s="39"/>
      <c r="AI8" s="39"/>
      <c r="AJ8"/>
    </row>
    <row r="9" spans="1:36" x14ac:dyDescent="0.2">
      <c r="A9" s="5">
        <f>DAY(Kalenteri!A36)</f>
        <v>5</v>
      </c>
      <c r="B9" s="3" t="str">
        <f>IF(Kalenteri!B36=1,"su",IF(Kalenteri!B36=2,"ma",IF(Kalenteri!B36=3,"ti",IF(Kalenteri!B36=4,"ke",IF(Kalenteri!B36=5,"to",IF(Kalenteri!B36=6,"pe",IF(Kalenteri!B36=7,"la",)))))))</f>
        <v>ti</v>
      </c>
      <c r="C9" s="114">
        <f>'N2'!C9+'K2'!C9</f>
        <v>18</v>
      </c>
      <c r="D9" s="115">
        <f>'N2'!D9+'K2'!D9</f>
        <v>37</v>
      </c>
      <c r="E9" s="115">
        <f>'N2'!E9+'K2'!E9</f>
        <v>0</v>
      </c>
      <c r="F9" s="116">
        <f>'N2'!F9+'K2'!F9</f>
        <v>3</v>
      </c>
      <c r="G9" s="114">
        <f>'N2'!G9+'K2'!G9</f>
        <v>1</v>
      </c>
      <c r="H9" s="116">
        <f>'N2'!H9+'K2'!H9</f>
        <v>40</v>
      </c>
      <c r="I9" s="114">
        <f>'N2'!I9+'K2'!I9</f>
        <v>0</v>
      </c>
      <c r="J9" s="116">
        <f>'N2'!J9+'K2'!J9</f>
        <v>0</v>
      </c>
      <c r="K9" s="33">
        <f>'N2'!K9+'K2'!K9</f>
        <v>99</v>
      </c>
      <c r="L9" s="115">
        <f>'N2'!L9+'K2'!L9</f>
        <v>0</v>
      </c>
      <c r="M9" s="115">
        <f>'N2'!M9+'K2'!M9</f>
        <v>0</v>
      </c>
      <c r="N9" s="115">
        <f>'N2'!N9+'K2'!N9</f>
        <v>0</v>
      </c>
      <c r="O9" s="116">
        <f>'N2'!O9+'K2'!O9</f>
        <v>0</v>
      </c>
      <c r="P9" s="115">
        <f>'N2'!P9+'K2'!P9</f>
        <v>0</v>
      </c>
      <c r="Q9" s="116">
        <f>'N2'!Q9+'K2'!Q9</f>
        <v>0</v>
      </c>
      <c r="R9" s="121">
        <f>'N2'!R9+'K2'!R9</f>
        <v>0</v>
      </c>
      <c r="S9" s="121">
        <f>'N2'!S9+'K2'!S9</f>
        <v>0</v>
      </c>
      <c r="T9" s="33">
        <f>'N2'!T9+'K2'!T9</f>
        <v>0</v>
      </c>
      <c r="U9" s="115">
        <f>'N2'!U9+'K2'!U9</f>
        <v>0</v>
      </c>
      <c r="V9" s="115">
        <f>'N2'!V9+'K2'!V9</f>
        <v>0</v>
      </c>
      <c r="W9" s="115">
        <f>'N2'!W9+'K2'!W9</f>
        <v>0</v>
      </c>
      <c r="X9" s="116">
        <f>'N2'!X9+'K2'!X9</f>
        <v>0</v>
      </c>
      <c r="Y9" s="115">
        <f>'N2'!Y9+'K2'!Y9</f>
        <v>0</v>
      </c>
      <c r="Z9" s="116">
        <f>'N2'!Z9+'K2'!Z9</f>
        <v>0</v>
      </c>
      <c r="AA9" s="121">
        <f>'N2'!AA9+'K2'!AA9</f>
        <v>0</v>
      </c>
      <c r="AB9" s="121">
        <f>'N2'!AB9+'K2'!AB9</f>
        <v>0</v>
      </c>
      <c r="AC9" s="33">
        <f>'N2'!AC9+'K2'!AC9</f>
        <v>0</v>
      </c>
      <c r="AD9" s="12">
        <f>'N2'!AD9+'K2'!AD9</f>
        <v>99</v>
      </c>
      <c r="AE9" s="39"/>
      <c r="AF9" s="39"/>
      <c r="AG9" s="39"/>
      <c r="AH9" s="39"/>
      <c r="AI9" s="39"/>
      <c r="AJ9"/>
    </row>
    <row r="10" spans="1:36" x14ac:dyDescent="0.2">
      <c r="A10" s="5">
        <f>DAY(Kalenteri!A37)</f>
        <v>6</v>
      </c>
      <c r="B10" s="3" t="str">
        <f>IF(Kalenteri!B37=1,"su",IF(Kalenteri!B37=2,"ma",IF(Kalenteri!B37=3,"ti",IF(Kalenteri!B37=4,"ke",IF(Kalenteri!B37=5,"to",IF(Kalenteri!B37=6,"pe",IF(Kalenteri!B37=7,"la",)))))))</f>
        <v>ke</v>
      </c>
      <c r="C10" s="114">
        <f>'N2'!C10+'K2'!C10</f>
        <v>36</v>
      </c>
      <c r="D10" s="115">
        <f>'N2'!D10+'K2'!D10</f>
        <v>1</v>
      </c>
      <c r="E10" s="115">
        <f>'N2'!E10+'K2'!E10</f>
        <v>2</v>
      </c>
      <c r="F10" s="116">
        <f>'N2'!F10+'K2'!F10</f>
        <v>3</v>
      </c>
      <c r="G10" s="114">
        <f>'N2'!G10+'K2'!G10</f>
        <v>4</v>
      </c>
      <c r="H10" s="116">
        <f>'N2'!H10+'K2'!H10</f>
        <v>26</v>
      </c>
      <c r="I10" s="114">
        <f>'N2'!I10+'K2'!I10</f>
        <v>0</v>
      </c>
      <c r="J10" s="116">
        <f>'N2'!J10+'K2'!J10</f>
        <v>0</v>
      </c>
      <c r="K10" s="33">
        <f>'N2'!K10+'K2'!K10</f>
        <v>72</v>
      </c>
      <c r="L10" s="115">
        <f>'N2'!L10+'K2'!L10</f>
        <v>0</v>
      </c>
      <c r="M10" s="115">
        <f>'N2'!M10+'K2'!M10</f>
        <v>0</v>
      </c>
      <c r="N10" s="115">
        <f>'N2'!N10+'K2'!N10</f>
        <v>0</v>
      </c>
      <c r="O10" s="116">
        <f>'N2'!O10+'K2'!O10</f>
        <v>0</v>
      </c>
      <c r="P10" s="115">
        <f>'N2'!P10+'K2'!P10</f>
        <v>0</v>
      </c>
      <c r="Q10" s="116">
        <f>'N2'!Q10+'K2'!Q10</f>
        <v>0</v>
      </c>
      <c r="R10" s="121">
        <f>'N2'!R10+'K2'!R10</f>
        <v>0</v>
      </c>
      <c r="S10" s="121">
        <f>'N2'!S10+'K2'!S10</f>
        <v>0</v>
      </c>
      <c r="T10" s="33">
        <f>'N2'!T10+'K2'!T10</f>
        <v>0</v>
      </c>
      <c r="U10" s="115">
        <f>'N2'!U10+'K2'!U10</f>
        <v>0</v>
      </c>
      <c r="V10" s="115">
        <f>'N2'!V10+'K2'!V10</f>
        <v>0</v>
      </c>
      <c r="W10" s="115">
        <f>'N2'!W10+'K2'!W10</f>
        <v>0</v>
      </c>
      <c r="X10" s="116">
        <f>'N2'!X10+'K2'!X10</f>
        <v>0</v>
      </c>
      <c r="Y10" s="115">
        <f>'N2'!Y10+'K2'!Y10</f>
        <v>0</v>
      </c>
      <c r="Z10" s="116">
        <f>'N2'!Z10+'K2'!Z10</f>
        <v>0</v>
      </c>
      <c r="AA10" s="121">
        <f>'N2'!AA10+'K2'!AA10</f>
        <v>0</v>
      </c>
      <c r="AB10" s="121">
        <f>'N2'!AB10+'K2'!AB10</f>
        <v>0</v>
      </c>
      <c r="AC10" s="33">
        <f>'N2'!AC10+'K2'!AC10</f>
        <v>0</v>
      </c>
      <c r="AD10" s="12">
        <f>'N2'!AD10+'K2'!AD10</f>
        <v>72</v>
      </c>
      <c r="AE10" s="39"/>
      <c r="AF10" s="39"/>
      <c r="AG10" s="39"/>
      <c r="AH10" s="39"/>
      <c r="AI10" s="39"/>
      <c r="AJ10"/>
    </row>
    <row r="11" spans="1:36" x14ac:dyDescent="0.2">
      <c r="A11" s="5">
        <f>DAY(Kalenteri!A38)</f>
        <v>7</v>
      </c>
      <c r="B11" s="3" t="str">
        <f>IF(Kalenteri!B38=1,"su",IF(Kalenteri!B38=2,"ma",IF(Kalenteri!B38=3,"ti",IF(Kalenteri!B38=4,"ke",IF(Kalenteri!B38=5,"to",IF(Kalenteri!B38=6,"pe",IF(Kalenteri!B38=7,"la",)))))))</f>
        <v>to</v>
      </c>
      <c r="C11" s="114">
        <f>'N2'!C11+'K2'!C11</f>
        <v>25</v>
      </c>
      <c r="D11" s="115">
        <f>'N2'!D11+'K2'!D11</f>
        <v>2</v>
      </c>
      <c r="E11" s="115">
        <f>'N2'!E11+'K2'!E11</f>
        <v>1</v>
      </c>
      <c r="F11" s="116">
        <f>'N2'!F11+'K2'!F11</f>
        <v>4</v>
      </c>
      <c r="G11" s="114">
        <f>'N2'!G11+'K2'!G11</f>
        <v>5</v>
      </c>
      <c r="H11" s="116">
        <f>'N2'!H11+'K2'!H11</f>
        <v>55</v>
      </c>
      <c r="I11" s="114">
        <f>'N2'!I11+'K2'!I11</f>
        <v>0</v>
      </c>
      <c r="J11" s="116">
        <f>'N2'!J11+'K2'!J11</f>
        <v>0</v>
      </c>
      <c r="K11" s="33">
        <f>'N2'!K11+'K2'!K11</f>
        <v>92</v>
      </c>
      <c r="L11" s="115">
        <f>'N2'!L11+'K2'!L11</f>
        <v>0</v>
      </c>
      <c r="M11" s="115">
        <f>'N2'!M11+'K2'!M11</f>
        <v>0</v>
      </c>
      <c r="N11" s="115">
        <f>'N2'!N11+'K2'!N11</f>
        <v>0</v>
      </c>
      <c r="O11" s="116">
        <f>'N2'!O11+'K2'!O11</f>
        <v>0</v>
      </c>
      <c r="P11" s="115">
        <f>'N2'!P11+'K2'!P11</f>
        <v>0</v>
      </c>
      <c r="Q11" s="116">
        <f>'N2'!Q11+'K2'!Q11</f>
        <v>0</v>
      </c>
      <c r="R11" s="121">
        <f>'N2'!R11+'K2'!R11</f>
        <v>0</v>
      </c>
      <c r="S11" s="121">
        <f>'N2'!S11+'K2'!S11</f>
        <v>0</v>
      </c>
      <c r="T11" s="33">
        <f>'N2'!T11+'K2'!T11</f>
        <v>0</v>
      </c>
      <c r="U11" s="115">
        <f>'N2'!U11+'K2'!U11</f>
        <v>0</v>
      </c>
      <c r="V11" s="115">
        <f>'N2'!V11+'K2'!V11</f>
        <v>0</v>
      </c>
      <c r="W11" s="115">
        <f>'N2'!W11+'K2'!W11</f>
        <v>0</v>
      </c>
      <c r="X11" s="116">
        <f>'N2'!X11+'K2'!X11</f>
        <v>0</v>
      </c>
      <c r="Y11" s="115">
        <f>'N2'!Y11+'K2'!Y11</f>
        <v>0</v>
      </c>
      <c r="Z11" s="116">
        <f>'N2'!Z11+'K2'!Z11</f>
        <v>0</v>
      </c>
      <c r="AA11" s="121">
        <f>'N2'!AA11+'K2'!AA11</f>
        <v>0</v>
      </c>
      <c r="AB11" s="121">
        <f>'N2'!AB11+'K2'!AB11</f>
        <v>0</v>
      </c>
      <c r="AC11" s="33">
        <f>'N2'!AC11+'K2'!AC11</f>
        <v>0</v>
      </c>
      <c r="AD11" s="12">
        <f>'N2'!AD11+'K2'!AD11</f>
        <v>92</v>
      </c>
      <c r="AE11" s="39"/>
      <c r="AF11" s="39"/>
      <c r="AG11" s="39"/>
      <c r="AH11" s="39"/>
      <c r="AI11" s="39"/>
      <c r="AJ11"/>
    </row>
    <row r="12" spans="1:36" x14ac:dyDescent="0.2">
      <c r="A12" s="5">
        <f>DAY(Kalenteri!A39)</f>
        <v>8</v>
      </c>
      <c r="B12" s="3" t="str">
        <f>IF(Kalenteri!B39=1,"su",IF(Kalenteri!B39=2,"ma",IF(Kalenteri!B39=3,"ti",IF(Kalenteri!B39=4,"ke",IF(Kalenteri!B39=5,"to",IF(Kalenteri!B39=6,"pe",IF(Kalenteri!B39=7,"la",)))))))</f>
        <v>pe</v>
      </c>
      <c r="C12" s="114">
        <f>'N2'!C12+'K2'!C12</f>
        <v>48</v>
      </c>
      <c r="D12" s="115">
        <f>'N2'!D12+'K2'!D12</f>
        <v>3</v>
      </c>
      <c r="E12" s="115">
        <f>'N2'!E12+'K2'!E12</f>
        <v>0</v>
      </c>
      <c r="F12" s="116">
        <f>'N2'!F12+'K2'!F12</f>
        <v>7</v>
      </c>
      <c r="G12" s="114">
        <f>'N2'!G12+'K2'!G12</f>
        <v>2</v>
      </c>
      <c r="H12" s="116">
        <f>'N2'!H12+'K2'!H12</f>
        <v>40</v>
      </c>
      <c r="I12" s="114">
        <f>'N2'!I12+'K2'!I12</f>
        <v>0</v>
      </c>
      <c r="J12" s="116">
        <f>'N2'!J12+'K2'!J12</f>
        <v>0</v>
      </c>
      <c r="K12" s="33">
        <f>'N2'!K12+'K2'!K12</f>
        <v>100</v>
      </c>
      <c r="L12" s="115">
        <f>'N2'!L12+'K2'!L12</f>
        <v>0</v>
      </c>
      <c r="M12" s="115">
        <f>'N2'!M12+'K2'!M12</f>
        <v>0</v>
      </c>
      <c r="N12" s="115">
        <f>'N2'!N12+'K2'!N12</f>
        <v>0</v>
      </c>
      <c r="O12" s="116">
        <f>'N2'!O12+'K2'!O12</f>
        <v>0</v>
      </c>
      <c r="P12" s="115">
        <f>'N2'!P12+'K2'!P12</f>
        <v>0</v>
      </c>
      <c r="Q12" s="116">
        <f>'N2'!Q12+'K2'!Q12</f>
        <v>0</v>
      </c>
      <c r="R12" s="121">
        <f>'N2'!R12+'K2'!R12</f>
        <v>0</v>
      </c>
      <c r="S12" s="121">
        <f>'N2'!S12+'K2'!S12</f>
        <v>0</v>
      </c>
      <c r="T12" s="33">
        <f>'N2'!T12+'K2'!T12</f>
        <v>0</v>
      </c>
      <c r="U12" s="115">
        <f>'N2'!U12+'K2'!U12</f>
        <v>0</v>
      </c>
      <c r="V12" s="115">
        <f>'N2'!V12+'K2'!V12</f>
        <v>0</v>
      </c>
      <c r="W12" s="115">
        <f>'N2'!W12+'K2'!W12</f>
        <v>0</v>
      </c>
      <c r="X12" s="116">
        <f>'N2'!X12+'K2'!X12</f>
        <v>0</v>
      </c>
      <c r="Y12" s="115">
        <f>'N2'!Y12+'K2'!Y12</f>
        <v>0</v>
      </c>
      <c r="Z12" s="116">
        <f>'N2'!Z12+'K2'!Z12</f>
        <v>0</v>
      </c>
      <c r="AA12" s="121">
        <f>'N2'!AA12+'K2'!AA12</f>
        <v>0</v>
      </c>
      <c r="AB12" s="121">
        <f>'N2'!AB12+'K2'!AB12</f>
        <v>0</v>
      </c>
      <c r="AC12" s="33">
        <f>'N2'!AC12+'K2'!AC12</f>
        <v>0</v>
      </c>
      <c r="AD12" s="12">
        <f>'N2'!AD12+'K2'!AD12</f>
        <v>100</v>
      </c>
      <c r="AE12" s="39"/>
      <c r="AF12" s="39"/>
      <c r="AG12" s="39"/>
      <c r="AH12" s="39"/>
      <c r="AI12" s="39"/>
      <c r="AJ12"/>
    </row>
    <row r="13" spans="1:36" x14ac:dyDescent="0.2">
      <c r="A13" s="5">
        <f>DAY(Kalenteri!A40)</f>
        <v>9</v>
      </c>
      <c r="B13" s="3" t="str">
        <f>IF(Kalenteri!B40=1,"su",IF(Kalenteri!B40=2,"ma",IF(Kalenteri!B40=3,"ti",IF(Kalenteri!B40=4,"ke",IF(Kalenteri!B40=5,"to",IF(Kalenteri!B40=6,"pe",IF(Kalenteri!B40=7,"la",)))))))</f>
        <v>la</v>
      </c>
      <c r="C13" s="114">
        <f>'N2'!C13+'K2'!C13</f>
        <v>638</v>
      </c>
      <c r="D13" s="115">
        <f>'N2'!D13+'K2'!D13</f>
        <v>91</v>
      </c>
      <c r="E13" s="115">
        <f>'N2'!E13+'K2'!E13</f>
        <v>5</v>
      </c>
      <c r="F13" s="116">
        <f>'N2'!F13+'K2'!F13</f>
        <v>42</v>
      </c>
      <c r="G13" s="114">
        <f>'N2'!G13+'K2'!G13</f>
        <v>33</v>
      </c>
      <c r="H13" s="116">
        <f>'N2'!H13+'K2'!H13</f>
        <v>112</v>
      </c>
      <c r="I13" s="114">
        <f>'N2'!I13+'K2'!I13</f>
        <v>46</v>
      </c>
      <c r="J13" s="116">
        <f>'N2'!J13+'K2'!J13</f>
        <v>69</v>
      </c>
      <c r="K13" s="33">
        <f>'N2'!K13+'K2'!K13</f>
        <v>1036</v>
      </c>
      <c r="L13" s="115">
        <f>'N2'!L13+'K2'!L13</f>
        <v>0</v>
      </c>
      <c r="M13" s="115">
        <f>'N2'!M13+'K2'!M13</f>
        <v>0</v>
      </c>
      <c r="N13" s="115">
        <f>'N2'!N13+'K2'!N13</f>
        <v>0</v>
      </c>
      <c r="O13" s="116">
        <f>'N2'!O13+'K2'!O13</f>
        <v>0</v>
      </c>
      <c r="P13" s="115">
        <f>'N2'!P13+'K2'!P13</f>
        <v>0</v>
      </c>
      <c r="Q13" s="116">
        <f>'N2'!Q13+'K2'!Q13</f>
        <v>0</v>
      </c>
      <c r="R13" s="121">
        <f>'N2'!R13+'K2'!R13</f>
        <v>0</v>
      </c>
      <c r="S13" s="121">
        <f>'N2'!S13+'K2'!S13</f>
        <v>0</v>
      </c>
      <c r="T13" s="33">
        <f>'N2'!T13+'K2'!T13</f>
        <v>0</v>
      </c>
      <c r="U13" s="115">
        <f>'N2'!U13+'K2'!U13</f>
        <v>0</v>
      </c>
      <c r="V13" s="115">
        <f>'N2'!V13+'K2'!V13</f>
        <v>0</v>
      </c>
      <c r="W13" s="115">
        <f>'N2'!W13+'K2'!W13</f>
        <v>0</v>
      </c>
      <c r="X13" s="116">
        <f>'N2'!X13+'K2'!X13</f>
        <v>0</v>
      </c>
      <c r="Y13" s="115">
        <f>'N2'!Y13+'K2'!Y13</f>
        <v>0</v>
      </c>
      <c r="Z13" s="116">
        <f>'N2'!Z13+'K2'!Z13</f>
        <v>0</v>
      </c>
      <c r="AA13" s="121">
        <f>'N2'!AA13+'K2'!AA13</f>
        <v>0</v>
      </c>
      <c r="AB13" s="121">
        <f>'N2'!AB13+'K2'!AB13</f>
        <v>0</v>
      </c>
      <c r="AC13" s="33">
        <f>'N2'!AC13+'K2'!AC13</f>
        <v>0</v>
      </c>
      <c r="AD13" s="12">
        <f>'N2'!AD13+'K2'!AD13</f>
        <v>1036</v>
      </c>
      <c r="AE13" s="39"/>
      <c r="AF13" s="39"/>
      <c r="AG13" s="39"/>
      <c r="AH13" s="39"/>
      <c r="AI13" s="39"/>
      <c r="AJ13"/>
    </row>
    <row r="14" spans="1:36" x14ac:dyDescent="0.2">
      <c r="A14" s="5">
        <f>DAY(Kalenteri!A41)</f>
        <v>10</v>
      </c>
      <c r="B14" s="3" t="str">
        <f>IF(Kalenteri!B41=1,"su",IF(Kalenteri!B41=2,"ma",IF(Kalenteri!B41=3,"ti",IF(Kalenteri!B41=4,"ke",IF(Kalenteri!B41=5,"to",IF(Kalenteri!B41=6,"pe",IF(Kalenteri!B41=7,"la",)))))))</f>
        <v>su</v>
      </c>
      <c r="C14" s="114">
        <f>'N2'!C14+'K2'!C14</f>
        <v>904</v>
      </c>
      <c r="D14" s="115">
        <f>'N2'!D14+'K2'!D14</f>
        <v>128</v>
      </c>
      <c r="E14" s="115">
        <f>'N2'!E14+'K2'!E14</f>
        <v>6</v>
      </c>
      <c r="F14" s="116">
        <f>'N2'!F14+'K2'!F14</f>
        <v>98</v>
      </c>
      <c r="G14" s="114">
        <f>'N2'!G14+'K2'!G14</f>
        <v>50</v>
      </c>
      <c r="H14" s="116">
        <f>'N2'!H14+'K2'!H14</f>
        <v>146</v>
      </c>
      <c r="I14" s="114">
        <f>'N2'!I14+'K2'!I14</f>
        <v>54</v>
      </c>
      <c r="J14" s="116">
        <f>'N2'!J14+'K2'!J14</f>
        <v>81</v>
      </c>
      <c r="K14" s="33">
        <f>'N2'!K14+'K2'!K14</f>
        <v>1467</v>
      </c>
      <c r="L14" s="115">
        <f>'N2'!L14+'K2'!L14</f>
        <v>0</v>
      </c>
      <c r="M14" s="115">
        <f>'N2'!M14+'K2'!M14</f>
        <v>0</v>
      </c>
      <c r="N14" s="115">
        <f>'N2'!N14+'K2'!N14</f>
        <v>0</v>
      </c>
      <c r="O14" s="116">
        <f>'N2'!O14+'K2'!O14</f>
        <v>0</v>
      </c>
      <c r="P14" s="115">
        <f>'N2'!P14+'K2'!P14</f>
        <v>0</v>
      </c>
      <c r="Q14" s="116">
        <f>'N2'!Q14+'K2'!Q14</f>
        <v>0</v>
      </c>
      <c r="R14" s="121">
        <f>'N2'!R14+'K2'!R14</f>
        <v>0</v>
      </c>
      <c r="S14" s="121">
        <f>'N2'!S14+'K2'!S14</f>
        <v>0</v>
      </c>
      <c r="T14" s="33">
        <f>'N2'!T14+'K2'!T14</f>
        <v>0</v>
      </c>
      <c r="U14" s="115">
        <f>'N2'!U14+'K2'!U14</f>
        <v>0</v>
      </c>
      <c r="V14" s="115">
        <f>'N2'!V14+'K2'!V14</f>
        <v>0</v>
      </c>
      <c r="W14" s="115">
        <f>'N2'!W14+'K2'!W14</f>
        <v>0</v>
      </c>
      <c r="X14" s="116">
        <f>'N2'!X14+'K2'!X14</f>
        <v>0</v>
      </c>
      <c r="Y14" s="115">
        <f>'N2'!Y14+'K2'!Y14</f>
        <v>0</v>
      </c>
      <c r="Z14" s="116">
        <f>'N2'!Z14+'K2'!Z14</f>
        <v>0</v>
      </c>
      <c r="AA14" s="121">
        <f>'N2'!AA14+'K2'!AA14</f>
        <v>0</v>
      </c>
      <c r="AB14" s="121">
        <f>'N2'!AB14+'K2'!AB14</f>
        <v>0</v>
      </c>
      <c r="AC14" s="33">
        <f>'N2'!AC14+'K2'!AC14</f>
        <v>0</v>
      </c>
      <c r="AD14" s="12">
        <f>'N2'!AD14+'K2'!AD14</f>
        <v>1467</v>
      </c>
      <c r="AE14" s="39"/>
      <c r="AF14" s="39"/>
      <c r="AG14" s="39"/>
      <c r="AH14" s="39"/>
      <c r="AI14" s="39"/>
      <c r="AJ14"/>
    </row>
    <row r="15" spans="1:36" x14ac:dyDescent="0.2">
      <c r="A15" s="5">
        <f>DAY(Kalenteri!A42)</f>
        <v>11</v>
      </c>
      <c r="B15" s="3" t="str">
        <f>IF(Kalenteri!B42=1,"su",IF(Kalenteri!B42=2,"ma",IF(Kalenteri!B42=3,"ti",IF(Kalenteri!B42=4,"ke",IF(Kalenteri!B42=5,"to",IF(Kalenteri!B42=6,"pe",IF(Kalenteri!B42=7,"la",)))))))</f>
        <v>ma</v>
      </c>
      <c r="C15" s="114">
        <f>'N2'!C15+'K2'!C15</f>
        <v>37</v>
      </c>
      <c r="D15" s="115">
        <f>'N2'!D15+'K2'!D15</f>
        <v>100</v>
      </c>
      <c r="E15" s="115">
        <f>'N2'!E15+'K2'!E15</f>
        <v>3</v>
      </c>
      <c r="F15" s="116">
        <f>'N2'!F15+'K2'!F15</f>
        <v>9</v>
      </c>
      <c r="G15" s="114">
        <f>'N2'!G15+'K2'!G15</f>
        <v>0</v>
      </c>
      <c r="H15" s="116">
        <f>'N2'!H15+'K2'!H15</f>
        <v>23</v>
      </c>
      <c r="I15" s="114">
        <f>'N2'!I15+'K2'!I15</f>
        <v>0</v>
      </c>
      <c r="J15" s="116">
        <f>'N2'!J15+'K2'!J15</f>
        <v>0</v>
      </c>
      <c r="K15" s="33">
        <f>'N2'!K15+'K2'!K15</f>
        <v>172</v>
      </c>
      <c r="L15" s="115">
        <f>'N2'!L15+'K2'!L15</f>
        <v>0</v>
      </c>
      <c r="M15" s="115">
        <f>'N2'!M15+'K2'!M15</f>
        <v>0</v>
      </c>
      <c r="N15" s="115">
        <f>'N2'!N15+'K2'!N15</f>
        <v>0</v>
      </c>
      <c r="O15" s="116">
        <f>'N2'!O15+'K2'!O15</f>
        <v>0</v>
      </c>
      <c r="P15" s="115">
        <f>'N2'!P15+'K2'!P15</f>
        <v>0</v>
      </c>
      <c r="Q15" s="116">
        <f>'N2'!Q15+'K2'!Q15</f>
        <v>0</v>
      </c>
      <c r="R15" s="121">
        <f>'N2'!R15+'K2'!R15</f>
        <v>0</v>
      </c>
      <c r="S15" s="121">
        <f>'N2'!S15+'K2'!S15</f>
        <v>0</v>
      </c>
      <c r="T15" s="33">
        <f>'N2'!T15+'K2'!T15</f>
        <v>0</v>
      </c>
      <c r="U15" s="115">
        <f>'N2'!U15+'K2'!U15</f>
        <v>0</v>
      </c>
      <c r="V15" s="115">
        <f>'N2'!V15+'K2'!V15</f>
        <v>0</v>
      </c>
      <c r="W15" s="115">
        <f>'N2'!W15+'K2'!W15</f>
        <v>0</v>
      </c>
      <c r="X15" s="116">
        <f>'N2'!X15+'K2'!X15</f>
        <v>0</v>
      </c>
      <c r="Y15" s="115">
        <f>'N2'!Y15+'K2'!Y15</f>
        <v>0</v>
      </c>
      <c r="Z15" s="116">
        <f>'N2'!Z15+'K2'!Z15</f>
        <v>0</v>
      </c>
      <c r="AA15" s="121">
        <f>'N2'!AA15+'K2'!AA15</f>
        <v>0</v>
      </c>
      <c r="AB15" s="121">
        <f>'N2'!AB15+'K2'!AB15</f>
        <v>0</v>
      </c>
      <c r="AC15" s="33">
        <f>'N2'!AC15+'K2'!AC15</f>
        <v>0</v>
      </c>
      <c r="AD15" s="12">
        <f>'N2'!AD15+'K2'!AD15</f>
        <v>172</v>
      </c>
      <c r="AE15" s="39"/>
      <c r="AF15" s="39"/>
      <c r="AG15" s="39"/>
      <c r="AH15" s="39"/>
      <c r="AI15" s="39"/>
      <c r="AJ15"/>
    </row>
    <row r="16" spans="1:36" x14ac:dyDescent="0.2">
      <c r="A16" s="5">
        <f>DAY(Kalenteri!A43)</f>
        <v>12</v>
      </c>
      <c r="B16" s="3" t="str">
        <f>IF(Kalenteri!B43=1,"su",IF(Kalenteri!B43=2,"ma",IF(Kalenteri!B43=3,"ti",IF(Kalenteri!B43=4,"ke",IF(Kalenteri!B43=5,"to",IF(Kalenteri!B43=6,"pe",IF(Kalenteri!B43=7,"la",)))))))</f>
        <v>ti</v>
      </c>
      <c r="C16" s="114">
        <f>'N2'!C16+'K2'!C16</f>
        <v>131</v>
      </c>
      <c r="D16" s="115">
        <f>'N2'!D16+'K2'!D16</f>
        <v>6</v>
      </c>
      <c r="E16" s="115">
        <f>'N2'!E16+'K2'!E16</f>
        <v>2</v>
      </c>
      <c r="F16" s="116">
        <f>'N2'!F16+'K2'!F16</f>
        <v>2</v>
      </c>
      <c r="G16" s="114">
        <f>'N2'!G16+'K2'!G16</f>
        <v>0</v>
      </c>
      <c r="H16" s="116">
        <f>'N2'!H16+'K2'!H16</f>
        <v>14</v>
      </c>
      <c r="I16" s="114">
        <f>'N2'!I16+'K2'!I16</f>
        <v>0</v>
      </c>
      <c r="J16" s="116">
        <f>'N2'!J16+'K2'!J16</f>
        <v>0</v>
      </c>
      <c r="K16" s="33">
        <f>'N2'!K16+'K2'!K16</f>
        <v>155</v>
      </c>
      <c r="L16" s="115">
        <f>'N2'!L16+'K2'!L16</f>
        <v>0</v>
      </c>
      <c r="M16" s="115">
        <f>'N2'!M16+'K2'!M16</f>
        <v>0</v>
      </c>
      <c r="N16" s="115">
        <f>'N2'!N16+'K2'!N16</f>
        <v>0</v>
      </c>
      <c r="O16" s="116">
        <f>'N2'!O16+'K2'!O16</f>
        <v>0</v>
      </c>
      <c r="P16" s="115">
        <f>'N2'!P16+'K2'!P16</f>
        <v>0</v>
      </c>
      <c r="Q16" s="116">
        <f>'N2'!Q16+'K2'!Q16</f>
        <v>0</v>
      </c>
      <c r="R16" s="121">
        <f>'N2'!R16+'K2'!R16</f>
        <v>0</v>
      </c>
      <c r="S16" s="121">
        <f>'N2'!S16+'K2'!S16</f>
        <v>0</v>
      </c>
      <c r="T16" s="33">
        <f>'N2'!T16+'K2'!T16</f>
        <v>0</v>
      </c>
      <c r="U16" s="115">
        <f>'N2'!U16+'K2'!U16</f>
        <v>0</v>
      </c>
      <c r="V16" s="115">
        <f>'N2'!V16+'K2'!V16</f>
        <v>0</v>
      </c>
      <c r="W16" s="115">
        <f>'N2'!W16+'K2'!W16</f>
        <v>0</v>
      </c>
      <c r="X16" s="116">
        <f>'N2'!X16+'K2'!X16</f>
        <v>0</v>
      </c>
      <c r="Y16" s="115">
        <f>'N2'!Y16+'K2'!Y16</f>
        <v>0</v>
      </c>
      <c r="Z16" s="116">
        <f>'N2'!Z16+'K2'!Z16</f>
        <v>0</v>
      </c>
      <c r="AA16" s="121">
        <f>'N2'!AA16+'K2'!AA16</f>
        <v>0</v>
      </c>
      <c r="AB16" s="121">
        <f>'N2'!AB16+'K2'!AB16</f>
        <v>0</v>
      </c>
      <c r="AC16" s="33">
        <f>'N2'!AC16+'K2'!AC16</f>
        <v>0</v>
      </c>
      <c r="AD16" s="12">
        <f>'N2'!AD16+'K2'!AD16</f>
        <v>155</v>
      </c>
      <c r="AE16" s="39"/>
      <c r="AF16" s="39"/>
      <c r="AG16" s="39"/>
      <c r="AH16" s="39"/>
      <c r="AI16" s="39"/>
      <c r="AJ16"/>
    </row>
    <row r="17" spans="1:36" x14ac:dyDescent="0.2">
      <c r="A17" s="5">
        <f>DAY(Kalenteri!A44)</f>
        <v>13</v>
      </c>
      <c r="B17" s="3" t="str">
        <f>IF(Kalenteri!B44=1,"su",IF(Kalenteri!B44=2,"ma",IF(Kalenteri!B44=3,"ti",IF(Kalenteri!B44=4,"ke",IF(Kalenteri!B44=5,"to",IF(Kalenteri!B44=6,"pe",IF(Kalenteri!B44=7,"la",)))))))</f>
        <v>ke</v>
      </c>
      <c r="C17" s="114">
        <f>'N2'!C17+'K2'!C17</f>
        <v>134</v>
      </c>
      <c r="D17" s="115">
        <f>'N2'!D17+'K2'!D17</f>
        <v>30</v>
      </c>
      <c r="E17" s="115">
        <f>'N2'!E17+'K2'!E17</f>
        <v>1</v>
      </c>
      <c r="F17" s="116">
        <f>'N2'!F17+'K2'!F17</f>
        <v>5</v>
      </c>
      <c r="G17" s="114">
        <f>'N2'!G17+'K2'!G17</f>
        <v>10</v>
      </c>
      <c r="H17" s="116">
        <f>'N2'!H17+'K2'!H17</f>
        <v>97</v>
      </c>
      <c r="I17" s="114">
        <f>'N2'!I17+'K2'!I17</f>
        <v>0</v>
      </c>
      <c r="J17" s="116">
        <f>'N2'!J17+'K2'!J17</f>
        <v>0</v>
      </c>
      <c r="K17" s="33">
        <f>'N2'!K17+'K2'!K17</f>
        <v>277</v>
      </c>
      <c r="L17" s="115">
        <f>'N2'!L17+'K2'!L17</f>
        <v>0</v>
      </c>
      <c r="M17" s="115">
        <f>'N2'!M17+'K2'!M17</f>
        <v>0</v>
      </c>
      <c r="N17" s="115">
        <f>'N2'!N17+'K2'!N17</f>
        <v>0</v>
      </c>
      <c r="O17" s="116">
        <f>'N2'!O17+'K2'!O17</f>
        <v>0</v>
      </c>
      <c r="P17" s="115">
        <f>'N2'!P17+'K2'!P17</f>
        <v>0</v>
      </c>
      <c r="Q17" s="116">
        <f>'N2'!Q17+'K2'!Q17</f>
        <v>0</v>
      </c>
      <c r="R17" s="121">
        <f>'N2'!R17+'K2'!R17</f>
        <v>0</v>
      </c>
      <c r="S17" s="121">
        <f>'N2'!S17+'K2'!S17</f>
        <v>0</v>
      </c>
      <c r="T17" s="33">
        <f>'N2'!T17+'K2'!T17</f>
        <v>0</v>
      </c>
      <c r="U17" s="115">
        <f>'N2'!U17+'K2'!U17</f>
        <v>0</v>
      </c>
      <c r="V17" s="115">
        <f>'N2'!V17+'K2'!V17</f>
        <v>0</v>
      </c>
      <c r="W17" s="115">
        <f>'N2'!W17+'K2'!W17</f>
        <v>0</v>
      </c>
      <c r="X17" s="116">
        <f>'N2'!X17+'K2'!X17</f>
        <v>0</v>
      </c>
      <c r="Y17" s="115">
        <f>'N2'!Y17+'K2'!Y17</f>
        <v>0</v>
      </c>
      <c r="Z17" s="116">
        <f>'N2'!Z17+'K2'!Z17</f>
        <v>0</v>
      </c>
      <c r="AA17" s="121">
        <f>'N2'!AA17+'K2'!AA17</f>
        <v>0</v>
      </c>
      <c r="AB17" s="121">
        <f>'N2'!AB17+'K2'!AB17</f>
        <v>0</v>
      </c>
      <c r="AC17" s="33">
        <f>'N2'!AC17+'K2'!AC17</f>
        <v>0</v>
      </c>
      <c r="AD17" s="12">
        <f>'N2'!AD17+'K2'!AD17</f>
        <v>277</v>
      </c>
      <c r="AE17" s="39"/>
      <c r="AF17" s="39"/>
      <c r="AG17" s="39"/>
      <c r="AH17" s="39"/>
      <c r="AI17" s="39"/>
      <c r="AJ17"/>
    </row>
    <row r="18" spans="1:36" x14ac:dyDescent="0.2">
      <c r="A18" s="5">
        <f>DAY(Kalenteri!A45)</f>
        <v>14</v>
      </c>
      <c r="B18" s="3" t="str">
        <f>IF(Kalenteri!B45=1,"su",IF(Kalenteri!B45=2,"ma",IF(Kalenteri!B45=3,"ti",IF(Kalenteri!B45=4,"ke",IF(Kalenteri!B45=5,"to",IF(Kalenteri!B45=6,"pe",IF(Kalenteri!B45=7,"la",)))))))</f>
        <v>to</v>
      </c>
      <c r="C18" s="114">
        <f>'N2'!C18+'K2'!C18</f>
        <v>132</v>
      </c>
      <c r="D18" s="115">
        <f>'N2'!D18+'K2'!D18</f>
        <v>10</v>
      </c>
      <c r="E18" s="115">
        <f>'N2'!E18+'K2'!E18</f>
        <v>0</v>
      </c>
      <c r="F18" s="116">
        <f>'N2'!F18+'K2'!F18</f>
        <v>12</v>
      </c>
      <c r="G18" s="114">
        <f>'N2'!G18+'K2'!G18</f>
        <v>18</v>
      </c>
      <c r="H18" s="116">
        <f>'N2'!H18+'K2'!H18</f>
        <v>51</v>
      </c>
      <c r="I18" s="114">
        <f>'N2'!I18+'K2'!I18</f>
        <v>0</v>
      </c>
      <c r="J18" s="116">
        <f>'N2'!J18+'K2'!J18</f>
        <v>0</v>
      </c>
      <c r="K18" s="33">
        <f>'N2'!K18+'K2'!K18</f>
        <v>223</v>
      </c>
      <c r="L18" s="115">
        <f>'N2'!L18+'K2'!L18</f>
        <v>0</v>
      </c>
      <c r="M18" s="115">
        <f>'N2'!M18+'K2'!M18</f>
        <v>0</v>
      </c>
      <c r="N18" s="115">
        <f>'N2'!N18+'K2'!N18</f>
        <v>0</v>
      </c>
      <c r="O18" s="116">
        <f>'N2'!O18+'K2'!O18</f>
        <v>0</v>
      </c>
      <c r="P18" s="115">
        <f>'N2'!P18+'K2'!P18</f>
        <v>0</v>
      </c>
      <c r="Q18" s="116">
        <f>'N2'!Q18+'K2'!Q18</f>
        <v>0</v>
      </c>
      <c r="R18" s="121">
        <f>'N2'!R18+'K2'!R18</f>
        <v>0</v>
      </c>
      <c r="S18" s="121">
        <f>'N2'!S18+'K2'!S18</f>
        <v>0</v>
      </c>
      <c r="T18" s="33">
        <f>'N2'!T18+'K2'!T18</f>
        <v>0</v>
      </c>
      <c r="U18" s="115">
        <f>'N2'!U18+'K2'!U18</f>
        <v>0</v>
      </c>
      <c r="V18" s="115">
        <f>'N2'!V18+'K2'!V18</f>
        <v>0</v>
      </c>
      <c r="W18" s="115">
        <f>'N2'!W18+'K2'!W18</f>
        <v>0</v>
      </c>
      <c r="X18" s="116">
        <f>'N2'!X18+'K2'!X18</f>
        <v>0</v>
      </c>
      <c r="Y18" s="115">
        <f>'N2'!Y18+'K2'!Y18</f>
        <v>0</v>
      </c>
      <c r="Z18" s="116">
        <f>'N2'!Z18+'K2'!Z18</f>
        <v>0</v>
      </c>
      <c r="AA18" s="121">
        <f>'N2'!AA18+'K2'!AA18</f>
        <v>0</v>
      </c>
      <c r="AB18" s="121">
        <f>'N2'!AB18+'K2'!AB18</f>
        <v>0</v>
      </c>
      <c r="AC18" s="33">
        <f>'N2'!AC18+'K2'!AC18</f>
        <v>0</v>
      </c>
      <c r="AD18" s="12">
        <f>'N2'!AD18+'K2'!AD18</f>
        <v>223</v>
      </c>
      <c r="AE18" s="39"/>
      <c r="AF18" s="39"/>
      <c r="AG18" s="39"/>
      <c r="AH18" s="39"/>
      <c r="AI18" s="39"/>
      <c r="AJ18"/>
    </row>
    <row r="19" spans="1:36" x14ac:dyDescent="0.2">
      <c r="A19" s="5">
        <f>DAY(Kalenteri!A46)</f>
        <v>15</v>
      </c>
      <c r="B19" s="3" t="str">
        <f>IF(Kalenteri!B46=1,"su",IF(Kalenteri!B46=2,"ma",IF(Kalenteri!B46=3,"ti",IF(Kalenteri!B46=4,"ke",IF(Kalenteri!B46=5,"to",IF(Kalenteri!B46=6,"pe",IF(Kalenteri!B46=7,"la",)))))))</f>
        <v>pe</v>
      </c>
      <c r="C19" s="114">
        <f>'N2'!C19+'K2'!C19</f>
        <v>130</v>
      </c>
      <c r="D19" s="115">
        <f>'N2'!D19+'K2'!D19</f>
        <v>18</v>
      </c>
      <c r="E19" s="115">
        <f>'N2'!E19+'K2'!E19</f>
        <v>0</v>
      </c>
      <c r="F19" s="116">
        <f>'N2'!F19+'K2'!F19</f>
        <v>4</v>
      </c>
      <c r="G19" s="114">
        <f>'N2'!G19+'K2'!G19</f>
        <v>8</v>
      </c>
      <c r="H19" s="116">
        <f>'N2'!H19+'K2'!H19</f>
        <v>51</v>
      </c>
      <c r="I19" s="114">
        <f>'N2'!I19+'K2'!I19</f>
        <v>0</v>
      </c>
      <c r="J19" s="116">
        <f>'N2'!J19+'K2'!J19</f>
        <v>0</v>
      </c>
      <c r="K19" s="33">
        <f>'N2'!K19+'K2'!K19</f>
        <v>211</v>
      </c>
      <c r="L19" s="115">
        <f>'N2'!L19+'K2'!L19</f>
        <v>0</v>
      </c>
      <c r="M19" s="115">
        <f>'N2'!M19+'K2'!M19</f>
        <v>0</v>
      </c>
      <c r="N19" s="115">
        <f>'N2'!N19+'K2'!N19</f>
        <v>0</v>
      </c>
      <c r="O19" s="116">
        <f>'N2'!O19+'K2'!O19</f>
        <v>0</v>
      </c>
      <c r="P19" s="115">
        <f>'N2'!P19+'K2'!P19</f>
        <v>0</v>
      </c>
      <c r="Q19" s="116">
        <f>'N2'!Q19+'K2'!Q19</f>
        <v>0</v>
      </c>
      <c r="R19" s="121">
        <f>'N2'!R19+'K2'!R19</f>
        <v>0</v>
      </c>
      <c r="S19" s="121">
        <f>'N2'!S19+'K2'!S19</f>
        <v>0</v>
      </c>
      <c r="T19" s="33">
        <f>'N2'!T19+'K2'!T19</f>
        <v>0</v>
      </c>
      <c r="U19" s="115">
        <f>'N2'!U19+'K2'!U19</f>
        <v>0</v>
      </c>
      <c r="V19" s="115">
        <f>'N2'!V19+'K2'!V19</f>
        <v>0</v>
      </c>
      <c r="W19" s="115">
        <f>'N2'!W19+'K2'!W19</f>
        <v>0</v>
      </c>
      <c r="X19" s="116">
        <f>'N2'!X19+'K2'!X19</f>
        <v>0</v>
      </c>
      <c r="Y19" s="115">
        <f>'N2'!Y19+'K2'!Y19</f>
        <v>0</v>
      </c>
      <c r="Z19" s="116">
        <f>'N2'!Z19+'K2'!Z19</f>
        <v>0</v>
      </c>
      <c r="AA19" s="121">
        <f>'N2'!AA19+'K2'!AA19</f>
        <v>0</v>
      </c>
      <c r="AB19" s="121">
        <f>'N2'!AB19+'K2'!AB19</f>
        <v>0</v>
      </c>
      <c r="AC19" s="33">
        <f>'N2'!AC19+'K2'!AC19</f>
        <v>0</v>
      </c>
      <c r="AD19" s="12">
        <f>'N2'!AD19+'K2'!AD19</f>
        <v>211</v>
      </c>
      <c r="AE19" s="39"/>
      <c r="AF19" s="39"/>
      <c r="AG19" s="39"/>
      <c r="AH19" s="39"/>
      <c r="AI19" s="39"/>
      <c r="AJ19"/>
    </row>
    <row r="20" spans="1:36" x14ac:dyDescent="0.2">
      <c r="A20" s="5">
        <f>DAY(Kalenteri!A47)</f>
        <v>16</v>
      </c>
      <c r="B20" s="3" t="str">
        <f>IF(Kalenteri!B47=1,"su",IF(Kalenteri!B47=2,"ma",IF(Kalenteri!B47=3,"ti",IF(Kalenteri!B47=4,"ke",IF(Kalenteri!B47=5,"to",IF(Kalenteri!B47=6,"pe",IF(Kalenteri!B47=7,"la",)))))))</f>
        <v>la</v>
      </c>
      <c r="C20" s="114">
        <f>'N2'!C20+'K2'!C20</f>
        <v>605</v>
      </c>
      <c r="D20" s="115">
        <f>'N2'!D20+'K2'!D20</f>
        <v>108</v>
      </c>
      <c r="E20" s="115">
        <f>'N2'!E20+'K2'!E20</f>
        <v>0</v>
      </c>
      <c r="F20" s="116">
        <f>'N2'!F20+'K2'!F20</f>
        <v>17</v>
      </c>
      <c r="G20" s="114">
        <f>'N2'!G20+'K2'!G20</f>
        <v>1</v>
      </c>
      <c r="H20" s="116">
        <f>'N2'!H20+'K2'!H20</f>
        <v>103</v>
      </c>
      <c r="I20" s="114">
        <f>'N2'!I20+'K2'!I20</f>
        <v>0</v>
      </c>
      <c r="J20" s="116">
        <f>'N2'!J20+'K2'!J20</f>
        <v>0</v>
      </c>
      <c r="K20" s="33">
        <f>'N2'!K20+'K2'!K20</f>
        <v>834</v>
      </c>
      <c r="L20" s="115">
        <f>'N2'!L20+'K2'!L20</f>
        <v>0</v>
      </c>
      <c r="M20" s="115">
        <f>'N2'!M20+'K2'!M20</f>
        <v>0</v>
      </c>
      <c r="N20" s="115">
        <f>'N2'!N20+'K2'!N20</f>
        <v>0</v>
      </c>
      <c r="O20" s="116">
        <f>'N2'!O20+'K2'!O20</f>
        <v>0</v>
      </c>
      <c r="P20" s="115">
        <f>'N2'!P20+'K2'!P20</f>
        <v>0</v>
      </c>
      <c r="Q20" s="116">
        <f>'N2'!Q20+'K2'!Q20</f>
        <v>0</v>
      </c>
      <c r="R20" s="121">
        <f>'N2'!R20+'K2'!R20</f>
        <v>0</v>
      </c>
      <c r="S20" s="121">
        <f>'N2'!S20+'K2'!S20</f>
        <v>0</v>
      </c>
      <c r="T20" s="33">
        <f>'N2'!T20+'K2'!T20</f>
        <v>0</v>
      </c>
      <c r="U20" s="115">
        <f>'N2'!U20+'K2'!U20</f>
        <v>0</v>
      </c>
      <c r="V20" s="115">
        <f>'N2'!V20+'K2'!V20</f>
        <v>0</v>
      </c>
      <c r="W20" s="115">
        <f>'N2'!W20+'K2'!W20</f>
        <v>0</v>
      </c>
      <c r="X20" s="116">
        <f>'N2'!X20+'K2'!X20</f>
        <v>0</v>
      </c>
      <c r="Y20" s="115">
        <f>'N2'!Y20+'K2'!Y20</f>
        <v>0</v>
      </c>
      <c r="Z20" s="116">
        <f>'N2'!Z20+'K2'!Z20</f>
        <v>0</v>
      </c>
      <c r="AA20" s="121">
        <f>'N2'!AA20+'K2'!AA20</f>
        <v>0</v>
      </c>
      <c r="AB20" s="121">
        <f>'N2'!AB20+'K2'!AB20</f>
        <v>0</v>
      </c>
      <c r="AC20" s="33">
        <f>'N2'!AC20+'K2'!AC20</f>
        <v>0</v>
      </c>
      <c r="AD20" s="12">
        <f>'N2'!AD20+'K2'!AD20</f>
        <v>834</v>
      </c>
      <c r="AE20" s="39"/>
      <c r="AF20" s="39"/>
      <c r="AG20" s="39"/>
      <c r="AH20" s="39"/>
      <c r="AI20" s="39"/>
      <c r="AJ20"/>
    </row>
    <row r="21" spans="1:36" x14ac:dyDescent="0.2">
      <c r="A21" s="5">
        <f>DAY(Kalenteri!A48)</f>
        <v>17</v>
      </c>
      <c r="B21" s="3" t="str">
        <f>IF(Kalenteri!B48=1,"su",IF(Kalenteri!B48=2,"ma",IF(Kalenteri!B48=3,"ti",IF(Kalenteri!B48=4,"ke",IF(Kalenteri!B48=5,"to",IF(Kalenteri!B48=6,"pe",IF(Kalenteri!B48=7,"la",)))))))</f>
        <v>su</v>
      </c>
      <c r="C21" s="114">
        <f>'N2'!C21+'K2'!C21</f>
        <v>526</v>
      </c>
      <c r="D21" s="115">
        <f>'N2'!D21+'K2'!D21</f>
        <v>98</v>
      </c>
      <c r="E21" s="115">
        <f>'N2'!E21+'K2'!E21</f>
        <v>3</v>
      </c>
      <c r="F21" s="116">
        <f>'N2'!F21+'K2'!F21</f>
        <v>44</v>
      </c>
      <c r="G21" s="114">
        <f>'N2'!G21+'K2'!G21</f>
        <v>0</v>
      </c>
      <c r="H21" s="116">
        <f>'N2'!H21+'K2'!H21</f>
        <v>119</v>
      </c>
      <c r="I21" s="114">
        <f>'N2'!I21+'K2'!I21</f>
        <v>0</v>
      </c>
      <c r="J21" s="116">
        <f>'N2'!J21+'K2'!J21</f>
        <v>0</v>
      </c>
      <c r="K21" s="33">
        <f>'N2'!K21+'K2'!K21</f>
        <v>790</v>
      </c>
      <c r="L21" s="115">
        <f>'N2'!L21+'K2'!L21</f>
        <v>0</v>
      </c>
      <c r="M21" s="115">
        <f>'N2'!M21+'K2'!M21</f>
        <v>0</v>
      </c>
      <c r="N21" s="115">
        <f>'N2'!N21+'K2'!N21</f>
        <v>0</v>
      </c>
      <c r="O21" s="116">
        <f>'N2'!O21+'K2'!O21</f>
        <v>0</v>
      </c>
      <c r="P21" s="115">
        <f>'N2'!P21+'K2'!P21</f>
        <v>0</v>
      </c>
      <c r="Q21" s="116">
        <f>'N2'!Q21+'K2'!Q21</f>
        <v>0</v>
      </c>
      <c r="R21" s="121">
        <f>'N2'!R21+'K2'!R21</f>
        <v>0</v>
      </c>
      <c r="S21" s="121">
        <f>'N2'!S21+'K2'!S21</f>
        <v>0</v>
      </c>
      <c r="T21" s="33">
        <f>'N2'!T21+'K2'!T21</f>
        <v>0</v>
      </c>
      <c r="U21" s="115">
        <f>'N2'!U21+'K2'!U21</f>
        <v>0</v>
      </c>
      <c r="V21" s="115">
        <f>'N2'!V21+'K2'!V21</f>
        <v>0</v>
      </c>
      <c r="W21" s="115">
        <f>'N2'!W21+'K2'!W21</f>
        <v>0</v>
      </c>
      <c r="X21" s="116">
        <f>'N2'!X21+'K2'!X21</f>
        <v>0</v>
      </c>
      <c r="Y21" s="115">
        <f>'N2'!Y21+'K2'!Y21</f>
        <v>0</v>
      </c>
      <c r="Z21" s="116">
        <f>'N2'!Z21+'K2'!Z21</f>
        <v>0</v>
      </c>
      <c r="AA21" s="121">
        <f>'N2'!AA21+'K2'!AA21</f>
        <v>0</v>
      </c>
      <c r="AB21" s="121">
        <f>'N2'!AB21+'K2'!AB21</f>
        <v>0</v>
      </c>
      <c r="AC21" s="33">
        <f>'N2'!AC21+'K2'!AC21</f>
        <v>0</v>
      </c>
      <c r="AD21" s="12">
        <f>'N2'!AD21+'K2'!AD21</f>
        <v>790</v>
      </c>
      <c r="AE21" s="39"/>
      <c r="AF21" s="39"/>
      <c r="AG21" s="39"/>
      <c r="AH21" s="39"/>
      <c r="AI21" s="39"/>
      <c r="AJ21"/>
    </row>
    <row r="22" spans="1:36" x14ac:dyDescent="0.2">
      <c r="A22" s="5">
        <f>DAY(Kalenteri!A49)</f>
        <v>18</v>
      </c>
      <c r="B22" s="3" t="str">
        <f>IF(Kalenteri!B49=1,"su",IF(Kalenteri!B49=2,"ma",IF(Kalenteri!B49=3,"ti",IF(Kalenteri!B49=4,"ke",IF(Kalenteri!B49=5,"to",IF(Kalenteri!B49=6,"pe",IF(Kalenteri!B49=7,"la",)))))))</f>
        <v>ma</v>
      </c>
      <c r="C22" s="114">
        <f>'N2'!C22+'K2'!C22</f>
        <v>34</v>
      </c>
      <c r="D22" s="115">
        <f>'N2'!D22+'K2'!D22</f>
        <v>183</v>
      </c>
      <c r="E22" s="115">
        <f>'N2'!E22+'K2'!E22</f>
        <v>0</v>
      </c>
      <c r="F22" s="116">
        <f>'N2'!F22+'K2'!F22</f>
        <v>113</v>
      </c>
      <c r="G22" s="114">
        <f>'N2'!G22+'K2'!G22</f>
        <v>9</v>
      </c>
      <c r="H22" s="116">
        <f>'N2'!H22+'K2'!H22</f>
        <v>60</v>
      </c>
      <c r="I22" s="114">
        <f>'N2'!I22+'K2'!I22</f>
        <v>18</v>
      </c>
      <c r="J22" s="116">
        <f>'N2'!J22+'K2'!J22</f>
        <v>27</v>
      </c>
      <c r="K22" s="33">
        <f>'N2'!K22+'K2'!K22</f>
        <v>444</v>
      </c>
      <c r="L22" s="115">
        <f>'N2'!L22+'K2'!L22</f>
        <v>0</v>
      </c>
      <c r="M22" s="115">
        <f>'N2'!M22+'K2'!M22</f>
        <v>0</v>
      </c>
      <c r="N22" s="115">
        <f>'N2'!N22+'K2'!N22</f>
        <v>0</v>
      </c>
      <c r="O22" s="116">
        <f>'N2'!O22+'K2'!O22</f>
        <v>0</v>
      </c>
      <c r="P22" s="115">
        <f>'N2'!P22+'K2'!P22</f>
        <v>0</v>
      </c>
      <c r="Q22" s="116">
        <f>'N2'!Q22+'K2'!Q22</f>
        <v>0</v>
      </c>
      <c r="R22" s="121">
        <f>'N2'!R22+'K2'!R22</f>
        <v>0</v>
      </c>
      <c r="S22" s="121">
        <f>'N2'!S22+'K2'!S22</f>
        <v>0</v>
      </c>
      <c r="T22" s="33">
        <f>'N2'!T22+'K2'!T22</f>
        <v>0</v>
      </c>
      <c r="U22" s="115">
        <f>'N2'!U22+'K2'!U22</f>
        <v>0</v>
      </c>
      <c r="V22" s="115">
        <f>'N2'!V22+'K2'!V22</f>
        <v>0</v>
      </c>
      <c r="W22" s="115">
        <f>'N2'!W22+'K2'!W22</f>
        <v>0</v>
      </c>
      <c r="X22" s="116">
        <f>'N2'!X22+'K2'!X22</f>
        <v>0</v>
      </c>
      <c r="Y22" s="115">
        <f>'N2'!Y22+'K2'!Y22</f>
        <v>0</v>
      </c>
      <c r="Z22" s="116">
        <f>'N2'!Z22+'K2'!Z22</f>
        <v>0</v>
      </c>
      <c r="AA22" s="121">
        <f>'N2'!AA22+'K2'!AA22</f>
        <v>0</v>
      </c>
      <c r="AB22" s="121">
        <f>'N2'!AB22+'K2'!AB22</f>
        <v>0</v>
      </c>
      <c r="AC22" s="33">
        <f>'N2'!AC22+'K2'!AC22</f>
        <v>0</v>
      </c>
      <c r="AD22" s="12">
        <f>'N2'!AD22+'K2'!AD22</f>
        <v>444</v>
      </c>
      <c r="AE22" s="39"/>
      <c r="AF22" s="39"/>
      <c r="AG22" s="39"/>
      <c r="AH22" s="39"/>
      <c r="AI22" s="39"/>
      <c r="AJ22"/>
    </row>
    <row r="23" spans="1:36" x14ac:dyDescent="0.2">
      <c r="A23" s="5">
        <f>DAY(Kalenteri!A50)</f>
        <v>19</v>
      </c>
      <c r="B23" s="3" t="str">
        <f>IF(Kalenteri!B50=1,"su",IF(Kalenteri!B50=2,"ma",IF(Kalenteri!B50=3,"ti",IF(Kalenteri!B50=4,"ke",IF(Kalenteri!B50=5,"to",IF(Kalenteri!B50=6,"pe",IF(Kalenteri!B50=7,"la",)))))))</f>
        <v>ti</v>
      </c>
      <c r="C23" s="114">
        <f>'N2'!C23+'K2'!C23</f>
        <v>208</v>
      </c>
      <c r="D23" s="115">
        <f>'N2'!D23+'K2'!D23</f>
        <v>135</v>
      </c>
      <c r="E23" s="115">
        <f>'N2'!E23+'K2'!E23</f>
        <v>5</v>
      </c>
      <c r="F23" s="116">
        <f>'N2'!F23+'K2'!F23</f>
        <v>12</v>
      </c>
      <c r="G23" s="114">
        <f>'N2'!G23+'K2'!G23</f>
        <v>11</v>
      </c>
      <c r="H23" s="116">
        <f>'N2'!H23+'K2'!H23</f>
        <v>79</v>
      </c>
      <c r="I23" s="114">
        <f>'N2'!I23+'K2'!I23</f>
        <v>0</v>
      </c>
      <c r="J23" s="116">
        <f>'N2'!J23+'K2'!J23</f>
        <v>0</v>
      </c>
      <c r="K23" s="33">
        <f>'N2'!K23+'K2'!K23</f>
        <v>450</v>
      </c>
      <c r="L23" s="115">
        <f>'N2'!L23+'K2'!L23</f>
        <v>0</v>
      </c>
      <c r="M23" s="115">
        <f>'N2'!M23+'K2'!M23</f>
        <v>0</v>
      </c>
      <c r="N23" s="115">
        <f>'N2'!N23+'K2'!N23</f>
        <v>0</v>
      </c>
      <c r="O23" s="116">
        <f>'N2'!O23+'K2'!O23</f>
        <v>0</v>
      </c>
      <c r="P23" s="115">
        <f>'N2'!P23+'K2'!P23</f>
        <v>0</v>
      </c>
      <c r="Q23" s="116">
        <f>'N2'!Q23+'K2'!Q23</f>
        <v>0</v>
      </c>
      <c r="R23" s="121">
        <f>'N2'!R23+'K2'!R23</f>
        <v>0</v>
      </c>
      <c r="S23" s="121">
        <f>'N2'!S23+'K2'!S23</f>
        <v>0</v>
      </c>
      <c r="T23" s="33">
        <f>'N2'!T23+'K2'!T23</f>
        <v>0</v>
      </c>
      <c r="U23" s="115">
        <f>'N2'!U23+'K2'!U23</f>
        <v>0</v>
      </c>
      <c r="V23" s="115">
        <f>'N2'!V23+'K2'!V23</f>
        <v>0</v>
      </c>
      <c r="W23" s="115">
        <f>'N2'!W23+'K2'!W23</f>
        <v>0</v>
      </c>
      <c r="X23" s="116">
        <f>'N2'!X23+'K2'!X23</f>
        <v>0</v>
      </c>
      <c r="Y23" s="115">
        <f>'N2'!Y23+'K2'!Y23</f>
        <v>0</v>
      </c>
      <c r="Z23" s="116">
        <f>'N2'!Z23+'K2'!Z23</f>
        <v>0</v>
      </c>
      <c r="AA23" s="121">
        <f>'N2'!AA23+'K2'!AA23</f>
        <v>0</v>
      </c>
      <c r="AB23" s="121">
        <f>'N2'!AB23+'K2'!AB23</f>
        <v>0</v>
      </c>
      <c r="AC23" s="33">
        <f>'N2'!AC23+'K2'!AC23</f>
        <v>0</v>
      </c>
      <c r="AD23" s="12">
        <f>'N2'!AD23+'K2'!AD23</f>
        <v>450</v>
      </c>
      <c r="AE23" s="39"/>
      <c r="AF23" s="39"/>
      <c r="AG23" s="39"/>
      <c r="AH23" s="39"/>
      <c r="AI23" s="39"/>
      <c r="AJ23"/>
    </row>
    <row r="24" spans="1:36" x14ac:dyDescent="0.2">
      <c r="A24" s="5">
        <f>DAY(Kalenteri!A51)</f>
        <v>20</v>
      </c>
      <c r="B24" s="3" t="str">
        <f>IF(Kalenteri!B51=1,"su",IF(Kalenteri!B51=2,"ma",IF(Kalenteri!B51=3,"ti",IF(Kalenteri!B51=4,"ke",IF(Kalenteri!B51=5,"to",IF(Kalenteri!B51=6,"pe",IF(Kalenteri!B51=7,"la",)))))))</f>
        <v>ke</v>
      </c>
      <c r="C24" s="114">
        <f>'N2'!C24+'K2'!C24</f>
        <v>275</v>
      </c>
      <c r="D24" s="115">
        <f>'N2'!D24+'K2'!D24</f>
        <v>186</v>
      </c>
      <c r="E24" s="115">
        <f>'N2'!E24+'K2'!E24</f>
        <v>0</v>
      </c>
      <c r="F24" s="116">
        <f>'N2'!F24+'K2'!F24</f>
        <v>30</v>
      </c>
      <c r="G24" s="114">
        <f>'N2'!G24+'K2'!G24</f>
        <v>16</v>
      </c>
      <c r="H24" s="116">
        <f>'N2'!H24+'K2'!H24</f>
        <v>88</v>
      </c>
      <c r="I24" s="114">
        <f>'N2'!I24+'K2'!I24</f>
        <v>0</v>
      </c>
      <c r="J24" s="116">
        <f>'N2'!J24+'K2'!J24</f>
        <v>0</v>
      </c>
      <c r="K24" s="33">
        <f>'N2'!K24+'K2'!K24</f>
        <v>595</v>
      </c>
      <c r="L24" s="115">
        <f>'N2'!L24+'K2'!L24</f>
        <v>0</v>
      </c>
      <c r="M24" s="115">
        <f>'N2'!M24+'K2'!M24</f>
        <v>0</v>
      </c>
      <c r="N24" s="115">
        <f>'N2'!N24+'K2'!N24</f>
        <v>0</v>
      </c>
      <c r="O24" s="116">
        <f>'N2'!O24+'K2'!O24</f>
        <v>0</v>
      </c>
      <c r="P24" s="115">
        <f>'N2'!P24+'K2'!P24</f>
        <v>0</v>
      </c>
      <c r="Q24" s="116">
        <f>'N2'!Q24+'K2'!Q24</f>
        <v>0</v>
      </c>
      <c r="R24" s="121">
        <f>'N2'!R24+'K2'!R24</f>
        <v>0</v>
      </c>
      <c r="S24" s="121">
        <f>'N2'!S24+'K2'!S24</f>
        <v>0</v>
      </c>
      <c r="T24" s="33">
        <f>'N2'!T24+'K2'!T24</f>
        <v>0</v>
      </c>
      <c r="U24" s="115">
        <f>'N2'!U24+'K2'!U24</f>
        <v>0</v>
      </c>
      <c r="V24" s="115">
        <f>'N2'!V24+'K2'!V24</f>
        <v>0</v>
      </c>
      <c r="W24" s="115">
        <f>'N2'!W24+'K2'!W24</f>
        <v>0</v>
      </c>
      <c r="X24" s="116">
        <f>'N2'!X24+'K2'!X24</f>
        <v>0</v>
      </c>
      <c r="Y24" s="115">
        <f>'N2'!Y24+'K2'!Y24</f>
        <v>0</v>
      </c>
      <c r="Z24" s="116">
        <f>'N2'!Z24+'K2'!Z24</f>
        <v>0</v>
      </c>
      <c r="AA24" s="121">
        <f>'N2'!AA24+'K2'!AA24</f>
        <v>0</v>
      </c>
      <c r="AB24" s="121">
        <f>'N2'!AB24+'K2'!AB24</f>
        <v>0</v>
      </c>
      <c r="AC24" s="33">
        <f>'N2'!AC24+'K2'!AC24</f>
        <v>0</v>
      </c>
      <c r="AD24" s="12">
        <f>'N2'!AD24+'K2'!AD24</f>
        <v>595</v>
      </c>
      <c r="AE24" s="39"/>
      <c r="AF24" s="39"/>
      <c r="AG24" s="39"/>
      <c r="AH24" s="39"/>
      <c r="AI24" s="39"/>
      <c r="AJ24" s="39"/>
    </row>
    <row r="25" spans="1:36" x14ac:dyDescent="0.2">
      <c r="A25" s="5">
        <f>DAY(Kalenteri!A52)</f>
        <v>21</v>
      </c>
      <c r="B25" s="3" t="str">
        <f>IF(Kalenteri!B52=1,"su",IF(Kalenteri!B52=2,"ma",IF(Kalenteri!B52=3,"ti",IF(Kalenteri!B52=4,"ke",IF(Kalenteri!B52=5,"to",IF(Kalenteri!B52=6,"pe",IF(Kalenteri!B52=7,"la",)))))))</f>
        <v>to</v>
      </c>
      <c r="C25" s="114">
        <f>'N2'!C25+'K2'!C25</f>
        <v>302</v>
      </c>
      <c r="D25" s="115">
        <f>'N2'!D25+'K2'!D25</f>
        <v>194</v>
      </c>
      <c r="E25" s="115">
        <f>'N2'!E25+'K2'!E25</f>
        <v>5</v>
      </c>
      <c r="F25" s="116">
        <f>'N2'!F25+'K2'!F25</f>
        <v>19</v>
      </c>
      <c r="G25" s="114">
        <f>'N2'!G25+'K2'!G25</f>
        <v>0</v>
      </c>
      <c r="H25" s="116">
        <f>'N2'!H25+'K2'!H25</f>
        <v>86</v>
      </c>
      <c r="I25" s="114">
        <f>'N2'!I25+'K2'!I25</f>
        <v>0</v>
      </c>
      <c r="J25" s="116">
        <f>'N2'!J25+'K2'!J25</f>
        <v>0</v>
      </c>
      <c r="K25" s="33">
        <f>'N2'!K25+'K2'!K25</f>
        <v>606</v>
      </c>
      <c r="L25" s="115">
        <f>'N2'!L25+'K2'!L25</f>
        <v>0</v>
      </c>
      <c r="M25" s="115">
        <f>'N2'!M25+'K2'!M25</f>
        <v>0</v>
      </c>
      <c r="N25" s="115">
        <f>'N2'!N25+'K2'!N25</f>
        <v>0</v>
      </c>
      <c r="O25" s="116">
        <f>'N2'!O25+'K2'!O25</f>
        <v>0</v>
      </c>
      <c r="P25" s="115">
        <f>'N2'!P25+'K2'!P25</f>
        <v>0</v>
      </c>
      <c r="Q25" s="116">
        <f>'N2'!Q25+'K2'!Q25</f>
        <v>0</v>
      </c>
      <c r="R25" s="121">
        <f>'N2'!R25+'K2'!R25</f>
        <v>0</v>
      </c>
      <c r="S25" s="121">
        <f>'N2'!S25+'K2'!S25</f>
        <v>0</v>
      </c>
      <c r="T25" s="33">
        <f>'N2'!T25+'K2'!T25</f>
        <v>0</v>
      </c>
      <c r="U25" s="115">
        <f>'N2'!U25+'K2'!U25</f>
        <v>0</v>
      </c>
      <c r="V25" s="115">
        <f>'N2'!V25+'K2'!V25</f>
        <v>0</v>
      </c>
      <c r="W25" s="115">
        <f>'N2'!W25+'K2'!W25</f>
        <v>0</v>
      </c>
      <c r="X25" s="116">
        <f>'N2'!X25+'K2'!X25</f>
        <v>0</v>
      </c>
      <c r="Y25" s="115">
        <f>'N2'!Y25+'K2'!Y25</f>
        <v>0</v>
      </c>
      <c r="Z25" s="116">
        <f>'N2'!Z25+'K2'!Z25</f>
        <v>0</v>
      </c>
      <c r="AA25" s="121">
        <f>'N2'!AA25+'K2'!AA25</f>
        <v>0</v>
      </c>
      <c r="AB25" s="121">
        <f>'N2'!AB25+'K2'!AB25</f>
        <v>0</v>
      </c>
      <c r="AC25" s="33">
        <f>'N2'!AC25+'K2'!AC25</f>
        <v>0</v>
      </c>
      <c r="AD25" s="12">
        <f>'N2'!AD25+'K2'!AD25</f>
        <v>606</v>
      </c>
      <c r="AE25" s="39"/>
      <c r="AF25" s="39"/>
      <c r="AG25" s="39"/>
      <c r="AH25" s="39"/>
      <c r="AI25" s="39"/>
      <c r="AJ25" s="39"/>
    </row>
    <row r="26" spans="1:36" x14ac:dyDescent="0.2">
      <c r="A26" s="5">
        <f>DAY(Kalenteri!A53)</f>
        <v>22</v>
      </c>
      <c r="B26" s="3" t="str">
        <f>IF(Kalenteri!B53=1,"su",IF(Kalenteri!B53=2,"ma",IF(Kalenteri!B53=3,"ti",IF(Kalenteri!B53=4,"ke",IF(Kalenteri!B53=5,"to",IF(Kalenteri!B53=6,"pe",IF(Kalenteri!B53=7,"la",)))))))</f>
        <v>pe</v>
      </c>
      <c r="C26" s="114">
        <f>'N2'!C26+'K2'!C26</f>
        <v>350</v>
      </c>
      <c r="D26" s="115">
        <f>'N2'!D26+'K2'!D26</f>
        <v>218</v>
      </c>
      <c r="E26" s="115">
        <f>'N2'!E26+'K2'!E26</f>
        <v>0</v>
      </c>
      <c r="F26" s="116">
        <f>'N2'!F26+'K2'!F26</f>
        <v>9</v>
      </c>
      <c r="G26" s="114">
        <f>'N2'!G26+'K2'!G26</f>
        <v>0</v>
      </c>
      <c r="H26" s="116">
        <f>'N2'!H26+'K2'!H26</f>
        <v>107</v>
      </c>
      <c r="I26" s="114">
        <f>'N2'!I26+'K2'!I26</f>
        <v>0</v>
      </c>
      <c r="J26" s="116">
        <f>'N2'!J26+'K2'!J26</f>
        <v>0</v>
      </c>
      <c r="K26" s="33">
        <f>'N2'!K26+'K2'!K26</f>
        <v>684</v>
      </c>
      <c r="L26" s="115">
        <f>'N2'!L26+'K2'!L26</f>
        <v>0</v>
      </c>
      <c r="M26" s="115">
        <f>'N2'!M26+'K2'!M26</f>
        <v>0</v>
      </c>
      <c r="N26" s="115">
        <f>'N2'!N26+'K2'!N26</f>
        <v>0</v>
      </c>
      <c r="O26" s="116">
        <f>'N2'!O26+'K2'!O26</f>
        <v>0</v>
      </c>
      <c r="P26" s="115">
        <f>'N2'!P26+'K2'!P26</f>
        <v>0</v>
      </c>
      <c r="Q26" s="116">
        <f>'N2'!Q26+'K2'!Q26</f>
        <v>0</v>
      </c>
      <c r="R26" s="121">
        <f>'N2'!R26+'K2'!R26</f>
        <v>0</v>
      </c>
      <c r="S26" s="121">
        <f>'N2'!S26+'K2'!S26</f>
        <v>0</v>
      </c>
      <c r="T26" s="33">
        <f>'N2'!T26+'K2'!T26</f>
        <v>0</v>
      </c>
      <c r="U26" s="115">
        <f>'N2'!U26+'K2'!U26</f>
        <v>0</v>
      </c>
      <c r="V26" s="115">
        <f>'N2'!V26+'K2'!V26</f>
        <v>0</v>
      </c>
      <c r="W26" s="115">
        <f>'N2'!W26+'K2'!W26</f>
        <v>0</v>
      </c>
      <c r="X26" s="116">
        <f>'N2'!X26+'K2'!X26</f>
        <v>0</v>
      </c>
      <c r="Y26" s="115">
        <f>'N2'!Y26+'K2'!Y26</f>
        <v>0</v>
      </c>
      <c r="Z26" s="116">
        <f>'N2'!Z26+'K2'!Z26</f>
        <v>0</v>
      </c>
      <c r="AA26" s="121">
        <f>'N2'!AA26+'K2'!AA26</f>
        <v>0</v>
      </c>
      <c r="AB26" s="121">
        <f>'N2'!AB26+'K2'!AB26</f>
        <v>0</v>
      </c>
      <c r="AC26" s="33">
        <f>'N2'!AC26+'K2'!AC26</f>
        <v>0</v>
      </c>
      <c r="AD26" s="12">
        <f>'N2'!AD26+'K2'!AD26</f>
        <v>684</v>
      </c>
      <c r="AE26" s="39"/>
      <c r="AF26" s="39"/>
      <c r="AG26" s="39"/>
      <c r="AH26" s="39"/>
      <c r="AI26" s="39"/>
      <c r="AJ26" s="39"/>
    </row>
    <row r="27" spans="1:36" x14ac:dyDescent="0.2">
      <c r="A27" s="5">
        <f>DAY(Kalenteri!A54)</f>
        <v>23</v>
      </c>
      <c r="B27" s="3" t="str">
        <f>IF(Kalenteri!B54=1,"su",IF(Kalenteri!B54=2,"ma",IF(Kalenteri!B54=3,"ti",IF(Kalenteri!B54=4,"ke",IF(Kalenteri!B54=5,"to",IF(Kalenteri!B54=6,"pe",IF(Kalenteri!B54=7,"la",)))))))</f>
        <v>la</v>
      </c>
      <c r="C27" s="114">
        <f>'N2'!C27+'K2'!C27</f>
        <v>454</v>
      </c>
      <c r="D27" s="115">
        <f>'N2'!D27+'K2'!D27</f>
        <v>121</v>
      </c>
      <c r="E27" s="115">
        <f>'N2'!E27+'K2'!E27</f>
        <v>0</v>
      </c>
      <c r="F27" s="116">
        <f>'N2'!F27+'K2'!F27</f>
        <v>23</v>
      </c>
      <c r="G27" s="114">
        <f>'N2'!G27+'K2'!G27</f>
        <v>1</v>
      </c>
      <c r="H27" s="116">
        <f>'N2'!H27+'K2'!H27</f>
        <v>136</v>
      </c>
      <c r="I27" s="114">
        <f>'N2'!I27+'K2'!I27</f>
        <v>0</v>
      </c>
      <c r="J27" s="116">
        <f>'N2'!J27+'K2'!J27</f>
        <v>0</v>
      </c>
      <c r="K27" s="33">
        <f>'N2'!K27+'K2'!K27</f>
        <v>735</v>
      </c>
      <c r="L27" s="115">
        <f>'N2'!L27+'K2'!L27</f>
        <v>0</v>
      </c>
      <c r="M27" s="115">
        <f>'N2'!M27+'K2'!M27</f>
        <v>0</v>
      </c>
      <c r="N27" s="115">
        <f>'N2'!N27+'K2'!N27</f>
        <v>0</v>
      </c>
      <c r="O27" s="116">
        <f>'N2'!O27+'K2'!O27</f>
        <v>0</v>
      </c>
      <c r="P27" s="115">
        <f>'N2'!P27+'K2'!P27</f>
        <v>0</v>
      </c>
      <c r="Q27" s="116">
        <f>'N2'!Q27+'K2'!Q27</f>
        <v>0</v>
      </c>
      <c r="R27" s="121">
        <f>'N2'!R27+'K2'!R27</f>
        <v>0</v>
      </c>
      <c r="S27" s="121">
        <f>'N2'!S27+'K2'!S27</f>
        <v>0</v>
      </c>
      <c r="T27" s="33">
        <f>'N2'!T27+'K2'!T27</f>
        <v>0</v>
      </c>
      <c r="U27" s="115">
        <f>'N2'!U27+'K2'!U27</f>
        <v>0</v>
      </c>
      <c r="V27" s="115">
        <f>'N2'!V27+'K2'!V27</f>
        <v>0</v>
      </c>
      <c r="W27" s="115">
        <f>'N2'!W27+'K2'!W27</f>
        <v>0</v>
      </c>
      <c r="X27" s="116">
        <f>'N2'!X27+'K2'!X27</f>
        <v>0</v>
      </c>
      <c r="Y27" s="115">
        <f>'N2'!Y27+'K2'!Y27</f>
        <v>0</v>
      </c>
      <c r="Z27" s="116">
        <f>'N2'!Z27+'K2'!Z27</f>
        <v>0</v>
      </c>
      <c r="AA27" s="121">
        <f>'N2'!AA27+'K2'!AA27</f>
        <v>0</v>
      </c>
      <c r="AB27" s="121">
        <f>'N2'!AB27+'K2'!AB27</f>
        <v>0</v>
      </c>
      <c r="AC27" s="33">
        <f>'N2'!AC27+'K2'!AC27</f>
        <v>0</v>
      </c>
      <c r="AD27" s="12">
        <f>'N2'!AD27+'K2'!AD27</f>
        <v>735</v>
      </c>
      <c r="AE27" s="39"/>
      <c r="AF27" s="39"/>
      <c r="AG27" s="39"/>
      <c r="AH27" s="39"/>
      <c r="AI27" s="39"/>
      <c r="AJ27" s="39"/>
    </row>
    <row r="28" spans="1:36" x14ac:dyDescent="0.2">
      <c r="A28" s="5">
        <f>DAY(Kalenteri!A55)</f>
        <v>24</v>
      </c>
      <c r="B28" s="3" t="str">
        <f>IF(Kalenteri!B55=1,"su",IF(Kalenteri!B55=2,"ma",IF(Kalenteri!B55=3,"ti",IF(Kalenteri!B55=4,"ke",IF(Kalenteri!B55=5,"to",IF(Kalenteri!B55=6,"pe",IF(Kalenteri!B55=7,"la",)))))))</f>
        <v>su</v>
      </c>
      <c r="C28" s="114">
        <f>'N2'!C28+'K2'!C28</f>
        <v>649</v>
      </c>
      <c r="D28" s="115">
        <f>'N2'!D28+'K2'!D28</f>
        <v>176</v>
      </c>
      <c r="E28" s="115">
        <f>'N2'!E28+'K2'!E28</f>
        <v>0</v>
      </c>
      <c r="F28" s="116">
        <f>'N2'!F28+'K2'!F28</f>
        <v>54</v>
      </c>
      <c r="G28" s="114">
        <f>'N2'!G28+'K2'!G28</f>
        <v>5</v>
      </c>
      <c r="H28" s="116">
        <f>'N2'!H28+'K2'!H28</f>
        <v>162</v>
      </c>
      <c r="I28" s="114">
        <f>'N2'!I28+'K2'!I28</f>
        <v>0</v>
      </c>
      <c r="J28" s="116">
        <f>'N2'!J28+'K2'!J28</f>
        <v>0</v>
      </c>
      <c r="K28" s="33">
        <f>'N2'!K28+'K2'!K28</f>
        <v>1046</v>
      </c>
      <c r="L28" s="115">
        <f>'N2'!L28+'K2'!L28</f>
        <v>0</v>
      </c>
      <c r="M28" s="115">
        <f>'N2'!M28+'K2'!M28</f>
        <v>0</v>
      </c>
      <c r="N28" s="115">
        <f>'N2'!N28+'K2'!N28</f>
        <v>0</v>
      </c>
      <c r="O28" s="116">
        <f>'N2'!O28+'K2'!O28</f>
        <v>0</v>
      </c>
      <c r="P28" s="115">
        <f>'N2'!P28+'K2'!P28</f>
        <v>0</v>
      </c>
      <c r="Q28" s="116">
        <f>'N2'!Q28+'K2'!Q28</f>
        <v>0</v>
      </c>
      <c r="R28" s="121">
        <f>'N2'!R28+'K2'!R28</f>
        <v>0</v>
      </c>
      <c r="S28" s="121">
        <f>'N2'!S28+'K2'!S28</f>
        <v>0</v>
      </c>
      <c r="T28" s="33">
        <f>'N2'!T28+'K2'!T28</f>
        <v>0</v>
      </c>
      <c r="U28" s="115">
        <f>'N2'!U28+'K2'!U28</f>
        <v>0</v>
      </c>
      <c r="V28" s="115">
        <f>'N2'!V28+'K2'!V28</f>
        <v>0</v>
      </c>
      <c r="W28" s="115">
        <f>'N2'!W28+'K2'!W28</f>
        <v>0</v>
      </c>
      <c r="X28" s="116">
        <f>'N2'!X28+'K2'!X28</f>
        <v>0</v>
      </c>
      <c r="Y28" s="115">
        <f>'N2'!Y28+'K2'!Y28</f>
        <v>0</v>
      </c>
      <c r="Z28" s="116">
        <f>'N2'!Z28+'K2'!Z28</f>
        <v>0</v>
      </c>
      <c r="AA28" s="121">
        <f>'N2'!AA28+'K2'!AA28</f>
        <v>0</v>
      </c>
      <c r="AB28" s="121">
        <f>'N2'!AB28+'K2'!AB28</f>
        <v>0</v>
      </c>
      <c r="AC28" s="33">
        <f>'N2'!AC28+'K2'!AC28</f>
        <v>0</v>
      </c>
      <c r="AD28" s="12">
        <f>'N2'!AD28+'K2'!AD28</f>
        <v>1046</v>
      </c>
      <c r="AE28" s="39"/>
      <c r="AF28" s="39"/>
      <c r="AG28" s="39"/>
      <c r="AH28" s="39"/>
      <c r="AI28" s="39"/>
      <c r="AJ28" s="39"/>
    </row>
    <row r="29" spans="1:36" x14ac:dyDescent="0.2">
      <c r="A29" s="5">
        <f>DAY(Kalenteri!A56)</f>
        <v>25</v>
      </c>
      <c r="B29" s="3" t="str">
        <f>IF(Kalenteri!B56=1,"su",IF(Kalenteri!B56=2,"ma",IF(Kalenteri!B56=3,"ti",IF(Kalenteri!B56=4,"ke",IF(Kalenteri!B56=5,"to",IF(Kalenteri!B56=6,"pe",IF(Kalenteri!B56=7,"la",)))))))</f>
        <v>ma</v>
      </c>
      <c r="C29" s="114">
        <f>'N2'!C29+'K2'!C29</f>
        <v>174</v>
      </c>
      <c r="D29" s="115">
        <f>'N2'!D29+'K2'!D29</f>
        <v>67</v>
      </c>
      <c r="E29" s="115">
        <f>'N2'!E29+'K2'!E29</f>
        <v>0</v>
      </c>
      <c r="F29" s="116">
        <f>'N2'!F29+'K2'!F29</f>
        <v>3</v>
      </c>
      <c r="G29" s="114">
        <f>'N2'!G29+'K2'!G29</f>
        <v>8</v>
      </c>
      <c r="H29" s="116">
        <f>'N2'!H29+'K2'!H29</f>
        <v>65</v>
      </c>
      <c r="I29" s="114">
        <f>'N2'!I29+'K2'!I29</f>
        <v>0</v>
      </c>
      <c r="J29" s="116">
        <f>'N2'!J29+'K2'!J29</f>
        <v>0</v>
      </c>
      <c r="K29" s="33">
        <f>'N2'!K29+'K2'!K29</f>
        <v>317</v>
      </c>
      <c r="L29" s="115">
        <f>'N2'!L29+'K2'!L29</f>
        <v>0</v>
      </c>
      <c r="M29" s="115">
        <f>'N2'!M29+'K2'!M29</f>
        <v>0</v>
      </c>
      <c r="N29" s="115">
        <f>'N2'!N29+'K2'!N29</f>
        <v>0</v>
      </c>
      <c r="O29" s="116">
        <f>'N2'!O29+'K2'!O29</f>
        <v>0</v>
      </c>
      <c r="P29" s="115">
        <f>'N2'!P29+'K2'!P29</f>
        <v>0</v>
      </c>
      <c r="Q29" s="116">
        <f>'N2'!Q29+'K2'!Q29</f>
        <v>0</v>
      </c>
      <c r="R29" s="121">
        <f>'N2'!R29+'K2'!R29</f>
        <v>0</v>
      </c>
      <c r="S29" s="121">
        <f>'N2'!S29+'K2'!S29</f>
        <v>0</v>
      </c>
      <c r="T29" s="33">
        <f>'N2'!T29+'K2'!T29</f>
        <v>0</v>
      </c>
      <c r="U29" s="115">
        <f>'N2'!U29+'K2'!U29</f>
        <v>0</v>
      </c>
      <c r="V29" s="115">
        <f>'N2'!V29+'K2'!V29</f>
        <v>0</v>
      </c>
      <c r="W29" s="115">
        <f>'N2'!W29+'K2'!W29</f>
        <v>0</v>
      </c>
      <c r="X29" s="116">
        <f>'N2'!X29+'K2'!X29</f>
        <v>0</v>
      </c>
      <c r="Y29" s="115">
        <f>'N2'!Y29+'K2'!Y29</f>
        <v>0</v>
      </c>
      <c r="Z29" s="116">
        <f>'N2'!Z29+'K2'!Z29</f>
        <v>0</v>
      </c>
      <c r="AA29" s="121">
        <f>'N2'!AA29+'K2'!AA29</f>
        <v>0</v>
      </c>
      <c r="AB29" s="121">
        <f>'N2'!AB29+'K2'!AB29</f>
        <v>0</v>
      </c>
      <c r="AC29" s="33">
        <f>'N2'!AC29+'K2'!AC29</f>
        <v>0</v>
      </c>
      <c r="AD29" s="12">
        <f>'N2'!AD29+'K2'!AD29</f>
        <v>317</v>
      </c>
      <c r="AE29" s="39"/>
      <c r="AF29" s="39"/>
      <c r="AG29" s="39"/>
      <c r="AH29" s="39"/>
      <c r="AI29" s="39"/>
      <c r="AJ29" s="39"/>
    </row>
    <row r="30" spans="1:36" x14ac:dyDescent="0.2">
      <c r="A30" s="5">
        <f>DAY(Kalenteri!A57)</f>
        <v>26</v>
      </c>
      <c r="B30" s="3" t="str">
        <f>IF(Kalenteri!B57=1,"su",IF(Kalenteri!B57=2,"ma",IF(Kalenteri!B57=3,"ti",IF(Kalenteri!B57=4,"ke",IF(Kalenteri!B57=5,"to",IF(Kalenteri!B57=6,"pe",IF(Kalenteri!B57=7,"la",)))))))</f>
        <v>ti</v>
      </c>
      <c r="C30" s="114">
        <f>'N2'!C30+'K2'!C30</f>
        <v>102</v>
      </c>
      <c r="D30" s="115">
        <f>'N2'!D30+'K2'!D30</f>
        <v>40</v>
      </c>
      <c r="E30" s="115">
        <f>'N2'!E30+'K2'!E30</f>
        <v>0</v>
      </c>
      <c r="F30" s="116">
        <f>'N2'!F30+'K2'!F30</f>
        <v>3</v>
      </c>
      <c r="G30" s="114">
        <f>'N2'!G30+'K2'!G30</f>
        <v>3</v>
      </c>
      <c r="H30" s="116">
        <f>'N2'!H30+'K2'!H30</f>
        <v>42</v>
      </c>
      <c r="I30" s="114">
        <f>'N2'!I30+'K2'!I30</f>
        <v>0</v>
      </c>
      <c r="J30" s="116">
        <f>'N2'!J30+'K2'!J30</f>
        <v>0</v>
      </c>
      <c r="K30" s="33">
        <f>'N2'!K30+'K2'!K30</f>
        <v>190</v>
      </c>
      <c r="L30" s="115">
        <f>'N2'!L30+'K2'!L30</f>
        <v>0</v>
      </c>
      <c r="M30" s="115">
        <f>'N2'!M30+'K2'!M30</f>
        <v>0</v>
      </c>
      <c r="N30" s="115">
        <f>'N2'!N30+'K2'!N30</f>
        <v>0</v>
      </c>
      <c r="O30" s="116">
        <f>'N2'!O30+'K2'!O30</f>
        <v>0</v>
      </c>
      <c r="P30" s="115">
        <f>'N2'!P30+'K2'!P30</f>
        <v>0</v>
      </c>
      <c r="Q30" s="116">
        <f>'N2'!Q30+'K2'!Q30</f>
        <v>0</v>
      </c>
      <c r="R30" s="121">
        <f>'N2'!R30+'K2'!R30</f>
        <v>0</v>
      </c>
      <c r="S30" s="121">
        <f>'N2'!S30+'K2'!S30</f>
        <v>0</v>
      </c>
      <c r="T30" s="33">
        <f>'N2'!T30+'K2'!T30</f>
        <v>0</v>
      </c>
      <c r="U30" s="115">
        <f>'N2'!U30+'K2'!U30</f>
        <v>0</v>
      </c>
      <c r="V30" s="115">
        <f>'N2'!V30+'K2'!V30</f>
        <v>0</v>
      </c>
      <c r="W30" s="115">
        <f>'N2'!W30+'K2'!W30</f>
        <v>0</v>
      </c>
      <c r="X30" s="116">
        <f>'N2'!X30+'K2'!X30</f>
        <v>0</v>
      </c>
      <c r="Y30" s="115">
        <f>'N2'!Y30+'K2'!Y30</f>
        <v>0</v>
      </c>
      <c r="Z30" s="116">
        <f>'N2'!Z30+'K2'!Z30</f>
        <v>0</v>
      </c>
      <c r="AA30" s="121">
        <f>'N2'!AA30+'K2'!AA30</f>
        <v>0</v>
      </c>
      <c r="AB30" s="121">
        <f>'N2'!AB30+'K2'!AB30</f>
        <v>0</v>
      </c>
      <c r="AC30" s="33">
        <f>'N2'!AC30+'K2'!AC30</f>
        <v>0</v>
      </c>
      <c r="AD30" s="12">
        <f>'N2'!AD30+'K2'!AD30</f>
        <v>190</v>
      </c>
      <c r="AE30" s="39"/>
      <c r="AF30" s="39"/>
      <c r="AG30" s="39"/>
      <c r="AH30" s="39"/>
      <c r="AI30" s="39"/>
      <c r="AJ30" s="39"/>
    </row>
    <row r="31" spans="1:36" x14ac:dyDescent="0.2">
      <c r="A31" s="5">
        <f>DAY(Kalenteri!A58)</f>
        <v>27</v>
      </c>
      <c r="B31" s="3" t="str">
        <f>IF(Kalenteri!B58=1,"su",IF(Kalenteri!B58=2,"ma",IF(Kalenteri!B58=3,"ti",IF(Kalenteri!B58=4,"ke",IF(Kalenteri!B58=5,"to",IF(Kalenteri!B58=6,"pe",IF(Kalenteri!B58=7,"la",)))))))</f>
        <v>ke</v>
      </c>
      <c r="C31" s="114">
        <f>'N2'!C31+'K2'!C31</f>
        <v>159</v>
      </c>
      <c r="D31" s="115">
        <f>'N2'!D31+'K2'!D31</f>
        <v>42</v>
      </c>
      <c r="E31" s="115">
        <f>'N2'!E31+'K2'!E31</f>
        <v>2</v>
      </c>
      <c r="F31" s="116">
        <f>'N2'!F31+'K2'!F31</f>
        <v>4</v>
      </c>
      <c r="G31" s="114">
        <f>'N2'!G31+'K2'!G31</f>
        <v>23</v>
      </c>
      <c r="H31" s="116">
        <f>'N2'!H31+'K2'!H31</f>
        <v>105</v>
      </c>
      <c r="I31" s="114">
        <f>'N2'!I31+'K2'!I31</f>
        <v>0</v>
      </c>
      <c r="J31" s="116">
        <f>'N2'!J31+'K2'!J31</f>
        <v>0</v>
      </c>
      <c r="K31" s="33">
        <f>'N2'!K31+'K2'!K31</f>
        <v>335</v>
      </c>
      <c r="L31" s="115">
        <f>'N2'!L31+'K2'!L31</f>
        <v>0</v>
      </c>
      <c r="M31" s="115">
        <f>'N2'!M31+'K2'!M31</f>
        <v>0</v>
      </c>
      <c r="N31" s="115">
        <f>'N2'!N31+'K2'!N31</f>
        <v>0</v>
      </c>
      <c r="O31" s="116">
        <f>'N2'!O31+'K2'!O31</f>
        <v>0</v>
      </c>
      <c r="P31" s="115">
        <f>'N2'!P31+'K2'!P31</f>
        <v>0</v>
      </c>
      <c r="Q31" s="116">
        <f>'N2'!Q31+'K2'!Q31</f>
        <v>0</v>
      </c>
      <c r="R31" s="121">
        <f>'N2'!R31+'K2'!R31</f>
        <v>0</v>
      </c>
      <c r="S31" s="121">
        <f>'N2'!S31+'K2'!S31</f>
        <v>0</v>
      </c>
      <c r="T31" s="33">
        <f>'N2'!T31+'K2'!T31</f>
        <v>0</v>
      </c>
      <c r="U31" s="115">
        <f>'N2'!U31+'K2'!U31</f>
        <v>0</v>
      </c>
      <c r="V31" s="115">
        <f>'N2'!V31+'K2'!V31</f>
        <v>0</v>
      </c>
      <c r="W31" s="115">
        <f>'N2'!W31+'K2'!W31</f>
        <v>0</v>
      </c>
      <c r="X31" s="116">
        <f>'N2'!X31+'K2'!X31</f>
        <v>0</v>
      </c>
      <c r="Y31" s="115">
        <f>'N2'!Y31+'K2'!Y31</f>
        <v>0</v>
      </c>
      <c r="Z31" s="116">
        <f>'N2'!Z31+'K2'!Z31</f>
        <v>0</v>
      </c>
      <c r="AA31" s="121">
        <f>'N2'!AA31+'K2'!AA31</f>
        <v>0</v>
      </c>
      <c r="AB31" s="121">
        <f>'N2'!AB31+'K2'!AB31</f>
        <v>0</v>
      </c>
      <c r="AC31" s="33">
        <f>'N2'!AC31+'K2'!AC31</f>
        <v>0</v>
      </c>
      <c r="AD31" s="12">
        <f>'N2'!AD31+'K2'!AD31</f>
        <v>335</v>
      </c>
      <c r="AE31" s="39"/>
      <c r="AF31" s="39"/>
      <c r="AG31" s="39"/>
      <c r="AH31" s="39"/>
      <c r="AI31" s="39"/>
      <c r="AJ31" s="39"/>
    </row>
    <row r="32" spans="1:36" x14ac:dyDescent="0.2">
      <c r="A32" s="5">
        <f>DAY(Kalenteri!A59)</f>
        <v>28</v>
      </c>
      <c r="B32" s="3" t="str">
        <f>IF(Kalenteri!B59=1,"su",IF(Kalenteri!B59=2,"ma",IF(Kalenteri!B59=3,"ti",IF(Kalenteri!B59=4,"ke",IF(Kalenteri!B59=5,"to",IF(Kalenteri!B59=6,"pe",IF(Kalenteri!B59=7,"la",)))))))</f>
        <v>to</v>
      </c>
      <c r="C32" s="114">
        <f>'N2'!C32+'K2'!C32</f>
        <v>150</v>
      </c>
      <c r="D32" s="115">
        <f>'N2'!D32+'K2'!D32</f>
        <v>115</v>
      </c>
      <c r="E32" s="115">
        <f>'N2'!E32+'K2'!E32</f>
        <v>0</v>
      </c>
      <c r="F32" s="116">
        <f>'N2'!F32+'K2'!F32</f>
        <v>1</v>
      </c>
      <c r="G32" s="114">
        <f>'N2'!G32+'K2'!G32</f>
        <v>13</v>
      </c>
      <c r="H32" s="116">
        <f>'N2'!H32+'K2'!H32</f>
        <v>150</v>
      </c>
      <c r="I32" s="114">
        <f>'N2'!I32+'K2'!I32</f>
        <v>0</v>
      </c>
      <c r="J32" s="116">
        <f>'N2'!J32+'K2'!J32</f>
        <v>0</v>
      </c>
      <c r="K32" s="33">
        <f>'N2'!K32+'K2'!K32</f>
        <v>429</v>
      </c>
      <c r="L32" s="115">
        <f>'N2'!L32+'K2'!L32</f>
        <v>0</v>
      </c>
      <c r="M32" s="115">
        <f>'N2'!M32+'K2'!M32</f>
        <v>0</v>
      </c>
      <c r="N32" s="115">
        <f>'N2'!N32+'K2'!N32</f>
        <v>0</v>
      </c>
      <c r="O32" s="116">
        <f>'N2'!O32+'K2'!O32</f>
        <v>0</v>
      </c>
      <c r="P32" s="115">
        <f>'N2'!P32+'K2'!P32</f>
        <v>0</v>
      </c>
      <c r="Q32" s="116">
        <f>'N2'!Q32+'K2'!Q32</f>
        <v>0</v>
      </c>
      <c r="R32" s="121">
        <f>'N2'!R32+'K2'!R32</f>
        <v>0</v>
      </c>
      <c r="S32" s="121">
        <f>'N2'!S32+'K2'!S32</f>
        <v>0</v>
      </c>
      <c r="T32" s="33">
        <f>'N2'!T32+'K2'!T32</f>
        <v>0</v>
      </c>
      <c r="U32" s="115">
        <f>'N2'!U32+'K2'!U32</f>
        <v>0</v>
      </c>
      <c r="V32" s="115">
        <f>'N2'!V32+'K2'!V32</f>
        <v>0</v>
      </c>
      <c r="W32" s="115">
        <f>'N2'!W32+'K2'!W32</f>
        <v>0</v>
      </c>
      <c r="X32" s="116">
        <f>'N2'!X32+'K2'!X32</f>
        <v>0</v>
      </c>
      <c r="Y32" s="115">
        <f>'N2'!Y32+'K2'!Y32</f>
        <v>0</v>
      </c>
      <c r="Z32" s="116">
        <f>'N2'!Z32+'K2'!Z32</f>
        <v>0</v>
      </c>
      <c r="AA32" s="121">
        <f>'N2'!AA32+'K2'!AA32</f>
        <v>0</v>
      </c>
      <c r="AB32" s="121">
        <f>'N2'!AB32+'K2'!AB32</f>
        <v>0</v>
      </c>
      <c r="AC32" s="33">
        <f>'N2'!AC32+'K2'!AC32</f>
        <v>0</v>
      </c>
      <c r="AD32" s="12">
        <f>'N2'!AD32+'K2'!AD32</f>
        <v>429</v>
      </c>
      <c r="AE32" s="39"/>
      <c r="AF32" s="39"/>
      <c r="AG32" s="39"/>
      <c r="AH32" s="39"/>
      <c r="AI32" s="39"/>
      <c r="AJ32" s="39"/>
    </row>
    <row r="33" spans="1:36" x14ac:dyDescent="0.2">
      <c r="A33" s="5"/>
      <c r="B33" s="5"/>
      <c r="C33" s="114">
        <f>'N2'!C33+'K2'!C33</f>
        <v>0</v>
      </c>
      <c r="D33" s="115">
        <f>'N2'!D33+'K2'!D33</f>
        <v>0</v>
      </c>
      <c r="E33" s="115">
        <f>'N2'!E33+'K2'!E33</f>
        <v>0</v>
      </c>
      <c r="F33" s="116">
        <f>'N2'!F33+'K2'!F33</f>
        <v>0</v>
      </c>
      <c r="G33" s="114">
        <f>'N2'!G33+'K2'!G33</f>
        <v>0</v>
      </c>
      <c r="H33" s="116">
        <f>'N2'!H33+'K2'!H33</f>
        <v>0</v>
      </c>
      <c r="I33" s="114">
        <f>'N2'!I33+'K2'!I33</f>
        <v>0</v>
      </c>
      <c r="J33" s="116">
        <f>'N2'!J33+'K2'!J33</f>
        <v>0</v>
      </c>
      <c r="K33" s="33">
        <f>'N2'!K33+'K2'!K33</f>
        <v>0</v>
      </c>
      <c r="L33" s="115">
        <f>'N2'!L33+'K2'!L33</f>
        <v>0</v>
      </c>
      <c r="M33" s="115">
        <f>'N2'!M33+'K2'!M33</f>
        <v>0</v>
      </c>
      <c r="N33" s="115">
        <f>'N2'!N33+'K2'!N33</f>
        <v>0</v>
      </c>
      <c r="O33" s="116">
        <f>'N2'!O33+'K2'!O33</f>
        <v>0</v>
      </c>
      <c r="P33" s="115">
        <f>'N2'!P33+'K2'!P33</f>
        <v>0</v>
      </c>
      <c r="Q33" s="116">
        <f>'N2'!Q33+'K2'!Q33</f>
        <v>0</v>
      </c>
      <c r="R33" s="121">
        <f>'N2'!R33+'K2'!R33</f>
        <v>0</v>
      </c>
      <c r="S33" s="121">
        <f>'N2'!S33+'K2'!S33</f>
        <v>0</v>
      </c>
      <c r="T33" s="33">
        <f>'N2'!T33+'K2'!T33</f>
        <v>0</v>
      </c>
      <c r="U33" s="115">
        <f>'N2'!U33+'K2'!U33</f>
        <v>0</v>
      </c>
      <c r="V33" s="115">
        <f>'N2'!V33+'K2'!V33</f>
        <v>0</v>
      </c>
      <c r="W33" s="115">
        <f>'N2'!W33+'K2'!W33</f>
        <v>0</v>
      </c>
      <c r="X33" s="116">
        <f>'N2'!X33+'K2'!X33</f>
        <v>0</v>
      </c>
      <c r="Y33" s="115">
        <f>'N2'!Y33+'K2'!Y33</f>
        <v>0</v>
      </c>
      <c r="Z33" s="116">
        <f>'N2'!Z33+'K2'!Z33</f>
        <v>0</v>
      </c>
      <c r="AA33" s="121">
        <f>'N2'!AA33+'K2'!AA33</f>
        <v>0</v>
      </c>
      <c r="AB33" s="121">
        <f>'N2'!AB33+'K2'!AB33</f>
        <v>0</v>
      </c>
      <c r="AC33" s="33">
        <f>'N2'!AC33+'K2'!AC33</f>
        <v>0</v>
      </c>
      <c r="AD33" s="12">
        <f>'N2'!AD33+'K2'!AD33</f>
        <v>0</v>
      </c>
      <c r="AE33" s="39"/>
      <c r="AF33" s="39"/>
      <c r="AG33" s="39"/>
      <c r="AH33" s="39"/>
      <c r="AI33" s="39"/>
      <c r="AJ33" s="39"/>
    </row>
    <row r="34" spans="1:36" x14ac:dyDescent="0.2">
      <c r="A34" s="5"/>
      <c r="B34" s="3"/>
      <c r="C34" s="114">
        <f>'N2'!C34+'K2'!C34</f>
        <v>0</v>
      </c>
      <c r="D34" s="115">
        <f>'N2'!D34+'K2'!D34</f>
        <v>0</v>
      </c>
      <c r="E34" s="115">
        <f>'N2'!E34+'K2'!E34</f>
        <v>0</v>
      </c>
      <c r="F34" s="116">
        <f>'N2'!F34+'K2'!F34</f>
        <v>0</v>
      </c>
      <c r="G34" s="114">
        <f>'N2'!G34+'K2'!G34</f>
        <v>0</v>
      </c>
      <c r="H34" s="116">
        <f>'N2'!H34+'K2'!H34</f>
        <v>0</v>
      </c>
      <c r="I34" s="114">
        <f>'N2'!I34+'K2'!I34</f>
        <v>0</v>
      </c>
      <c r="J34" s="116">
        <f>'N2'!J34+'K2'!J34</f>
        <v>0</v>
      </c>
      <c r="K34" s="33">
        <f>'N2'!K34+'K2'!K34</f>
        <v>0</v>
      </c>
      <c r="L34" s="115">
        <f>'N2'!L34+'K2'!L34</f>
        <v>0</v>
      </c>
      <c r="M34" s="115">
        <f>'N2'!M34+'K2'!M34</f>
        <v>0</v>
      </c>
      <c r="N34" s="115">
        <f>'N2'!N34+'K2'!N34</f>
        <v>0</v>
      </c>
      <c r="O34" s="116">
        <f>'N2'!O34+'K2'!O34</f>
        <v>0</v>
      </c>
      <c r="P34" s="115">
        <f>'N2'!P34+'K2'!P34</f>
        <v>0</v>
      </c>
      <c r="Q34" s="116">
        <f>'N2'!Q34+'K2'!Q34</f>
        <v>0</v>
      </c>
      <c r="R34" s="121">
        <f>'N2'!R34+'K2'!R34</f>
        <v>0</v>
      </c>
      <c r="S34" s="121">
        <f>'N2'!S34+'K2'!S34</f>
        <v>0</v>
      </c>
      <c r="T34" s="33">
        <f>'N2'!T34+'K2'!T34</f>
        <v>0</v>
      </c>
      <c r="U34" s="115">
        <f>'N2'!U34+'K2'!U34</f>
        <v>0</v>
      </c>
      <c r="V34" s="115">
        <f>'N2'!V34+'K2'!V34</f>
        <v>0</v>
      </c>
      <c r="W34" s="115">
        <f>'N2'!W34+'K2'!W34</f>
        <v>0</v>
      </c>
      <c r="X34" s="116">
        <f>'N2'!X34+'K2'!X34</f>
        <v>0</v>
      </c>
      <c r="Y34" s="115">
        <f>'N2'!Y34+'K2'!Y34</f>
        <v>0</v>
      </c>
      <c r="Z34" s="116">
        <f>'N2'!Z34+'K2'!Z34</f>
        <v>0</v>
      </c>
      <c r="AA34" s="121">
        <f>'N2'!AA34+'K2'!AA34</f>
        <v>0</v>
      </c>
      <c r="AB34" s="121">
        <f>'N2'!AB34+'K2'!AB34</f>
        <v>0</v>
      </c>
      <c r="AC34" s="33">
        <f>'N2'!AC34+'K2'!AC34</f>
        <v>0</v>
      </c>
      <c r="AD34" s="12">
        <f>'N2'!AD34+'K2'!AD34</f>
        <v>0</v>
      </c>
      <c r="AE34" s="39"/>
      <c r="AF34" s="39"/>
      <c r="AG34" s="39"/>
      <c r="AH34" s="39"/>
      <c r="AI34" s="39"/>
      <c r="AJ34" s="39"/>
    </row>
    <row r="35" spans="1:36" x14ac:dyDescent="0.2">
      <c r="A35" s="5"/>
      <c r="B35" s="3"/>
      <c r="C35" s="117">
        <f>'N2'!C35+'K2'!C35</f>
        <v>0</v>
      </c>
      <c r="D35" s="118">
        <f>'N2'!D35+'K2'!D35</f>
        <v>0</v>
      </c>
      <c r="E35" s="118">
        <f>'N2'!E35+'K2'!E35</f>
        <v>0</v>
      </c>
      <c r="F35" s="119">
        <f>'N2'!F35+'K2'!F35</f>
        <v>0</v>
      </c>
      <c r="G35" s="117">
        <f>'N2'!G35+'K2'!G35</f>
        <v>0</v>
      </c>
      <c r="H35" s="119">
        <f>'N2'!H35+'K2'!H35</f>
        <v>0</v>
      </c>
      <c r="I35" s="117">
        <f>'N2'!I35+'K2'!I35</f>
        <v>0</v>
      </c>
      <c r="J35" s="119">
        <f>'N2'!J35+'K2'!J35</f>
        <v>0</v>
      </c>
      <c r="K35" s="34">
        <f>'N2'!K35+'K2'!K35</f>
        <v>0</v>
      </c>
      <c r="L35" s="122">
        <f>'N2'!L35+'K2'!L35</f>
        <v>0</v>
      </c>
      <c r="M35" s="122">
        <f>'N2'!M35+'K2'!M35</f>
        <v>0</v>
      </c>
      <c r="N35" s="122">
        <f>'N2'!N35+'K2'!N35</f>
        <v>0</v>
      </c>
      <c r="O35" s="123">
        <f>'N2'!O35+'K2'!O35</f>
        <v>0</v>
      </c>
      <c r="P35" s="122">
        <f>'N2'!P35+'K2'!P35</f>
        <v>0</v>
      </c>
      <c r="Q35" s="123">
        <f>'N2'!Q35+'K2'!Q35</f>
        <v>0</v>
      </c>
      <c r="R35" s="124">
        <f>'N2'!R35+'K2'!R35</f>
        <v>0</v>
      </c>
      <c r="S35" s="124">
        <f>'N2'!S35+'K2'!S35</f>
        <v>0</v>
      </c>
      <c r="T35" s="34">
        <f>'N2'!T35+'K2'!T35</f>
        <v>0</v>
      </c>
      <c r="U35" s="122">
        <f>'N2'!U35+'K2'!U35</f>
        <v>0</v>
      </c>
      <c r="V35" s="122">
        <f>'N2'!V35+'K2'!V35</f>
        <v>0</v>
      </c>
      <c r="W35" s="122">
        <f>'N2'!W35+'K2'!W35</f>
        <v>0</v>
      </c>
      <c r="X35" s="123">
        <f>'N2'!X35+'K2'!X35</f>
        <v>0</v>
      </c>
      <c r="Y35" s="122">
        <f>'N2'!Y35+'K2'!Y35</f>
        <v>0</v>
      </c>
      <c r="Z35" s="123">
        <f>'N2'!Z35+'K2'!Z35</f>
        <v>0</v>
      </c>
      <c r="AA35" s="124">
        <f>'N2'!AA35+'K2'!AA35</f>
        <v>0</v>
      </c>
      <c r="AB35" s="124">
        <f>'N2'!AB35+'K2'!AB35</f>
        <v>0</v>
      </c>
      <c r="AC35" s="34">
        <f>'N2'!AC35+'K2'!AC35</f>
        <v>0</v>
      </c>
      <c r="AD35" s="19">
        <f>'N2'!AD35+'K2'!AD35</f>
        <v>0</v>
      </c>
      <c r="AE35" s="39"/>
      <c r="AF35" s="39"/>
      <c r="AG35" s="39"/>
      <c r="AH35" s="39"/>
      <c r="AI35" s="39"/>
      <c r="AJ35" s="39"/>
    </row>
    <row r="36" spans="1:36" x14ac:dyDescent="0.2">
      <c r="A36" s="6"/>
      <c r="B36"/>
      <c r="C36" s="82">
        <f>'N2'!C36+'K2'!C36</f>
        <v>7977</v>
      </c>
      <c r="D36" s="83">
        <f>'N2'!D36+'K2'!D36</f>
        <v>2436</v>
      </c>
      <c r="E36" s="83">
        <f>'N2'!E36+'K2'!E36</f>
        <v>47</v>
      </c>
      <c r="F36" s="84">
        <f>'N2'!F36+'K2'!F36</f>
        <v>706</v>
      </c>
      <c r="G36" s="83">
        <f>'N2'!G36+'K2'!G36</f>
        <v>267</v>
      </c>
      <c r="H36" s="84">
        <f>'N2'!H36+'K2'!H36</f>
        <v>2259</v>
      </c>
      <c r="I36" s="83">
        <f>'N2'!I36+'K2'!I36</f>
        <v>188</v>
      </c>
      <c r="J36" s="84">
        <f>'N2'!J36+'K2'!J36</f>
        <v>282</v>
      </c>
      <c r="K36" s="85">
        <f>'N2'!K36+'K2'!K36</f>
        <v>14162</v>
      </c>
      <c r="L36" s="83">
        <f>'N2'!L36+'K2'!L36</f>
        <v>0</v>
      </c>
      <c r="M36" s="83">
        <f>'N2'!M36+'K2'!M36</f>
        <v>0</v>
      </c>
      <c r="N36" s="83">
        <f>'N2'!N36+'K2'!N36</f>
        <v>0</v>
      </c>
      <c r="O36" s="84">
        <f>'N2'!O36+'K2'!O36</f>
        <v>0</v>
      </c>
      <c r="P36" s="83">
        <f>'N2'!P36+'K2'!P36</f>
        <v>0</v>
      </c>
      <c r="Q36" s="84">
        <f>'N2'!Q36+'K2'!Q36</f>
        <v>0</v>
      </c>
      <c r="R36" s="86">
        <f>'N2'!R36+'K2'!R36</f>
        <v>0</v>
      </c>
      <c r="S36" s="86">
        <f>'N2'!S36+'K2'!S36</f>
        <v>0</v>
      </c>
      <c r="T36" s="85">
        <f>'N2'!T36+'K2'!T36</f>
        <v>0</v>
      </c>
      <c r="U36" s="83">
        <f>'N2'!U36+'K2'!U36</f>
        <v>0</v>
      </c>
      <c r="V36" s="83">
        <f>'N2'!V36+'K2'!V36</f>
        <v>0</v>
      </c>
      <c r="W36" s="83">
        <f>'N2'!W36+'K2'!W36</f>
        <v>0</v>
      </c>
      <c r="X36" s="84">
        <f>'N2'!X36+'K2'!X36</f>
        <v>0</v>
      </c>
      <c r="Y36" s="83">
        <f>'N2'!Y36+'K2'!Y36</f>
        <v>0</v>
      </c>
      <c r="Z36" s="84">
        <f>'N2'!Z36+'K2'!Z36</f>
        <v>0</v>
      </c>
      <c r="AA36" s="86">
        <f>'N2'!AA36+'K2'!AA36</f>
        <v>0</v>
      </c>
      <c r="AB36" s="86">
        <f>'N2'!AB36+'K2'!AB36</f>
        <v>0</v>
      </c>
      <c r="AC36" s="85">
        <f>'N2'!AC36+'K2'!AC36</f>
        <v>0</v>
      </c>
      <c r="AD36" s="87">
        <f>'N2'!AD36+'K2'!AD36</f>
        <v>14162</v>
      </c>
      <c r="AE36" s="66"/>
      <c r="AF36" s="66"/>
      <c r="AG36" s="66"/>
      <c r="AH36" s="66"/>
      <c r="AI36" s="66"/>
      <c r="AJ36" s="66"/>
    </row>
    <row r="37" spans="1:36" ht="8.1" customHeight="1" thickBot="1" x14ac:dyDescent="0.25">
      <c r="A37" s="6"/>
      <c r="B37"/>
      <c r="C37" s="2"/>
      <c r="D37" s="5"/>
      <c r="E37" s="5"/>
      <c r="F37" s="2"/>
      <c r="G37" s="2"/>
      <c r="H37" s="2"/>
      <c r="I37" s="5"/>
      <c r="J37" s="2"/>
      <c r="K37" s="2"/>
      <c r="L37" s="5"/>
      <c r="M37" s="2"/>
      <c r="N37" s="5"/>
      <c r="O37" s="5"/>
      <c r="P37" s="2"/>
      <c r="Q37" s="5"/>
      <c r="R37" s="42"/>
      <c r="S37" s="42"/>
      <c r="T37" s="2"/>
      <c r="U37" s="2"/>
      <c r="V37" s="2"/>
      <c r="W37" s="2"/>
      <c r="X37" s="5"/>
      <c r="Y37" s="2"/>
      <c r="Z37" s="2"/>
      <c r="AA37" s="39"/>
      <c r="AB37" s="39"/>
      <c r="AC37" s="5"/>
      <c r="AD37" s="40"/>
      <c r="AE37" s="40"/>
      <c r="AF37" s="40"/>
      <c r="AG37" s="40"/>
      <c r="AH37" s="40"/>
      <c r="AI37" s="40"/>
      <c r="AJ37" s="40"/>
    </row>
    <row r="38" spans="1:36" ht="24.95" customHeight="1" thickTop="1" x14ac:dyDescent="0.3">
      <c r="A38" s="6"/>
      <c r="B38"/>
      <c r="C38" s="171" t="str">
        <f>Kalenteri!E38</f>
        <v>Lippujen hinnat:</v>
      </c>
      <c r="D38" s="5"/>
      <c r="E38" s="5"/>
      <c r="F38" s="2"/>
      <c r="G38" s="2"/>
      <c r="H38" s="2"/>
      <c r="I38" s="5"/>
      <c r="J38" s="2"/>
      <c r="K38" s="2"/>
      <c r="L38" s="5"/>
      <c r="M38" s="2"/>
      <c r="N38" s="5"/>
      <c r="O38" s="5"/>
      <c r="P38" s="2"/>
      <c r="Q38"/>
      <c r="R38"/>
      <c r="S38"/>
      <c r="T38"/>
      <c r="U38" s="49" t="s">
        <v>12</v>
      </c>
      <c r="V38" s="50"/>
      <c r="W38" s="43"/>
      <c r="X38" s="44"/>
      <c r="Y38" s="43"/>
      <c r="Z38" s="43"/>
      <c r="AA38" s="44"/>
      <c r="AB38" s="44"/>
      <c r="AC38" s="47"/>
      <c r="AD38" s="45">
        <f>'N2'!AD38+'K2'!AD38</f>
        <v>14162</v>
      </c>
      <c r="AE38" s="41"/>
      <c r="AF38" s="41"/>
      <c r="AG38" s="41"/>
      <c r="AH38" s="41"/>
      <c r="AI38" s="41"/>
      <c r="AJ38" s="41"/>
    </row>
    <row r="39" spans="1:36" ht="24.95" customHeight="1" x14ac:dyDescent="0.3">
      <c r="A39" s="6"/>
      <c r="B39"/>
      <c r="C39" s="193" t="str">
        <f>Kalenteri!E39</f>
        <v>Mustikkamaan kautta: 1.9.-30.4. aik. 10 €, lapset 5 €, kimppalippu 30 €    1.5.-30.8. aik. 12 €, lapset 6 €, kimppalippu 36 €</v>
      </c>
      <c r="D39" s="89"/>
      <c r="E39" s="89"/>
      <c r="F39" s="90"/>
      <c r="G39" s="102"/>
      <c r="H39" s="174"/>
      <c r="I39" s="89"/>
      <c r="J39" s="90"/>
      <c r="K39" s="90"/>
      <c r="L39" s="89"/>
      <c r="M39" s="90"/>
      <c r="N39" s="89"/>
      <c r="O39" s="89"/>
      <c r="P39" s="90"/>
      <c r="Q39" s="104"/>
      <c r="R39" s="103"/>
      <c r="S39"/>
      <c r="T39"/>
      <c r="U39" s="62" t="s">
        <v>13</v>
      </c>
      <c r="V39" s="52"/>
      <c r="W39" s="53"/>
      <c r="X39" s="54"/>
      <c r="Y39" s="53"/>
      <c r="Z39" s="53"/>
      <c r="AA39" s="54"/>
      <c r="AB39" s="54"/>
      <c r="AC39" s="55"/>
      <c r="AD39" s="56">
        <f>'N2'!AD39+'K2'!AD39</f>
        <v>4450</v>
      </c>
      <c r="AE39" s="67"/>
      <c r="AF39" s="67"/>
      <c r="AG39" s="67"/>
      <c r="AH39" s="67"/>
      <c r="AI39" s="67"/>
      <c r="AJ39" s="67"/>
    </row>
    <row r="40" spans="1:36" ht="24.95" customHeight="1" x14ac:dyDescent="0.3">
      <c r="A40" s="6"/>
      <c r="B40" s="6"/>
      <c r="C40" s="194" t="str">
        <f>Kalenteri!E40</f>
        <v xml:space="preserve">                                    Vuosikortti:     aik. 50 €, lapset 20 €, perhekortti 100 €</v>
      </c>
      <c r="D40" s="39"/>
      <c r="E40" s="39"/>
      <c r="F40" s="42"/>
      <c r="G40" s="65"/>
      <c r="H40" s="176"/>
      <c r="I40" s="39"/>
      <c r="J40" s="42"/>
      <c r="K40" s="42"/>
      <c r="L40" s="39"/>
      <c r="M40" s="42"/>
      <c r="N40" s="39"/>
      <c r="O40" s="39"/>
      <c r="P40" s="39"/>
      <c r="Q40" s="23"/>
      <c r="R40" s="97"/>
      <c r="S40"/>
      <c r="T40"/>
      <c r="U40" s="63" t="s">
        <v>14</v>
      </c>
      <c r="V40" s="37"/>
      <c r="W40" s="51"/>
      <c r="X40" s="41"/>
      <c r="Y40" s="51"/>
      <c r="Z40" s="41"/>
      <c r="AA40" s="41"/>
      <c r="AB40" s="41"/>
      <c r="AC40" s="48"/>
      <c r="AD40" s="46">
        <f>'N2'!AD40+'K2'!AD40</f>
        <v>20892</v>
      </c>
      <c r="AE40" s="41"/>
      <c r="AF40" s="41"/>
      <c r="AG40" s="41"/>
      <c r="AH40" s="41"/>
      <c r="AI40" s="41"/>
      <c r="AJ40" s="41"/>
    </row>
    <row r="41" spans="1:36" ht="24.95" customHeight="1" thickBot="1" x14ac:dyDescent="0.35">
      <c r="A41" s="4"/>
      <c r="B41" s="4"/>
      <c r="C41" s="195" t="str">
        <f>Kalenteri!E41</f>
        <v>Vesibusseilla:             1.9.-30.4. aik. 16 €, lapset 8 €, kimppalippu 47 €    1.5.-31.8. aik. 18 €, lapset 9 €, kimppalippu 53 €</v>
      </c>
      <c r="D41" s="93"/>
      <c r="E41" s="93"/>
      <c r="F41" s="94"/>
      <c r="G41" s="94"/>
      <c r="H41" s="175"/>
      <c r="I41" s="93"/>
      <c r="J41" s="96"/>
      <c r="K41" s="96"/>
      <c r="L41" s="93"/>
      <c r="M41" s="95"/>
      <c r="N41" s="95"/>
      <c r="O41" s="93"/>
      <c r="P41" s="95"/>
      <c r="Q41" s="95"/>
      <c r="R41" s="98"/>
      <c r="S41"/>
      <c r="T41"/>
      <c r="U41" s="64" t="s">
        <v>13</v>
      </c>
      <c r="V41" s="57"/>
      <c r="W41" s="58"/>
      <c r="X41" s="59"/>
      <c r="Y41" s="59"/>
      <c r="Z41" s="59"/>
      <c r="AA41" s="59"/>
      <c r="AB41" s="59"/>
      <c r="AC41" s="60"/>
      <c r="AD41" s="61">
        <f>'N2'!AD41+'K2'!AD41</f>
        <v>5438</v>
      </c>
      <c r="AE41" s="68"/>
      <c r="AF41" s="68"/>
      <c r="AG41" s="68"/>
      <c r="AH41" s="68"/>
      <c r="AI41" s="68"/>
      <c r="AJ41" s="68"/>
    </row>
    <row r="42" spans="1:36" ht="13.5" thickTop="1" x14ac:dyDescent="0.2"/>
  </sheetData>
  <sheetProtection password="C4AC" sheet="1" objects="1" scenarios="1"/>
  <phoneticPr fontId="4" type="noConversion"/>
  <pageMargins left="0" right="0" top="0.27559055118110237" bottom="0" header="0" footer="0"/>
  <pageSetup paperSize="9" scale="75" fitToHeight="0" orientation="landscape" horizontalDpi="4294967292" verticalDpi="4294967292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5601" r:id="rId4" name="Button 1">
              <controlPr defaultSize="0" print="0" autoFill="0" autoLine="0" autoPict="0" macro="[1]!TAMMI">
                <anchor moveWithCells="1" sizeWithCells="1">
                  <from>
                    <xdr:col>35</xdr:col>
                    <xdr:colOff>0</xdr:colOff>
                    <xdr:row>3</xdr:row>
                    <xdr:rowOff>9525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2" r:id="rId5" name="Button 2">
              <controlPr defaultSize="0" print="0" autoFill="0" autoLine="0" autoPict="0" macro="[1]KTMAKRO!$A$1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3" r:id="rId6" name="Button 3">
              <controlPr defaultSize="0" print="0" autoFill="0" autoLine="0" autoPict="0" macro="[1]!MAALIS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4" r:id="rId7" name="Button 4">
              <controlPr defaultSize="0" print="0" autoFill="0" autoLine="0" autoPict="0" macro="[1]KTMAKRO!$D$1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5" r:id="rId8" name="Button 5">
              <controlPr defaultSize="0" print="0" autoFill="0" autoLine="0" autoPict="0" macro="[1]KTMAKRO!$E$1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6" r:id="rId9" name="Button 6">
              <controlPr defaultSize="0" print="0" autoFill="0" autoLine="0" autoPict="0" macro="[1]!KESÄ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7" r:id="rId10" name="Button 7">
              <controlPr defaultSize="0" print="0" autoFill="0" autoLine="0" autoPict="0" macro="[1]!HELMI">
                <anchor moveWithCells="1" sizeWithCells="1">
                  <from>
                    <xdr:col>35</xdr:col>
                    <xdr:colOff>0</xdr:colOff>
                    <xdr:row>3</xdr:row>
                    <xdr:rowOff>9525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8" r:id="rId11" name="Button 8">
              <controlPr defaultSize="0" print="0" autoFill="0" autoLine="0" autoPict="0" macro="[1]KTMAKRO!$G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9" r:id="rId12" name="Button 9">
              <controlPr defaultSize="0" print="0" autoFill="0" autoLine="0" autoPict="0" macro="[1]KTMAKRO!$I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0" r:id="rId13" name="Button 10">
              <controlPr defaultSize="0" print="0" autoFill="0" autoLine="0" autoPict="0" macro="[1]KTMAKRO!$J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1" r:id="rId14" name="Button 11">
              <controlPr defaultSize="0" print="0" autoFill="0" autoLine="0" autoPict="0" macro="[1]KTMAKRO!$K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2" r:id="rId15" name="Button 12">
              <controlPr defaultSize="0" print="0" autoFill="0" autoLine="0" autoPict="0" macro="[1]KTMAKRO!$L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3" r:id="rId16" name="Button 13">
              <controlPr defaultSize="0" print="0" autoFill="0" autoLine="0" autoPict="0" macro="[1]KTMAKRO!$H$1">
                <anchor moveWithCells="1" sizeWithCells="1">
                  <from>
                    <xdr:col>35</xdr:col>
                    <xdr:colOff>0</xdr:colOff>
                    <xdr:row>5</xdr:row>
                    <xdr:rowOff>0</xdr:rowOff>
                  </from>
                  <to>
                    <xdr:col>35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4" r:id="rId17" name="Button 14">
              <controlPr defaultSize="0" print="0" autoFill="0" autoLine="0" autoPict="0" macro="[1]!Yhteenveto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5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5" r:id="rId18" name="Button 15">
              <controlPr defaultSize="0" print="0" autoFill="0" autoLine="0" autoPict="0" macro="[1]!GRAFIIKKA1">
                <anchor moveWithCells="1" sizeWithCells="1">
                  <from>
                    <xdr:col>35</xdr:col>
                    <xdr:colOff>0</xdr:colOff>
                    <xdr:row>8</xdr:row>
                    <xdr:rowOff>142875</xdr:rowOff>
                  </from>
                  <to>
                    <xdr:col>35</xdr:col>
                    <xdr:colOff>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6" r:id="rId19" name="Button 16">
              <controlPr defaultSize="0" print="0" autoFill="0" autoLine="0" autoPict="0" macro="[1]!Grafiikka2">
                <anchor moveWithCells="1" sizeWithCells="1">
                  <from>
                    <xdr:col>35</xdr:col>
                    <xdr:colOff>0</xdr:colOff>
                    <xdr:row>8</xdr:row>
                    <xdr:rowOff>152400</xdr:rowOff>
                  </from>
                  <to>
                    <xdr:col>35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7" r:id="rId20" name="Button 17">
              <controlPr defaultSize="0" print="0" autoFill="0" autoLine="0" autoPict="0" macro="[1]!Grafiikka4">
                <anchor moveWithCells="1" sizeWithCells="1">
                  <from>
                    <xdr:col>35</xdr:col>
                    <xdr:colOff>0</xdr:colOff>
                    <xdr:row>8</xdr:row>
                    <xdr:rowOff>142875</xdr:rowOff>
                  </from>
                  <to>
                    <xdr:col>35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8" r:id="rId21" name="Button 18">
              <controlPr defaultSize="0" print="0" autoFill="0" autoLine="0" autoPict="0" macro="[1]!Grafiikka4">
                <anchor moveWithCells="1" sizeWithCells="1">
                  <from>
                    <xdr:col>35</xdr:col>
                    <xdr:colOff>0</xdr:colOff>
                    <xdr:row>8</xdr:row>
                    <xdr:rowOff>152400</xdr:rowOff>
                  </from>
                  <to>
                    <xdr:col>35</xdr:col>
                    <xdr:colOff>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9" r:id="rId22" name="Button 19">
              <controlPr defaultSize="0" print="0" autoFill="0" autoLine="0" autoPict="0" macro="[1]!Grafiikka5">
                <anchor moveWithCells="1" sizeWithCells="1">
                  <from>
                    <xdr:col>35</xdr:col>
                    <xdr:colOff>0</xdr:colOff>
                    <xdr:row>8</xdr:row>
                    <xdr:rowOff>152400</xdr:rowOff>
                  </from>
                  <to>
                    <xdr:col>35</xdr:col>
                    <xdr:colOff>0</xdr:colOff>
                    <xdr:row>12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0" r:id="rId23" name="Button 20">
              <controlPr defaultSize="0" print="0" autoFill="0" autoLine="0" autoPict="0" macro="[1]!Perusikkuna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12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/>
  <dimension ref="A1:AJ42"/>
  <sheetViews>
    <sheetView showGridLines="0" zoomScale="75" workbookViewId="0"/>
  </sheetViews>
  <sheetFormatPr defaultColWidth="9.75" defaultRowHeight="12.75" x14ac:dyDescent="0.2"/>
  <cols>
    <col min="1" max="1" width="3.75" style="1" customWidth="1"/>
    <col min="2" max="2" width="2.75" style="1" customWidth="1"/>
    <col min="3" max="4" width="6.125" style="1" customWidth="1"/>
    <col min="5" max="5" width="4" style="1" customWidth="1"/>
    <col min="6" max="6" width="4.5" style="1" customWidth="1"/>
    <col min="7" max="10" width="6.125" style="1" customWidth="1"/>
    <col min="11" max="11" width="5.875" style="1" customWidth="1"/>
    <col min="12" max="13" width="6.125" style="1" customWidth="1"/>
    <col min="14" max="14" width="5.25" style="1" customWidth="1"/>
    <col min="15" max="15" width="4.5" style="1" customWidth="1"/>
    <col min="16" max="16" width="6.125" style="1" customWidth="1"/>
    <col min="17" max="17" width="5.5" style="1" customWidth="1"/>
    <col min="18" max="19" width="6.125" style="1" customWidth="1"/>
    <col min="20" max="20" width="5.875" style="1" customWidth="1"/>
    <col min="21" max="22" width="6.125" style="1" customWidth="1"/>
    <col min="23" max="23" width="4.375" style="1" customWidth="1"/>
    <col min="24" max="24" width="4.25" style="1" customWidth="1"/>
    <col min="25" max="29" width="6.125" style="1" customWidth="1"/>
    <col min="30" max="36" width="15.625" style="1" customWidth="1"/>
  </cols>
  <sheetData>
    <row r="1" spans="1:36" ht="30" customHeight="1" x14ac:dyDescent="0.35">
      <c r="A1" s="22"/>
      <c r="B1" s="4"/>
      <c r="C1" s="105" t="s">
        <v>15</v>
      </c>
      <c r="D1" s="106"/>
      <c r="E1" s="106"/>
      <c r="F1" s="106"/>
      <c r="G1" s="106"/>
      <c r="H1" s="106"/>
      <c r="I1" s="106"/>
      <c r="J1" s="106"/>
      <c r="K1" s="106"/>
      <c r="L1" s="105" t="str">
        <f>Kalenteri!$H$1</f>
        <v>KÄVIJÄTILASTO 2013</v>
      </c>
      <c r="M1" s="107"/>
      <c r="N1" s="107"/>
      <c r="O1" s="107"/>
      <c r="P1" s="106"/>
      <c r="Q1" s="106"/>
      <c r="R1" s="105" t="s">
        <v>70</v>
      </c>
      <c r="S1" s="108"/>
      <c r="T1" s="106"/>
      <c r="U1" s="109"/>
      <c r="V1" s="105" t="s">
        <v>42</v>
      </c>
      <c r="W1" s="109"/>
      <c r="X1" s="106"/>
      <c r="Y1" s="106"/>
      <c r="Z1" s="106"/>
      <c r="AA1" s="106"/>
      <c r="AB1" s="106"/>
      <c r="AC1" s="106"/>
      <c r="AD1" s="110"/>
      <c r="AE1" s="4"/>
      <c r="AF1" s="4"/>
      <c r="AG1" s="4"/>
      <c r="AH1" s="4"/>
      <c r="AI1" s="4"/>
      <c r="AJ1" s="4"/>
    </row>
    <row r="2" spans="1:36" ht="30" customHeight="1" x14ac:dyDescent="0.3">
      <c r="A2" s="3"/>
      <c r="B2" s="4"/>
      <c r="C2" s="72"/>
      <c r="D2" s="73"/>
      <c r="E2" s="74" t="s">
        <v>1</v>
      </c>
      <c r="F2" s="75"/>
      <c r="G2" s="75"/>
      <c r="H2" s="75"/>
      <c r="I2" s="75"/>
      <c r="J2" s="75"/>
      <c r="K2" s="76"/>
      <c r="L2" s="72"/>
      <c r="M2" s="77"/>
      <c r="N2" s="73"/>
      <c r="O2" s="74" t="s">
        <v>2</v>
      </c>
      <c r="P2" s="75"/>
      <c r="Q2" s="75"/>
      <c r="R2" s="75"/>
      <c r="S2" s="75"/>
      <c r="T2" s="76"/>
      <c r="U2" s="72"/>
      <c r="V2" s="75"/>
      <c r="W2" s="73"/>
      <c r="X2" s="74" t="s">
        <v>3</v>
      </c>
      <c r="Y2" s="75"/>
      <c r="Z2" s="75"/>
      <c r="AA2" s="75"/>
      <c r="AB2" s="75"/>
      <c r="AC2" s="76"/>
      <c r="AD2" s="13"/>
      <c r="AE2" s="35"/>
      <c r="AF2" s="69"/>
      <c r="AG2" s="69"/>
      <c r="AH2" s="69"/>
      <c r="AI2" s="69"/>
      <c r="AJ2" s="69"/>
    </row>
    <row r="3" spans="1:36" x14ac:dyDescent="0.2">
      <c r="A3" s="4"/>
      <c r="B3" s="4"/>
      <c r="C3" s="24" t="s">
        <v>4</v>
      </c>
      <c r="D3" s="25"/>
      <c r="E3" s="25"/>
      <c r="F3" s="26"/>
      <c r="G3" s="24" t="s">
        <v>5</v>
      </c>
      <c r="H3" s="26"/>
      <c r="I3" s="25" t="s">
        <v>6</v>
      </c>
      <c r="J3" s="25"/>
      <c r="K3" s="27"/>
      <c r="L3" s="24" t="s">
        <v>4</v>
      </c>
      <c r="M3" s="25"/>
      <c r="N3" s="25"/>
      <c r="O3" s="26"/>
      <c r="P3" s="24" t="s">
        <v>5</v>
      </c>
      <c r="Q3" s="26"/>
      <c r="R3" s="25" t="s">
        <v>6</v>
      </c>
      <c r="S3" s="25"/>
      <c r="T3" s="27"/>
      <c r="U3" s="24" t="s">
        <v>4</v>
      </c>
      <c r="V3" s="25"/>
      <c r="W3" s="25"/>
      <c r="X3" s="26"/>
      <c r="Y3" s="24" t="s">
        <v>5</v>
      </c>
      <c r="Z3" s="26"/>
      <c r="AA3" s="25" t="s">
        <v>6</v>
      </c>
      <c r="AB3" s="25"/>
      <c r="AC3" s="27"/>
      <c r="AD3" s="36" t="s">
        <v>7</v>
      </c>
      <c r="AE3" s="38"/>
      <c r="AF3" s="70"/>
      <c r="AG3" s="70"/>
      <c r="AH3" s="70"/>
      <c r="AI3" s="70"/>
      <c r="AJ3"/>
    </row>
    <row r="4" spans="1:36" x14ac:dyDescent="0.2">
      <c r="A4" s="6"/>
      <c r="B4" s="4"/>
      <c r="C4" s="7" t="s">
        <v>8</v>
      </c>
      <c r="D4" s="8" t="s">
        <v>9</v>
      </c>
      <c r="E4" s="8" t="s">
        <v>10</v>
      </c>
      <c r="F4" s="9" t="s">
        <v>11</v>
      </c>
      <c r="G4" s="7" t="s">
        <v>8</v>
      </c>
      <c r="H4" s="9" t="s">
        <v>9</v>
      </c>
      <c r="I4" s="8" t="s">
        <v>8</v>
      </c>
      <c r="J4" s="8" t="s">
        <v>9</v>
      </c>
      <c r="K4" s="14" t="s">
        <v>0</v>
      </c>
      <c r="L4" s="7" t="s">
        <v>8</v>
      </c>
      <c r="M4" s="8" t="s">
        <v>9</v>
      </c>
      <c r="N4" s="8" t="s">
        <v>10</v>
      </c>
      <c r="O4" s="9" t="s">
        <v>11</v>
      </c>
      <c r="P4" s="7" t="s">
        <v>8</v>
      </c>
      <c r="Q4" s="9" t="s">
        <v>9</v>
      </c>
      <c r="R4" s="8" t="s">
        <v>8</v>
      </c>
      <c r="S4" s="8" t="s">
        <v>9</v>
      </c>
      <c r="T4" s="14" t="s">
        <v>0</v>
      </c>
      <c r="U4" s="7" t="s">
        <v>8</v>
      </c>
      <c r="V4" s="8" t="s">
        <v>9</v>
      </c>
      <c r="W4" s="8" t="s">
        <v>10</v>
      </c>
      <c r="X4" s="9" t="s">
        <v>11</v>
      </c>
      <c r="Y4" s="7" t="s">
        <v>8</v>
      </c>
      <c r="Z4" s="9" t="s">
        <v>9</v>
      </c>
      <c r="AA4" s="8" t="s">
        <v>8</v>
      </c>
      <c r="AB4" s="8" t="s">
        <v>9</v>
      </c>
      <c r="AC4" s="14" t="s">
        <v>0</v>
      </c>
      <c r="AD4" s="28"/>
      <c r="AE4" s="23"/>
      <c r="AF4" s="23"/>
      <c r="AG4" s="23"/>
      <c r="AH4" s="23"/>
      <c r="AI4" s="23"/>
      <c r="AJ4"/>
    </row>
    <row r="5" spans="1:36" x14ac:dyDescent="0.2">
      <c r="A5" s="5">
        <f>DAY(Kalenteri!A60)</f>
        <v>1</v>
      </c>
      <c r="B5" s="3" t="str">
        <f>IF(Kalenteri!B60=1,"su",IF(Kalenteri!B60=2,"ma",IF(Kalenteri!B60=3,"ti",IF(Kalenteri!B60=4,"ke",IF(Kalenteri!B60=5,"to",IF(Kalenteri!B60=6,"pe",IF(Kalenteri!B60=7,"la",)))))))</f>
        <v>pe</v>
      </c>
      <c r="C5" s="111">
        <f>'N3'!C5+'K3'!C5</f>
        <v>114</v>
      </c>
      <c r="D5" s="112">
        <f>'N3'!D5+'K3'!D5</f>
        <v>43</v>
      </c>
      <c r="E5" s="112">
        <f>'N3'!E5+'K3'!E5</f>
        <v>0</v>
      </c>
      <c r="F5" s="113">
        <f>'N3'!F5+'K3'!F5</f>
        <v>5</v>
      </c>
      <c r="G5" s="111">
        <f>'N3'!G5+'K3'!G5</f>
        <v>13</v>
      </c>
      <c r="H5" s="113">
        <f>'N3'!H5+'K3'!H5</f>
        <v>92</v>
      </c>
      <c r="I5" s="111">
        <f>'N3'!I5+'K3'!I5</f>
        <v>2</v>
      </c>
      <c r="J5" s="113">
        <f>'N3'!J5+'K3'!J5</f>
        <v>3</v>
      </c>
      <c r="K5" s="32">
        <f>'N3'!K5+'K3'!K5</f>
        <v>272</v>
      </c>
      <c r="L5" s="112">
        <f>'N3'!L5+'K3'!L5</f>
        <v>0</v>
      </c>
      <c r="M5" s="112">
        <f>'N3'!M5+'K3'!M5</f>
        <v>0</v>
      </c>
      <c r="N5" s="112">
        <f>'N3'!N5+'K3'!N5</f>
        <v>0</v>
      </c>
      <c r="O5" s="113">
        <f>'N3'!O5+'K3'!O5</f>
        <v>0</v>
      </c>
      <c r="P5" s="112">
        <f>'N3'!P5+'K3'!P5</f>
        <v>0</v>
      </c>
      <c r="Q5" s="113">
        <f>'N3'!Q5+'K3'!Q5</f>
        <v>0</v>
      </c>
      <c r="R5" s="120">
        <f>'N3'!R5+'K3'!R5</f>
        <v>0</v>
      </c>
      <c r="S5" s="120">
        <f>'N3'!S5+'K3'!S5</f>
        <v>0</v>
      </c>
      <c r="T5" s="32">
        <f>'N3'!T5+'K3'!T5</f>
        <v>0</v>
      </c>
      <c r="U5" s="112">
        <f>'N3'!U5+'K3'!U5</f>
        <v>0</v>
      </c>
      <c r="V5" s="112">
        <f>'N3'!V5+'K3'!V5</f>
        <v>0</v>
      </c>
      <c r="W5" s="112">
        <f>'N3'!W5+'K3'!W5</f>
        <v>0</v>
      </c>
      <c r="X5" s="113">
        <f>'N3'!X5+'K3'!X5</f>
        <v>0</v>
      </c>
      <c r="Y5" s="112">
        <f>'N3'!Y5+'K3'!Y5</f>
        <v>0</v>
      </c>
      <c r="Z5" s="113">
        <f>'N3'!Z5+'K3'!Z5</f>
        <v>0</v>
      </c>
      <c r="AA5" s="120">
        <f>'N3'!AA5+'K3'!AA5</f>
        <v>0</v>
      </c>
      <c r="AB5" s="120">
        <f>'N3'!AB5+'K3'!AB5</f>
        <v>0</v>
      </c>
      <c r="AC5" s="32">
        <f>'N3'!AC5+'K3'!AC5</f>
        <v>0</v>
      </c>
      <c r="AD5" s="17">
        <f>'N3'!AD5+'K3'!AD5</f>
        <v>272</v>
      </c>
      <c r="AE5" s="39"/>
      <c r="AF5" s="39"/>
      <c r="AG5" s="39"/>
      <c r="AH5" s="39"/>
      <c r="AI5" s="39"/>
      <c r="AJ5"/>
    </row>
    <row r="6" spans="1:36" x14ac:dyDescent="0.2">
      <c r="A6" s="5">
        <f>DAY(Kalenteri!A61)</f>
        <v>2</v>
      </c>
      <c r="B6" s="3" t="str">
        <f>IF(Kalenteri!B61=1,"su",IF(Kalenteri!B61=2,"ma",IF(Kalenteri!B61=3,"ti",IF(Kalenteri!B61=4,"ke",IF(Kalenteri!B61=5,"to",IF(Kalenteri!B61=6,"pe",IF(Kalenteri!B61=7,"la",)))))))</f>
        <v>la</v>
      </c>
      <c r="C6" s="114">
        <f>'N3'!C6+'K3'!C6</f>
        <v>326</v>
      </c>
      <c r="D6" s="115">
        <f>'N3'!D6+'K3'!D6</f>
        <v>72</v>
      </c>
      <c r="E6" s="115">
        <f>'N3'!E6+'K3'!E6</f>
        <v>3</v>
      </c>
      <c r="F6" s="116">
        <f>'N3'!F6+'K3'!F6</f>
        <v>9</v>
      </c>
      <c r="G6" s="114">
        <f>'N3'!G6+'K3'!G6</f>
        <v>2</v>
      </c>
      <c r="H6" s="116">
        <f>'N3'!H6+'K3'!H6</f>
        <v>82</v>
      </c>
      <c r="I6" s="114">
        <f>'N3'!I6+'K3'!I6</f>
        <v>6</v>
      </c>
      <c r="J6" s="116">
        <f>'N3'!J6+'K3'!J6</f>
        <v>9</v>
      </c>
      <c r="K6" s="33">
        <f>'N3'!K6+'K3'!K6</f>
        <v>509</v>
      </c>
      <c r="L6" s="115">
        <f>'N3'!L6+'K3'!L6</f>
        <v>0</v>
      </c>
      <c r="M6" s="115">
        <f>'N3'!M6+'K3'!M6</f>
        <v>0</v>
      </c>
      <c r="N6" s="115">
        <f>'N3'!N6+'K3'!N6</f>
        <v>0</v>
      </c>
      <c r="O6" s="116">
        <f>'N3'!O6+'K3'!O6</f>
        <v>0</v>
      </c>
      <c r="P6" s="115">
        <f>'N3'!P6+'K3'!P6</f>
        <v>0</v>
      </c>
      <c r="Q6" s="116">
        <f>'N3'!Q6+'K3'!Q6</f>
        <v>0</v>
      </c>
      <c r="R6" s="121">
        <f>'N3'!R6+'K3'!R6</f>
        <v>0</v>
      </c>
      <c r="S6" s="121">
        <f>'N3'!S6+'K3'!S6</f>
        <v>0</v>
      </c>
      <c r="T6" s="33">
        <f>'N3'!T6+'K3'!T6</f>
        <v>0</v>
      </c>
      <c r="U6" s="115">
        <f>'N3'!U6+'K3'!U6</f>
        <v>0</v>
      </c>
      <c r="V6" s="115">
        <f>'N3'!V6+'K3'!V6</f>
        <v>0</v>
      </c>
      <c r="W6" s="115">
        <f>'N3'!W6+'K3'!W6</f>
        <v>0</v>
      </c>
      <c r="X6" s="116">
        <f>'N3'!X6+'K3'!X6</f>
        <v>0</v>
      </c>
      <c r="Y6" s="115">
        <f>'N3'!Y6+'K3'!Y6</f>
        <v>0</v>
      </c>
      <c r="Z6" s="116">
        <f>'N3'!Z6+'K3'!Z6</f>
        <v>0</v>
      </c>
      <c r="AA6" s="121">
        <f>'N3'!AA6+'K3'!AA6</f>
        <v>0</v>
      </c>
      <c r="AB6" s="121">
        <f>'N3'!AB6+'K3'!AB6</f>
        <v>0</v>
      </c>
      <c r="AC6" s="33">
        <f>'N3'!AC6+'K3'!AC6</f>
        <v>0</v>
      </c>
      <c r="AD6" s="12">
        <f>'N3'!AD6+'K3'!AD6</f>
        <v>509</v>
      </c>
      <c r="AE6" s="39"/>
      <c r="AF6" s="39"/>
      <c r="AG6" s="39"/>
      <c r="AH6" s="39"/>
      <c r="AI6" s="39"/>
      <c r="AJ6"/>
    </row>
    <row r="7" spans="1:36" x14ac:dyDescent="0.2">
      <c r="A7" s="5">
        <f>DAY(Kalenteri!A62)</f>
        <v>3</v>
      </c>
      <c r="B7" s="3" t="str">
        <f>IF(Kalenteri!B62=1,"su",IF(Kalenteri!B62=2,"ma",IF(Kalenteri!B62=3,"ti",IF(Kalenteri!B62=4,"ke",IF(Kalenteri!B62=5,"to",IF(Kalenteri!B62=6,"pe",IF(Kalenteri!B62=7,"la",)))))))</f>
        <v>su</v>
      </c>
      <c r="C7" s="114">
        <f>'N3'!C7+'K3'!C7</f>
        <v>119</v>
      </c>
      <c r="D7" s="115">
        <f>'N3'!D7+'K3'!D7</f>
        <v>26</v>
      </c>
      <c r="E7" s="115">
        <f>'N3'!E7+'K3'!E7</f>
        <v>0</v>
      </c>
      <c r="F7" s="116">
        <f>'N3'!F7+'K3'!F7</f>
        <v>20</v>
      </c>
      <c r="G7" s="114">
        <f>'N3'!G7+'K3'!G7</f>
        <v>2</v>
      </c>
      <c r="H7" s="116">
        <f>'N3'!H7+'K3'!H7</f>
        <v>25</v>
      </c>
      <c r="I7" s="114">
        <f>'N3'!I7+'K3'!I7</f>
        <v>0</v>
      </c>
      <c r="J7" s="116">
        <f>'N3'!J7+'K3'!J7</f>
        <v>0</v>
      </c>
      <c r="K7" s="33">
        <f>'N3'!K7+'K3'!K7</f>
        <v>192</v>
      </c>
      <c r="L7" s="115">
        <f>'N3'!L7+'K3'!L7</f>
        <v>0</v>
      </c>
      <c r="M7" s="115">
        <f>'N3'!M7+'K3'!M7</f>
        <v>0</v>
      </c>
      <c r="N7" s="115">
        <f>'N3'!N7+'K3'!N7</f>
        <v>0</v>
      </c>
      <c r="O7" s="116">
        <f>'N3'!O7+'K3'!O7</f>
        <v>0</v>
      </c>
      <c r="P7" s="115">
        <f>'N3'!P7+'K3'!P7</f>
        <v>0</v>
      </c>
      <c r="Q7" s="116">
        <f>'N3'!Q7+'K3'!Q7</f>
        <v>0</v>
      </c>
      <c r="R7" s="121">
        <f>'N3'!R7+'K3'!R7</f>
        <v>0</v>
      </c>
      <c r="S7" s="121">
        <f>'N3'!S7+'K3'!S7</f>
        <v>0</v>
      </c>
      <c r="T7" s="33">
        <f>'N3'!T7+'K3'!T7</f>
        <v>0</v>
      </c>
      <c r="U7" s="115">
        <f>'N3'!U7+'K3'!U7</f>
        <v>0</v>
      </c>
      <c r="V7" s="115">
        <f>'N3'!V7+'K3'!V7</f>
        <v>0</v>
      </c>
      <c r="W7" s="115">
        <f>'N3'!W7+'K3'!W7</f>
        <v>0</v>
      </c>
      <c r="X7" s="116">
        <f>'N3'!X7+'K3'!X7</f>
        <v>0</v>
      </c>
      <c r="Y7" s="115">
        <f>'N3'!Y7+'K3'!Y7</f>
        <v>0</v>
      </c>
      <c r="Z7" s="116">
        <f>'N3'!Z7+'K3'!Z7</f>
        <v>0</v>
      </c>
      <c r="AA7" s="121">
        <f>'N3'!AA7+'K3'!AA7</f>
        <v>0</v>
      </c>
      <c r="AB7" s="121">
        <f>'N3'!AB7+'K3'!AB7</f>
        <v>0</v>
      </c>
      <c r="AC7" s="33">
        <f>'N3'!AC7+'K3'!AC7</f>
        <v>0</v>
      </c>
      <c r="AD7" s="12">
        <f>'N3'!AD7+'K3'!AD7</f>
        <v>192</v>
      </c>
      <c r="AE7" s="39"/>
      <c r="AF7" s="39"/>
      <c r="AG7" s="39"/>
      <c r="AH7" s="39"/>
      <c r="AI7" s="39"/>
      <c r="AJ7"/>
    </row>
    <row r="8" spans="1:36" x14ac:dyDescent="0.2">
      <c r="A8" s="5">
        <f>DAY(Kalenteri!A63)</f>
        <v>4</v>
      </c>
      <c r="B8" s="3" t="str">
        <f>IF(Kalenteri!B63=1,"su",IF(Kalenteri!B63=2,"ma",IF(Kalenteri!B63=3,"ti",IF(Kalenteri!B63=4,"ke",IF(Kalenteri!B63=5,"to",IF(Kalenteri!B63=6,"pe",IF(Kalenteri!B63=7,"la",)))))))</f>
        <v>ma</v>
      </c>
      <c r="C8" s="114">
        <f>'N3'!C8+'K3'!C8</f>
        <v>12</v>
      </c>
      <c r="D8" s="115">
        <f>'N3'!D8+'K3'!D8</f>
        <v>35</v>
      </c>
      <c r="E8" s="115">
        <f>'N3'!E8+'K3'!E8</f>
        <v>0</v>
      </c>
      <c r="F8" s="116">
        <f>'N3'!F8+'K3'!F8</f>
        <v>6</v>
      </c>
      <c r="G8" s="114">
        <f>'N3'!G8+'K3'!G8</f>
        <v>7</v>
      </c>
      <c r="H8" s="116">
        <f>'N3'!H8+'K3'!H8</f>
        <v>40</v>
      </c>
      <c r="I8" s="114">
        <f>'N3'!I8+'K3'!I8</f>
        <v>0</v>
      </c>
      <c r="J8" s="116">
        <f>'N3'!J8+'K3'!J8</f>
        <v>0</v>
      </c>
      <c r="K8" s="33">
        <f>'N3'!K8+'K3'!K8</f>
        <v>100</v>
      </c>
      <c r="L8" s="115">
        <f>'N3'!L8+'K3'!L8</f>
        <v>0</v>
      </c>
      <c r="M8" s="115">
        <f>'N3'!M8+'K3'!M8</f>
        <v>0</v>
      </c>
      <c r="N8" s="115">
        <f>'N3'!N8+'K3'!N8</f>
        <v>0</v>
      </c>
      <c r="O8" s="116">
        <f>'N3'!O8+'K3'!O8</f>
        <v>0</v>
      </c>
      <c r="P8" s="115">
        <f>'N3'!P8+'K3'!P8</f>
        <v>0</v>
      </c>
      <c r="Q8" s="116">
        <f>'N3'!Q8+'K3'!Q8</f>
        <v>0</v>
      </c>
      <c r="R8" s="121">
        <f>'N3'!R8+'K3'!R8</f>
        <v>0</v>
      </c>
      <c r="S8" s="121">
        <f>'N3'!S8+'K3'!S8</f>
        <v>0</v>
      </c>
      <c r="T8" s="33">
        <f>'N3'!T8+'K3'!T8</f>
        <v>0</v>
      </c>
      <c r="U8" s="115">
        <f>'N3'!U8+'K3'!U8</f>
        <v>0</v>
      </c>
      <c r="V8" s="115">
        <f>'N3'!V8+'K3'!V8</f>
        <v>0</v>
      </c>
      <c r="W8" s="115">
        <f>'N3'!W8+'K3'!W8</f>
        <v>0</v>
      </c>
      <c r="X8" s="116">
        <f>'N3'!X8+'K3'!X8</f>
        <v>0</v>
      </c>
      <c r="Y8" s="115">
        <f>'N3'!Y8+'K3'!Y8</f>
        <v>0</v>
      </c>
      <c r="Z8" s="116">
        <f>'N3'!Z8+'K3'!Z8</f>
        <v>0</v>
      </c>
      <c r="AA8" s="121">
        <f>'N3'!AA8+'K3'!AA8</f>
        <v>0</v>
      </c>
      <c r="AB8" s="121">
        <f>'N3'!AB8+'K3'!AB8</f>
        <v>0</v>
      </c>
      <c r="AC8" s="33">
        <f>'N3'!AC8+'K3'!AC8</f>
        <v>0</v>
      </c>
      <c r="AD8" s="12">
        <f>'N3'!AD8+'K3'!AD8</f>
        <v>100</v>
      </c>
      <c r="AE8" s="39"/>
      <c r="AF8" s="39"/>
      <c r="AG8" s="39"/>
      <c r="AH8" s="39"/>
      <c r="AI8" s="39"/>
      <c r="AJ8"/>
    </row>
    <row r="9" spans="1:36" x14ac:dyDescent="0.2">
      <c r="A9" s="5">
        <f>DAY(Kalenteri!A64)</f>
        <v>5</v>
      </c>
      <c r="B9" s="3" t="str">
        <f>IF(Kalenteri!B64=1,"su",IF(Kalenteri!B64=2,"ma",IF(Kalenteri!B64=3,"ti",IF(Kalenteri!B64=4,"ke",IF(Kalenteri!B64=5,"to",IF(Kalenteri!B64=6,"pe",IF(Kalenteri!B64=7,"la",)))))))</f>
        <v>ti</v>
      </c>
      <c r="C9" s="114">
        <f>'N3'!C9+'K3'!C9</f>
        <v>55</v>
      </c>
      <c r="D9" s="115">
        <f>'N3'!D9+'K3'!D9</f>
        <v>13</v>
      </c>
      <c r="E9" s="115">
        <f>'N3'!E9+'K3'!E9</f>
        <v>0</v>
      </c>
      <c r="F9" s="116">
        <f>'N3'!F9+'K3'!F9</f>
        <v>2</v>
      </c>
      <c r="G9" s="114">
        <f>'N3'!G9+'K3'!G9</f>
        <v>11</v>
      </c>
      <c r="H9" s="116">
        <f>'N3'!H9+'K3'!H9</f>
        <v>93</v>
      </c>
      <c r="I9" s="114">
        <f>'N3'!I9+'K3'!I9</f>
        <v>0</v>
      </c>
      <c r="J9" s="116">
        <f>'N3'!J9+'K3'!J9</f>
        <v>0</v>
      </c>
      <c r="K9" s="33">
        <f>'N3'!K9+'K3'!K9</f>
        <v>174</v>
      </c>
      <c r="L9" s="115">
        <f>'N3'!L9+'K3'!L9</f>
        <v>0</v>
      </c>
      <c r="M9" s="115">
        <f>'N3'!M9+'K3'!M9</f>
        <v>0</v>
      </c>
      <c r="N9" s="115">
        <f>'N3'!N9+'K3'!N9</f>
        <v>0</v>
      </c>
      <c r="O9" s="116">
        <f>'N3'!O9+'K3'!O9</f>
        <v>0</v>
      </c>
      <c r="P9" s="115">
        <f>'N3'!P9+'K3'!P9</f>
        <v>0</v>
      </c>
      <c r="Q9" s="116">
        <f>'N3'!Q9+'K3'!Q9</f>
        <v>0</v>
      </c>
      <c r="R9" s="121">
        <f>'N3'!R9+'K3'!R9</f>
        <v>0</v>
      </c>
      <c r="S9" s="121">
        <f>'N3'!S9+'K3'!S9</f>
        <v>0</v>
      </c>
      <c r="T9" s="33">
        <f>'N3'!T9+'K3'!T9</f>
        <v>0</v>
      </c>
      <c r="U9" s="115">
        <f>'N3'!U9+'K3'!U9</f>
        <v>0</v>
      </c>
      <c r="V9" s="115">
        <f>'N3'!V9+'K3'!V9</f>
        <v>0</v>
      </c>
      <c r="W9" s="115">
        <f>'N3'!W9+'K3'!W9</f>
        <v>0</v>
      </c>
      <c r="X9" s="116">
        <f>'N3'!X9+'K3'!X9</f>
        <v>0</v>
      </c>
      <c r="Y9" s="115">
        <f>'N3'!Y9+'K3'!Y9</f>
        <v>0</v>
      </c>
      <c r="Z9" s="116">
        <f>'N3'!Z9+'K3'!Z9</f>
        <v>0</v>
      </c>
      <c r="AA9" s="121">
        <f>'N3'!AA9+'K3'!AA9</f>
        <v>0</v>
      </c>
      <c r="AB9" s="121">
        <f>'N3'!AB9+'K3'!AB9</f>
        <v>0</v>
      </c>
      <c r="AC9" s="33">
        <f>'N3'!AC9+'K3'!AC9</f>
        <v>0</v>
      </c>
      <c r="AD9" s="12">
        <f>'N3'!AD9+'K3'!AD9</f>
        <v>174</v>
      </c>
      <c r="AE9" s="39"/>
      <c r="AF9" s="39"/>
      <c r="AG9" s="39"/>
      <c r="AH9" s="39"/>
      <c r="AI9" s="39"/>
      <c r="AJ9"/>
    </row>
    <row r="10" spans="1:36" x14ac:dyDescent="0.2">
      <c r="A10" s="5">
        <f>DAY(Kalenteri!A65)</f>
        <v>6</v>
      </c>
      <c r="B10" s="3" t="str">
        <f>IF(Kalenteri!B65=1,"su",IF(Kalenteri!B65=2,"ma",IF(Kalenteri!B65=3,"ti",IF(Kalenteri!B65=4,"ke",IF(Kalenteri!B65=5,"to",IF(Kalenteri!B65=6,"pe",IF(Kalenteri!B65=7,"la",)))))))</f>
        <v>ke</v>
      </c>
      <c r="C10" s="114">
        <f>'N3'!C10+'K3'!C10</f>
        <v>88</v>
      </c>
      <c r="D10" s="115">
        <f>'N3'!D10+'K3'!D10</f>
        <v>11</v>
      </c>
      <c r="E10" s="115">
        <f>'N3'!E10+'K3'!E10</f>
        <v>0</v>
      </c>
      <c r="F10" s="116">
        <f>'N3'!F10+'K3'!F10</f>
        <v>2</v>
      </c>
      <c r="G10" s="114">
        <f>'N3'!G10+'K3'!G10</f>
        <v>20</v>
      </c>
      <c r="H10" s="116">
        <f>'N3'!H10+'K3'!H10</f>
        <v>85</v>
      </c>
      <c r="I10" s="114">
        <f>'N3'!I10+'K3'!I10</f>
        <v>0</v>
      </c>
      <c r="J10" s="116">
        <f>'N3'!J10+'K3'!J10</f>
        <v>0</v>
      </c>
      <c r="K10" s="33">
        <f>'N3'!K10+'K3'!K10</f>
        <v>206</v>
      </c>
      <c r="L10" s="115">
        <f>'N3'!L10+'K3'!L10</f>
        <v>0</v>
      </c>
      <c r="M10" s="115">
        <f>'N3'!M10+'K3'!M10</f>
        <v>0</v>
      </c>
      <c r="N10" s="115">
        <f>'N3'!N10+'K3'!N10</f>
        <v>0</v>
      </c>
      <c r="O10" s="116">
        <f>'N3'!O10+'K3'!O10</f>
        <v>0</v>
      </c>
      <c r="P10" s="115">
        <f>'N3'!P10+'K3'!P10</f>
        <v>0</v>
      </c>
      <c r="Q10" s="116">
        <f>'N3'!Q10+'K3'!Q10</f>
        <v>0</v>
      </c>
      <c r="R10" s="121">
        <f>'N3'!R10+'K3'!R10</f>
        <v>0</v>
      </c>
      <c r="S10" s="121">
        <f>'N3'!S10+'K3'!S10</f>
        <v>0</v>
      </c>
      <c r="T10" s="33">
        <f>'N3'!T10+'K3'!T10</f>
        <v>0</v>
      </c>
      <c r="U10" s="115">
        <f>'N3'!U10+'K3'!U10</f>
        <v>0</v>
      </c>
      <c r="V10" s="115">
        <f>'N3'!V10+'K3'!V10</f>
        <v>0</v>
      </c>
      <c r="W10" s="115">
        <f>'N3'!W10+'K3'!W10</f>
        <v>0</v>
      </c>
      <c r="X10" s="116">
        <f>'N3'!X10+'K3'!X10</f>
        <v>0</v>
      </c>
      <c r="Y10" s="115">
        <f>'N3'!Y10+'K3'!Y10</f>
        <v>0</v>
      </c>
      <c r="Z10" s="116">
        <f>'N3'!Z10+'K3'!Z10</f>
        <v>0</v>
      </c>
      <c r="AA10" s="121">
        <f>'N3'!AA10+'K3'!AA10</f>
        <v>0</v>
      </c>
      <c r="AB10" s="121">
        <f>'N3'!AB10+'K3'!AB10</f>
        <v>0</v>
      </c>
      <c r="AC10" s="33">
        <f>'N3'!AC10+'K3'!AC10</f>
        <v>0</v>
      </c>
      <c r="AD10" s="12">
        <f>'N3'!AD10+'K3'!AD10</f>
        <v>206</v>
      </c>
      <c r="AE10" s="39"/>
      <c r="AF10" s="39"/>
      <c r="AG10" s="39"/>
      <c r="AH10" s="39"/>
      <c r="AI10" s="39"/>
      <c r="AJ10"/>
    </row>
    <row r="11" spans="1:36" x14ac:dyDescent="0.2">
      <c r="A11" s="5">
        <f>DAY(Kalenteri!A66)</f>
        <v>7</v>
      </c>
      <c r="B11" s="3" t="str">
        <f>IF(Kalenteri!B66=1,"su",IF(Kalenteri!B66=2,"ma",IF(Kalenteri!B66=3,"ti",IF(Kalenteri!B66=4,"ke",IF(Kalenteri!B66=5,"to",IF(Kalenteri!B66=6,"pe",IF(Kalenteri!B66=7,"la",)))))))</f>
        <v>to</v>
      </c>
      <c r="C11" s="114">
        <f>'N3'!C11+'K3'!C11</f>
        <v>92</v>
      </c>
      <c r="D11" s="115">
        <f>'N3'!D11+'K3'!D11</f>
        <v>14</v>
      </c>
      <c r="E11" s="115">
        <f>'N3'!E11+'K3'!E11</f>
        <v>14</v>
      </c>
      <c r="F11" s="116">
        <f>'N3'!F11+'K3'!F11</f>
        <v>2</v>
      </c>
      <c r="G11" s="114">
        <f>'N3'!G11+'K3'!G11</f>
        <v>21</v>
      </c>
      <c r="H11" s="116">
        <f>'N3'!H11+'K3'!H11</f>
        <v>140</v>
      </c>
      <c r="I11" s="114">
        <f>'N3'!I11+'K3'!I11</f>
        <v>3</v>
      </c>
      <c r="J11" s="116">
        <f>'N3'!J11+'K3'!J11</f>
        <v>2</v>
      </c>
      <c r="K11" s="33">
        <f>'N3'!K11+'K3'!K11</f>
        <v>288</v>
      </c>
      <c r="L11" s="115">
        <f>'N3'!L11+'K3'!L11</f>
        <v>0</v>
      </c>
      <c r="M11" s="115">
        <f>'N3'!M11+'K3'!M11</f>
        <v>0</v>
      </c>
      <c r="N11" s="115">
        <f>'N3'!N11+'K3'!N11</f>
        <v>0</v>
      </c>
      <c r="O11" s="116">
        <f>'N3'!O11+'K3'!O11</f>
        <v>0</v>
      </c>
      <c r="P11" s="115">
        <f>'N3'!P11+'K3'!P11</f>
        <v>0</v>
      </c>
      <c r="Q11" s="116">
        <f>'N3'!Q11+'K3'!Q11</f>
        <v>0</v>
      </c>
      <c r="R11" s="121">
        <f>'N3'!R11+'K3'!R11</f>
        <v>0</v>
      </c>
      <c r="S11" s="121">
        <f>'N3'!S11+'K3'!S11</f>
        <v>0</v>
      </c>
      <c r="T11" s="33">
        <f>'N3'!T11+'K3'!T11</f>
        <v>0</v>
      </c>
      <c r="U11" s="115">
        <f>'N3'!U11+'K3'!U11</f>
        <v>0</v>
      </c>
      <c r="V11" s="115">
        <f>'N3'!V11+'K3'!V11</f>
        <v>0</v>
      </c>
      <c r="W11" s="115">
        <f>'N3'!W11+'K3'!W11</f>
        <v>0</v>
      </c>
      <c r="X11" s="116">
        <f>'N3'!X11+'K3'!X11</f>
        <v>0</v>
      </c>
      <c r="Y11" s="115">
        <f>'N3'!Y11+'K3'!Y11</f>
        <v>0</v>
      </c>
      <c r="Z11" s="116">
        <f>'N3'!Z11+'K3'!Z11</f>
        <v>0</v>
      </c>
      <c r="AA11" s="121">
        <f>'N3'!AA11+'K3'!AA11</f>
        <v>0</v>
      </c>
      <c r="AB11" s="121">
        <f>'N3'!AB11+'K3'!AB11</f>
        <v>0</v>
      </c>
      <c r="AC11" s="33">
        <f>'N3'!AC11+'K3'!AC11</f>
        <v>0</v>
      </c>
      <c r="AD11" s="12">
        <f>'N3'!AD11+'K3'!AD11</f>
        <v>288</v>
      </c>
      <c r="AE11" s="39"/>
      <c r="AF11" s="39"/>
      <c r="AG11" s="39"/>
      <c r="AH11" s="39"/>
      <c r="AI11" s="39"/>
      <c r="AJ11"/>
    </row>
    <row r="12" spans="1:36" x14ac:dyDescent="0.2">
      <c r="A12" s="5">
        <f>DAY(Kalenteri!A67)</f>
        <v>8</v>
      </c>
      <c r="B12" s="3" t="str">
        <f>IF(Kalenteri!B67=1,"su",IF(Kalenteri!B67=2,"ma",IF(Kalenteri!B67=3,"ti",IF(Kalenteri!B67=4,"ke",IF(Kalenteri!B67=5,"to",IF(Kalenteri!B67=6,"pe",IF(Kalenteri!B67=7,"la",)))))))</f>
        <v>pe</v>
      </c>
      <c r="C12" s="114">
        <f>'N3'!C12+'K3'!C12</f>
        <v>138</v>
      </c>
      <c r="D12" s="115">
        <f>'N3'!D12+'K3'!D12</f>
        <v>37</v>
      </c>
      <c r="E12" s="115">
        <f>'N3'!E12+'K3'!E12</f>
        <v>0</v>
      </c>
      <c r="F12" s="116">
        <f>'N3'!F12+'K3'!F12</f>
        <v>8</v>
      </c>
      <c r="G12" s="114">
        <f>'N3'!G12+'K3'!G12</f>
        <v>5</v>
      </c>
      <c r="H12" s="116">
        <f>'N3'!H12+'K3'!H12</f>
        <v>120</v>
      </c>
      <c r="I12" s="114">
        <f>'N3'!I12+'K3'!I12</f>
        <v>0</v>
      </c>
      <c r="J12" s="116">
        <f>'N3'!J12+'K3'!J12</f>
        <v>0</v>
      </c>
      <c r="K12" s="33">
        <f>'N3'!K12+'K3'!K12</f>
        <v>308</v>
      </c>
      <c r="L12" s="115">
        <f>'N3'!L12+'K3'!L12</f>
        <v>0</v>
      </c>
      <c r="M12" s="115">
        <f>'N3'!M12+'K3'!M12</f>
        <v>0</v>
      </c>
      <c r="N12" s="115">
        <f>'N3'!N12+'K3'!N12</f>
        <v>0</v>
      </c>
      <c r="O12" s="116">
        <f>'N3'!O12+'K3'!O12</f>
        <v>0</v>
      </c>
      <c r="P12" s="115">
        <f>'N3'!P12+'K3'!P12</f>
        <v>0</v>
      </c>
      <c r="Q12" s="116">
        <f>'N3'!Q12+'K3'!Q12</f>
        <v>0</v>
      </c>
      <c r="R12" s="121">
        <f>'N3'!R12+'K3'!R12</f>
        <v>0</v>
      </c>
      <c r="S12" s="121">
        <f>'N3'!S12+'K3'!S12</f>
        <v>0</v>
      </c>
      <c r="T12" s="33">
        <f>'N3'!T12+'K3'!T12</f>
        <v>0</v>
      </c>
      <c r="U12" s="115">
        <f>'N3'!U12+'K3'!U12</f>
        <v>0</v>
      </c>
      <c r="V12" s="115">
        <f>'N3'!V12+'K3'!V12</f>
        <v>0</v>
      </c>
      <c r="W12" s="115">
        <f>'N3'!W12+'K3'!W12</f>
        <v>0</v>
      </c>
      <c r="X12" s="116">
        <f>'N3'!X12+'K3'!X12</f>
        <v>0</v>
      </c>
      <c r="Y12" s="115">
        <f>'N3'!Y12+'K3'!Y12</f>
        <v>0</v>
      </c>
      <c r="Z12" s="116">
        <f>'N3'!Z12+'K3'!Z12</f>
        <v>0</v>
      </c>
      <c r="AA12" s="121">
        <f>'N3'!AA12+'K3'!AA12</f>
        <v>0</v>
      </c>
      <c r="AB12" s="121">
        <f>'N3'!AB12+'K3'!AB12</f>
        <v>0</v>
      </c>
      <c r="AC12" s="33">
        <f>'N3'!AC12+'K3'!AC12</f>
        <v>0</v>
      </c>
      <c r="AD12" s="12">
        <f>'N3'!AD12+'K3'!AD12</f>
        <v>308</v>
      </c>
      <c r="AE12" s="39"/>
      <c r="AF12" s="39"/>
      <c r="AG12" s="39"/>
      <c r="AH12" s="39"/>
      <c r="AI12" s="39"/>
      <c r="AJ12"/>
    </row>
    <row r="13" spans="1:36" x14ac:dyDescent="0.2">
      <c r="A13" s="5">
        <f>DAY(Kalenteri!A68)</f>
        <v>9</v>
      </c>
      <c r="B13" s="3" t="str">
        <f>IF(Kalenteri!B68=1,"su",IF(Kalenteri!B68=2,"ma",IF(Kalenteri!B68=3,"ti",IF(Kalenteri!B68=4,"ke",IF(Kalenteri!B68=5,"to",IF(Kalenteri!B68=6,"pe",IF(Kalenteri!B68=7,"la",)))))))</f>
        <v>la</v>
      </c>
      <c r="C13" s="114">
        <f>'N3'!C13+'K3'!C13</f>
        <v>381</v>
      </c>
      <c r="D13" s="115">
        <f>'N3'!D13+'K3'!D13</f>
        <v>91</v>
      </c>
      <c r="E13" s="115">
        <f>'N3'!E13+'K3'!E13</f>
        <v>2</v>
      </c>
      <c r="F13" s="116">
        <f>'N3'!F13+'K3'!F13</f>
        <v>16</v>
      </c>
      <c r="G13" s="114">
        <f>'N3'!G13+'K3'!G13</f>
        <v>11</v>
      </c>
      <c r="H13" s="116">
        <f>'N3'!H13+'K3'!H13</f>
        <v>105</v>
      </c>
      <c r="I13" s="114">
        <f>'N3'!I13+'K3'!I13</f>
        <v>0</v>
      </c>
      <c r="J13" s="116">
        <f>'N3'!J13+'K3'!J13</f>
        <v>0</v>
      </c>
      <c r="K13" s="33">
        <f>'N3'!K13+'K3'!K13</f>
        <v>606</v>
      </c>
      <c r="L13" s="115">
        <f>'N3'!L13+'K3'!L13</f>
        <v>0</v>
      </c>
      <c r="M13" s="115">
        <f>'N3'!M13+'K3'!M13</f>
        <v>0</v>
      </c>
      <c r="N13" s="115">
        <f>'N3'!N13+'K3'!N13</f>
        <v>0</v>
      </c>
      <c r="O13" s="116">
        <f>'N3'!O13+'K3'!O13</f>
        <v>0</v>
      </c>
      <c r="P13" s="115">
        <f>'N3'!P13+'K3'!P13</f>
        <v>0</v>
      </c>
      <c r="Q13" s="116">
        <f>'N3'!Q13+'K3'!Q13</f>
        <v>0</v>
      </c>
      <c r="R13" s="121">
        <f>'N3'!R13+'K3'!R13</f>
        <v>0</v>
      </c>
      <c r="S13" s="121">
        <f>'N3'!S13+'K3'!S13</f>
        <v>0</v>
      </c>
      <c r="T13" s="33">
        <f>'N3'!T13+'K3'!T13</f>
        <v>0</v>
      </c>
      <c r="U13" s="115">
        <f>'N3'!U13+'K3'!U13</f>
        <v>0</v>
      </c>
      <c r="V13" s="115">
        <f>'N3'!V13+'K3'!V13</f>
        <v>0</v>
      </c>
      <c r="W13" s="115">
        <f>'N3'!W13+'K3'!W13</f>
        <v>0</v>
      </c>
      <c r="X13" s="116">
        <f>'N3'!X13+'K3'!X13</f>
        <v>0</v>
      </c>
      <c r="Y13" s="115">
        <f>'N3'!Y13+'K3'!Y13</f>
        <v>0</v>
      </c>
      <c r="Z13" s="116">
        <f>'N3'!Z13+'K3'!Z13</f>
        <v>0</v>
      </c>
      <c r="AA13" s="121">
        <f>'N3'!AA13+'K3'!AA13</f>
        <v>0</v>
      </c>
      <c r="AB13" s="121">
        <f>'N3'!AB13+'K3'!AB13</f>
        <v>0</v>
      </c>
      <c r="AC13" s="33">
        <f>'N3'!AC13+'K3'!AC13</f>
        <v>0</v>
      </c>
      <c r="AD13" s="12">
        <f>'N3'!AD13+'K3'!AD13</f>
        <v>606</v>
      </c>
      <c r="AE13" s="39"/>
      <c r="AF13" s="39"/>
      <c r="AG13" s="39"/>
      <c r="AH13" s="39"/>
      <c r="AI13" s="39"/>
      <c r="AJ13"/>
    </row>
    <row r="14" spans="1:36" x14ac:dyDescent="0.2">
      <c r="A14" s="5">
        <f>DAY(Kalenteri!A69)</f>
        <v>10</v>
      </c>
      <c r="B14" s="3" t="str">
        <f>IF(Kalenteri!B69=1,"su",IF(Kalenteri!B69=2,"ma",IF(Kalenteri!B69=3,"ti",IF(Kalenteri!B69=4,"ke",IF(Kalenteri!B69=5,"to",IF(Kalenteri!B69=6,"pe",IF(Kalenteri!B69=7,"la",)))))))</f>
        <v>su</v>
      </c>
      <c r="C14" s="114">
        <f>'N3'!C14+'K3'!C14</f>
        <v>295</v>
      </c>
      <c r="D14" s="115">
        <f>'N3'!D14+'K3'!D14</f>
        <v>76</v>
      </c>
      <c r="E14" s="115">
        <f>'N3'!E14+'K3'!E14</f>
        <v>5</v>
      </c>
      <c r="F14" s="116">
        <f>'N3'!F14+'K3'!F14</f>
        <v>32</v>
      </c>
      <c r="G14" s="114">
        <f>'N3'!G14+'K3'!G14</f>
        <v>0</v>
      </c>
      <c r="H14" s="116">
        <f>'N3'!H14+'K3'!H14</f>
        <v>88</v>
      </c>
      <c r="I14" s="114">
        <f>'N3'!I14+'K3'!I14</f>
        <v>0</v>
      </c>
      <c r="J14" s="116">
        <f>'N3'!J14+'K3'!J14</f>
        <v>0</v>
      </c>
      <c r="K14" s="33">
        <f>'N3'!K14+'K3'!K14</f>
        <v>496</v>
      </c>
      <c r="L14" s="115">
        <f>'N3'!L14+'K3'!L14</f>
        <v>0</v>
      </c>
      <c r="M14" s="115">
        <f>'N3'!M14+'K3'!M14</f>
        <v>0</v>
      </c>
      <c r="N14" s="115">
        <f>'N3'!N14+'K3'!N14</f>
        <v>0</v>
      </c>
      <c r="O14" s="116">
        <f>'N3'!O14+'K3'!O14</f>
        <v>0</v>
      </c>
      <c r="P14" s="115">
        <f>'N3'!P14+'K3'!P14</f>
        <v>0</v>
      </c>
      <c r="Q14" s="116">
        <f>'N3'!Q14+'K3'!Q14</f>
        <v>0</v>
      </c>
      <c r="R14" s="121">
        <f>'N3'!R14+'K3'!R14</f>
        <v>0</v>
      </c>
      <c r="S14" s="121">
        <f>'N3'!S14+'K3'!S14</f>
        <v>0</v>
      </c>
      <c r="T14" s="33">
        <f>'N3'!T14+'K3'!T14</f>
        <v>0</v>
      </c>
      <c r="U14" s="115">
        <f>'N3'!U14+'K3'!U14</f>
        <v>0</v>
      </c>
      <c r="V14" s="115">
        <f>'N3'!V14+'K3'!V14</f>
        <v>0</v>
      </c>
      <c r="W14" s="115">
        <f>'N3'!W14+'K3'!W14</f>
        <v>0</v>
      </c>
      <c r="X14" s="116">
        <f>'N3'!X14+'K3'!X14</f>
        <v>0</v>
      </c>
      <c r="Y14" s="115">
        <f>'N3'!Y14+'K3'!Y14</f>
        <v>0</v>
      </c>
      <c r="Z14" s="116">
        <f>'N3'!Z14+'K3'!Z14</f>
        <v>0</v>
      </c>
      <c r="AA14" s="121">
        <f>'N3'!AA14+'K3'!AA14</f>
        <v>0</v>
      </c>
      <c r="AB14" s="121">
        <f>'N3'!AB14+'K3'!AB14</f>
        <v>0</v>
      </c>
      <c r="AC14" s="33">
        <f>'N3'!AC14+'K3'!AC14</f>
        <v>0</v>
      </c>
      <c r="AD14" s="12">
        <f>'N3'!AD14+'K3'!AD14</f>
        <v>496</v>
      </c>
      <c r="AE14" s="39"/>
      <c r="AF14" s="39"/>
      <c r="AG14" s="39"/>
      <c r="AH14" s="39"/>
      <c r="AI14" s="39"/>
      <c r="AJ14"/>
    </row>
    <row r="15" spans="1:36" x14ac:dyDescent="0.2">
      <c r="A15" s="5">
        <f>DAY(Kalenteri!A70)</f>
        <v>11</v>
      </c>
      <c r="B15" s="3" t="str">
        <f>IF(Kalenteri!B70=1,"su",IF(Kalenteri!B70=2,"ma",IF(Kalenteri!B70=3,"ti",IF(Kalenteri!B70=4,"ke",IF(Kalenteri!B70=5,"to",IF(Kalenteri!B70=6,"pe",IF(Kalenteri!B70=7,"la",)))))))</f>
        <v>ma</v>
      </c>
      <c r="C15" s="114">
        <f>'N3'!C15+'K3'!C15</f>
        <v>44</v>
      </c>
      <c r="D15" s="115">
        <f>'N3'!D15+'K3'!D15</f>
        <v>4</v>
      </c>
      <c r="E15" s="115">
        <f>'N3'!E15+'K3'!E15</f>
        <v>0</v>
      </c>
      <c r="F15" s="116">
        <f>'N3'!F15+'K3'!F15</f>
        <v>2</v>
      </c>
      <c r="G15" s="114">
        <f>'N3'!G15+'K3'!G15</f>
        <v>13</v>
      </c>
      <c r="H15" s="116">
        <f>'N3'!H15+'K3'!H15</f>
        <v>24</v>
      </c>
      <c r="I15" s="114">
        <f>'N3'!I15+'K3'!I15</f>
        <v>0</v>
      </c>
      <c r="J15" s="116">
        <f>'N3'!J15+'K3'!J15</f>
        <v>0</v>
      </c>
      <c r="K15" s="33">
        <f>'N3'!K15+'K3'!K15</f>
        <v>87</v>
      </c>
      <c r="L15" s="115">
        <f>'N3'!L15+'K3'!L15</f>
        <v>0</v>
      </c>
      <c r="M15" s="115">
        <f>'N3'!M15+'K3'!M15</f>
        <v>0</v>
      </c>
      <c r="N15" s="115">
        <f>'N3'!N15+'K3'!N15</f>
        <v>0</v>
      </c>
      <c r="O15" s="116">
        <f>'N3'!O15+'K3'!O15</f>
        <v>0</v>
      </c>
      <c r="P15" s="115">
        <f>'N3'!P15+'K3'!P15</f>
        <v>0</v>
      </c>
      <c r="Q15" s="116">
        <f>'N3'!Q15+'K3'!Q15</f>
        <v>0</v>
      </c>
      <c r="R15" s="121">
        <f>'N3'!R15+'K3'!R15</f>
        <v>0</v>
      </c>
      <c r="S15" s="121">
        <f>'N3'!S15+'K3'!S15</f>
        <v>0</v>
      </c>
      <c r="T15" s="33">
        <f>'N3'!T15+'K3'!T15</f>
        <v>0</v>
      </c>
      <c r="U15" s="115">
        <f>'N3'!U15+'K3'!U15</f>
        <v>0</v>
      </c>
      <c r="V15" s="115">
        <f>'N3'!V15+'K3'!V15</f>
        <v>0</v>
      </c>
      <c r="W15" s="115">
        <f>'N3'!W15+'K3'!W15</f>
        <v>0</v>
      </c>
      <c r="X15" s="116">
        <f>'N3'!X15+'K3'!X15</f>
        <v>0</v>
      </c>
      <c r="Y15" s="115">
        <f>'N3'!Y15+'K3'!Y15</f>
        <v>0</v>
      </c>
      <c r="Z15" s="116">
        <f>'N3'!Z15+'K3'!Z15</f>
        <v>0</v>
      </c>
      <c r="AA15" s="121">
        <f>'N3'!AA15+'K3'!AA15</f>
        <v>0</v>
      </c>
      <c r="AB15" s="121">
        <f>'N3'!AB15+'K3'!AB15</f>
        <v>0</v>
      </c>
      <c r="AC15" s="33">
        <f>'N3'!AC15+'K3'!AC15</f>
        <v>0</v>
      </c>
      <c r="AD15" s="12">
        <f>'N3'!AD15+'K3'!AD15</f>
        <v>87</v>
      </c>
      <c r="AE15" s="39"/>
      <c r="AF15" s="39"/>
      <c r="AG15" s="39"/>
      <c r="AH15" s="39"/>
      <c r="AI15" s="39"/>
      <c r="AJ15"/>
    </row>
    <row r="16" spans="1:36" x14ac:dyDescent="0.2">
      <c r="A16" s="5">
        <f>DAY(Kalenteri!A71)</f>
        <v>12</v>
      </c>
      <c r="B16" s="3" t="str">
        <f>IF(Kalenteri!B71=1,"su",IF(Kalenteri!B71=2,"ma",IF(Kalenteri!B71=3,"ti",IF(Kalenteri!B71=4,"ke",IF(Kalenteri!B71=5,"to",IF(Kalenteri!B71=6,"pe",IF(Kalenteri!B71=7,"la",)))))))</f>
        <v>ti</v>
      </c>
      <c r="C16" s="114">
        <f>'N3'!C16+'K3'!C16</f>
        <v>39</v>
      </c>
      <c r="D16" s="115">
        <f>'N3'!D16+'K3'!D16</f>
        <v>0</v>
      </c>
      <c r="E16" s="115">
        <f>'N3'!E16+'K3'!E16</f>
        <v>2</v>
      </c>
      <c r="F16" s="116">
        <f>'N3'!F16+'K3'!F16</f>
        <v>2</v>
      </c>
      <c r="G16" s="114">
        <f>'N3'!G16+'K3'!G16</f>
        <v>1</v>
      </c>
      <c r="H16" s="116">
        <f>'N3'!H16+'K3'!H16</f>
        <v>30</v>
      </c>
      <c r="I16" s="114">
        <f>'N3'!I16+'K3'!I16</f>
        <v>0</v>
      </c>
      <c r="J16" s="116">
        <f>'N3'!J16+'K3'!J16</f>
        <v>0</v>
      </c>
      <c r="K16" s="33">
        <f>'N3'!K16+'K3'!K16</f>
        <v>74</v>
      </c>
      <c r="L16" s="115">
        <f>'N3'!L16+'K3'!L16</f>
        <v>0</v>
      </c>
      <c r="M16" s="115">
        <f>'N3'!M16+'K3'!M16</f>
        <v>0</v>
      </c>
      <c r="N16" s="115">
        <f>'N3'!N16+'K3'!N16</f>
        <v>0</v>
      </c>
      <c r="O16" s="116">
        <f>'N3'!O16+'K3'!O16</f>
        <v>0</v>
      </c>
      <c r="P16" s="115">
        <f>'N3'!P16+'K3'!P16</f>
        <v>0</v>
      </c>
      <c r="Q16" s="116">
        <f>'N3'!Q16+'K3'!Q16</f>
        <v>0</v>
      </c>
      <c r="R16" s="121">
        <f>'N3'!R16+'K3'!R16</f>
        <v>0</v>
      </c>
      <c r="S16" s="121">
        <f>'N3'!S16+'K3'!S16</f>
        <v>0</v>
      </c>
      <c r="T16" s="33">
        <f>'N3'!T16+'K3'!T16</f>
        <v>0</v>
      </c>
      <c r="U16" s="115">
        <f>'N3'!U16+'K3'!U16</f>
        <v>0</v>
      </c>
      <c r="V16" s="115">
        <f>'N3'!V16+'K3'!V16</f>
        <v>0</v>
      </c>
      <c r="W16" s="115">
        <f>'N3'!W16+'K3'!W16</f>
        <v>0</v>
      </c>
      <c r="X16" s="116">
        <f>'N3'!X16+'K3'!X16</f>
        <v>0</v>
      </c>
      <c r="Y16" s="115">
        <f>'N3'!Y16+'K3'!Y16</f>
        <v>0</v>
      </c>
      <c r="Z16" s="116">
        <f>'N3'!Z16+'K3'!Z16</f>
        <v>0</v>
      </c>
      <c r="AA16" s="121">
        <f>'N3'!AA16+'K3'!AA16</f>
        <v>0</v>
      </c>
      <c r="AB16" s="121">
        <f>'N3'!AB16+'K3'!AB16</f>
        <v>0</v>
      </c>
      <c r="AC16" s="33">
        <f>'N3'!AC16+'K3'!AC16</f>
        <v>0</v>
      </c>
      <c r="AD16" s="12">
        <f>'N3'!AD16+'K3'!AD16</f>
        <v>74</v>
      </c>
      <c r="AE16" s="39"/>
      <c r="AF16" s="39"/>
      <c r="AG16" s="39"/>
      <c r="AH16" s="39"/>
      <c r="AI16" s="39"/>
      <c r="AJ16"/>
    </row>
    <row r="17" spans="1:36" x14ac:dyDescent="0.2">
      <c r="A17" s="5">
        <f>DAY(Kalenteri!A72)</f>
        <v>13</v>
      </c>
      <c r="B17" s="3" t="str">
        <f>IF(Kalenteri!B72=1,"su",IF(Kalenteri!B72=2,"ma",IF(Kalenteri!B72=3,"ti",IF(Kalenteri!B72=4,"ke",IF(Kalenteri!B72=5,"to",IF(Kalenteri!B72=6,"pe",IF(Kalenteri!B72=7,"la",)))))))</f>
        <v>ke</v>
      </c>
      <c r="C17" s="114">
        <f>'N3'!C17+'K3'!C17</f>
        <v>27</v>
      </c>
      <c r="D17" s="115">
        <f>'N3'!D17+'K3'!D17</f>
        <v>7</v>
      </c>
      <c r="E17" s="115">
        <f>'N3'!E17+'K3'!E17</f>
        <v>0</v>
      </c>
      <c r="F17" s="116">
        <f>'N3'!F17+'K3'!F17</f>
        <v>0</v>
      </c>
      <c r="G17" s="114">
        <f>'N3'!G17+'K3'!G17</f>
        <v>22</v>
      </c>
      <c r="H17" s="116">
        <f>'N3'!H17+'K3'!H17</f>
        <v>20</v>
      </c>
      <c r="I17" s="114">
        <f>'N3'!I17+'K3'!I17</f>
        <v>0</v>
      </c>
      <c r="J17" s="116">
        <f>'N3'!J17+'K3'!J17</f>
        <v>0</v>
      </c>
      <c r="K17" s="33">
        <f>'N3'!K17+'K3'!K17</f>
        <v>76</v>
      </c>
      <c r="L17" s="115">
        <f>'N3'!L17+'K3'!L17</f>
        <v>0</v>
      </c>
      <c r="M17" s="115">
        <f>'N3'!M17+'K3'!M17</f>
        <v>0</v>
      </c>
      <c r="N17" s="115">
        <f>'N3'!N17+'K3'!N17</f>
        <v>0</v>
      </c>
      <c r="O17" s="116">
        <f>'N3'!O17+'K3'!O17</f>
        <v>0</v>
      </c>
      <c r="P17" s="115">
        <f>'N3'!P17+'K3'!P17</f>
        <v>0</v>
      </c>
      <c r="Q17" s="116">
        <f>'N3'!Q17+'K3'!Q17</f>
        <v>0</v>
      </c>
      <c r="R17" s="121">
        <f>'N3'!R17+'K3'!R17</f>
        <v>0</v>
      </c>
      <c r="S17" s="121">
        <f>'N3'!S17+'K3'!S17</f>
        <v>0</v>
      </c>
      <c r="T17" s="33">
        <f>'N3'!T17+'K3'!T17</f>
        <v>0</v>
      </c>
      <c r="U17" s="115">
        <f>'N3'!U17+'K3'!U17</f>
        <v>0</v>
      </c>
      <c r="V17" s="115">
        <f>'N3'!V17+'K3'!V17</f>
        <v>0</v>
      </c>
      <c r="W17" s="115">
        <f>'N3'!W17+'K3'!W17</f>
        <v>0</v>
      </c>
      <c r="X17" s="116">
        <f>'N3'!X17+'K3'!X17</f>
        <v>0</v>
      </c>
      <c r="Y17" s="115">
        <f>'N3'!Y17+'K3'!Y17</f>
        <v>0</v>
      </c>
      <c r="Z17" s="116">
        <f>'N3'!Z17+'K3'!Z17</f>
        <v>0</v>
      </c>
      <c r="AA17" s="121">
        <f>'N3'!AA17+'K3'!AA17</f>
        <v>0</v>
      </c>
      <c r="AB17" s="121">
        <f>'N3'!AB17+'K3'!AB17</f>
        <v>0</v>
      </c>
      <c r="AC17" s="33">
        <f>'N3'!AC17+'K3'!AC17</f>
        <v>0</v>
      </c>
      <c r="AD17" s="12">
        <f>'N3'!AD17+'K3'!AD17</f>
        <v>76</v>
      </c>
      <c r="AE17" s="39"/>
      <c r="AF17" s="39"/>
      <c r="AG17" s="39"/>
      <c r="AH17" s="39"/>
      <c r="AI17" s="39"/>
      <c r="AJ17"/>
    </row>
    <row r="18" spans="1:36" x14ac:dyDescent="0.2">
      <c r="A18" s="5">
        <f>DAY(Kalenteri!A73)</f>
        <v>14</v>
      </c>
      <c r="B18" s="3" t="str">
        <f>IF(Kalenteri!B73=1,"su",IF(Kalenteri!B73=2,"ma",IF(Kalenteri!B73=3,"ti",IF(Kalenteri!B73=4,"ke",IF(Kalenteri!B73=5,"to",IF(Kalenteri!B73=6,"pe",IF(Kalenteri!B73=7,"la",)))))))</f>
        <v>to</v>
      </c>
      <c r="C18" s="114">
        <f>'N3'!C18+'K3'!C18</f>
        <v>45</v>
      </c>
      <c r="D18" s="115">
        <f>'N3'!D18+'K3'!D18</f>
        <v>3</v>
      </c>
      <c r="E18" s="115">
        <f>'N3'!E18+'K3'!E18</f>
        <v>0</v>
      </c>
      <c r="F18" s="116">
        <f>'N3'!F18+'K3'!F18</f>
        <v>4</v>
      </c>
      <c r="G18" s="114">
        <f>'N3'!G18+'K3'!G18</f>
        <v>3</v>
      </c>
      <c r="H18" s="116">
        <f>'N3'!H18+'K3'!H18</f>
        <v>24</v>
      </c>
      <c r="I18" s="114">
        <f>'N3'!I18+'K3'!I18</f>
        <v>0</v>
      </c>
      <c r="J18" s="116">
        <f>'N3'!J18+'K3'!J18</f>
        <v>0</v>
      </c>
      <c r="K18" s="33">
        <f>'N3'!K18+'K3'!K18</f>
        <v>79</v>
      </c>
      <c r="L18" s="115">
        <f>'N3'!L18+'K3'!L18</f>
        <v>0</v>
      </c>
      <c r="M18" s="115">
        <f>'N3'!M18+'K3'!M18</f>
        <v>0</v>
      </c>
      <c r="N18" s="115">
        <f>'N3'!N18+'K3'!N18</f>
        <v>0</v>
      </c>
      <c r="O18" s="116">
        <f>'N3'!O18+'K3'!O18</f>
        <v>0</v>
      </c>
      <c r="P18" s="115">
        <f>'N3'!P18+'K3'!P18</f>
        <v>0</v>
      </c>
      <c r="Q18" s="116">
        <f>'N3'!Q18+'K3'!Q18</f>
        <v>0</v>
      </c>
      <c r="R18" s="121">
        <f>'N3'!R18+'K3'!R18</f>
        <v>0</v>
      </c>
      <c r="S18" s="121">
        <f>'N3'!S18+'K3'!S18</f>
        <v>0</v>
      </c>
      <c r="T18" s="33">
        <f>'N3'!T18+'K3'!T18</f>
        <v>0</v>
      </c>
      <c r="U18" s="115">
        <f>'N3'!U18+'K3'!U18</f>
        <v>0</v>
      </c>
      <c r="V18" s="115">
        <f>'N3'!V18+'K3'!V18</f>
        <v>0</v>
      </c>
      <c r="W18" s="115">
        <f>'N3'!W18+'K3'!W18</f>
        <v>0</v>
      </c>
      <c r="X18" s="116">
        <f>'N3'!X18+'K3'!X18</f>
        <v>0</v>
      </c>
      <c r="Y18" s="115">
        <f>'N3'!Y18+'K3'!Y18</f>
        <v>0</v>
      </c>
      <c r="Z18" s="116">
        <f>'N3'!Z18+'K3'!Z18</f>
        <v>0</v>
      </c>
      <c r="AA18" s="121">
        <f>'N3'!AA18+'K3'!AA18</f>
        <v>0</v>
      </c>
      <c r="AB18" s="121">
        <f>'N3'!AB18+'K3'!AB18</f>
        <v>0</v>
      </c>
      <c r="AC18" s="33">
        <f>'N3'!AC18+'K3'!AC18</f>
        <v>0</v>
      </c>
      <c r="AD18" s="12">
        <f>'N3'!AD18+'K3'!AD18</f>
        <v>79</v>
      </c>
      <c r="AE18" s="39"/>
      <c r="AF18" s="39"/>
      <c r="AG18" s="39"/>
      <c r="AH18" s="39"/>
      <c r="AI18" s="39"/>
      <c r="AJ18"/>
    </row>
    <row r="19" spans="1:36" x14ac:dyDescent="0.2">
      <c r="A19" s="5">
        <f>DAY(Kalenteri!A74)</f>
        <v>15</v>
      </c>
      <c r="B19" s="3" t="str">
        <f>IF(Kalenteri!B74=1,"su",IF(Kalenteri!B74=2,"ma",IF(Kalenteri!B74=3,"ti",IF(Kalenteri!B74=4,"ke",IF(Kalenteri!B74=5,"to",IF(Kalenteri!B74=6,"pe",IF(Kalenteri!B74=7,"la",)))))))</f>
        <v>pe</v>
      </c>
      <c r="C19" s="114">
        <f>'N3'!C19+'K3'!C19</f>
        <v>57</v>
      </c>
      <c r="D19" s="115">
        <f>'N3'!D19+'K3'!D19</f>
        <v>12</v>
      </c>
      <c r="E19" s="115">
        <f>'N3'!E19+'K3'!E19</f>
        <v>2</v>
      </c>
      <c r="F19" s="116">
        <f>'N3'!F19+'K3'!F19</f>
        <v>3</v>
      </c>
      <c r="G19" s="114">
        <f>'N3'!G19+'K3'!G19</f>
        <v>2</v>
      </c>
      <c r="H19" s="116">
        <f>'N3'!H19+'K3'!H19</f>
        <v>26</v>
      </c>
      <c r="I19" s="114">
        <f>'N3'!I19+'K3'!I19</f>
        <v>0</v>
      </c>
      <c r="J19" s="116">
        <f>'N3'!J19+'K3'!J19</f>
        <v>0</v>
      </c>
      <c r="K19" s="33">
        <f>'N3'!K19+'K3'!K19</f>
        <v>102</v>
      </c>
      <c r="L19" s="115">
        <f>'N3'!L19+'K3'!L19</f>
        <v>0</v>
      </c>
      <c r="M19" s="115">
        <f>'N3'!M19+'K3'!M19</f>
        <v>0</v>
      </c>
      <c r="N19" s="115">
        <f>'N3'!N19+'K3'!N19</f>
        <v>0</v>
      </c>
      <c r="O19" s="116">
        <f>'N3'!O19+'K3'!O19</f>
        <v>0</v>
      </c>
      <c r="P19" s="115">
        <f>'N3'!P19+'K3'!P19</f>
        <v>0</v>
      </c>
      <c r="Q19" s="116">
        <f>'N3'!Q19+'K3'!Q19</f>
        <v>0</v>
      </c>
      <c r="R19" s="121">
        <f>'N3'!R19+'K3'!R19</f>
        <v>0</v>
      </c>
      <c r="S19" s="121">
        <f>'N3'!S19+'K3'!S19</f>
        <v>0</v>
      </c>
      <c r="T19" s="33">
        <f>'N3'!T19+'K3'!T19</f>
        <v>0</v>
      </c>
      <c r="U19" s="115">
        <f>'N3'!U19+'K3'!U19</f>
        <v>0</v>
      </c>
      <c r="V19" s="115">
        <f>'N3'!V19+'K3'!V19</f>
        <v>0</v>
      </c>
      <c r="W19" s="115">
        <f>'N3'!W19+'K3'!W19</f>
        <v>0</v>
      </c>
      <c r="X19" s="116">
        <f>'N3'!X19+'K3'!X19</f>
        <v>0</v>
      </c>
      <c r="Y19" s="115">
        <f>'N3'!Y19+'K3'!Y19</f>
        <v>0</v>
      </c>
      <c r="Z19" s="116">
        <f>'N3'!Z19+'K3'!Z19</f>
        <v>0</v>
      </c>
      <c r="AA19" s="121">
        <f>'N3'!AA19+'K3'!AA19</f>
        <v>0</v>
      </c>
      <c r="AB19" s="121">
        <f>'N3'!AB19+'K3'!AB19</f>
        <v>0</v>
      </c>
      <c r="AC19" s="33">
        <f>'N3'!AC19+'K3'!AC19</f>
        <v>0</v>
      </c>
      <c r="AD19" s="12">
        <f>'N3'!AD19+'K3'!AD19</f>
        <v>102</v>
      </c>
      <c r="AE19" s="39"/>
      <c r="AF19" s="39"/>
      <c r="AG19" s="39"/>
      <c r="AH19" s="39"/>
      <c r="AI19" s="39"/>
      <c r="AJ19"/>
    </row>
    <row r="20" spans="1:36" x14ac:dyDescent="0.2">
      <c r="A20" s="5">
        <f>DAY(Kalenteri!A75)</f>
        <v>16</v>
      </c>
      <c r="B20" s="3" t="str">
        <f>IF(Kalenteri!B75=1,"su",IF(Kalenteri!B75=2,"ma",IF(Kalenteri!B75=3,"ti",IF(Kalenteri!B75=4,"ke",IF(Kalenteri!B75=5,"to",IF(Kalenteri!B75=6,"pe",IF(Kalenteri!B75=7,"la",)))))))</f>
        <v>la</v>
      </c>
      <c r="C20" s="114">
        <f>'N3'!C20+'K3'!C20</f>
        <v>441</v>
      </c>
      <c r="D20" s="115">
        <f>'N3'!D20+'K3'!D20</f>
        <v>96</v>
      </c>
      <c r="E20" s="115">
        <f>'N3'!E20+'K3'!E20</f>
        <v>0</v>
      </c>
      <c r="F20" s="116">
        <f>'N3'!F20+'K3'!F20</f>
        <v>43</v>
      </c>
      <c r="G20" s="114">
        <f>'N3'!G20+'K3'!G20</f>
        <v>4</v>
      </c>
      <c r="H20" s="116">
        <f>'N3'!H20+'K3'!H20</f>
        <v>138</v>
      </c>
      <c r="I20" s="114">
        <f>'N3'!I20+'K3'!I20</f>
        <v>0</v>
      </c>
      <c r="J20" s="116">
        <f>'N3'!J20+'K3'!J20</f>
        <v>0</v>
      </c>
      <c r="K20" s="33">
        <f>'N3'!K20+'K3'!K20</f>
        <v>722</v>
      </c>
      <c r="L20" s="115">
        <f>'N3'!L20+'K3'!L20</f>
        <v>0</v>
      </c>
      <c r="M20" s="115">
        <f>'N3'!M20+'K3'!M20</f>
        <v>0</v>
      </c>
      <c r="N20" s="115">
        <f>'N3'!N30+'K3'!N30</f>
        <v>0</v>
      </c>
      <c r="O20" s="116">
        <f>'N3'!O20+'K3'!O20</f>
        <v>0</v>
      </c>
      <c r="P20" s="115">
        <f>'N3'!P20+'K3'!P20</f>
        <v>0</v>
      </c>
      <c r="Q20" s="116">
        <f>'N3'!Q20+'K3'!Q20</f>
        <v>0</v>
      </c>
      <c r="R20" s="121">
        <f>'N3'!R20+'K3'!R20</f>
        <v>0</v>
      </c>
      <c r="S20" s="121">
        <f>'N3'!S20+'K3'!S20</f>
        <v>0</v>
      </c>
      <c r="T20" s="33">
        <f>'N3'!T20+'K3'!T20</f>
        <v>0</v>
      </c>
      <c r="U20" s="115">
        <f>'N3'!U20+'K3'!U20</f>
        <v>0</v>
      </c>
      <c r="V20" s="115">
        <f>'N3'!V20+'K3'!V20</f>
        <v>0</v>
      </c>
      <c r="W20" s="115">
        <f>'N3'!W20+'K3'!W20</f>
        <v>0</v>
      </c>
      <c r="X20" s="116">
        <f>'N3'!X20+'K3'!X20</f>
        <v>0</v>
      </c>
      <c r="Y20" s="115">
        <f>'N3'!Y20+'K3'!Y20</f>
        <v>0</v>
      </c>
      <c r="Z20" s="116">
        <f>'N3'!Z20+'K3'!Z20</f>
        <v>0</v>
      </c>
      <c r="AA20" s="121">
        <f>'N3'!AA20+'K3'!AA20</f>
        <v>0</v>
      </c>
      <c r="AB20" s="121">
        <f>'N3'!AB20+'K3'!AB20</f>
        <v>0</v>
      </c>
      <c r="AC20" s="33">
        <f>'N3'!AC20+'K3'!AC20</f>
        <v>0</v>
      </c>
      <c r="AD20" s="12">
        <f>'N3'!AD20+'K3'!AD20</f>
        <v>722</v>
      </c>
      <c r="AE20" s="39"/>
      <c r="AF20" s="39"/>
      <c r="AG20" s="39"/>
      <c r="AH20" s="39"/>
      <c r="AI20" s="39"/>
      <c r="AJ20"/>
    </row>
    <row r="21" spans="1:36" x14ac:dyDescent="0.2">
      <c r="A21" s="5">
        <f>DAY(Kalenteri!A76)</f>
        <v>17</v>
      </c>
      <c r="B21" s="3" t="str">
        <f>IF(Kalenteri!B76=1,"su",IF(Kalenteri!B76=2,"ma",IF(Kalenteri!B76=3,"ti",IF(Kalenteri!B76=4,"ke",IF(Kalenteri!B76=5,"to",IF(Kalenteri!B76=6,"pe",IF(Kalenteri!B76=7,"la",)))))))</f>
        <v>su</v>
      </c>
      <c r="C21" s="114">
        <f>'N3'!C21+'K3'!C21</f>
        <v>594</v>
      </c>
      <c r="D21" s="115">
        <f>'N3'!D21+'K3'!D21</f>
        <v>127</v>
      </c>
      <c r="E21" s="115">
        <f>'N3'!E21+'K3'!E21</f>
        <v>0</v>
      </c>
      <c r="F21" s="116">
        <f>'N3'!F21+'K3'!F21</f>
        <v>74</v>
      </c>
      <c r="G21" s="114">
        <f>'N3'!G21+'K3'!G21</f>
        <v>14</v>
      </c>
      <c r="H21" s="116">
        <f>'N3'!H21+'K3'!H21</f>
        <v>179</v>
      </c>
      <c r="I21" s="114">
        <f>'N3'!I21+'K3'!I21</f>
        <v>0</v>
      </c>
      <c r="J21" s="116">
        <f>'N3'!J21+'K3'!J21</f>
        <v>0</v>
      </c>
      <c r="K21" s="33">
        <f>'N3'!K21+'K3'!K21</f>
        <v>988</v>
      </c>
      <c r="L21" s="115">
        <f>'N3'!L21+'K3'!L21</f>
        <v>0</v>
      </c>
      <c r="M21" s="115">
        <f>'N3'!M21+'K3'!M21</f>
        <v>0</v>
      </c>
      <c r="N21" s="115">
        <f>'N3'!N31+'K3'!N31</f>
        <v>0</v>
      </c>
      <c r="O21" s="116">
        <f>'N3'!O21+'K3'!O21</f>
        <v>0</v>
      </c>
      <c r="P21" s="115">
        <f>'N3'!P21+'K3'!P21</f>
        <v>0</v>
      </c>
      <c r="Q21" s="116">
        <f>'N3'!Q21+'K3'!Q21</f>
        <v>0</v>
      </c>
      <c r="R21" s="121">
        <f>'N3'!R21+'K3'!R21</f>
        <v>0</v>
      </c>
      <c r="S21" s="121">
        <f>'N3'!S21+'K3'!S21</f>
        <v>0</v>
      </c>
      <c r="T21" s="33">
        <f>'N3'!T21+'K3'!T21</f>
        <v>0</v>
      </c>
      <c r="U21" s="115">
        <f>'N3'!U21+'K3'!U21</f>
        <v>0</v>
      </c>
      <c r="V21" s="115">
        <f>'N3'!V21+'K3'!V21</f>
        <v>0</v>
      </c>
      <c r="W21" s="115">
        <f>'N3'!W21+'K3'!W21</f>
        <v>0</v>
      </c>
      <c r="X21" s="116">
        <f>'N3'!X21+'K3'!X21</f>
        <v>0</v>
      </c>
      <c r="Y21" s="115">
        <f>'N3'!Y21+'K3'!Y21</f>
        <v>0</v>
      </c>
      <c r="Z21" s="116">
        <f>'N3'!Z21+'K3'!Z21</f>
        <v>0</v>
      </c>
      <c r="AA21" s="121">
        <f>'N3'!AA21+'K3'!AA21</f>
        <v>0</v>
      </c>
      <c r="AB21" s="121">
        <f>'N3'!AB21+'K3'!AB21</f>
        <v>0</v>
      </c>
      <c r="AC21" s="33">
        <f>'N3'!AC21+'K3'!AC21</f>
        <v>0</v>
      </c>
      <c r="AD21" s="12">
        <f>'N3'!AD21+'K3'!AD21</f>
        <v>988</v>
      </c>
      <c r="AE21" s="39"/>
      <c r="AF21" s="39"/>
      <c r="AG21" s="39"/>
      <c r="AH21" s="39"/>
      <c r="AI21" s="39"/>
      <c r="AJ21"/>
    </row>
    <row r="22" spans="1:36" x14ac:dyDescent="0.2">
      <c r="A22" s="5">
        <f>DAY(Kalenteri!A77)</f>
        <v>18</v>
      </c>
      <c r="B22" s="3" t="str">
        <f>IF(Kalenteri!B77=1,"su",IF(Kalenteri!B77=2,"ma",IF(Kalenteri!B77=3,"ti",IF(Kalenteri!B77=4,"ke",IF(Kalenteri!B77=5,"to",IF(Kalenteri!B77=6,"pe",IF(Kalenteri!B77=7,"la",)))))))</f>
        <v>ma</v>
      </c>
      <c r="C22" s="114">
        <f>'N3'!C22+'K3'!C22</f>
        <v>72</v>
      </c>
      <c r="D22" s="115">
        <f>'N3'!D22+'K3'!D22</f>
        <v>1</v>
      </c>
      <c r="E22" s="115">
        <f>'N3'!E22+'K3'!E22</f>
        <v>5</v>
      </c>
      <c r="F22" s="116">
        <f>'N3'!F22+'K3'!F22</f>
        <v>3</v>
      </c>
      <c r="G22" s="114">
        <f>'N3'!G22+'K3'!G22</f>
        <v>22</v>
      </c>
      <c r="H22" s="116">
        <f>'N3'!H22+'K3'!H22</f>
        <v>62</v>
      </c>
      <c r="I22" s="114">
        <f>'N3'!I22+'K3'!I22</f>
        <v>0</v>
      </c>
      <c r="J22" s="116">
        <f>'N3'!J22+'K3'!J22</f>
        <v>0</v>
      </c>
      <c r="K22" s="33">
        <f>'N3'!K22+'K3'!K22</f>
        <v>165</v>
      </c>
      <c r="L22" s="115">
        <f>'N3'!L22+'K3'!L22</f>
        <v>0</v>
      </c>
      <c r="M22" s="115">
        <f>'N3'!M22+'K3'!M22</f>
        <v>0</v>
      </c>
      <c r="N22" s="115">
        <f>'N3'!N32+'K3'!N32</f>
        <v>0</v>
      </c>
      <c r="O22" s="116">
        <f>'N3'!O22+'K3'!O22</f>
        <v>0</v>
      </c>
      <c r="P22" s="115">
        <f>'N3'!P22+'K3'!P22</f>
        <v>0</v>
      </c>
      <c r="Q22" s="116">
        <f>'N3'!Q22+'K3'!Q22</f>
        <v>0</v>
      </c>
      <c r="R22" s="121">
        <f>'N3'!R22+'K3'!R22</f>
        <v>0</v>
      </c>
      <c r="S22" s="121">
        <f>'N3'!S22+'K3'!S22</f>
        <v>0</v>
      </c>
      <c r="T22" s="33">
        <f>'N3'!T22+'K3'!T22</f>
        <v>0</v>
      </c>
      <c r="U22" s="115">
        <f>'N3'!U22+'K3'!U22</f>
        <v>0</v>
      </c>
      <c r="V22" s="115">
        <f>'N3'!V22+'K3'!V22</f>
        <v>0</v>
      </c>
      <c r="W22" s="115">
        <f>'N3'!W22+'K3'!W22</f>
        <v>0</v>
      </c>
      <c r="X22" s="116">
        <f>'N3'!X22+'K3'!X22</f>
        <v>0</v>
      </c>
      <c r="Y22" s="115">
        <f>'N3'!Y22+'K3'!Y22</f>
        <v>0</v>
      </c>
      <c r="Z22" s="116">
        <f>'N3'!Z22+'K3'!Z22</f>
        <v>0</v>
      </c>
      <c r="AA22" s="121">
        <f>'N3'!AA22+'K3'!AA22</f>
        <v>0</v>
      </c>
      <c r="AB22" s="121">
        <f>'N3'!AB22+'K3'!AB22</f>
        <v>0</v>
      </c>
      <c r="AC22" s="33">
        <f>'N3'!AC22+'K3'!AC22</f>
        <v>0</v>
      </c>
      <c r="AD22" s="12">
        <f>'N3'!AD22+'K3'!AD22</f>
        <v>165</v>
      </c>
      <c r="AE22" s="39"/>
      <c r="AF22" s="39"/>
      <c r="AG22" s="39"/>
      <c r="AH22" s="39"/>
      <c r="AI22" s="39"/>
      <c r="AJ22"/>
    </row>
    <row r="23" spans="1:36" x14ac:dyDescent="0.2">
      <c r="A23" s="5">
        <f>DAY(Kalenteri!A78)</f>
        <v>19</v>
      </c>
      <c r="B23" s="3" t="str">
        <f>IF(Kalenteri!B78=1,"su",IF(Kalenteri!B78=2,"ma",IF(Kalenteri!B78=3,"ti",IF(Kalenteri!B78=4,"ke",IF(Kalenteri!B78=5,"to",IF(Kalenteri!B78=6,"pe",IF(Kalenteri!B78=7,"la",)))))))</f>
        <v>ti</v>
      </c>
      <c r="C23" s="114">
        <f>'N3'!C23+'K3'!C23</f>
        <v>29</v>
      </c>
      <c r="D23" s="115">
        <f>'N3'!D23+'K3'!D23</f>
        <v>12</v>
      </c>
      <c r="E23" s="115">
        <f>'N3'!E23+'K3'!E23</f>
        <v>0</v>
      </c>
      <c r="F23" s="116">
        <f>'N3'!F23+'K3'!F23</f>
        <v>4</v>
      </c>
      <c r="G23" s="114">
        <f>'N3'!G23+'K3'!G23</f>
        <v>7</v>
      </c>
      <c r="H23" s="116">
        <f>'N3'!H23+'K3'!H23</f>
        <v>55</v>
      </c>
      <c r="I23" s="114">
        <f>'N3'!I23+'K3'!I23</f>
        <v>0</v>
      </c>
      <c r="J23" s="116">
        <f>'N3'!J23+'K3'!J23</f>
        <v>0</v>
      </c>
      <c r="K23" s="33">
        <f>'N3'!K23+'K3'!K23</f>
        <v>107</v>
      </c>
      <c r="L23" s="115">
        <f>'N3'!L23+'K3'!L23</f>
        <v>0</v>
      </c>
      <c r="M23" s="115">
        <f>'N3'!M23+'K3'!M23</f>
        <v>0</v>
      </c>
      <c r="N23" s="115">
        <f>'N3'!N33+'K3'!N33</f>
        <v>0</v>
      </c>
      <c r="O23" s="116">
        <f>'N3'!O23+'K3'!O23</f>
        <v>0</v>
      </c>
      <c r="P23" s="115">
        <f>'N3'!P23+'K3'!P23</f>
        <v>0</v>
      </c>
      <c r="Q23" s="116">
        <f>'N3'!Q23+'K3'!Q23</f>
        <v>0</v>
      </c>
      <c r="R23" s="121">
        <f>'N3'!R23+'K3'!R23</f>
        <v>0</v>
      </c>
      <c r="S23" s="121">
        <f>'N3'!S23+'K3'!S23</f>
        <v>0</v>
      </c>
      <c r="T23" s="33">
        <f>'N3'!T23+'K3'!T23</f>
        <v>0</v>
      </c>
      <c r="U23" s="115">
        <f>'N3'!U23+'K3'!U23</f>
        <v>0</v>
      </c>
      <c r="V23" s="115">
        <f>'N3'!V23+'K3'!V23</f>
        <v>0</v>
      </c>
      <c r="W23" s="115">
        <f>'N3'!W23+'K3'!W23</f>
        <v>0</v>
      </c>
      <c r="X23" s="116">
        <f>'N3'!X23+'K3'!X23</f>
        <v>0</v>
      </c>
      <c r="Y23" s="115">
        <f>'N3'!Y23+'K3'!Y23</f>
        <v>0</v>
      </c>
      <c r="Z23" s="116">
        <f>'N3'!Z23+'K3'!Z23</f>
        <v>0</v>
      </c>
      <c r="AA23" s="121">
        <f>'N3'!AA23+'K3'!AA23</f>
        <v>0</v>
      </c>
      <c r="AB23" s="121">
        <f>'N3'!AB23+'K3'!AB23</f>
        <v>0</v>
      </c>
      <c r="AC23" s="33">
        <f>'N3'!AC23+'K3'!AC23</f>
        <v>0</v>
      </c>
      <c r="AD23" s="12">
        <f>'N3'!AD23+'K3'!AD23</f>
        <v>107</v>
      </c>
      <c r="AE23" s="39"/>
      <c r="AF23" s="39"/>
      <c r="AG23" s="39"/>
      <c r="AH23" s="39"/>
      <c r="AI23" s="39"/>
      <c r="AJ23"/>
    </row>
    <row r="24" spans="1:36" x14ac:dyDescent="0.2">
      <c r="A24" s="5">
        <f>DAY(Kalenteri!A79)</f>
        <v>20</v>
      </c>
      <c r="B24" s="3" t="str">
        <f>IF(Kalenteri!B79=1,"su",IF(Kalenteri!B79=2,"ma",IF(Kalenteri!B79=3,"ti",IF(Kalenteri!B79=4,"ke",IF(Kalenteri!B79=5,"to",IF(Kalenteri!B79=6,"pe",IF(Kalenteri!B79=7,"la",)))))))</f>
        <v>ke</v>
      </c>
      <c r="C24" s="114">
        <f>'N3'!C24+'K3'!C24</f>
        <v>35</v>
      </c>
      <c r="D24" s="115">
        <f>'N3'!D24+'K3'!D24</f>
        <v>4</v>
      </c>
      <c r="E24" s="115">
        <f>'N3'!E24+'K3'!E24</f>
        <v>1</v>
      </c>
      <c r="F24" s="116">
        <f>'N3'!F24+'K3'!F24</f>
        <v>0</v>
      </c>
      <c r="G24" s="114">
        <f>'N3'!G24+'K3'!G24</f>
        <v>6</v>
      </c>
      <c r="H24" s="116">
        <f>'N3'!H24+'K3'!H24</f>
        <v>62</v>
      </c>
      <c r="I24" s="114">
        <f>'N3'!I24+'K3'!I24</f>
        <v>0</v>
      </c>
      <c r="J24" s="116">
        <f>'N3'!J24+'K3'!J24</f>
        <v>0</v>
      </c>
      <c r="K24" s="33">
        <f>'N3'!K24+'K3'!K24</f>
        <v>108</v>
      </c>
      <c r="L24" s="115">
        <f>'N3'!L24+'K3'!L24</f>
        <v>0</v>
      </c>
      <c r="M24" s="115">
        <f>'N3'!M24+'K3'!M24</f>
        <v>0</v>
      </c>
      <c r="N24" s="115">
        <f>'N3'!N34+'K3'!N34</f>
        <v>0</v>
      </c>
      <c r="O24" s="116">
        <f>'N3'!O24+'K3'!O24</f>
        <v>0</v>
      </c>
      <c r="P24" s="115">
        <f>'N3'!P24+'K3'!P24</f>
        <v>0</v>
      </c>
      <c r="Q24" s="116">
        <f>'N3'!Q24+'K3'!Q24</f>
        <v>0</v>
      </c>
      <c r="R24" s="121">
        <f>'N3'!R24+'K3'!R24</f>
        <v>0</v>
      </c>
      <c r="S24" s="121">
        <f>'N3'!S24+'K3'!S24</f>
        <v>0</v>
      </c>
      <c r="T24" s="33">
        <f>'N3'!T24+'K3'!T24</f>
        <v>0</v>
      </c>
      <c r="U24" s="115">
        <f>'N3'!U24+'K3'!U24</f>
        <v>0</v>
      </c>
      <c r="V24" s="115">
        <f>'N3'!V24+'K3'!V24</f>
        <v>0</v>
      </c>
      <c r="W24" s="115">
        <f>'N3'!W24+'K3'!W24</f>
        <v>0</v>
      </c>
      <c r="X24" s="116">
        <f>'N3'!X24+'K3'!X24</f>
        <v>0</v>
      </c>
      <c r="Y24" s="115">
        <f>'N3'!Y24+'K3'!Y24</f>
        <v>0</v>
      </c>
      <c r="Z24" s="116">
        <f>'N3'!Z24+'K3'!Z24</f>
        <v>0</v>
      </c>
      <c r="AA24" s="121">
        <f>'N3'!AA24+'K3'!AA24</f>
        <v>0</v>
      </c>
      <c r="AB24" s="121">
        <f>'N3'!AB24+'K3'!AB24</f>
        <v>0</v>
      </c>
      <c r="AC24" s="33">
        <f>'N3'!AC24+'K3'!AC24</f>
        <v>0</v>
      </c>
      <c r="AD24" s="12">
        <f>'N3'!AD24+'K3'!AD24</f>
        <v>108</v>
      </c>
      <c r="AE24" s="39"/>
      <c r="AF24" s="39"/>
      <c r="AG24" s="39"/>
      <c r="AH24" s="39"/>
      <c r="AI24" s="39"/>
      <c r="AJ24" s="39"/>
    </row>
    <row r="25" spans="1:36" x14ac:dyDescent="0.2">
      <c r="A25" s="5">
        <f>DAY(Kalenteri!A80)</f>
        <v>21</v>
      </c>
      <c r="B25" s="3" t="str">
        <f>IF(Kalenteri!B80=1,"su",IF(Kalenteri!B80=2,"ma",IF(Kalenteri!B80=3,"ti",IF(Kalenteri!B80=4,"ke",IF(Kalenteri!B80=5,"to",IF(Kalenteri!B80=6,"pe",IF(Kalenteri!B80=7,"la",)))))))</f>
        <v>to</v>
      </c>
      <c r="C25" s="114">
        <f>'N3'!C25+'K3'!C25</f>
        <v>75</v>
      </c>
      <c r="D25" s="115">
        <f>'N3'!D25+'K3'!D25</f>
        <v>11</v>
      </c>
      <c r="E25" s="115">
        <f>'N3'!E25+'K3'!E25</f>
        <v>1</v>
      </c>
      <c r="F25" s="116">
        <f>'N3'!F25+'K3'!F25</f>
        <v>9</v>
      </c>
      <c r="G25" s="114">
        <f>'N3'!G25+'K3'!G25</f>
        <v>2</v>
      </c>
      <c r="H25" s="116">
        <f>'N3'!H25+'K3'!H25</f>
        <v>30</v>
      </c>
      <c r="I25" s="114">
        <f>'N3'!I25+'K3'!I25</f>
        <v>0</v>
      </c>
      <c r="J25" s="116">
        <f>'N3'!J25+'K3'!J25</f>
        <v>0</v>
      </c>
      <c r="K25" s="33">
        <f>'N3'!K25+'K3'!K25</f>
        <v>128</v>
      </c>
      <c r="L25" s="115">
        <f>'N3'!L25+'K3'!L25</f>
        <v>0</v>
      </c>
      <c r="M25" s="115">
        <f>'N3'!M25+'K3'!M25</f>
        <v>0</v>
      </c>
      <c r="N25" s="115">
        <f>'N3'!N35+'K3'!N35</f>
        <v>0</v>
      </c>
      <c r="O25" s="116">
        <f>'N3'!O25+'K3'!O25</f>
        <v>0</v>
      </c>
      <c r="P25" s="115">
        <f>'N3'!P25+'K3'!P25</f>
        <v>0</v>
      </c>
      <c r="Q25" s="116">
        <f>'N3'!Q25+'K3'!Q25</f>
        <v>0</v>
      </c>
      <c r="R25" s="121">
        <f>'N3'!R25+'K3'!R25</f>
        <v>0</v>
      </c>
      <c r="S25" s="121">
        <f>'N3'!S25+'K3'!S25</f>
        <v>0</v>
      </c>
      <c r="T25" s="33">
        <f>'N3'!T25+'K3'!T25</f>
        <v>0</v>
      </c>
      <c r="U25" s="115">
        <f>'N3'!U25+'K3'!U25</f>
        <v>0</v>
      </c>
      <c r="V25" s="115">
        <f>'N3'!V25+'K3'!V25</f>
        <v>0</v>
      </c>
      <c r="W25" s="115">
        <f>'N3'!W25+'K3'!W25</f>
        <v>0</v>
      </c>
      <c r="X25" s="116">
        <f>'N3'!X25+'K3'!X25</f>
        <v>0</v>
      </c>
      <c r="Y25" s="115">
        <f>'N3'!Y25+'K3'!Y25</f>
        <v>0</v>
      </c>
      <c r="Z25" s="116">
        <f>'N3'!Z25+'K3'!Z25</f>
        <v>0</v>
      </c>
      <c r="AA25" s="121">
        <f>'N3'!AA25+'K3'!AA25</f>
        <v>0</v>
      </c>
      <c r="AB25" s="121">
        <f>'N3'!AB25+'K3'!AB25</f>
        <v>0</v>
      </c>
      <c r="AC25" s="33">
        <f>'N3'!AC25+'K3'!AC25</f>
        <v>0</v>
      </c>
      <c r="AD25" s="12">
        <f>'N3'!AD25+'K3'!AD25</f>
        <v>128</v>
      </c>
      <c r="AE25" s="39"/>
      <c r="AF25" s="39"/>
      <c r="AG25" s="39"/>
      <c r="AH25" s="39"/>
      <c r="AI25" s="39"/>
      <c r="AJ25" s="39"/>
    </row>
    <row r="26" spans="1:36" x14ac:dyDescent="0.2">
      <c r="A26" s="5">
        <f>DAY(Kalenteri!A81)</f>
        <v>22</v>
      </c>
      <c r="B26" s="3" t="str">
        <f>IF(Kalenteri!B81=1,"su",IF(Kalenteri!B81=2,"ma",IF(Kalenteri!B81=3,"ti",IF(Kalenteri!B81=4,"ke",IF(Kalenteri!B81=5,"to",IF(Kalenteri!B81=6,"pe",IF(Kalenteri!B81=7,"la",)))))))</f>
        <v>pe</v>
      </c>
      <c r="C26" s="114">
        <f>'N3'!C26+'K3'!C26</f>
        <v>77</v>
      </c>
      <c r="D26" s="115">
        <f>'N3'!D26+'K3'!D26</f>
        <v>9</v>
      </c>
      <c r="E26" s="115">
        <f>'N3'!E26+'K3'!E26</f>
        <v>0</v>
      </c>
      <c r="F26" s="116">
        <f>'N3'!F26+'K3'!F26</f>
        <v>10</v>
      </c>
      <c r="G26" s="114">
        <f>'N3'!G26+'K3'!G26</f>
        <v>3</v>
      </c>
      <c r="H26" s="116">
        <f>'N3'!H26+'K3'!H26</f>
        <v>36</v>
      </c>
      <c r="I26" s="114">
        <f>'N3'!I26+'K3'!I26</f>
        <v>0</v>
      </c>
      <c r="J26" s="116">
        <f>'N3'!J26+'K3'!J26</f>
        <v>0</v>
      </c>
      <c r="K26" s="33">
        <f>'N3'!K26+'K3'!K26</f>
        <v>135</v>
      </c>
      <c r="L26" s="115">
        <f>'N3'!L26+'K3'!L26</f>
        <v>0</v>
      </c>
      <c r="M26" s="115">
        <f>'N3'!M26+'K3'!M26</f>
        <v>0</v>
      </c>
      <c r="N26" s="115">
        <f>'N3'!N36+'K3'!N36</f>
        <v>0</v>
      </c>
      <c r="O26" s="116">
        <f>'N3'!O26+'K3'!O26</f>
        <v>0</v>
      </c>
      <c r="P26" s="115">
        <f>'N3'!P26+'K3'!P26</f>
        <v>0</v>
      </c>
      <c r="Q26" s="116">
        <f>'N3'!Q26+'K3'!Q26</f>
        <v>0</v>
      </c>
      <c r="R26" s="121">
        <f>'N3'!R26+'K3'!R26</f>
        <v>0</v>
      </c>
      <c r="S26" s="121">
        <f>'N3'!S26+'K3'!S26</f>
        <v>0</v>
      </c>
      <c r="T26" s="33">
        <f>'N3'!T26+'K3'!T26</f>
        <v>0</v>
      </c>
      <c r="U26" s="115">
        <f>'N3'!U26+'K3'!U26</f>
        <v>0</v>
      </c>
      <c r="V26" s="115">
        <f>'N3'!V26+'K3'!V26</f>
        <v>0</v>
      </c>
      <c r="W26" s="115">
        <f>'N3'!W26+'K3'!W26</f>
        <v>0</v>
      </c>
      <c r="X26" s="116">
        <f>'N3'!X26+'K3'!X26</f>
        <v>0</v>
      </c>
      <c r="Y26" s="115">
        <f>'N3'!Y26+'K3'!Y26</f>
        <v>0</v>
      </c>
      <c r="Z26" s="116">
        <f>'N3'!Z26+'K3'!Z26</f>
        <v>0</v>
      </c>
      <c r="AA26" s="121">
        <f>'N3'!AA26+'K3'!AA26</f>
        <v>0</v>
      </c>
      <c r="AB26" s="121">
        <f>'N3'!AB26+'K3'!AB26</f>
        <v>0</v>
      </c>
      <c r="AC26" s="33">
        <f>'N3'!AC26+'K3'!AC26</f>
        <v>0</v>
      </c>
      <c r="AD26" s="12">
        <f>'N3'!AD26+'K3'!AD26</f>
        <v>135</v>
      </c>
      <c r="AE26" s="39"/>
      <c r="AF26" s="39"/>
      <c r="AG26" s="39"/>
      <c r="AH26" s="39"/>
      <c r="AI26" s="39"/>
      <c r="AJ26" s="39"/>
    </row>
    <row r="27" spans="1:36" x14ac:dyDescent="0.2">
      <c r="A27" s="5">
        <f>DAY(Kalenteri!A82)</f>
        <v>23</v>
      </c>
      <c r="B27" s="3" t="str">
        <f>IF(Kalenteri!B82=1,"su",IF(Kalenteri!B82=2,"ma",IF(Kalenteri!B82=3,"ti",IF(Kalenteri!B82=4,"ke",IF(Kalenteri!B82=5,"to",IF(Kalenteri!B82=6,"pe",IF(Kalenteri!B82=7,"la",)))))))</f>
        <v>la</v>
      </c>
      <c r="C27" s="114">
        <f>'N3'!C27+'K3'!C27</f>
        <v>352</v>
      </c>
      <c r="D27" s="115">
        <f>'N3'!D27+'K3'!D27</f>
        <v>75</v>
      </c>
      <c r="E27" s="115">
        <f>'N3'!E27+'K3'!E27</f>
        <v>4</v>
      </c>
      <c r="F27" s="116">
        <f>'N3'!F27+'K3'!F27</f>
        <v>42</v>
      </c>
      <c r="G27" s="114">
        <f>'N3'!G27+'K3'!G27</f>
        <v>0</v>
      </c>
      <c r="H27" s="116">
        <f>'N3'!H27+'K3'!H27</f>
        <v>109</v>
      </c>
      <c r="I27" s="114">
        <f>'N3'!I27+'K3'!I27</f>
        <v>6</v>
      </c>
      <c r="J27" s="116">
        <f>'N3'!J27+'K3'!J27</f>
        <v>9</v>
      </c>
      <c r="K27" s="33">
        <f>'N3'!K27+'K3'!K27</f>
        <v>597</v>
      </c>
      <c r="L27" s="115">
        <f>'N3'!L27+'K3'!L27</f>
        <v>0</v>
      </c>
      <c r="M27" s="115">
        <f>'N3'!M27+'K3'!M27</f>
        <v>0</v>
      </c>
      <c r="N27" s="115">
        <f>'N3'!N37+'K3'!N37</f>
        <v>0</v>
      </c>
      <c r="O27" s="116">
        <f>'N3'!O27+'K3'!O27</f>
        <v>0</v>
      </c>
      <c r="P27" s="115">
        <f>'N3'!P27+'K3'!P27</f>
        <v>0</v>
      </c>
      <c r="Q27" s="116">
        <f>'N3'!Q27+'K3'!Q27</f>
        <v>0</v>
      </c>
      <c r="R27" s="121">
        <f>'N3'!R27+'K3'!R27</f>
        <v>0</v>
      </c>
      <c r="S27" s="121">
        <f>'N3'!S27+'K3'!S27</f>
        <v>0</v>
      </c>
      <c r="T27" s="33">
        <f>'N3'!T27+'K3'!T27</f>
        <v>0</v>
      </c>
      <c r="U27" s="115">
        <f>'N3'!U27+'K3'!U27</f>
        <v>0</v>
      </c>
      <c r="V27" s="115">
        <f>'N3'!V27+'K3'!V27</f>
        <v>0</v>
      </c>
      <c r="W27" s="115">
        <f>'N3'!W27+'K3'!W27</f>
        <v>0</v>
      </c>
      <c r="X27" s="116">
        <f>'N3'!X27+'K3'!X27</f>
        <v>0</v>
      </c>
      <c r="Y27" s="115">
        <f>'N3'!Y27+'K3'!Y27</f>
        <v>0</v>
      </c>
      <c r="Z27" s="116">
        <f>'N3'!Z27+'K3'!Z27</f>
        <v>0</v>
      </c>
      <c r="AA27" s="121">
        <f>'N3'!AA27+'K3'!AA27</f>
        <v>0</v>
      </c>
      <c r="AB27" s="121">
        <f>'N3'!AB27+'K3'!AB27</f>
        <v>0</v>
      </c>
      <c r="AC27" s="33">
        <f>'N3'!AC27+'K3'!AC27</f>
        <v>0</v>
      </c>
      <c r="AD27" s="12">
        <f>'N3'!AD27+'K3'!AD27</f>
        <v>597</v>
      </c>
      <c r="AE27" s="39"/>
      <c r="AF27" s="39"/>
      <c r="AG27" s="39"/>
      <c r="AH27" s="39"/>
      <c r="AI27" s="39"/>
      <c r="AJ27" s="39"/>
    </row>
    <row r="28" spans="1:36" x14ac:dyDescent="0.2">
      <c r="A28" s="5">
        <f>DAY(Kalenteri!A83)</f>
        <v>24</v>
      </c>
      <c r="B28" s="3" t="str">
        <f>IF(Kalenteri!B83=1,"su",IF(Kalenteri!B83=2,"ma",IF(Kalenteri!B83=3,"ti",IF(Kalenteri!B83=4,"ke",IF(Kalenteri!B83=5,"to",IF(Kalenteri!B83=6,"pe",IF(Kalenteri!B83=7,"la",)))))))</f>
        <v>su</v>
      </c>
      <c r="C28" s="114">
        <f>'N3'!C28+'K3'!C28</f>
        <v>424</v>
      </c>
      <c r="D28" s="115">
        <f>'N3'!D28+'K3'!D28</f>
        <v>91</v>
      </c>
      <c r="E28" s="115">
        <f>'N3'!E28+'K3'!E28</f>
        <v>0</v>
      </c>
      <c r="F28" s="116">
        <f>'N3'!F28+'K3'!F28</f>
        <v>43</v>
      </c>
      <c r="G28" s="114">
        <f>'N3'!G28+'K3'!G28</f>
        <v>0</v>
      </c>
      <c r="H28" s="116">
        <f>'N3'!H28+'K3'!H28</f>
        <v>102</v>
      </c>
      <c r="I28" s="114">
        <f>'N3'!I28+'K3'!I28</f>
        <v>0</v>
      </c>
      <c r="J28" s="116">
        <f>'N3'!J28+'K3'!J28</f>
        <v>0</v>
      </c>
      <c r="K28" s="33">
        <f>'N3'!K28+'K3'!K28</f>
        <v>660</v>
      </c>
      <c r="L28" s="115">
        <f>'N3'!L28+'K3'!L28</f>
        <v>0</v>
      </c>
      <c r="M28" s="115">
        <f>'N3'!M28+'K3'!M28</f>
        <v>0</v>
      </c>
      <c r="N28" s="115">
        <f>'N3'!N38+'K3'!N38</f>
        <v>0</v>
      </c>
      <c r="O28" s="116">
        <f>'N3'!O28+'K3'!O28</f>
        <v>0</v>
      </c>
      <c r="P28" s="115">
        <f>'N3'!P28+'K3'!P28</f>
        <v>0</v>
      </c>
      <c r="Q28" s="116">
        <f>'N3'!Q28+'K3'!Q28</f>
        <v>0</v>
      </c>
      <c r="R28" s="121">
        <f>'N3'!R28+'K3'!R28</f>
        <v>0</v>
      </c>
      <c r="S28" s="121">
        <f>'N3'!S28+'K3'!S28</f>
        <v>0</v>
      </c>
      <c r="T28" s="33">
        <f>'N3'!T28+'K3'!T28</f>
        <v>0</v>
      </c>
      <c r="U28" s="115">
        <f>'N3'!U28+'K3'!U28</f>
        <v>0</v>
      </c>
      <c r="V28" s="115">
        <f>'N3'!V28+'K3'!V28</f>
        <v>0</v>
      </c>
      <c r="W28" s="115">
        <f>'N3'!W28+'K3'!W28</f>
        <v>0</v>
      </c>
      <c r="X28" s="116">
        <f>'N3'!X28+'K3'!X28</f>
        <v>0</v>
      </c>
      <c r="Y28" s="115">
        <f>'N3'!Y28+'K3'!Y28</f>
        <v>0</v>
      </c>
      <c r="Z28" s="116">
        <f>'N3'!Z28+'K3'!Z28</f>
        <v>0</v>
      </c>
      <c r="AA28" s="121">
        <f>'N3'!AA28+'K3'!AA28</f>
        <v>0</v>
      </c>
      <c r="AB28" s="121">
        <f>'N3'!AB28+'K3'!AB28</f>
        <v>0</v>
      </c>
      <c r="AC28" s="33">
        <f>'N3'!AC28+'K3'!AC28</f>
        <v>0</v>
      </c>
      <c r="AD28" s="12">
        <f>'N3'!AD28+'K3'!AD28</f>
        <v>660</v>
      </c>
      <c r="AE28" s="39"/>
      <c r="AF28" s="39"/>
      <c r="AG28" s="39"/>
      <c r="AH28" s="39"/>
      <c r="AI28" s="39"/>
      <c r="AJ28" s="39"/>
    </row>
    <row r="29" spans="1:36" x14ac:dyDescent="0.2">
      <c r="A29" s="5">
        <f>DAY(Kalenteri!A84)</f>
        <v>25</v>
      </c>
      <c r="B29" s="3" t="str">
        <f>IF(Kalenteri!B84=1,"su",IF(Kalenteri!B84=2,"ma",IF(Kalenteri!B84=3,"ti",IF(Kalenteri!B84=4,"ke",IF(Kalenteri!B84=5,"to",IF(Kalenteri!B84=6,"pe",IF(Kalenteri!B84=7,"la",)))))))</f>
        <v>ma</v>
      </c>
      <c r="C29" s="114">
        <f>'N3'!C29+'K3'!C29</f>
        <v>125</v>
      </c>
      <c r="D29" s="115">
        <f>'N3'!D29+'K3'!D29</f>
        <v>24</v>
      </c>
      <c r="E29" s="115">
        <f>'N3'!E29+'K3'!E29</f>
        <v>3</v>
      </c>
      <c r="F29" s="116">
        <f>'N3'!F29+'K3'!F29</f>
        <v>2</v>
      </c>
      <c r="G29" s="114">
        <f>'N3'!G29+'K3'!G29</f>
        <v>0</v>
      </c>
      <c r="H29" s="116">
        <f>'N3'!H29+'K3'!H29</f>
        <v>36</v>
      </c>
      <c r="I29" s="114">
        <f>'N3'!I29+'K3'!I29</f>
        <v>0</v>
      </c>
      <c r="J29" s="116">
        <f>'N3'!J29+'K3'!J29</f>
        <v>0</v>
      </c>
      <c r="K29" s="33">
        <f>'N3'!K29+'K3'!K29</f>
        <v>190</v>
      </c>
      <c r="L29" s="115">
        <f>'N3'!L29+'K3'!L29</f>
        <v>0</v>
      </c>
      <c r="M29" s="115">
        <f>'N3'!M29+'K3'!M29</f>
        <v>0</v>
      </c>
      <c r="N29" s="115">
        <f>'N3'!N39+'K3'!N39</f>
        <v>0</v>
      </c>
      <c r="O29" s="116">
        <f>'N3'!O29+'K3'!O29</f>
        <v>0</v>
      </c>
      <c r="P29" s="115">
        <f>'N3'!P29+'K3'!P29</f>
        <v>0</v>
      </c>
      <c r="Q29" s="116">
        <f>'N3'!Q29+'K3'!Q29</f>
        <v>0</v>
      </c>
      <c r="R29" s="121">
        <f>'N3'!R29+'K3'!R29</f>
        <v>0</v>
      </c>
      <c r="S29" s="121">
        <f>'N3'!S29+'K3'!S29</f>
        <v>0</v>
      </c>
      <c r="T29" s="33">
        <f>'N3'!T29+'K3'!T29</f>
        <v>0</v>
      </c>
      <c r="U29" s="115">
        <f>'N3'!U29+'K3'!U29</f>
        <v>0</v>
      </c>
      <c r="V29" s="115">
        <f>'N3'!V29+'K3'!V29</f>
        <v>0</v>
      </c>
      <c r="W29" s="115">
        <f>'N3'!W29+'K3'!W29</f>
        <v>0</v>
      </c>
      <c r="X29" s="116">
        <f>'N3'!X29+'K3'!X29</f>
        <v>0</v>
      </c>
      <c r="Y29" s="115">
        <f>'N3'!Y29+'K3'!Y29</f>
        <v>0</v>
      </c>
      <c r="Z29" s="116">
        <f>'N3'!Z29+'K3'!Z29</f>
        <v>0</v>
      </c>
      <c r="AA29" s="121">
        <f>'N3'!AA29+'K3'!AA29</f>
        <v>0</v>
      </c>
      <c r="AB29" s="121">
        <f>'N3'!AB29+'K3'!AB29</f>
        <v>0</v>
      </c>
      <c r="AC29" s="33">
        <f>'N3'!AC29+'K3'!AC29</f>
        <v>0</v>
      </c>
      <c r="AD29" s="12">
        <f>'N3'!AD29+'K3'!AD29</f>
        <v>190</v>
      </c>
      <c r="AE29" s="39"/>
      <c r="AF29" s="39"/>
      <c r="AG29" s="39"/>
      <c r="AH29" s="39"/>
      <c r="AI29" s="39"/>
      <c r="AJ29" s="39"/>
    </row>
    <row r="30" spans="1:36" x14ac:dyDescent="0.2">
      <c r="A30" s="5">
        <f>DAY(Kalenteri!A85)</f>
        <v>26</v>
      </c>
      <c r="B30" s="3" t="str">
        <f>IF(Kalenteri!B85=1,"su",IF(Kalenteri!B85=2,"ma",IF(Kalenteri!B85=3,"ti",IF(Kalenteri!B85=4,"ke",IF(Kalenteri!B85=5,"to",IF(Kalenteri!B85=6,"pe",IF(Kalenteri!B85=7,"la",)))))))</f>
        <v>ti</v>
      </c>
      <c r="C30" s="114">
        <f>'N3'!C30+'K3'!C30</f>
        <v>140</v>
      </c>
      <c r="D30" s="115">
        <f>'N3'!D30+'K3'!D30</f>
        <v>16</v>
      </c>
      <c r="E30" s="115">
        <f>'N3'!E30+'K3'!E30</f>
        <v>0</v>
      </c>
      <c r="F30" s="116">
        <f>'N3'!F30+'K3'!F30</f>
        <v>6</v>
      </c>
      <c r="G30" s="114">
        <f>'N3'!G30+'K3'!G30</f>
        <v>25</v>
      </c>
      <c r="H30" s="116">
        <f>'N3'!H30+'K3'!H30</f>
        <v>138</v>
      </c>
      <c r="I30" s="114">
        <f>'N3'!I30+'K3'!I30</f>
        <v>0</v>
      </c>
      <c r="J30" s="116">
        <f>'N3'!J30+'K3'!J30</f>
        <v>0</v>
      </c>
      <c r="K30" s="33">
        <f>'N3'!K30+'K3'!K30</f>
        <v>325</v>
      </c>
      <c r="L30" s="115">
        <f>'N3'!L30+'K3'!L30</f>
        <v>0</v>
      </c>
      <c r="M30" s="115">
        <f>'N3'!M30+'K3'!M30</f>
        <v>0</v>
      </c>
      <c r="N30" s="115">
        <f>'N3'!N30+'K3'!N30</f>
        <v>0</v>
      </c>
      <c r="O30" s="116">
        <f>'N3'!O30+'K3'!O30</f>
        <v>0</v>
      </c>
      <c r="P30" s="115">
        <f>'N3'!P30+'K3'!P30</f>
        <v>0</v>
      </c>
      <c r="Q30" s="116">
        <f>'N3'!Q30+'K3'!Q30</f>
        <v>0</v>
      </c>
      <c r="R30" s="121">
        <f>'N3'!R30+'K3'!R30</f>
        <v>0</v>
      </c>
      <c r="S30" s="121">
        <f>'N3'!S30+'K3'!S30</f>
        <v>0</v>
      </c>
      <c r="T30" s="33">
        <f>'N3'!T30+'K3'!T30</f>
        <v>0</v>
      </c>
      <c r="U30" s="115">
        <f>'N3'!U30+'K3'!U30</f>
        <v>0</v>
      </c>
      <c r="V30" s="115">
        <f>'N3'!V30+'K3'!V30</f>
        <v>0</v>
      </c>
      <c r="W30" s="115">
        <f>'N3'!W30+'K3'!W30</f>
        <v>0</v>
      </c>
      <c r="X30" s="116">
        <f>'N3'!X30+'K3'!X30</f>
        <v>0</v>
      </c>
      <c r="Y30" s="115">
        <f>'N3'!Y30+'K3'!Y30</f>
        <v>0</v>
      </c>
      <c r="Z30" s="116">
        <f>'N3'!Z30+'K3'!Z30</f>
        <v>0</v>
      </c>
      <c r="AA30" s="121">
        <f>'N3'!AA30+'K3'!AA30</f>
        <v>0</v>
      </c>
      <c r="AB30" s="121">
        <f>'N3'!AB30+'K3'!AB30</f>
        <v>0</v>
      </c>
      <c r="AC30" s="33">
        <f>'N3'!AC30+'K3'!AC30</f>
        <v>0</v>
      </c>
      <c r="AD30" s="12">
        <f>'N3'!AD30+'K3'!AD30</f>
        <v>325</v>
      </c>
      <c r="AE30" s="39"/>
      <c r="AF30" s="39"/>
      <c r="AG30" s="39"/>
      <c r="AH30" s="39"/>
      <c r="AI30" s="39"/>
      <c r="AJ30" s="39"/>
    </row>
    <row r="31" spans="1:36" x14ac:dyDescent="0.2">
      <c r="A31" s="5">
        <f>DAY(Kalenteri!A86)</f>
        <v>27</v>
      </c>
      <c r="B31" s="3" t="str">
        <f>IF(Kalenteri!B86=1,"su",IF(Kalenteri!B86=2,"ma",IF(Kalenteri!B86=3,"ti",IF(Kalenteri!B86=4,"ke",IF(Kalenteri!B86=5,"to",IF(Kalenteri!B86=6,"pe",IF(Kalenteri!B86=7,"la",)))))))</f>
        <v>ke</v>
      </c>
      <c r="C31" s="114">
        <f>'N3'!C31+'K3'!C31</f>
        <v>102</v>
      </c>
      <c r="D31" s="115">
        <f>'N3'!D31+'K3'!D31</f>
        <v>19</v>
      </c>
      <c r="E31" s="115">
        <f>'N3'!E31+'K3'!E31</f>
        <v>2</v>
      </c>
      <c r="F31" s="116">
        <f>'N3'!F31+'K3'!F31</f>
        <v>13</v>
      </c>
      <c r="G31" s="114">
        <f>'N3'!G31+'K3'!G31</f>
        <v>12</v>
      </c>
      <c r="H31" s="116">
        <f>'N3'!H31+'K3'!H31</f>
        <v>99</v>
      </c>
      <c r="I31" s="114">
        <f>'N3'!I31+'K3'!I31</f>
        <v>0</v>
      </c>
      <c r="J31" s="116">
        <f>'N3'!J31+'K3'!J31</f>
        <v>0</v>
      </c>
      <c r="K31" s="33">
        <f>'N3'!K31+'K3'!K31</f>
        <v>247</v>
      </c>
      <c r="L31" s="115">
        <f>'N3'!L31+'K3'!L31</f>
        <v>0</v>
      </c>
      <c r="M31" s="115">
        <f>'N3'!M31+'K3'!M31</f>
        <v>0</v>
      </c>
      <c r="N31" s="115">
        <f>'N3'!N31+'K3'!N31</f>
        <v>0</v>
      </c>
      <c r="O31" s="116">
        <f>'N3'!O31+'K3'!O31</f>
        <v>0</v>
      </c>
      <c r="P31" s="115">
        <f>'N3'!P31+'K3'!P31</f>
        <v>0</v>
      </c>
      <c r="Q31" s="116">
        <f>'N3'!Q31+'K3'!Q31</f>
        <v>0</v>
      </c>
      <c r="R31" s="121">
        <f>'N3'!R31+'K3'!R31</f>
        <v>0</v>
      </c>
      <c r="S31" s="121">
        <f>'N3'!S31+'K3'!S31</f>
        <v>0</v>
      </c>
      <c r="T31" s="33">
        <f>'N3'!T31+'K3'!T31</f>
        <v>0</v>
      </c>
      <c r="U31" s="115">
        <f>'N3'!U31+'K3'!U31</f>
        <v>0</v>
      </c>
      <c r="V31" s="115">
        <f>'N3'!V31+'K3'!V31</f>
        <v>0</v>
      </c>
      <c r="W31" s="115">
        <f>'N3'!W31+'K3'!W31</f>
        <v>0</v>
      </c>
      <c r="X31" s="116">
        <f>'N3'!X31+'K3'!X31</f>
        <v>0</v>
      </c>
      <c r="Y31" s="115">
        <f>'N3'!Y31+'K3'!Y31</f>
        <v>0</v>
      </c>
      <c r="Z31" s="116">
        <f>'N3'!Z31+'K3'!Z31</f>
        <v>0</v>
      </c>
      <c r="AA31" s="121">
        <f>'N3'!AA31+'K3'!AA31</f>
        <v>0</v>
      </c>
      <c r="AB31" s="121">
        <f>'N3'!AB31+'K3'!AB31</f>
        <v>0</v>
      </c>
      <c r="AC31" s="33">
        <f>'N3'!AC31+'K3'!AC31</f>
        <v>0</v>
      </c>
      <c r="AD31" s="12">
        <f>'N3'!AD31+'K3'!AD31</f>
        <v>247</v>
      </c>
      <c r="AE31" s="39"/>
      <c r="AF31" s="39"/>
      <c r="AG31" s="39"/>
      <c r="AH31" s="39"/>
      <c r="AI31" s="39"/>
      <c r="AJ31" s="39"/>
    </row>
    <row r="32" spans="1:36" x14ac:dyDescent="0.2">
      <c r="A32" s="5">
        <f>DAY(Kalenteri!A87)</f>
        <v>28</v>
      </c>
      <c r="B32" s="3" t="str">
        <f>IF(Kalenteri!B87=1,"su",IF(Kalenteri!B87=2,"ma",IF(Kalenteri!B87=3,"ti",IF(Kalenteri!B87=4,"ke",IF(Kalenteri!B87=5,"to",IF(Kalenteri!B87=6,"pe",IF(Kalenteri!B87=7,"la",)))))))</f>
        <v>to</v>
      </c>
      <c r="C32" s="114">
        <f>'N3'!C32+'K3'!C32</f>
        <v>131</v>
      </c>
      <c r="D32" s="115">
        <f>'N3'!D32+'K3'!D32</f>
        <v>41</v>
      </c>
      <c r="E32" s="115">
        <f>'N3'!E32+'K3'!E32</f>
        <v>4</v>
      </c>
      <c r="F32" s="116">
        <f>'N3'!F32+'K3'!F32</f>
        <v>5</v>
      </c>
      <c r="G32" s="114">
        <f>'N3'!G32+'K3'!G32</f>
        <v>0</v>
      </c>
      <c r="H32" s="116">
        <f>'N3'!H32+'K3'!H32</f>
        <v>39</v>
      </c>
      <c r="I32" s="114">
        <f>'N3'!I32+'K3'!I32</f>
        <v>0</v>
      </c>
      <c r="J32" s="116">
        <f>'N3'!J32+'K3'!J32</f>
        <v>0</v>
      </c>
      <c r="K32" s="33">
        <f>'N3'!K32+'K3'!K32</f>
        <v>220</v>
      </c>
      <c r="L32" s="115">
        <f>'N3'!L32+'K3'!L32</f>
        <v>0</v>
      </c>
      <c r="M32" s="115">
        <f>'N3'!M32+'K3'!M32</f>
        <v>0</v>
      </c>
      <c r="N32" s="115">
        <f>'N3'!N32+'K3'!N32</f>
        <v>0</v>
      </c>
      <c r="O32" s="116">
        <f>'N3'!O32+'K3'!O32</f>
        <v>0</v>
      </c>
      <c r="P32" s="115">
        <f>'N3'!P32+'K3'!P32</f>
        <v>0</v>
      </c>
      <c r="Q32" s="116">
        <f>'N3'!Q32+'K3'!Q32</f>
        <v>0</v>
      </c>
      <c r="R32" s="121">
        <f>'N3'!R32+'K3'!R32</f>
        <v>0</v>
      </c>
      <c r="S32" s="121">
        <f>'N3'!S32+'K3'!S32</f>
        <v>0</v>
      </c>
      <c r="T32" s="33">
        <f>'N3'!T32+'K3'!T32</f>
        <v>0</v>
      </c>
      <c r="U32" s="115">
        <f>'N3'!U32+'K3'!U32</f>
        <v>0</v>
      </c>
      <c r="V32" s="115">
        <f>'N3'!V32+'K3'!V32</f>
        <v>0</v>
      </c>
      <c r="W32" s="115">
        <f>'N3'!W32+'K3'!W32</f>
        <v>0</v>
      </c>
      <c r="X32" s="116">
        <f>'N3'!X32+'K3'!X32</f>
        <v>0</v>
      </c>
      <c r="Y32" s="115">
        <f>'N3'!Y32+'K3'!Y32</f>
        <v>0</v>
      </c>
      <c r="Z32" s="116">
        <f>'N3'!Z32+'K3'!Z32</f>
        <v>0</v>
      </c>
      <c r="AA32" s="121">
        <f>'N3'!AA32+'K3'!AA32</f>
        <v>0</v>
      </c>
      <c r="AB32" s="121">
        <f>'N3'!AB32+'K3'!AB32</f>
        <v>0</v>
      </c>
      <c r="AC32" s="33">
        <f>'N3'!AC32+'K3'!AC32</f>
        <v>0</v>
      </c>
      <c r="AD32" s="12">
        <f>'N3'!AD32+'K3'!AD32</f>
        <v>220</v>
      </c>
      <c r="AE32" s="39"/>
      <c r="AF32" s="39"/>
      <c r="AG32" s="39"/>
      <c r="AH32" s="39"/>
      <c r="AI32" s="39"/>
      <c r="AJ32" s="39"/>
    </row>
    <row r="33" spans="1:36" x14ac:dyDescent="0.2">
      <c r="A33" s="5">
        <f>DAY(Kalenteri!A88)</f>
        <v>29</v>
      </c>
      <c r="B33" s="3" t="str">
        <f>IF(Kalenteri!B88=1,"su",IF(Kalenteri!B88=2,"ma",IF(Kalenteri!B88=3,"ti",IF(Kalenteri!B88=4,"ke",IF(Kalenteri!B88=5,"to",IF(Kalenteri!B88=6,"pe",IF(Kalenteri!B88=7,"la",)))))))</f>
        <v>pe</v>
      </c>
      <c r="C33" s="114">
        <f>'N3'!C33+'K3'!C33</f>
        <v>1201</v>
      </c>
      <c r="D33" s="115">
        <f>'N3'!D33+'K3'!D33</f>
        <v>361</v>
      </c>
      <c r="E33" s="115">
        <f>'N3'!E33+'K3'!E33</f>
        <v>1</v>
      </c>
      <c r="F33" s="116">
        <f>'N3'!F33+'K3'!F33</f>
        <v>54</v>
      </c>
      <c r="G33" s="114">
        <f>'N3'!G33+'K3'!G33</f>
        <v>12</v>
      </c>
      <c r="H33" s="116">
        <f>'N3'!H33+'K3'!H33</f>
        <v>430</v>
      </c>
      <c r="I33" s="114">
        <f>'N3'!I33+'K3'!I33</f>
        <v>56</v>
      </c>
      <c r="J33" s="116">
        <f>'N3'!J33+'K3'!J33</f>
        <v>84</v>
      </c>
      <c r="K33" s="33">
        <f>'N3'!K33+'K3'!K33</f>
        <v>2199</v>
      </c>
      <c r="L33" s="115">
        <f>'N3'!L33+'K3'!L33</f>
        <v>0</v>
      </c>
      <c r="M33" s="115">
        <f>'N3'!M33+'K3'!M33</f>
        <v>0</v>
      </c>
      <c r="N33" s="115">
        <f>'N3'!N33+'K3'!N33</f>
        <v>0</v>
      </c>
      <c r="O33" s="116">
        <f>'N3'!O33+'K3'!O33</f>
        <v>0</v>
      </c>
      <c r="P33" s="115">
        <f>'N3'!P33+'K3'!P33</f>
        <v>0</v>
      </c>
      <c r="Q33" s="116">
        <f>'N3'!Q33+'K3'!Q33</f>
        <v>0</v>
      </c>
      <c r="R33" s="121">
        <f>'N3'!R33+'K3'!R33</f>
        <v>0</v>
      </c>
      <c r="S33" s="121">
        <f>'N3'!S33+'K3'!S33</f>
        <v>0</v>
      </c>
      <c r="T33" s="33">
        <f>'N3'!T33+'K3'!T33</f>
        <v>0</v>
      </c>
      <c r="U33" s="115">
        <f>'N3'!U33+'K3'!U33</f>
        <v>0</v>
      </c>
      <c r="V33" s="115">
        <f>'N3'!V33+'K3'!V33</f>
        <v>0</v>
      </c>
      <c r="W33" s="115">
        <f>'N3'!W33+'K3'!W33</f>
        <v>0</v>
      </c>
      <c r="X33" s="116">
        <f>'N3'!X33+'K3'!X33</f>
        <v>0</v>
      </c>
      <c r="Y33" s="115">
        <f>'N3'!Y33+'K3'!Y33</f>
        <v>0</v>
      </c>
      <c r="Z33" s="116">
        <f>'N3'!Z33+'K3'!Z33</f>
        <v>0</v>
      </c>
      <c r="AA33" s="121">
        <f>'N3'!AA33+'K3'!AA33</f>
        <v>0</v>
      </c>
      <c r="AB33" s="121">
        <f>'N3'!AB33+'K3'!AB33</f>
        <v>0</v>
      </c>
      <c r="AC33" s="33">
        <f>'N3'!AC33+'K3'!AC33</f>
        <v>0</v>
      </c>
      <c r="AD33" s="12">
        <f>'N3'!AD33+'K3'!AD33</f>
        <v>2199</v>
      </c>
      <c r="AE33" s="39"/>
      <c r="AF33" s="39"/>
      <c r="AG33" s="39"/>
      <c r="AH33" s="39"/>
      <c r="AI33" s="39"/>
      <c r="AJ33" s="39"/>
    </row>
    <row r="34" spans="1:36" x14ac:dyDescent="0.2">
      <c r="A34" s="5">
        <f>DAY(Kalenteri!A89)</f>
        <v>30</v>
      </c>
      <c r="B34" s="3" t="str">
        <f>IF(Kalenteri!B89=1,"su",IF(Kalenteri!B89=2,"ma",IF(Kalenteri!B89=3,"ti",IF(Kalenteri!B89=4,"ke",IF(Kalenteri!B89=5,"to",IF(Kalenteri!B89=6,"pe",IF(Kalenteri!B89=7,"la",)))))))</f>
        <v>la</v>
      </c>
      <c r="C34" s="114">
        <f>'N3'!C34+'K3'!C34</f>
        <v>929</v>
      </c>
      <c r="D34" s="115">
        <f>'N3'!D34+'K3'!D34</f>
        <v>298</v>
      </c>
      <c r="E34" s="115">
        <f>'N3'!E34+'K3'!E34</f>
        <v>0</v>
      </c>
      <c r="F34" s="116">
        <f>'N3'!F34+'K3'!F34</f>
        <v>46</v>
      </c>
      <c r="G34" s="114">
        <f>'N3'!G34+'K3'!G34</f>
        <v>30</v>
      </c>
      <c r="H34" s="116">
        <f>'N3'!H34+'K3'!H34</f>
        <v>334</v>
      </c>
      <c r="I34" s="114">
        <f>'N3'!I34+'K3'!I34</f>
        <v>54</v>
      </c>
      <c r="J34" s="116">
        <f>'N3'!J34+'K3'!J34</f>
        <v>81</v>
      </c>
      <c r="K34" s="33">
        <f>'N3'!K34+'K3'!K34</f>
        <v>1772</v>
      </c>
      <c r="L34" s="115">
        <f>'N3'!L34+'K3'!L34</f>
        <v>0</v>
      </c>
      <c r="M34" s="115">
        <f>'N3'!M34+'K3'!M34</f>
        <v>0</v>
      </c>
      <c r="N34" s="115">
        <f>'N3'!N34+'K3'!N34</f>
        <v>0</v>
      </c>
      <c r="O34" s="116">
        <f>'N3'!O34+'K3'!O34</f>
        <v>0</v>
      </c>
      <c r="P34" s="115">
        <f>'N3'!P34+'K3'!P34</f>
        <v>0</v>
      </c>
      <c r="Q34" s="116">
        <f>'N3'!Q34+'K3'!Q34</f>
        <v>0</v>
      </c>
      <c r="R34" s="121">
        <f>'N3'!R34+'K3'!R34</f>
        <v>0</v>
      </c>
      <c r="S34" s="121">
        <f>'N3'!S34+'K3'!S34</f>
        <v>0</v>
      </c>
      <c r="T34" s="33">
        <f>'N3'!T34+'K3'!T34</f>
        <v>0</v>
      </c>
      <c r="U34" s="115">
        <f>'N3'!U34+'K3'!U34</f>
        <v>0</v>
      </c>
      <c r="V34" s="115">
        <f>'N3'!V34+'K3'!V34</f>
        <v>0</v>
      </c>
      <c r="W34" s="115">
        <f>'N3'!W34+'K3'!W34</f>
        <v>0</v>
      </c>
      <c r="X34" s="116">
        <f>'N3'!X34+'K3'!X34</f>
        <v>0</v>
      </c>
      <c r="Y34" s="115">
        <f>'N3'!Y34+'K3'!Y34</f>
        <v>0</v>
      </c>
      <c r="Z34" s="116">
        <f>'N3'!Z34+'K3'!Z34</f>
        <v>0</v>
      </c>
      <c r="AA34" s="121">
        <f>'N3'!AA34+'K3'!AA34</f>
        <v>0</v>
      </c>
      <c r="AB34" s="121">
        <f>'N3'!AB34+'K3'!AB34</f>
        <v>0</v>
      </c>
      <c r="AC34" s="33">
        <f>'N3'!AC34+'K3'!AC34</f>
        <v>0</v>
      </c>
      <c r="AD34" s="12">
        <f>'N3'!AD34+'K3'!AD34</f>
        <v>1772</v>
      </c>
      <c r="AE34" s="39"/>
      <c r="AF34" s="39"/>
      <c r="AG34" s="39"/>
      <c r="AH34" s="39"/>
      <c r="AI34" s="39"/>
      <c r="AJ34" s="39"/>
    </row>
    <row r="35" spans="1:36" x14ac:dyDescent="0.2">
      <c r="A35" s="5">
        <f>DAY(Kalenteri!A90)</f>
        <v>31</v>
      </c>
      <c r="B35" s="3" t="str">
        <f>IF(Kalenteri!B90=1,"su",IF(Kalenteri!B90=2,"ma",IF(Kalenteri!B90=3,"ti",IF(Kalenteri!B90=4,"ke",IF(Kalenteri!B90=5,"to",IF(Kalenteri!B90=6,"pe",IF(Kalenteri!B90=7,"la",)))))))</f>
        <v>su</v>
      </c>
      <c r="C35" s="117">
        <f>'N3'!C35+'K3'!C35</f>
        <v>1279</v>
      </c>
      <c r="D35" s="118">
        <f>'N3'!D35+'K3'!D35</f>
        <v>368</v>
      </c>
      <c r="E35" s="118">
        <f>'N3'!E35+'K3'!E35</f>
        <v>5</v>
      </c>
      <c r="F35" s="119">
        <f>'N3'!F35+'K3'!F35</f>
        <v>69</v>
      </c>
      <c r="G35" s="117">
        <f>'N3'!G35+'K3'!G35</f>
        <v>16</v>
      </c>
      <c r="H35" s="119">
        <f>'N3'!H35+'K3'!H35</f>
        <v>379</v>
      </c>
      <c r="I35" s="117">
        <f>'N3'!I35+'K3'!I35</f>
        <v>52</v>
      </c>
      <c r="J35" s="119">
        <f>'N3'!J35+'K3'!J35</f>
        <v>78</v>
      </c>
      <c r="K35" s="34">
        <f>'N3'!K35+'K3'!K35</f>
        <v>2246</v>
      </c>
      <c r="L35" s="122">
        <f>'N3'!L35+'K3'!L35</f>
        <v>0</v>
      </c>
      <c r="M35" s="122">
        <f>'N3'!M35+'K3'!M35</f>
        <v>0</v>
      </c>
      <c r="N35" s="122">
        <f>'N3'!N35+'K3'!N35</f>
        <v>0</v>
      </c>
      <c r="O35" s="123">
        <f>'N3'!O35+'K3'!O35</f>
        <v>0</v>
      </c>
      <c r="P35" s="122">
        <f>'N3'!P35+'K3'!P35</f>
        <v>0</v>
      </c>
      <c r="Q35" s="123">
        <f>'N3'!Q35+'K3'!Q35</f>
        <v>0</v>
      </c>
      <c r="R35" s="124">
        <f>'N3'!R35+'K3'!R35</f>
        <v>0</v>
      </c>
      <c r="S35" s="124">
        <f>'N3'!S35+'K3'!S35</f>
        <v>0</v>
      </c>
      <c r="T35" s="34">
        <f>'N3'!T35+'K3'!T35</f>
        <v>0</v>
      </c>
      <c r="U35" s="122">
        <f>'N3'!U35+'K3'!U35</f>
        <v>0</v>
      </c>
      <c r="V35" s="122">
        <f>'N3'!V35+'K3'!V35</f>
        <v>0</v>
      </c>
      <c r="W35" s="122">
        <f>'N3'!W35+'K3'!W35</f>
        <v>0</v>
      </c>
      <c r="X35" s="123">
        <f>'N3'!X35+'K3'!X35</f>
        <v>0</v>
      </c>
      <c r="Y35" s="122">
        <f>'N3'!Y35+'K3'!Y35</f>
        <v>0</v>
      </c>
      <c r="Z35" s="123">
        <f>'N3'!Z35+'K3'!Z35</f>
        <v>0</v>
      </c>
      <c r="AA35" s="124">
        <f>'N3'!AA35+'K3'!AA35</f>
        <v>0</v>
      </c>
      <c r="AB35" s="124">
        <f>'N3'!AB35+'K3'!AB35</f>
        <v>0</v>
      </c>
      <c r="AC35" s="34">
        <f>'N3'!AC35+'K3'!AC35</f>
        <v>0</v>
      </c>
      <c r="AD35" s="19">
        <f>'N3'!AD35+'K3'!AD35</f>
        <v>2246</v>
      </c>
      <c r="AE35" s="39"/>
      <c r="AF35" s="39"/>
      <c r="AG35" s="39"/>
      <c r="AH35" s="39"/>
      <c r="AI35" s="39"/>
      <c r="AJ35" s="39"/>
    </row>
    <row r="36" spans="1:36" x14ac:dyDescent="0.2">
      <c r="A36" s="6"/>
      <c r="B36"/>
      <c r="C36" s="82">
        <f>'N3'!C36+'K3'!C36</f>
        <v>7838</v>
      </c>
      <c r="D36" s="83">
        <f>'N3'!D36+'K3'!D36</f>
        <v>1997</v>
      </c>
      <c r="E36" s="83">
        <f>'N3'!E36+'K3'!E36</f>
        <v>54</v>
      </c>
      <c r="F36" s="84">
        <f>'N3'!F36+'K3'!F36</f>
        <v>536</v>
      </c>
      <c r="G36" s="83">
        <f>'N3'!G36+'K3'!G36</f>
        <v>286</v>
      </c>
      <c r="H36" s="84">
        <f>'N3'!H36+'K3'!H36</f>
        <v>3222</v>
      </c>
      <c r="I36" s="83">
        <f>'N3'!I36+'K3'!I36</f>
        <v>179</v>
      </c>
      <c r="J36" s="84">
        <f>'N3'!J36+'K3'!J36</f>
        <v>266</v>
      </c>
      <c r="K36" s="85">
        <f>'N3'!K36+'K3'!K36</f>
        <v>14378</v>
      </c>
      <c r="L36" s="83">
        <f>'N3'!L36+'K3'!L36</f>
        <v>0</v>
      </c>
      <c r="M36" s="83">
        <f>'N3'!M36+'K3'!M36</f>
        <v>0</v>
      </c>
      <c r="N36" s="83">
        <f>'N3'!N36+'K3'!N36</f>
        <v>0</v>
      </c>
      <c r="O36" s="84">
        <f>'N3'!O36+'K3'!O36</f>
        <v>0</v>
      </c>
      <c r="P36" s="83">
        <f>'N3'!P36+'K3'!P36</f>
        <v>0</v>
      </c>
      <c r="Q36" s="84">
        <f>'N3'!Q36+'K3'!Q36</f>
        <v>0</v>
      </c>
      <c r="R36" s="86">
        <f>'N3'!R36+'K3'!R36</f>
        <v>0</v>
      </c>
      <c r="S36" s="86">
        <f>'N3'!S36+'K3'!S36</f>
        <v>0</v>
      </c>
      <c r="T36" s="85">
        <f>'N3'!T36+'K3'!T36</f>
        <v>0</v>
      </c>
      <c r="U36" s="83">
        <f>'N3'!U36+'K3'!U36</f>
        <v>0</v>
      </c>
      <c r="V36" s="83">
        <f>'N3'!V36+'K3'!V36</f>
        <v>0</v>
      </c>
      <c r="W36" s="83">
        <f>'N3'!W36+'K3'!W36</f>
        <v>0</v>
      </c>
      <c r="X36" s="84">
        <f>'N3'!X36+'K3'!X36</f>
        <v>0</v>
      </c>
      <c r="Y36" s="83">
        <f>'N3'!Y36+'K3'!Y36</f>
        <v>0</v>
      </c>
      <c r="Z36" s="84">
        <f>'N3'!Z36+'K3'!Z36</f>
        <v>0</v>
      </c>
      <c r="AA36" s="86">
        <f>'N3'!AA36+'K3'!AA36</f>
        <v>0</v>
      </c>
      <c r="AB36" s="86">
        <f>'N3'!AB36+'K3'!AB36</f>
        <v>0</v>
      </c>
      <c r="AC36" s="85">
        <f>'N3'!AC36+'K3'!AC36</f>
        <v>0</v>
      </c>
      <c r="AD36" s="87">
        <f>'N3'!AD36+'K3'!AD36</f>
        <v>14378</v>
      </c>
      <c r="AE36" s="66"/>
      <c r="AF36" s="66"/>
      <c r="AG36" s="66"/>
      <c r="AH36" s="66"/>
      <c r="AI36" s="66"/>
      <c r="AJ36" s="66"/>
    </row>
    <row r="37" spans="1:36" ht="8.1" customHeight="1" thickBot="1" x14ac:dyDescent="0.25">
      <c r="A37" s="6"/>
      <c r="B37"/>
      <c r="C37" s="2"/>
      <c r="D37" s="5"/>
      <c r="E37" s="5"/>
      <c r="F37" s="2"/>
      <c r="G37" s="2"/>
      <c r="H37" s="2"/>
      <c r="I37" s="5"/>
      <c r="J37" s="2"/>
      <c r="K37" s="2"/>
      <c r="L37" s="5"/>
      <c r="M37" s="2"/>
      <c r="N37" s="5"/>
      <c r="O37" s="5"/>
      <c r="P37" s="2"/>
      <c r="Q37" s="5"/>
      <c r="R37" s="42"/>
      <c r="S37" s="42"/>
      <c r="T37" s="2"/>
      <c r="U37" s="2"/>
      <c r="V37" s="2"/>
      <c r="W37" s="2"/>
      <c r="X37" s="5"/>
      <c r="Y37" s="2"/>
      <c r="Z37" s="2"/>
      <c r="AA37" s="39"/>
      <c r="AB37" s="39"/>
      <c r="AC37" s="5"/>
      <c r="AD37" s="40"/>
      <c r="AE37" s="40"/>
      <c r="AF37" s="40"/>
      <c r="AG37" s="40"/>
      <c r="AH37" s="40"/>
      <c r="AI37" s="40"/>
      <c r="AJ37" s="40"/>
    </row>
    <row r="38" spans="1:36" ht="24.95" customHeight="1" thickTop="1" x14ac:dyDescent="0.3">
      <c r="A38" s="6"/>
      <c r="B38"/>
      <c r="C38" s="171" t="str">
        <f>Kalenteri!E38</f>
        <v>Lippujen hinnat:</v>
      </c>
      <c r="D38" s="5"/>
      <c r="E38" s="5"/>
      <c r="F38" s="2"/>
      <c r="G38" s="2"/>
      <c r="H38" s="2"/>
      <c r="I38" s="5"/>
      <c r="J38" s="2"/>
      <c r="K38" s="2"/>
      <c r="L38" s="5"/>
      <c r="M38" s="2"/>
      <c r="N38" s="5"/>
      <c r="O38" s="5"/>
      <c r="P38" s="2"/>
      <c r="Q38"/>
      <c r="R38"/>
      <c r="S38"/>
      <c r="T38"/>
      <c r="U38" s="49" t="s">
        <v>12</v>
      </c>
      <c r="V38" s="50"/>
      <c r="W38" s="43"/>
      <c r="X38" s="44"/>
      <c r="Y38" s="43"/>
      <c r="Z38" s="43"/>
      <c r="AA38" s="44"/>
      <c r="AB38" s="44"/>
      <c r="AC38" s="47"/>
      <c r="AD38" s="45">
        <f>'N3'!AD38+'K3'!AD38</f>
        <v>14378</v>
      </c>
      <c r="AE38" s="41"/>
      <c r="AF38" s="41"/>
      <c r="AG38" s="41"/>
      <c r="AH38" s="41"/>
      <c r="AI38" s="41"/>
      <c r="AJ38" s="41"/>
    </row>
    <row r="39" spans="1:36" ht="24.95" customHeight="1" x14ac:dyDescent="0.3">
      <c r="A39" s="6"/>
      <c r="B39"/>
      <c r="C39" s="193" t="str">
        <f>Kalenteri!E39</f>
        <v>Mustikkamaan kautta: 1.9.-30.4. aik. 10 €, lapset 5 €, kimppalippu 30 €    1.5.-30.8. aik. 12 €, lapset 6 €, kimppalippu 36 €</v>
      </c>
      <c r="D39" s="89"/>
      <c r="E39" s="89"/>
      <c r="F39" s="90"/>
      <c r="G39" s="102"/>
      <c r="H39" s="174"/>
      <c r="I39" s="89"/>
      <c r="J39" s="90"/>
      <c r="K39" s="90"/>
      <c r="L39" s="89"/>
      <c r="M39" s="90"/>
      <c r="N39" s="89"/>
      <c r="O39" s="89"/>
      <c r="P39" s="90"/>
      <c r="Q39" s="104"/>
      <c r="R39" s="103"/>
      <c r="S39"/>
      <c r="T39"/>
      <c r="U39" s="62" t="s">
        <v>13</v>
      </c>
      <c r="V39" s="52"/>
      <c r="W39" s="53"/>
      <c r="X39" s="54"/>
      <c r="Y39" s="53"/>
      <c r="Z39" s="53"/>
      <c r="AA39" s="54"/>
      <c r="AB39" s="54"/>
      <c r="AC39" s="55"/>
      <c r="AD39" s="56">
        <f>'N3'!AD39+'K3'!AD39</f>
        <v>3502</v>
      </c>
      <c r="AE39" s="67"/>
      <c r="AF39" s="67"/>
      <c r="AG39" s="67"/>
      <c r="AH39" s="67"/>
      <c r="AI39" s="67"/>
      <c r="AJ39" s="67"/>
    </row>
    <row r="40" spans="1:36" ht="24.95" customHeight="1" x14ac:dyDescent="0.3">
      <c r="A40" s="6"/>
      <c r="B40" s="6"/>
      <c r="C40" s="194" t="str">
        <f>Kalenteri!E40</f>
        <v xml:space="preserve">                                    Vuosikortti:     aik. 50 €, lapset 20 €, perhekortti 100 €</v>
      </c>
      <c r="D40" s="39"/>
      <c r="E40" s="39"/>
      <c r="F40" s="42"/>
      <c r="G40" s="65"/>
      <c r="H40" s="176"/>
      <c r="I40" s="39"/>
      <c r="J40" s="42"/>
      <c r="K40" s="42"/>
      <c r="L40" s="39"/>
      <c r="M40" s="42"/>
      <c r="N40" s="39"/>
      <c r="O40" s="39"/>
      <c r="P40" s="39"/>
      <c r="Q40" s="23"/>
      <c r="R40" s="97"/>
      <c r="S40"/>
      <c r="T40"/>
      <c r="U40" s="63" t="s">
        <v>14</v>
      </c>
      <c r="V40" s="37"/>
      <c r="W40" s="51"/>
      <c r="X40" s="41"/>
      <c r="Y40" s="51"/>
      <c r="Z40" s="41"/>
      <c r="AA40" s="41"/>
      <c r="AB40" s="41"/>
      <c r="AC40" s="48"/>
      <c r="AD40" s="46">
        <f>'N3'!AD40+'K3'!AD40</f>
        <v>35270</v>
      </c>
      <c r="AE40" s="41"/>
      <c r="AF40" s="41"/>
      <c r="AG40" s="41"/>
      <c r="AH40" s="41"/>
      <c r="AI40" s="41"/>
      <c r="AJ40" s="41"/>
    </row>
    <row r="41" spans="1:36" ht="24.95" customHeight="1" thickBot="1" x14ac:dyDescent="0.35">
      <c r="A41" s="4"/>
      <c r="B41" s="4"/>
      <c r="C41" s="195" t="str">
        <f>Kalenteri!E41</f>
        <v>Vesibusseilla:             1.9.-30.4. aik. 16 €, lapset 8 €, kimppalippu 47 €    1.5.-31.8. aik. 18 €, lapset 9 €, kimppalippu 53 €</v>
      </c>
      <c r="D41" s="93"/>
      <c r="E41" s="93"/>
      <c r="F41" s="94"/>
      <c r="G41" s="94"/>
      <c r="H41" s="175"/>
      <c r="I41" s="93"/>
      <c r="J41" s="96"/>
      <c r="K41" s="96"/>
      <c r="L41" s="93"/>
      <c r="M41" s="95"/>
      <c r="N41" s="95"/>
      <c r="O41" s="93"/>
      <c r="P41" s="95"/>
      <c r="Q41" s="95"/>
      <c r="R41" s="98"/>
      <c r="S41"/>
      <c r="T41"/>
      <c r="U41" s="64" t="s">
        <v>13</v>
      </c>
      <c r="V41" s="57"/>
      <c r="W41" s="58"/>
      <c r="X41" s="59"/>
      <c r="Y41" s="59"/>
      <c r="Z41" s="59"/>
      <c r="AA41" s="59"/>
      <c r="AB41" s="59"/>
      <c r="AC41" s="60"/>
      <c r="AD41" s="61">
        <f>'N3'!AD41+'K3'!AD41</f>
        <v>8940</v>
      </c>
      <c r="AE41" s="68"/>
      <c r="AF41" s="68"/>
      <c r="AG41" s="68"/>
      <c r="AH41" s="68"/>
      <c r="AI41" s="68"/>
      <c r="AJ41" s="68"/>
    </row>
    <row r="42" spans="1:36" ht="13.5" thickTop="1" x14ac:dyDescent="0.2"/>
  </sheetData>
  <sheetProtection password="C4AC" sheet="1" objects="1" scenarios="1"/>
  <phoneticPr fontId="4" type="noConversion"/>
  <pageMargins left="0" right="0" top="0.27559055118110237" bottom="0" header="0" footer="0"/>
  <pageSetup paperSize="9" scale="75" fitToHeight="0" orientation="landscape" horizontalDpi="4294967292" verticalDpi="4294967292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4817" r:id="rId4" name="Button 1">
              <controlPr defaultSize="0" print="0" autoFill="0" autoLine="0" autoPict="0" macro="[1]!TAMMI">
                <anchor moveWithCells="1" sizeWithCells="1">
                  <from>
                    <xdr:col>35</xdr:col>
                    <xdr:colOff>0</xdr:colOff>
                    <xdr:row>3</xdr:row>
                    <xdr:rowOff>9525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18" r:id="rId5" name="Button 2">
              <controlPr defaultSize="0" print="0" autoFill="0" autoLine="0" autoPict="0" macro="[1]KTMAKRO!$A$1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19" r:id="rId6" name="Button 3">
              <controlPr defaultSize="0" print="0" autoFill="0" autoLine="0" autoPict="0" macro="[1]!MAALIS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0" r:id="rId7" name="Button 4">
              <controlPr defaultSize="0" print="0" autoFill="0" autoLine="0" autoPict="0" macro="[1]KTMAKRO!$D$1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1" r:id="rId8" name="Button 5">
              <controlPr defaultSize="0" print="0" autoFill="0" autoLine="0" autoPict="0" macro="[1]KTMAKRO!$E$1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2" r:id="rId9" name="Button 6">
              <controlPr defaultSize="0" print="0" autoFill="0" autoLine="0" autoPict="0" macro="[1]!KESÄ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3" r:id="rId10" name="Button 7">
              <controlPr defaultSize="0" print="0" autoFill="0" autoLine="0" autoPict="0" macro="[1]!HELMI">
                <anchor moveWithCells="1" sizeWithCells="1">
                  <from>
                    <xdr:col>35</xdr:col>
                    <xdr:colOff>0</xdr:colOff>
                    <xdr:row>3</xdr:row>
                    <xdr:rowOff>9525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4" r:id="rId11" name="Button 8">
              <controlPr defaultSize="0" print="0" autoFill="0" autoLine="0" autoPict="0" macro="[1]KTMAKRO!$G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5" r:id="rId12" name="Button 9">
              <controlPr defaultSize="0" print="0" autoFill="0" autoLine="0" autoPict="0" macro="[1]KTMAKRO!$I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6" r:id="rId13" name="Button 10">
              <controlPr defaultSize="0" print="0" autoFill="0" autoLine="0" autoPict="0" macro="[1]KTMAKRO!$J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7" r:id="rId14" name="Button 11">
              <controlPr defaultSize="0" print="0" autoFill="0" autoLine="0" autoPict="0" macro="[1]KTMAKRO!$K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8" r:id="rId15" name="Button 12">
              <controlPr defaultSize="0" print="0" autoFill="0" autoLine="0" autoPict="0" macro="[1]KTMAKRO!$L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9" r:id="rId16" name="Button 13">
              <controlPr defaultSize="0" print="0" autoFill="0" autoLine="0" autoPict="0" macro="[1]KTMAKRO!$H$1">
                <anchor moveWithCells="1" sizeWithCells="1">
                  <from>
                    <xdr:col>35</xdr:col>
                    <xdr:colOff>0</xdr:colOff>
                    <xdr:row>5</xdr:row>
                    <xdr:rowOff>0</xdr:rowOff>
                  </from>
                  <to>
                    <xdr:col>35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30" r:id="rId17" name="Button 14">
              <controlPr defaultSize="0" print="0" autoFill="0" autoLine="0" autoPict="0" macro="[1]!Yhteenveto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5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31" r:id="rId18" name="Button 15">
              <controlPr defaultSize="0" print="0" autoFill="0" autoLine="0" autoPict="0" macro="[1]!GRAFIIKKA1">
                <anchor moveWithCells="1" sizeWithCells="1">
                  <from>
                    <xdr:col>35</xdr:col>
                    <xdr:colOff>0</xdr:colOff>
                    <xdr:row>8</xdr:row>
                    <xdr:rowOff>142875</xdr:rowOff>
                  </from>
                  <to>
                    <xdr:col>35</xdr:col>
                    <xdr:colOff>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32" r:id="rId19" name="Button 16">
              <controlPr defaultSize="0" print="0" autoFill="0" autoLine="0" autoPict="0" macro="[1]!Grafiikka2">
                <anchor moveWithCells="1" sizeWithCells="1">
                  <from>
                    <xdr:col>35</xdr:col>
                    <xdr:colOff>0</xdr:colOff>
                    <xdr:row>8</xdr:row>
                    <xdr:rowOff>152400</xdr:rowOff>
                  </from>
                  <to>
                    <xdr:col>35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33" r:id="rId20" name="Button 17">
              <controlPr defaultSize="0" print="0" autoFill="0" autoLine="0" autoPict="0" macro="[1]!Grafiikka4">
                <anchor moveWithCells="1" sizeWithCells="1">
                  <from>
                    <xdr:col>35</xdr:col>
                    <xdr:colOff>0</xdr:colOff>
                    <xdr:row>8</xdr:row>
                    <xdr:rowOff>142875</xdr:rowOff>
                  </from>
                  <to>
                    <xdr:col>35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34" r:id="rId21" name="Button 18">
              <controlPr defaultSize="0" print="0" autoFill="0" autoLine="0" autoPict="0" macro="[1]!Grafiikka4">
                <anchor moveWithCells="1" sizeWithCells="1">
                  <from>
                    <xdr:col>35</xdr:col>
                    <xdr:colOff>0</xdr:colOff>
                    <xdr:row>8</xdr:row>
                    <xdr:rowOff>152400</xdr:rowOff>
                  </from>
                  <to>
                    <xdr:col>35</xdr:col>
                    <xdr:colOff>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35" r:id="rId22" name="Button 19">
              <controlPr defaultSize="0" print="0" autoFill="0" autoLine="0" autoPict="0" macro="[1]!Grafiikka5">
                <anchor moveWithCells="1" sizeWithCells="1">
                  <from>
                    <xdr:col>35</xdr:col>
                    <xdr:colOff>0</xdr:colOff>
                    <xdr:row>8</xdr:row>
                    <xdr:rowOff>152400</xdr:rowOff>
                  </from>
                  <to>
                    <xdr:col>35</xdr:col>
                    <xdr:colOff>0</xdr:colOff>
                    <xdr:row>12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36" r:id="rId23" name="Button 20">
              <controlPr defaultSize="0" print="0" autoFill="0" autoLine="0" autoPict="0" macro="[1]!Perusikkuna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12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/>
  <dimension ref="A1:AJ42"/>
  <sheetViews>
    <sheetView showGridLines="0" zoomScale="75" workbookViewId="0"/>
  </sheetViews>
  <sheetFormatPr defaultColWidth="9.75" defaultRowHeight="12.75" x14ac:dyDescent="0.2"/>
  <cols>
    <col min="1" max="1" width="3.75" style="1" customWidth="1"/>
    <col min="2" max="2" width="2.75" style="1" customWidth="1"/>
    <col min="3" max="4" width="6.125" style="1" customWidth="1"/>
    <col min="5" max="5" width="4" style="1" customWidth="1"/>
    <col min="6" max="6" width="4.5" style="1" customWidth="1"/>
    <col min="7" max="10" width="6.125" style="1" customWidth="1"/>
    <col min="11" max="11" width="5.875" style="1" customWidth="1"/>
    <col min="12" max="13" width="6.125" style="1" customWidth="1"/>
    <col min="14" max="14" width="5.25" style="1" customWidth="1"/>
    <col min="15" max="15" width="4.5" style="1" customWidth="1"/>
    <col min="16" max="16" width="6.125" style="1" customWidth="1"/>
    <col min="17" max="17" width="5.5" style="1" customWidth="1"/>
    <col min="18" max="19" width="6.125" style="1" customWidth="1"/>
    <col min="20" max="20" width="5.875" style="1" customWidth="1"/>
    <col min="21" max="22" width="6.125" style="1" customWidth="1"/>
    <col min="23" max="23" width="4.375" style="1" customWidth="1"/>
    <col min="24" max="24" width="4.25" style="1" customWidth="1"/>
    <col min="25" max="29" width="6.125" style="1" customWidth="1"/>
    <col min="30" max="36" width="15.625" style="1" customWidth="1"/>
  </cols>
  <sheetData>
    <row r="1" spans="1:36" ht="30" customHeight="1" x14ac:dyDescent="0.35">
      <c r="A1" s="22"/>
      <c r="B1" s="4"/>
      <c r="C1" s="105" t="s">
        <v>15</v>
      </c>
      <c r="D1" s="106"/>
      <c r="E1" s="106"/>
      <c r="F1" s="106"/>
      <c r="G1" s="106"/>
      <c r="H1" s="106"/>
      <c r="I1" s="106"/>
      <c r="J1" s="106"/>
      <c r="K1" s="106"/>
      <c r="L1" s="105" t="str">
        <f>Kalenteri!$H$1</f>
        <v>KÄVIJÄTILASTO 2013</v>
      </c>
      <c r="M1" s="107"/>
      <c r="N1" s="107"/>
      <c r="O1" s="107"/>
      <c r="P1" s="106"/>
      <c r="Q1" s="106"/>
      <c r="R1" s="105" t="s">
        <v>73</v>
      </c>
      <c r="S1" s="108"/>
      <c r="T1" s="106"/>
      <c r="U1" s="109"/>
      <c r="V1" s="105" t="s">
        <v>42</v>
      </c>
      <c r="W1" s="109"/>
      <c r="X1" s="106"/>
      <c r="Y1" s="106"/>
      <c r="Z1" s="106"/>
      <c r="AA1" s="106"/>
      <c r="AB1" s="106"/>
      <c r="AC1" s="106"/>
      <c r="AD1" s="110"/>
      <c r="AE1" s="4"/>
      <c r="AF1" s="4"/>
      <c r="AG1" s="4"/>
      <c r="AH1" s="4"/>
      <c r="AI1" s="4"/>
      <c r="AJ1" s="4"/>
    </row>
    <row r="2" spans="1:36" ht="30" customHeight="1" x14ac:dyDescent="0.3">
      <c r="A2" s="3"/>
      <c r="B2" s="4"/>
      <c r="C2" s="72"/>
      <c r="D2" s="73"/>
      <c r="E2" s="74" t="s">
        <v>1</v>
      </c>
      <c r="F2" s="75"/>
      <c r="G2" s="75"/>
      <c r="H2" s="75"/>
      <c r="I2" s="75"/>
      <c r="J2" s="75"/>
      <c r="K2" s="76"/>
      <c r="L2" s="72"/>
      <c r="M2" s="77"/>
      <c r="N2" s="73"/>
      <c r="O2" s="74" t="s">
        <v>2</v>
      </c>
      <c r="P2" s="75"/>
      <c r="Q2" s="75"/>
      <c r="R2" s="75"/>
      <c r="S2" s="75"/>
      <c r="T2" s="76"/>
      <c r="U2" s="72"/>
      <c r="V2" s="75"/>
      <c r="W2" s="73"/>
      <c r="X2" s="74" t="s">
        <v>3</v>
      </c>
      <c r="Y2" s="75"/>
      <c r="Z2" s="75"/>
      <c r="AA2" s="75"/>
      <c r="AB2" s="75"/>
      <c r="AC2" s="76"/>
      <c r="AD2" s="13"/>
      <c r="AE2" s="35"/>
      <c r="AF2" s="69"/>
      <c r="AG2" s="69"/>
      <c r="AH2" s="69"/>
      <c r="AI2" s="69"/>
      <c r="AJ2" s="69"/>
    </row>
    <row r="3" spans="1:36" x14ac:dyDescent="0.2">
      <c r="A3" s="4"/>
      <c r="B3" s="4"/>
      <c r="C3" s="24" t="s">
        <v>4</v>
      </c>
      <c r="D3" s="25"/>
      <c r="E3" s="25"/>
      <c r="F3" s="26"/>
      <c r="G3" s="24" t="s">
        <v>5</v>
      </c>
      <c r="H3" s="26"/>
      <c r="I3" s="25" t="s">
        <v>6</v>
      </c>
      <c r="J3" s="25"/>
      <c r="K3" s="27"/>
      <c r="L3" s="24" t="s">
        <v>4</v>
      </c>
      <c r="M3" s="25"/>
      <c r="N3" s="25"/>
      <c r="O3" s="26"/>
      <c r="P3" s="24" t="s">
        <v>5</v>
      </c>
      <c r="Q3" s="26"/>
      <c r="R3" s="25" t="s">
        <v>6</v>
      </c>
      <c r="S3" s="25"/>
      <c r="T3" s="27"/>
      <c r="U3" s="24" t="s">
        <v>4</v>
      </c>
      <c r="V3" s="25"/>
      <c r="W3" s="25"/>
      <c r="X3" s="26"/>
      <c r="Y3" s="24" t="s">
        <v>5</v>
      </c>
      <c r="Z3" s="26"/>
      <c r="AA3" s="25" t="s">
        <v>6</v>
      </c>
      <c r="AB3" s="25"/>
      <c r="AC3" s="27"/>
      <c r="AD3" s="36" t="s">
        <v>7</v>
      </c>
      <c r="AE3" s="38"/>
      <c r="AF3" s="70"/>
      <c r="AG3" s="70"/>
      <c r="AH3" s="70"/>
      <c r="AI3" s="70"/>
      <c r="AJ3"/>
    </row>
    <row r="4" spans="1:36" x14ac:dyDescent="0.2">
      <c r="A4" s="6"/>
      <c r="B4" s="4"/>
      <c r="C4" s="7" t="s">
        <v>8</v>
      </c>
      <c r="D4" s="8" t="s">
        <v>9</v>
      </c>
      <c r="E4" s="8" t="s">
        <v>10</v>
      </c>
      <c r="F4" s="9" t="s">
        <v>11</v>
      </c>
      <c r="G4" s="7" t="s">
        <v>8</v>
      </c>
      <c r="H4" s="9" t="s">
        <v>9</v>
      </c>
      <c r="I4" s="8" t="s">
        <v>8</v>
      </c>
      <c r="J4" s="8" t="s">
        <v>9</v>
      </c>
      <c r="K4" s="14" t="s">
        <v>0</v>
      </c>
      <c r="L4" s="7" t="s">
        <v>8</v>
      </c>
      <c r="M4" s="8" t="s">
        <v>9</v>
      </c>
      <c r="N4" s="8" t="s">
        <v>10</v>
      </c>
      <c r="O4" s="9" t="s">
        <v>11</v>
      </c>
      <c r="P4" s="7" t="s">
        <v>8</v>
      </c>
      <c r="Q4" s="9" t="s">
        <v>9</v>
      </c>
      <c r="R4" s="8" t="s">
        <v>8</v>
      </c>
      <c r="S4" s="8" t="s">
        <v>9</v>
      </c>
      <c r="T4" s="14" t="s">
        <v>0</v>
      </c>
      <c r="U4" s="7" t="s">
        <v>8</v>
      </c>
      <c r="V4" s="8" t="s">
        <v>9</v>
      </c>
      <c r="W4" s="8" t="s">
        <v>10</v>
      </c>
      <c r="X4" s="9" t="s">
        <v>11</v>
      </c>
      <c r="Y4" s="7" t="s">
        <v>8</v>
      </c>
      <c r="Z4" s="9" t="s">
        <v>9</v>
      </c>
      <c r="AA4" s="8" t="s">
        <v>8</v>
      </c>
      <c r="AB4" s="8" t="s">
        <v>9</v>
      </c>
      <c r="AC4" s="14" t="s">
        <v>0</v>
      </c>
      <c r="AD4" s="28"/>
      <c r="AE4" s="23"/>
      <c r="AF4" s="23"/>
      <c r="AG4" s="23"/>
      <c r="AH4" s="23"/>
      <c r="AI4" s="23"/>
      <c r="AJ4"/>
    </row>
    <row r="5" spans="1:36" x14ac:dyDescent="0.2">
      <c r="A5" s="5">
        <f>DAY(Kalenteri!A91)</f>
        <v>1</v>
      </c>
      <c r="B5" s="3" t="str">
        <f>IF(Kalenteri!B91=1,"su",IF(Kalenteri!B91=2,"ma",IF(Kalenteri!B91=3,"ti",IF(Kalenteri!B91=4,"ke",IF(Kalenteri!B91=5,"to",IF(Kalenteri!B91=6,"pe",IF(Kalenteri!B91=7,"la",)))))))</f>
        <v>ma</v>
      </c>
      <c r="C5" s="111">
        <f>'N4'!C5+'K4'!C5</f>
        <v>1234</v>
      </c>
      <c r="D5" s="112">
        <f>'N4'!D5+'K4'!D5</f>
        <v>379</v>
      </c>
      <c r="E5" s="112">
        <f>'N4'!E5+'K4'!E5</f>
        <v>1</v>
      </c>
      <c r="F5" s="113">
        <f>'N4'!F5+'K4'!F5</f>
        <v>78</v>
      </c>
      <c r="G5" s="111">
        <f>'N4'!G5+'K4'!G5</f>
        <v>30</v>
      </c>
      <c r="H5" s="113">
        <f>'N4'!H5+'K4'!H5</f>
        <v>460</v>
      </c>
      <c r="I5" s="111">
        <f>'N4'!I5+'K4'!I5</f>
        <v>74</v>
      </c>
      <c r="J5" s="113">
        <f>'N4'!J5+'K4'!J5</f>
        <v>111</v>
      </c>
      <c r="K5" s="32">
        <f>'N4'!K5+'K4'!K5</f>
        <v>2367</v>
      </c>
      <c r="L5" s="112">
        <f>'N4'!L5+'K4'!L5</f>
        <v>0</v>
      </c>
      <c r="M5" s="112">
        <f>'N4'!M5+'K4'!M5</f>
        <v>0</v>
      </c>
      <c r="N5" s="112">
        <f>'N4'!N5+'K4'!N5</f>
        <v>0</v>
      </c>
      <c r="O5" s="113">
        <f>'N4'!O5+'K4'!O5</f>
        <v>0</v>
      </c>
      <c r="P5" s="112">
        <f>'N4'!P5+'K4'!P5</f>
        <v>0</v>
      </c>
      <c r="Q5" s="113">
        <f>'N4'!Q5+'K4'!Q5</f>
        <v>0</v>
      </c>
      <c r="R5" s="120">
        <f>'N4'!R5+'K4'!R5</f>
        <v>0</v>
      </c>
      <c r="S5" s="120">
        <f>'N4'!S5+'K4'!S5</f>
        <v>0</v>
      </c>
      <c r="T5" s="32">
        <f>'N4'!T5+'K4'!T5</f>
        <v>0</v>
      </c>
      <c r="U5" s="112">
        <f>'N4'!U5+'K4'!U5</f>
        <v>0</v>
      </c>
      <c r="V5" s="112">
        <f>'N4'!V5+'K4'!V5</f>
        <v>0</v>
      </c>
      <c r="W5" s="112">
        <f>'N4'!W5+'K4'!W5</f>
        <v>0</v>
      </c>
      <c r="X5" s="113">
        <f>'N4'!X5+'K4'!X5</f>
        <v>0</v>
      </c>
      <c r="Y5" s="112">
        <f>'N4'!Y5+'K4'!Y5</f>
        <v>0</v>
      </c>
      <c r="Z5" s="113">
        <f>'N4'!Z5+'K4'!Z5</f>
        <v>0</v>
      </c>
      <c r="AA5" s="120">
        <f>'N4'!AA5+'K4'!AA5</f>
        <v>0</v>
      </c>
      <c r="AB5" s="120">
        <f>'N4'!AB5+'K4'!AB5</f>
        <v>0</v>
      </c>
      <c r="AC5" s="32">
        <f>'N4'!AC5+'K4'!AC5</f>
        <v>0</v>
      </c>
      <c r="AD5" s="17">
        <f>'N4'!AD5+'K4'!AD5</f>
        <v>2367</v>
      </c>
      <c r="AE5" s="39"/>
      <c r="AF5" s="39"/>
      <c r="AG5" s="39"/>
      <c r="AH5" s="39"/>
      <c r="AI5" s="39"/>
      <c r="AJ5"/>
    </row>
    <row r="6" spans="1:36" x14ac:dyDescent="0.2">
      <c r="A6" s="5">
        <f>DAY(Kalenteri!A92)</f>
        <v>2</v>
      </c>
      <c r="B6" s="3" t="str">
        <f>IF(Kalenteri!B92=1,"su",IF(Kalenteri!B92=2,"ma",IF(Kalenteri!B92=3,"ti",IF(Kalenteri!B92=4,"ke",IF(Kalenteri!B92=5,"to",IF(Kalenteri!B92=6,"pe",IF(Kalenteri!B92=7,"la",)))))))</f>
        <v>ti</v>
      </c>
      <c r="C6" s="114">
        <f>'N4'!C6+'K4'!C6</f>
        <v>116</v>
      </c>
      <c r="D6" s="115">
        <f>'N4'!D6+'K4'!D6</f>
        <v>17</v>
      </c>
      <c r="E6" s="115">
        <f>'N4'!E6+'K4'!E6</f>
        <v>0</v>
      </c>
      <c r="F6" s="116">
        <f>'N4'!F6+'K4'!F6</f>
        <v>5</v>
      </c>
      <c r="G6" s="114">
        <f>'N4'!G6+'K4'!G6</f>
        <v>1</v>
      </c>
      <c r="H6" s="116">
        <f>'N4'!H6+'K4'!H6</f>
        <v>39</v>
      </c>
      <c r="I6" s="114">
        <f>'N4'!I6+'K4'!I6</f>
        <v>0</v>
      </c>
      <c r="J6" s="116">
        <f>'N4'!J6+'K4'!J6</f>
        <v>0</v>
      </c>
      <c r="K6" s="33">
        <f>'N4'!K6+'K4'!K6</f>
        <v>178</v>
      </c>
      <c r="L6" s="115">
        <f>'N4'!L6+'K4'!L6</f>
        <v>0</v>
      </c>
      <c r="M6" s="115">
        <f>'N4'!M6+'K4'!M6</f>
        <v>0</v>
      </c>
      <c r="N6" s="115">
        <f>'N4'!N6+'K4'!N6</f>
        <v>0</v>
      </c>
      <c r="O6" s="116">
        <f>'N4'!O6+'K4'!O6</f>
        <v>0</v>
      </c>
      <c r="P6" s="115">
        <f>'N4'!P6+'K4'!P6</f>
        <v>0</v>
      </c>
      <c r="Q6" s="116">
        <f>'N4'!Q6+'K4'!Q6</f>
        <v>0</v>
      </c>
      <c r="R6" s="121">
        <f>'N4'!R6+'K4'!R6</f>
        <v>0</v>
      </c>
      <c r="S6" s="121">
        <f>'N4'!S6+'K4'!S6</f>
        <v>0</v>
      </c>
      <c r="T6" s="33">
        <f>'N4'!T6+'K4'!T6</f>
        <v>0</v>
      </c>
      <c r="U6" s="115">
        <f>'N4'!U6+'K4'!U6</f>
        <v>0</v>
      </c>
      <c r="V6" s="115">
        <f>'N4'!V6+'K4'!V6</f>
        <v>0</v>
      </c>
      <c r="W6" s="115">
        <f>'N4'!W6+'K4'!W6</f>
        <v>0</v>
      </c>
      <c r="X6" s="116">
        <f>'N4'!X6+'K4'!X6</f>
        <v>0</v>
      </c>
      <c r="Y6" s="115">
        <f>'N4'!Y6+'K4'!Y6</f>
        <v>0</v>
      </c>
      <c r="Z6" s="116">
        <f>'N4'!Z6+'K4'!Z6</f>
        <v>0</v>
      </c>
      <c r="AA6" s="121">
        <f>'N4'!AA6+'K4'!AA6</f>
        <v>0</v>
      </c>
      <c r="AB6" s="121">
        <f>'N4'!AB6+'K4'!AB6</f>
        <v>0</v>
      </c>
      <c r="AC6" s="33">
        <f>'N4'!AC6+'K4'!AC6</f>
        <v>0</v>
      </c>
      <c r="AD6" s="12">
        <f>'N4'!AD6+'K4'!AD6</f>
        <v>178</v>
      </c>
      <c r="AE6" s="39"/>
      <c r="AF6" s="39"/>
      <c r="AG6" s="39"/>
      <c r="AH6" s="39"/>
      <c r="AI6" s="39"/>
      <c r="AJ6"/>
    </row>
    <row r="7" spans="1:36" x14ac:dyDescent="0.2">
      <c r="A7" s="5">
        <f>DAY(Kalenteri!A93)</f>
        <v>3</v>
      </c>
      <c r="B7" s="3" t="str">
        <f>IF(Kalenteri!B93=1,"su",IF(Kalenteri!B93=2,"ma",IF(Kalenteri!B93=3,"ti",IF(Kalenteri!B93=4,"ke",IF(Kalenteri!B93=5,"to",IF(Kalenteri!B93=6,"pe",IF(Kalenteri!B93=7,"la",)))))))</f>
        <v>ke</v>
      </c>
      <c r="C7" s="114">
        <f>'N4'!C7+'K4'!C7</f>
        <v>163</v>
      </c>
      <c r="D7" s="115">
        <f>'N4'!D7+'K4'!D7</f>
        <v>32</v>
      </c>
      <c r="E7" s="115">
        <f>'N4'!E7+'K4'!E7</f>
        <v>0</v>
      </c>
      <c r="F7" s="116">
        <f>'N4'!F7+'K4'!F7</f>
        <v>8</v>
      </c>
      <c r="G7" s="114">
        <f>'N4'!G7+'K4'!G7</f>
        <v>0</v>
      </c>
      <c r="H7" s="116">
        <f>'N4'!H7+'K4'!H7</f>
        <v>59</v>
      </c>
      <c r="I7" s="114">
        <f>'N4'!I7+'K4'!I7</f>
        <v>0</v>
      </c>
      <c r="J7" s="116">
        <f>'N4'!J7+'K4'!J7</f>
        <v>0</v>
      </c>
      <c r="K7" s="33">
        <f>'N4'!K7+'K4'!K7</f>
        <v>262</v>
      </c>
      <c r="L7" s="115">
        <f>'N4'!L7+'K4'!L7</f>
        <v>0</v>
      </c>
      <c r="M7" s="115">
        <f>'N4'!M7+'K4'!M7</f>
        <v>0</v>
      </c>
      <c r="N7" s="115">
        <f>'N4'!N7+'K4'!N7</f>
        <v>0</v>
      </c>
      <c r="O7" s="116">
        <f>'N4'!O7+'K4'!O7</f>
        <v>0</v>
      </c>
      <c r="P7" s="115">
        <f>'N4'!P7+'K4'!P7</f>
        <v>0</v>
      </c>
      <c r="Q7" s="116">
        <f>'N4'!Q7+'K4'!Q7</f>
        <v>0</v>
      </c>
      <c r="R7" s="121">
        <f>'N4'!R7+'K4'!R7</f>
        <v>0</v>
      </c>
      <c r="S7" s="121">
        <f>'N4'!S7+'K4'!S7</f>
        <v>0</v>
      </c>
      <c r="T7" s="33">
        <f>'N4'!T7+'K4'!T7</f>
        <v>0</v>
      </c>
      <c r="U7" s="115">
        <f>'N4'!U7+'K4'!U7</f>
        <v>0</v>
      </c>
      <c r="V7" s="115">
        <f>'N4'!V7+'K4'!V7</f>
        <v>0</v>
      </c>
      <c r="W7" s="115">
        <f>'N4'!W7+'K4'!W7</f>
        <v>0</v>
      </c>
      <c r="X7" s="116">
        <f>'N4'!X7+'K4'!X7</f>
        <v>0</v>
      </c>
      <c r="Y7" s="115">
        <f>'N4'!Y7+'K4'!Y7</f>
        <v>0</v>
      </c>
      <c r="Z7" s="116">
        <f>'N4'!Z7+'K4'!Z7</f>
        <v>0</v>
      </c>
      <c r="AA7" s="121">
        <f>'N4'!AA7+'K4'!AA7</f>
        <v>0</v>
      </c>
      <c r="AB7" s="121">
        <f>'N4'!AB7+'K4'!AB7</f>
        <v>0</v>
      </c>
      <c r="AC7" s="33">
        <f>'N4'!AC7+'K4'!AC7</f>
        <v>0</v>
      </c>
      <c r="AD7" s="12">
        <f>'N4'!AD7+'K4'!AD7</f>
        <v>262</v>
      </c>
      <c r="AE7" s="39"/>
      <c r="AF7" s="39"/>
      <c r="AG7" s="39"/>
      <c r="AH7" s="39"/>
      <c r="AI7" s="39"/>
      <c r="AJ7"/>
    </row>
    <row r="8" spans="1:36" x14ac:dyDescent="0.2">
      <c r="A8" s="5">
        <f>DAY(Kalenteri!A94)</f>
        <v>4</v>
      </c>
      <c r="B8" s="3" t="str">
        <f>IF(Kalenteri!B94=1,"su",IF(Kalenteri!B94=2,"ma",IF(Kalenteri!B94=3,"ti",IF(Kalenteri!B94=4,"ke",IF(Kalenteri!B94=5,"to",IF(Kalenteri!B94=6,"pe",IF(Kalenteri!B94=7,"la",)))))))</f>
        <v>to</v>
      </c>
      <c r="C8" s="114">
        <f>'N4'!C8+'K4'!C8</f>
        <v>139</v>
      </c>
      <c r="D8" s="115">
        <f>'N4'!D8+'K4'!D8</f>
        <v>13</v>
      </c>
      <c r="E8" s="115">
        <f>'N4'!E8+'K4'!E8</f>
        <v>0</v>
      </c>
      <c r="F8" s="116">
        <f>'N4'!F8+'K4'!F8</f>
        <v>11</v>
      </c>
      <c r="G8" s="114">
        <f>'N4'!G8+'K4'!G8</f>
        <v>0</v>
      </c>
      <c r="H8" s="116">
        <f>'N4'!H8+'K4'!H8</f>
        <v>38</v>
      </c>
      <c r="I8" s="114">
        <f>'N4'!I8+'K4'!I8</f>
        <v>0</v>
      </c>
      <c r="J8" s="116">
        <f>'N4'!J8+'K4'!J8</f>
        <v>0</v>
      </c>
      <c r="K8" s="33">
        <f>'N4'!K8+'K4'!K8</f>
        <v>201</v>
      </c>
      <c r="L8" s="115">
        <f>'N4'!L8+'K4'!L8</f>
        <v>0</v>
      </c>
      <c r="M8" s="115">
        <f>'N4'!M8+'K4'!M8</f>
        <v>0</v>
      </c>
      <c r="N8" s="115">
        <f>'N4'!N8+'K4'!N8</f>
        <v>0</v>
      </c>
      <c r="O8" s="116">
        <f>'N4'!O8+'K4'!O8</f>
        <v>0</v>
      </c>
      <c r="P8" s="115">
        <f>'N4'!P8+'K4'!P8</f>
        <v>0</v>
      </c>
      <c r="Q8" s="116">
        <f>'N4'!Q8+'K4'!Q8</f>
        <v>0</v>
      </c>
      <c r="R8" s="121">
        <f>'N4'!R8+'K4'!R8</f>
        <v>0</v>
      </c>
      <c r="S8" s="121">
        <f>'N4'!S8+'K4'!S8</f>
        <v>0</v>
      </c>
      <c r="T8" s="33">
        <f>'N4'!T8+'K4'!T8</f>
        <v>0</v>
      </c>
      <c r="U8" s="115">
        <f>'N4'!U8+'K4'!U8</f>
        <v>0</v>
      </c>
      <c r="V8" s="115">
        <f>'N4'!V8+'K4'!V8</f>
        <v>0</v>
      </c>
      <c r="W8" s="115">
        <f>'N4'!W8+'K4'!W8</f>
        <v>0</v>
      </c>
      <c r="X8" s="116">
        <f>'N4'!X8+'K4'!X8</f>
        <v>0</v>
      </c>
      <c r="Y8" s="115">
        <f>'N4'!Y8+'K4'!Y8</f>
        <v>0</v>
      </c>
      <c r="Z8" s="116">
        <f>'N4'!Z8+'K4'!Z8</f>
        <v>0</v>
      </c>
      <c r="AA8" s="121">
        <f>'N4'!AA8+'K4'!AA8</f>
        <v>0</v>
      </c>
      <c r="AB8" s="121">
        <f>'N4'!AB8+'K4'!AB8</f>
        <v>0</v>
      </c>
      <c r="AC8" s="33">
        <f>'N4'!AC8+'K4'!AC8</f>
        <v>0</v>
      </c>
      <c r="AD8" s="12">
        <f>'N4'!AD8+'K4'!AD8</f>
        <v>201</v>
      </c>
      <c r="AE8" s="39"/>
      <c r="AF8" s="39"/>
      <c r="AG8" s="39"/>
      <c r="AH8" s="39"/>
      <c r="AI8" s="39"/>
      <c r="AJ8"/>
    </row>
    <row r="9" spans="1:36" x14ac:dyDescent="0.2">
      <c r="A9" s="5">
        <f>DAY(Kalenteri!A95)</f>
        <v>5</v>
      </c>
      <c r="B9" s="3" t="str">
        <f>IF(Kalenteri!B95=1,"su",IF(Kalenteri!B95=2,"ma",IF(Kalenteri!B95=3,"ti",IF(Kalenteri!B95=4,"ke",IF(Kalenteri!B95=5,"to",IF(Kalenteri!B95=6,"pe",IF(Kalenteri!B95=7,"la",)))))))</f>
        <v>pe</v>
      </c>
      <c r="C9" s="114">
        <f>'N4'!C9+'K4'!C9</f>
        <v>137</v>
      </c>
      <c r="D9" s="115">
        <f>'N4'!D9+'K4'!D9</f>
        <v>29</v>
      </c>
      <c r="E9" s="115">
        <f>'N4'!E9+'K4'!E9</f>
        <v>0</v>
      </c>
      <c r="F9" s="116">
        <f>'N4'!F9+'K4'!F9</f>
        <v>6</v>
      </c>
      <c r="G9" s="114">
        <f>'N4'!G9+'K4'!G9</f>
        <v>27</v>
      </c>
      <c r="H9" s="116">
        <f>'N4'!H9+'K4'!H9</f>
        <v>73</v>
      </c>
      <c r="I9" s="114">
        <f>'N4'!I9+'K4'!I9</f>
        <v>0</v>
      </c>
      <c r="J9" s="116">
        <f>'N4'!J9+'K4'!J9</f>
        <v>0</v>
      </c>
      <c r="K9" s="33">
        <f>'N4'!K9+'K4'!K9</f>
        <v>272</v>
      </c>
      <c r="L9" s="115">
        <f>'N4'!L9+'K4'!L9</f>
        <v>0</v>
      </c>
      <c r="M9" s="115">
        <f>'N4'!M9+'K4'!M9</f>
        <v>0</v>
      </c>
      <c r="N9" s="115">
        <f>'N4'!N9+'K4'!N9</f>
        <v>0</v>
      </c>
      <c r="O9" s="116">
        <f>'N4'!O9+'K4'!O9</f>
        <v>0</v>
      </c>
      <c r="P9" s="115">
        <f>'N4'!P9+'K4'!P9</f>
        <v>0</v>
      </c>
      <c r="Q9" s="116">
        <f>'N4'!Q9+'K4'!Q9</f>
        <v>0</v>
      </c>
      <c r="R9" s="121">
        <f>'N4'!R9+'K4'!R9</f>
        <v>0</v>
      </c>
      <c r="S9" s="121">
        <f>'N4'!S9+'K4'!S9</f>
        <v>0</v>
      </c>
      <c r="T9" s="33">
        <f>'N4'!T9+'K4'!T9</f>
        <v>0</v>
      </c>
      <c r="U9" s="115">
        <f>'N4'!U9+'K4'!U9</f>
        <v>0</v>
      </c>
      <c r="V9" s="115">
        <f>'N4'!V9+'K4'!V9</f>
        <v>0</v>
      </c>
      <c r="W9" s="115">
        <f>'N4'!W9+'K4'!W9</f>
        <v>0</v>
      </c>
      <c r="X9" s="116">
        <f>'N4'!X9+'K4'!X9</f>
        <v>0</v>
      </c>
      <c r="Y9" s="115">
        <f>'N4'!Y9+'K4'!Y9</f>
        <v>0</v>
      </c>
      <c r="Z9" s="116">
        <f>'N4'!Z9+'K4'!Z9</f>
        <v>0</v>
      </c>
      <c r="AA9" s="121">
        <f>'N4'!AA9+'K4'!AA9</f>
        <v>0</v>
      </c>
      <c r="AB9" s="121">
        <f>'N4'!AB9+'K4'!AB9</f>
        <v>0</v>
      </c>
      <c r="AC9" s="33">
        <f>'N4'!AC9+'K4'!AC9</f>
        <v>0</v>
      </c>
      <c r="AD9" s="12">
        <f>'N4'!AD9+'K4'!AD9</f>
        <v>272</v>
      </c>
      <c r="AE9" s="39"/>
      <c r="AF9" s="39"/>
      <c r="AG9" s="39"/>
      <c r="AH9" s="39"/>
      <c r="AI9" s="39"/>
      <c r="AJ9"/>
    </row>
    <row r="10" spans="1:36" x14ac:dyDescent="0.2">
      <c r="A10" s="5">
        <f>DAY(Kalenteri!A96)</f>
        <v>6</v>
      </c>
      <c r="B10" s="3" t="str">
        <f>IF(Kalenteri!B96=1,"su",IF(Kalenteri!B96=2,"ma",IF(Kalenteri!B96=3,"ti",IF(Kalenteri!B96=4,"ke",IF(Kalenteri!B96=5,"to",IF(Kalenteri!B96=6,"pe",IF(Kalenteri!B96=7,"la",)))))))</f>
        <v>la</v>
      </c>
      <c r="C10" s="114">
        <f>'N4'!C10+'K4'!C10</f>
        <v>766</v>
      </c>
      <c r="D10" s="115">
        <f>'N4'!D10+'K4'!D10</f>
        <v>202</v>
      </c>
      <c r="E10" s="115">
        <f>'N4'!E10+'K4'!E10</f>
        <v>0</v>
      </c>
      <c r="F10" s="116">
        <f>'N4'!F10+'K4'!F10</f>
        <v>47</v>
      </c>
      <c r="G10" s="114">
        <f>'N4'!G10+'K4'!G10</f>
        <v>10</v>
      </c>
      <c r="H10" s="116">
        <f>'N4'!H10+'K4'!H10</f>
        <v>287</v>
      </c>
      <c r="I10" s="114">
        <f>'N4'!I10+'K4'!I10</f>
        <v>2</v>
      </c>
      <c r="J10" s="116">
        <f>'N4'!J10+'K4'!J10</f>
        <v>3</v>
      </c>
      <c r="K10" s="33">
        <f>'N4'!K10+'K4'!K10</f>
        <v>1317</v>
      </c>
      <c r="L10" s="115">
        <f>'N4'!L10+'K4'!L10</f>
        <v>0</v>
      </c>
      <c r="M10" s="115">
        <f>'N4'!M10+'K4'!M10</f>
        <v>0</v>
      </c>
      <c r="N10" s="115">
        <f>'N4'!N10+'K4'!N10</f>
        <v>0</v>
      </c>
      <c r="O10" s="116">
        <f>'N4'!O10+'K4'!O10</f>
        <v>0</v>
      </c>
      <c r="P10" s="115">
        <f>'N4'!P10+'K4'!P10</f>
        <v>0</v>
      </c>
      <c r="Q10" s="116">
        <f>'N4'!Q10+'K4'!Q10</f>
        <v>0</v>
      </c>
      <c r="R10" s="121">
        <f>'N4'!R10+'K4'!R10</f>
        <v>0</v>
      </c>
      <c r="S10" s="121">
        <f>'N4'!S10+'K4'!S10</f>
        <v>0</v>
      </c>
      <c r="T10" s="33">
        <f>'N4'!T10+'K4'!T10</f>
        <v>0</v>
      </c>
      <c r="U10" s="115">
        <f>'N4'!U10+'K4'!U10</f>
        <v>0</v>
      </c>
      <c r="V10" s="115">
        <f>'N4'!V10+'K4'!V10</f>
        <v>0</v>
      </c>
      <c r="W10" s="115">
        <f>'N4'!W10+'K4'!W10</f>
        <v>0</v>
      </c>
      <c r="X10" s="116">
        <f>'N4'!X10+'K4'!X10</f>
        <v>0</v>
      </c>
      <c r="Y10" s="115">
        <f>'N4'!Y10+'K4'!Y10</f>
        <v>0</v>
      </c>
      <c r="Z10" s="116">
        <f>'N4'!Z10+'K4'!Z10</f>
        <v>0</v>
      </c>
      <c r="AA10" s="121">
        <f>'N4'!AA10+'K4'!AA10</f>
        <v>0</v>
      </c>
      <c r="AB10" s="121">
        <f>'N4'!AB10+'K4'!AB10</f>
        <v>0</v>
      </c>
      <c r="AC10" s="33">
        <f>'N4'!AC10+'K4'!AC10</f>
        <v>0</v>
      </c>
      <c r="AD10" s="12">
        <f>'N4'!AD10+'K4'!AD10</f>
        <v>1317</v>
      </c>
      <c r="AE10" s="39"/>
      <c r="AF10" s="39"/>
      <c r="AG10" s="39"/>
      <c r="AH10" s="39"/>
      <c r="AI10" s="39"/>
      <c r="AJ10"/>
    </row>
    <row r="11" spans="1:36" x14ac:dyDescent="0.2">
      <c r="A11" s="5">
        <f>DAY(Kalenteri!A97)</f>
        <v>7</v>
      </c>
      <c r="B11" s="3" t="str">
        <f>IF(Kalenteri!B97=1,"su",IF(Kalenteri!B97=2,"ma",IF(Kalenteri!B97=3,"ti",IF(Kalenteri!B97=4,"ke",IF(Kalenteri!B97=5,"to",IF(Kalenteri!B97=6,"pe",IF(Kalenteri!B97=7,"la",)))))))</f>
        <v>su</v>
      </c>
      <c r="C11" s="114">
        <f>'N4'!C11+'K4'!C11</f>
        <v>411</v>
      </c>
      <c r="D11" s="115">
        <f>'N4'!D11+'K4'!D11</f>
        <v>88</v>
      </c>
      <c r="E11" s="115">
        <f>'N4'!E11+'K4'!E11</f>
        <v>2</v>
      </c>
      <c r="F11" s="116">
        <f>'N4'!F11+'K4'!F11</f>
        <v>55</v>
      </c>
      <c r="G11" s="114">
        <f>'N4'!G11+'K4'!G11</f>
        <v>1</v>
      </c>
      <c r="H11" s="116">
        <f>'N4'!H11+'K4'!H11</f>
        <v>167</v>
      </c>
      <c r="I11" s="114">
        <f>'N4'!I11+'K4'!I11</f>
        <v>0</v>
      </c>
      <c r="J11" s="116">
        <f>'N4'!J11+'K4'!J11</f>
        <v>0</v>
      </c>
      <c r="K11" s="33">
        <f>'N4'!K11+'K4'!K11</f>
        <v>724</v>
      </c>
      <c r="L11" s="115">
        <f>'N4'!L11+'K4'!L11</f>
        <v>0</v>
      </c>
      <c r="M11" s="115">
        <f>'N4'!M11+'K4'!M11</f>
        <v>0</v>
      </c>
      <c r="N11" s="115">
        <f>'N4'!N11+'K4'!N11</f>
        <v>0</v>
      </c>
      <c r="O11" s="116">
        <f>'N4'!O11+'K4'!O11</f>
        <v>0</v>
      </c>
      <c r="P11" s="115">
        <f>'N4'!P11+'K4'!P11</f>
        <v>0</v>
      </c>
      <c r="Q11" s="116">
        <f>'N4'!Q11+'K4'!Q11</f>
        <v>0</v>
      </c>
      <c r="R11" s="121">
        <f>'N4'!R11+'K4'!R11</f>
        <v>0</v>
      </c>
      <c r="S11" s="121">
        <f>'N4'!S11+'K4'!S11</f>
        <v>0</v>
      </c>
      <c r="T11" s="33">
        <f>'N4'!T11+'K4'!T11</f>
        <v>0</v>
      </c>
      <c r="U11" s="115">
        <f>'N4'!U11+'K4'!U11</f>
        <v>0</v>
      </c>
      <c r="V11" s="115">
        <f>'N4'!V11+'K4'!V11</f>
        <v>0</v>
      </c>
      <c r="W11" s="115">
        <f>'N4'!W11+'K4'!W11</f>
        <v>0</v>
      </c>
      <c r="X11" s="116">
        <f>'N4'!X11+'K4'!X11</f>
        <v>0</v>
      </c>
      <c r="Y11" s="115">
        <f>'N4'!Y11+'K4'!Y11</f>
        <v>0</v>
      </c>
      <c r="Z11" s="116">
        <f>'N4'!Z11+'K4'!Z11</f>
        <v>0</v>
      </c>
      <c r="AA11" s="121">
        <f>'N4'!AA11+'K4'!AA11</f>
        <v>0</v>
      </c>
      <c r="AB11" s="121">
        <f>'N4'!AB11+'K4'!AB11</f>
        <v>0</v>
      </c>
      <c r="AC11" s="33">
        <f>'N4'!AC11+'K4'!AC11</f>
        <v>0</v>
      </c>
      <c r="AD11" s="12">
        <f>'N4'!AD11+'K4'!AD11</f>
        <v>724</v>
      </c>
      <c r="AE11" s="39"/>
      <c r="AF11" s="39"/>
      <c r="AG11" s="39"/>
      <c r="AH11" s="39"/>
      <c r="AI11" s="39"/>
      <c r="AJ11"/>
    </row>
    <row r="12" spans="1:36" x14ac:dyDescent="0.2">
      <c r="A12" s="5">
        <f>DAY(Kalenteri!A98)</f>
        <v>8</v>
      </c>
      <c r="B12" s="3" t="str">
        <f>IF(Kalenteri!B98=1,"su",IF(Kalenteri!B98=2,"ma",IF(Kalenteri!B98=3,"ti",IF(Kalenteri!B98=4,"ke",IF(Kalenteri!B98=5,"to",IF(Kalenteri!B98=6,"pe",IF(Kalenteri!B98=7,"la",)))))))</f>
        <v>ma</v>
      </c>
      <c r="C12" s="114">
        <f>'N4'!C12+'K4'!C12</f>
        <v>31</v>
      </c>
      <c r="D12" s="115">
        <f>'N4'!D12+'K4'!D12</f>
        <v>1</v>
      </c>
      <c r="E12" s="115">
        <f>'N4'!E12+'K4'!E12</f>
        <v>0</v>
      </c>
      <c r="F12" s="116">
        <f>'N4'!F12+'K4'!F12</f>
        <v>13</v>
      </c>
      <c r="G12" s="114">
        <f>'N4'!G12+'K4'!G12</f>
        <v>49</v>
      </c>
      <c r="H12" s="116">
        <f>'N4'!H12+'K4'!H12</f>
        <v>78</v>
      </c>
      <c r="I12" s="114">
        <f>'N4'!I12+'K4'!I12</f>
        <v>0</v>
      </c>
      <c r="J12" s="116">
        <f>'N4'!J12+'K4'!J12</f>
        <v>0</v>
      </c>
      <c r="K12" s="33">
        <f>'N4'!K12+'K4'!K12</f>
        <v>172</v>
      </c>
      <c r="L12" s="115">
        <f>'N4'!L12+'K4'!L12</f>
        <v>0</v>
      </c>
      <c r="M12" s="115">
        <f>'N4'!M12+'K4'!M12</f>
        <v>0</v>
      </c>
      <c r="N12" s="115">
        <f>'N4'!N12+'K4'!N12</f>
        <v>0</v>
      </c>
      <c r="O12" s="116">
        <f>'N4'!O12+'K4'!O12</f>
        <v>0</v>
      </c>
      <c r="P12" s="115">
        <f>'N4'!P12+'K4'!P12</f>
        <v>0</v>
      </c>
      <c r="Q12" s="116">
        <f>'N4'!Q12+'K4'!Q12</f>
        <v>0</v>
      </c>
      <c r="R12" s="121">
        <f>'N4'!R12+'K4'!R12</f>
        <v>0</v>
      </c>
      <c r="S12" s="121">
        <f>'N4'!S12+'K4'!S12</f>
        <v>0</v>
      </c>
      <c r="T12" s="33">
        <f>'N4'!T12+'K4'!T12</f>
        <v>0</v>
      </c>
      <c r="U12" s="115">
        <f>'N4'!U12+'K4'!U12</f>
        <v>0</v>
      </c>
      <c r="V12" s="115">
        <f>'N4'!V12+'K4'!V12</f>
        <v>0</v>
      </c>
      <c r="W12" s="115">
        <f>'N4'!W12+'K4'!W12</f>
        <v>0</v>
      </c>
      <c r="X12" s="116">
        <f>'N4'!X12+'K4'!X12</f>
        <v>0</v>
      </c>
      <c r="Y12" s="115">
        <f>'N4'!Y12+'K4'!Y12</f>
        <v>0</v>
      </c>
      <c r="Z12" s="116">
        <f>'N4'!Z12+'K4'!Z12</f>
        <v>0</v>
      </c>
      <c r="AA12" s="121">
        <f>'N4'!AA12+'K4'!AA12</f>
        <v>0</v>
      </c>
      <c r="AB12" s="121">
        <f>'N4'!AB12+'K4'!AB12</f>
        <v>0</v>
      </c>
      <c r="AC12" s="33">
        <f>'N4'!AC12+'K4'!AC12</f>
        <v>0</v>
      </c>
      <c r="AD12" s="12">
        <f>'N4'!AD12+'K4'!AD12</f>
        <v>172</v>
      </c>
      <c r="AE12" s="39"/>
      <c r="AF12" s="39"/>
      <c r="AG12" s="39"/>
      <c r="AH12" s="39"/>
      <c r="AI12" s="39"/>
      <c r="AJ12"/>
    </row>
    <row r="13" spans="1:36" x14ac:dyDescent="0.2">
      <c r="A13" s="5">
        <f>DAY(Kalenteri!A99)</f>
        <v>9</v>
      </c>
      <c r="B13" s="3" t="str">
        <f>IF(Kalenteri!B99=1,"su",IF(Kalenteri!B99=2,"ma",IF(Kalenteri!B99=3,"ti",IF(Kalenteri!B99=4,"ke",IF(Kalenteri!B99=5,"to",IF(Kalenteri!B99=6,"pe",IF(Kalenteri!B99=7,"la",)))))))</f>
        <v>ti</v>
      </c>
      <c r="C13" s="114">
        <f>'N4'!C13+'K4'!C13</f>
        <v>77</v>
      </c>
      <c r="D13" s="115">
        <f>'N4'!D13+'K4'!D13</f>
        <v>12</v>
      </c>
      <c r="E13" s="115">
        <f>'N4'!E13+'K4'!E13</f>
        <v>0</v>
      </c>
      <c r="F13" s="116">
        <f>'N4'!F13+'K4'!F13</f>
        <v>8</v>
      </c>
      <c r="G13" s="114">
        <f>'N4'!G13+'K4'!G13</f>
        <v>8</v>
      </c>
      <c r="H13" s="116">
        <f>'N4'!H13+'K4'!H13</f>
        <v>112</v>
      </c>
      <c r="I13" s="114">
        <f>'N4'!I13+'K4'!I13</f>
        <v>0</v>
      </c>
      <c r="J13" s="116">
        <f>'N4'!J13+'K4'!J13</f>
        <v>0</v>
      </c>
      <c r="K13" s="33">
        <f>'N4'!K13+'K4'!K13</f>
        <v>217</v>
      </c>
      <c r="L13" s="115">
        <f>'N4'!L13+'K4'!L13</f>
        <v>0</v>
      </c>
      <c r="M13" s="115">
        <f>'N4'!M13+'K4'!M13</f>
        <v>0</v>
      </c>
      <c r="N13" s="115">
        <f>'N4'!N13+'K4'!N13</f>
        <v>0</v>
      </c>
      <c r="O13" s="116">
        <f>'N4'!O13+'K4'!O13</f>
        <v>0</v>
      </c>
      <c r="P13" s="115">
        <f>'N4'!P13+'K4'!P13</f>
        <v>0</v>
      </c>
      <c r="Q13" s="116">
        <f>'N4'!Q13+'K4'!Q13</f>
        <v>0</v>
      </c>
      <c r="R13" s="121">
        <f>'N4'!R13+'K4'!R13</f>
        <v>0</v>
      </c>
      <c r="S13" s="121">
        <f>'N4'!S13+'K4'!S13</f>
        <v>0</v>
      </c>
      <c r="T13" s="33">
        <f>'N4'!T13+'K4'!T13</f>
        <v>0</v>
      </c>
      <c r="U13" s="115">
        <f>'N4'!U13+'K4'!U13</f>
        <v>0</v>
      </c>
      <c r="V13" s="115">
        <f>'N4'!V13+'K4'!V13</f>
        <v>0</v>
      </c>
      <c r="W13" s="115">
        <f>'N4'!W13+'K4'!W13</f>
        <v>0</v>
      </c>
      <c r="X13" s="116">
        <f>'N4'!X13+'K4'!X13</f>
        <v>0</v>
      </c>
      <c r="Y13" s="115">
        <f>'N4'!Y13+'K4'!Y13</f>
        <v>0</v>
      </c>
      <c r="Z13" s="116">
        <f>'N4'!Z13+'K4'!Z13</f>
        <v>0</v>
      </c>
      <c r="AA13" s="121">
        <f>'N4'!AA13+'K4'!AA13</f>
        <v>0</v>
      </c>
      <c r="AB13" s="121">
        <f>'N4'!AB13+'K4'!AB13</f>
        <v>0</v>
      </c>
      <c r="AC13" s="33">
        <f>'N4'!AC13+'K4'!AC13</f>
        <v>0</v>
      </c>
      <c r="AD13" s="12">
        <f>'N4'!AD13+'K4'!AD13</f>
        <v>217</v>
      </c>
      <c r="AE13" s="39"/>
      <c r="AF13" s="39"/>
      <c r="AG13" s="39"/>
      <c r="AH13" s="39"/>
      <c r="AI13" s="39"/>
      <c r="AJ13"/>
    </row>
    <row r="14" spans="1:36" x14ac:dyDescent="0.2">
      <c r="A14" s="5">
        <f>DAY(Kalenteri!A100)</f>
        <v>10</v>
      </c>
      <c r="B14" s="3" t="str">
        <f>IF(Kalenteri!B100=1,"su",IF(Kalenteri!B100=2,"ma",IF(Kalenteri!B100=3,"ti",IF(Kalenteri!B100=4,"ke",IF(Kalenteri!B100=5,"to",IF(Kalenteri!B100=6,"pe",IF(Kalenteri!B100=7,"la",)))))))</f>
        <v>ke</v>
      </c>
      <c r="C14" s="114">
        <f>'N4'!C14+'K4'!C14</f>
        <v>97</v>
      </c>
      <c r="D14" s="115">
        <f>'N4'!D14+'K4'!D14</f>
        <v>43</v>
      </c>
      <c r="E14" s="115">
        <f>'N4'!E14+'K4'!E14</f>
        <v>1</v>
      </c>
      <c r="F14" s="116">
        <f>'N4'!F14+'K4'!F14</f>
        <v>8</v>
      </c>
      <c r="G14" s="114">
        <f>'N4'!G14+'K4'!G14</f>
        <v>41</v>
      </c>
      <c r="H14" s="116">
        <f>'N4'!H14+'K4'!H14</f>
        <v>46</v>
      </c>
      <c r="I14" s="114">
        <f>'N4'!I14+'K4'!I14</f>
        <v>2</v>
      </c>
      <c r="J14" s="116">
        <f>'N4'!J14+'K4'!J14</f>
        <v>3</v>
      </c>
      <c r="K14" s="33">
        <f>'N4'!K14+'K4'!K14</f>
        <v>241</v>
      </c>
      <c r="L14" s="115">
        <f>'N4'!L14+'K4'!L14</f>
        <v>0</v>
      </c>
      <c r="M14" s="115">
        <f>'N4'!M14+'K4'!M14</f>
        <v>0</v>
      </c>
      <c r="N14" s="115">
        <f>'N4'!N14+'K4'!N14</f>
        <v>0</v>
      </c>
      <c r="O14" s="116">
        <f>'N4'!O14+'K4'!O14</f>
        <v>0</v>
      </c>
      <c r="P14" s="115">
        <f>'N4'!P14+'K4'!P14</f>
        <v>0</v>
      </c>
      <c r="Q14" s="116">
        <f>'N4'!Q14+'K4'!Q14</f>
        <v>0</v>
      </c>
      <c r="R14" s="121">
        <f>'N4'!R14+'K4'!R14</f>
        <v>0</v>
      </c>
      <c r="S14" s="121">
        <f>'N4'!S14+'K4'!S14</f>
        <v>0</v>
      </c>
      <c r="T14" s="33">
        <f>'N4'!T14+'K4'!T14</f>
        <v>0</v>
      </c>
      <c r="U14" s="115">
        <f>'N4'!U14+'K4'!U14</f>
        <v>0</v>
      </c>
      <c r="V14" s="115">
        <f>'N4'!V14+'K4'!V14</f>
        <v>0</v>
      </c>
      <c r="W14" s="115">
        <f>'N4'!W14+'K4'!W14</f>
        <v>0</v>
      </c>
      <c r="X14" s="116">
        <f>'N4'!X14+'K4'!X14</f>
        <v>0</v>
      </c>
      <c r="Y14" s="115">
        <f>'N4'!Y14+'K4'!Y14</f>
        <v>0</v>
      </c>
      <c r="Z14" s="116">
        <f>'N4'!Z14+'K4'!Z14</f>
        <v>0</v>
      </c>
      <c r="AA14" s="121">
        <f>'N4'!AA14+'K4'!AA14</f>
        <v>0</v>
      </c>
      <c r="AB14" s="121">
        <f>'N4'!AB14+'K4'!AB14</f>
        <v>0</v>
      </c>
      <c r="AC14" s="33">
        <f>'N4'!AC14+'K4'!AC14</f>
        <v>0</v>
      </c>
      <c r="AD14" s="12">
        <f>'N4'!AD14+'K4'!AD14</f>
        <v>241</v>
      </c>
      <c r="AE14" s="39"/>
      <c r="AF14" s="39"/>
      <c r="AG14" s="39"/>
      <c r="AH14" s="39"/>
      <c r="AI14" s="39"/>
      <c r="AJ14"/>
    </row>
    <row r="15" spans="1:36" x14ac:dyDescent="0.2">
      <c r="A15" s="5">
        <f>DAY(Kalenteri!A101)</f>
        <v>11</v>
      </c>
      <c r="B15" s="3" t="str">
        <f>IF(Kalenteri!B101=1,"su",IF(Kalenteri!B101=2,"ma",IF(Kalenteri!B101=3,"ti",IF(Kalenteri!B101=4,"ke",IF(Kalenteri!B101=5,"to",IF(Kalenteri!B101=6,"pe",IF(Kalenteri!B101=7,"la",)))))))</f>
        <v>to</v>
      </c>
      <c r="C15" s="114">
        <f>'N4'!C15+'K4'!C15</f>
        <v>45</v>
      </c>
      <c r="D15" s="115">
        <f>'N4'!D15+'K4'!D15</f>
        <v>3</v>
      </c>
      <c r="E15" s="115">
        <f>'N4'!E15+'K4'!E15</f>
        <v>0</v>
      </c>
      <c r="F15" s="116">
        <f>'N4'!F15+'K4'!F15</f>
        <v>3</v>
      </c>
      <c r="G15" s="114">
        <f>'N4'!G15+'K4'!G15</f>
        <v>10</v>
      </c>
      <c r="H15" s="116">
        <f>'N4'!H15+'K4'!H15</f>
        <v>79</v>
      </c>
      <c r="I15" s="114">
        <f>'N4'!I15+'K4'!I15</f>
        <v>0</v>
      </c>
      <c r="J15" s="116">
        <f>'N4'!J15+'K4'!J15</f>
        <v>0</v>
      </c>
      <c r="K15" s="33">
        <f>'N4'!K15+'K4'!K15</f>
        <v>140</v>
      </c>
      <c r="L15" s="115">
        <f>'N4'!L15+'K4'!L15</f>
        <v>0</v>
      </c>
      <c r="M15" s="115">
        <f>'N4'!M15+'K4'!M15</f>
        <v>0</v>
      </c>
      <c r="N15" s="115">
        <f>'N4'!N15+'K4'!N15</f>
        <v>0</v>
      </c>
      <c r="O15" s="116">
        <f>'N4'!O15+'K4'!O15</f>
        <v>0</v>
      </c>
      <c r="P15" s="115">
        <f>'N4'!P15+'K4'!P15</f>
        <v>0</v>
      </c>
      <c r="Q15" s="116">
        <f>'N4'!Q15+'K4'!Q15</f>
        <v>0</v>
      </c>
      <c r="R15" s="121">
        <f>'N4'!R15+'K4'!R15</f>
        <v>0</v>
      </c>
      <c r="S15" s="121">
        <f>'N4'!S15+'K4'!S15</f>
        <v>0</v>
      </c>
      <c r="T15" s="33">
        <f>'N4'!T15+'K4'!T15</f>
        <v>0</v>
      </c>
      <c r="U15" s="115">
        <f>'N4'!U15+'K4'!U15</f>
        <v>0</v>
      </c>
      <c r="V15" s="115">
        <f>'N4'!V15+'K4'!V15</f>
        <v>0</v>
      </c>
      <c r="W15" s="115">
        <f>'N4'!W15+'K4'!W15</f>
        <v>0</v>
      </c>
      <c r="X15" s="116">
        <f>'N4'!X15+'K4'!X15</f>
        <v>0</v>
      </c>
      <c r="Y15" s="115">
        <f>'N4'!Y15+'K4'!Y15</f>
        <v>0</v>
      </c>
      <c r="Z15" s="116">
        <f>'N4'!Z15+'K4'!Z15</f>
        <v>0</v>
      </c>
      <c r="AA15" s="121">
        <f>'N4'!AA15+'K4'!AA15</f>
        <v>0</v>
      </c>
      <c r="AB15" s="121">
        <f>'N4'!AB15+'K4'!AB15</f>
        <v>0</v>
      </c>
      <c r="AC15" s="33">
        <f>'N4'!AC15+'K4'!AC15</f>
        <v>0</v>
      </c>
      <c r="AD15" s="12">
        <f>'N4'!AD15+'K4'!AD15</f>
        <v>140</v>
      </c>
      <c r="AE15" s="39"/>
      <c r="AF15" s="39"/>
      <c r="AG15" s="39"/>
      <c r="AH15" s="39"/>
      <c r="AI15" s="39"/>
      <c r="AJ15"/>
    </row>
    <row r="16" spans="1:36" x14ac:dyDescent="0.2">
      <c r="A16" s="5">
        <f>DAY(Kalenteri!A102)</f>
        <v>12</v>
      </c>
      <c r="B16" s="3" t="str">
        <f>IF(Kalenteri!B102=1,"su",IF(Kalenteri!B102=2,"ma",IF(Kalenteri!B102=3,"ti",IF(Kalenteri!B102=4,"ke",IF(Kalenteri!B102=5,"to",IF(Kalenteri!B102=6,"pe",IF(Kalenteri!B102=7,"la",)))))))</f>
        <v>pe</v>
      </c>
      <c r="C16" s="114">
        <f>'N4'!C16+'K4'!C16</f>
        <v>88</v>
      </c>
      <c r="D16" s="115">
        <f>'N4'!D16+'K4'!D16</f>
        <v>9</v>
      </c>
      <c r="E16" s="115">
        <f>'N4'!E16+'K4'!E16</f>
        <v>2</v>
      </c>
      <c r="F16" s="116">
        <f>'N4'!F16+'K4'!F16</f>
        <v>8</v>
      </c>
      <c r="G16" s="114">
        <f>'N4'!G16+'K4'!G16</f>
        <v>10</v>
      </c>
      <c r="H16" s="116">
        <f>'N4'!H16+'K4'!H16</f>
        <v>81</v>
      </c>
      <c r="I16" s="114">
        <f>'N4'!I16+'K4'!I16</f>
        <v>0</v>
      </c>
      <c r="J16" s="116">
        <f>'N4'!J16+'K4'!J16</f>
        <v>0</v>
      </c>
      <c r="K16" s="33">
        <f>'N4'!K16+'K4'!K16</f>
        <v>198</v>
      </c>
      <c r="L16" s="115">
        <f>'N4'!L16+'K4'!L16</f>
        <v>0</v>
      </c>
      <c r="M16" s="115">
        <f>'N4'!M16+'K4'!M16</f>
        <v>0</v>
      </c>
      <c r="N16" s="115">
        <f>'N4'!N16+'K4'!N16</f>
        <v>0</v>
      </c>
      <c r="O16" s="116">
        <f>'N4'!O16+'K4'!O16</f>
        <v>0</v>
      </c>
      <c r="P16" s="115">
        <f>'N4'!P16+'K4'!P16</f>
        <v>0</v>
      </c>
      <c r="Q16" s="116">
        <f>'N4'!Q16+'K4'!Q16</f>
        <v>0</v>
      </c>
      <c r="R16" s="121">
        <f>'N4'!R16+'K4'!R16</f>
        <v>0</v>
      </c>
      <c r="S16" s="121">
        <f>'N4'!S16+'K4'!S16</f>
        <v>0</v>
      </c>
      <c r="T16" s="33">
        <f>'N4'!T16+'K4'!T16</f>
        <v>0</v>
      </c>
      <c r="U16" s="115">
        <f>'N4'!U16+'K4'!U16</f>
        <v>0</v>
      </c>
      <c r="V16" s="115">
        <f>'N4'!V16+'K4'!V16</f>
        <v>0</v>
      </c>
      <c r="W16" s="115">
        <f>'N4'!W16+'K4'!W16</f>
        <v>0</v>
      </c>
      <c r="X16" s="116">
        <f>'N4'!X16+'K4'!X16</f>
        <v>0</v>
      </c>
      <c r="Y16" s="115">
        <f>'N4'!Y16+'K4'!Y16</f>
        <v>0</v>
      </c>
      <c r="Z16" s="116">
        <f>'N4'!Z16+'K4'!Z16</f>
        <v>0</v>
      </c>
      <c r="AA16" s="121">
        <f>'N4'!AA16+'K4'!AA16</f>
        <v>0</v>
      </c>
      <c r="AB16" s="121">
        <f>'N4'!AB16+'K4'!AB16</f>
        <v>0</v>
      </c>
      <c r="AC16" s="33">
        <f>'N4'!AC16+'K4'!AC16</f>
        <v>0</v>
      </c>
      <c r="AD16" s="12">
        <f>'N4'!AD16+'K4'!AD16</f>
        <v>198</v>
      </c>
      <c r="AE16" s="39"/>
      <c r="AF16" s="39"/>
      <c r="AG16" s="39"/>
      <c r="AH16" s="39"/>
      <c r="AI16" s="39"/>
      <c r="AJ16"/>
    </row>
    <row r="17" spans="1:36" x14ac:dyDescent="0.2">
      <c r="A17" s="5">
        <f>DAY(Kalenteri!A103)</f>
        <v>13</v>
      </c>
      <c r="B17" s="3" t="str">
        <f>IF(Kalenteri!B103=1,"su",IF(Kalenteri!B103=2,"ma",IF(Kalenteri!B103=3,"ti",IF(Kalenteri!B103=4,"ke",IF(Kalenteri!B103=5,"to",IF(Kalenteri!B103=6,"pe",IF(Kalenteri!B103=7,"la",)))))))</f>
        <v>la</v>
      </c>
      <c r="C17" s="114">
        <f>'N4'!C17+'K4'!C17</f>
        <v>109</v>
      </c>
      <c r="D17" s="115">
        <f>'N4'!D17+'K4'!D17</f>
        <v>21</v>
      </c>
      <c r="E17" s="115">
        <f>'N4'!E17+'K4'!E17</f>
        <v>4</v>
      </c>
      <c r="F17" s="116">
        <f>'N4'!F17+'K4'!F17</f>
        <v>3</v>
      </c>
      <c r="G17" s="114">
        <f>'N4'!G17+'K4'!G17</f>
        <v>11</v>
      </c>
      <c r="H17" s="116">
        <f>'N4'!H17+'K4'!H17</f>
        <v>30</v>
      </c>
      <c r="I17" s="114">
        <f>'N4'!I17+'K4'!I17</f>
        <v>0</v>
      </c>
      <c r="J17" s="116">
        <f>'N4'!J17+'K4'!J17</f>
        <v>0</v>
      </c>
      <c r="K17" s="33">
        <f>'N4'!K17+'K4'!K17</f>
        <v>178</v>
      </c>
      <c r="L17" s="115">
        <f>'N4'!L17+'K4'!L17</f>
        <v>0</v>
      </c>
      <c r="M17" s="115">
        <f>'N4'!M17+'K4'!M17</f>
        <v>0</v>
      </c>
      <c r="N17" s="115">
        <f>'N4'!N17+'K4'!N17</f>
        <v>0</v>
      </c>
      <c r="O17" s="116">
        <f>'N4'!O17+'K4'!O17</f>
        <v>0</v>
      </c>
      <c r="P17" s="115">
        <f>'N4'!P17+'K4'!P17</f>
        <v>0</v>
      </c>
      <c r="Q17" s="116">
        <f>'N4'!Q17+'K4'!Q17</f>
        <v>0</v>
      </c>
      <c r="R17" s="121">
        <f>'N4'!R17+'K4'!R17</f>
        <v>0</v>
      </c>
      <c r="S17" s="121">
        <f>'N4'!S17+'K4'!S17</f>
        <v>0</v>
      </c>
      <c r="T17" s="33">
        <f>'N4'!T17+'K4'!T17</f>
        <v>0</v>
      </c>
      <c r="U17" s="115">
        <f>'N4'!U17+'K4'!U17</f>
        <v>0</v>
      </c>
      <c r="V17" s="115">
        <f>'N4'!V17+'K4'!V17</f>
        <v>0</v>
      </c>
      <c r="W17" s="115">
        <f>'N4'!W17+'K4'!W17</f>
        <v>0</v>
      </c>
      <c r="X17" s="116">
        <f>'N4'!X17+'K4'!X17</f>
        <v>0</v>
      </c>
      <c r="Y17" s="115">
        <f>'N4'!Y17+'K4'!Y17</f>
        <v>0</v>
      </c>
      <c r="Z17" s="116">
        <f>'N4'!Z17+'K4'!Z17</f>
        <v>0</v>
      </c>
      <c r="AA17" s="121">
        <f>'N4'!AA17+'K4'!AA17</f>
        <v>0</v>
      </c>
      <c r="AB17" s="121">
        <f>'N4'!AB17+'K4'!AB17</f>
        <v>0</v>
      </c>
      <c r="AC17" s="33">
        <f>'N4'!AC17+'K4'!AC17</f>
        <v>0</v>
      </c>
      <c r="AD17" s="12">
        <f>'N4'!AD17+'K4'!AD17</f>
        <v>178</v>
      </c>
      <c r="AE17" s="39"/>
      <c r="AF17" s="39"/>
      <c r="AG17" s="39"/>
      <c r="AH17" s="39"/>
      <c r="AI17" s="39"/>
      <c r="AJ17"/>
    </row>
    <row r="18" spans="1:36" x14ac:dyDescent="0.2">
      <c r="A18" s="5">
        <f>DAY(Kalenteri!A104)</f>
        <v>14</v>
      </c>
      <c r="B18" s="3" t="str">
        <f>IF(Kalenteri!B104=1,"su",IF(Kalenteri!B104=2,"ma",IF(Kalenteri!B104=3,"ti",IF(Kalenteri!B104=4,"ke",IF(Kalenteri!B104=5,"to",IF(Kalenteri!B104=6,"pe",IF(Kalenteri!B104=7,"la",)))))))</f>
        <v>su</v>
      </c>
      <c r="C18" s="114">
        <f>'N4'!C18+'K4'!C18</f>
        <v>348</v>
      </c>
      <c r="D18" s="115">
        <f>'N4'!D18+'K4'!D18</f>
        <v>93</v>
      </c>
      <c r="E18" s="115">
        <f>'N4'!E18+'K4'!E18</f>
        <v>0</v>
      </c>
      <c r="F18" s="116">
        <f>'N4'!F18+'K4'!F18</f>
        <v>29</v>
      </c>
      <c r="G18" s="114">
        <f>'N4'!G18+'K4'!G18</f>
        <v>6</v>
      </c>
      <c r="H18" s="116">
        <f>'N4'!H18+'K4'!H18</f>
        <v>96</v>
      </c>
      <c r="I18" s="114">
        <f>'N4'!I18+'K4'!I18</f>
        <v>0</v>
      </c>
      <c r="J18" s="116">
        <f>'N4'!J18+'K4'!J18</f>
        <v>0</v>
      </c>
      <c r="K18" s="33">
        <f>'N4'!K18+'K4'!K18</f>
        <v>572</v>
      </c>
      <c r="L18" s="115">
        <f>'N4'!L18+'K4'!L18</f>
        <v>0</v>
      </c>
      <c r="M18" s="115">
        <f>'N4'!M18+'K4'!M18</f>
        <v>0</v>
      </c>
      <c r="N18" s="115">
        <f>'N4'!N18+'K4'!N18</f>
        <v>0</v>
      </c>
      <c r="O18" s="116">
        <f>'N4'!O18+'K4'!O18</f>
        <v>0</v>
      </c>
      <c r="P18" s="115">
        <f>'N4'!P18+'K4'!P18</f>
        <v>0</v>
      </c>
      <c r="Q18" s="116">
        <f>'N4'!Q18+'K4'!Q18</f>
        <v>0</v>
      </c>
      <c r="R18" s="121">
        <f>'N4'!R18+'K4'!R18</f>
        <v>0</v>
      </c>
      <c r="S18" s="121">
        <f>'N4'!S18+'K4'!S18</f>
        <v>0</v>
      </c>
      <c r="T18" s="33">
        <f>'N4'!T18+'K4'!T18</f>
        <v>0</v>
      </c>
      <c r="U18" s="115">
        <f>'N4'!U18+'K4'!U18</f>
        <v>0</v>
      </c>
      <c r="V18" s="115">
        <f>'N4'!V18+'K4'!V18</f>
        <v>0</v>
      </c>
      <c r="W18" s="115">
        <f>'N4'!W18+'K4'!W18</f>
        <v>0</v>
      </c>
      <c r="X18" s="116">
        <f>'N4'!X18+'K4'!X18</f>
        <v>0</v>
      </c>
      <c r="Y18" s="115">
        <f>'N4'!Y18+'K4'!Y18</f>
        <v>0</v>
      </c>
      <c r="Z18" s="116">
        <f>'N4'!Z18+'K4'!Z18</f>
        <v>0</v>
      </c>
      <c r="AA18" s="121">
        <f>'N4'!AA18+'K4'!AA18</f>
        <v>0</v>
      </c>
      <c r="AB18" s="121">
        <f>'N4'!AB18+'K4'!AB18</f>
        <v>0</v>
      </c>
      <c r="AC18" s="33">
        <f>'N4'!AC18+'K4'!AC18</f>
        <v>0</v>
      </c>
      <c r="AD18" s="12">
        <f>'N4'!AD18+'K4'!AD18</f>
        <v>572</v>
      </c>
      <c r="AE18" s="39"/>
      <c r="AF18" s="39"/>
      <c r="AG18" s="39"/>
      <c r="AH18" s="39"/>
      <c r="AI18" s="39"/>
      <c r="AJ18"/>
    </row>
    <row r="19" spans="1:36" x14ac:dyDescent="0.2">
      <c r="A19" s="5">
        <f>DAY(Kalenteri!A105)</f>
        <v>15</v>
      </c>
      <c r="B19" s="3" t="str">
        <f>IF(Kalenteri!B105=1,"su",IF(Kalenteri!B105=2,"ma",IF(Kalenteri!B105=3,"ti",IF(Kalenteri!B105=4,"ke",IF(Kalenteri!B105=5,"to",IF(Kalenteri!B105=6,"pe",IF(Kalenteri!B105=7,"la",)))))))</f>
        <v>ma</v>
      </c>
      <c r="C19" s="114">
        <f>'N4'!C19+'K4'!C19</f>
        <v>41</v>
      </c>
      <c r="D19" s="115">
        <f>'N4'!D19+'K4'!D19</f>
        <v>3</v>
      </c>
      <c r="E19" s="115">
        <f>'N4'!E19+'K4'!E19</f>
        <v>0</v>
      </c>
      <c r="F19" s="116">
        <f>'N4'!F19+'K4'!F19</f>
        <v>7</v>
      </c>
      <c r="G19" s="114">
        <f>'N4'!G19+'K4'!G19</f>
        <v>1</v>
      </c>
      <c r="H19" s="116">
        <f>'N4'!H19+'K4'!H19</f>
        <v>123</v>
      </c>
      <c r="I19" s="114">
        <f>'N4'!I19+'K4'!I19</f>
        <v>98</v>
      </c>
      <c r="J19" s="116">
        <f>'N4'!J19+'K4'!J19</f>
        <v>0</v>
      </c>
      <c r="K19" s="33">
        <f>'N4'!K19+'K4'!K19</f>
        <v>273</v>
      </c>
      <c r="L19" s="115">
        <f>'N4'!L19+'K4'!L19</f>
        <v>0</v>
      </c>
      <c r="M19" s="115">
        <f>'N4'!M19+'K4'!M19</f>
        <v>0</v>
      </c>
      <c r="N19" s="115">
        <f>'N4'!N19+'K4'!N19</f>
        <v>0</v>
      </c>
      <c r="O19" s="116">
        <f>'N4'!O19+'K4'!O19</f>
        <v>0</v>
      </c>
      <c r="P19" s="115">
        <f>'N4'!P19+'K4'!P19</f>
        <v>0</v>
      </c>
      <c r="Q19" s="116">
        <f>'N4'!Q19+'K4'!Q19</f>
        <v>0</v>
      </c>
      <c r="R19" s="121">
        <f>'N4'!R19+'K4'!R19</f>
        <v>0</v>
      </c>
      <c r="S19" s="121">
        <f>'N4'!S19+'K4'!S19</f>
        <v>0</v>
      </c>
      <c r="T19" s="33">
        <f>'N4'!T19+'K4'!T19</f>
        <v>0</v>
      </c>
      <c r="U19" s="115">
        <f>'N4'!U19+'K4'!U19</f>
        <v>0</v>
      </c>
      <c r="V19" s="115">
        <f>'N4'!V19+'K4'!V19</f>
        <v>0</v>
      </c>
      <c r="W19" s="115">
        <f>'N4'!W19+'K4'!W19</f>
        <v>0</v>
      </c>
      <c r="X19" s="116">
        <f>'N4'!X19+'K4'!X19</f>
        <v>0</v>
      </c>
      <c r="Y19" s="115">
        <f>'N4'!Y19+'K4'!Y19</f>
        <v>0</v>
      </c>
      <c r="Z19" s="116">
        <f>'N4'!Z19+'K4'!Z19</f>
        <v>0</v>
      </c>
      <c r="AA19" s="121">
        <f>'N4'!AA19+'K4'!AA19</f>
        <v>0</v>
      </c>
      <c r="AB19" s="121">
        <f>'N4'!AB19+'K4'!AB19</f>
        <v>0</v>
      </c>
      <c r="AC19" s="33">
        <f>'N4'!AC19+'K4'!AC19</f>
        <v>0</v>
      </c>
      <c r="AD19" s="12">
        <f>'N4'!AD19+'K4'!AD19</f>
        <v>273</v>
      </c>
      <c r="AE19" s="39"/>
      <c r="AF19" s="39"/>
      <c r="AG19" s="39"/>
      <c r="AH19" s="39"/>
      <c r="AI19" s="39"/>
      <c r="AJ19"/>
    </row>
    <row r="20" spans="1:36" x14ac:dyDescent="0.2">
      <c r="A20" s="5">
        <f>DAY(Kalenteri!A106)</f>
        <v>16</v>
      </c>
      <c r="B20" s="3" t="str">
        <f>IF(Kalenteri!B106=1,"su",IF(Kalenteri!B106=2,"ma",IF(Kalenteri!B106=3,"ti",IF(Kalenteri!B106=4,"ke",IF(Kalenteri!B106=5,"to",IF(Kalenteri!B106=6,"pe",IF(Kalenteri!B106=7,"la",)))))))</f>
        <v>ti</v>
      </c>
      <c r="C20" s="114">
        <f>'N4'!C20+'K4'!C20</f>
        <v>81</v>
      </c>
      <c r="D20" s="115">
        <f>'N4'!D20+'K4'!D20</f>
        <v>63</v>
      </c>
      <c r="E20" s="115">
        <f>'N4'!E20+'K4'!E20</f>
        <v>0</v>
      </c>
      <c r="F20" s="116">
        <f>'N4'!F20+'K4'!F20</f>
        <v>5</v>
      </c>
      <c r="G20" s="114">
        <f>'N4'!G20+'K4'!G20</f>
        <v>6</v>
      </c>
      <c r="H20" s="116">
        <f>'N4'!H20+'K4'!H20</f>
        <v>151</v>
      </c>
      <c r="I20" s="114">
        <f>'N4'!I20+'K4'!I20</f>
        <v>0</v>
      </c>
      <c r="J20" s="116">
        <f>'N4'!J20+'K4'!J20</f>
        <v>0</v>
      </c>
      <c r="K20" s="33">
        <f>'N4'!K20+'K4'!K20</f>
        <v>306</v>
      </c>
      <c r="L20" s="115">
        <f>'N4'!L20+'K4'!L20</f>
        <v>0</v>
      </c>
      <c r="M20" s="115">
        <f>'N4'!M20+'K4'!M20</f>
        <v>0</v>
      </c>
      <c r="N20" s="115">
        <f>'N4'!N40+'K4'!N40</f>
        <v>0</v>
      </c>
      <c r="O20" s="116">
        <f>'N4'!O20+'K4'!O20</f>
        <v>0</v>
      </c>
      <c r="P20" s="115">
        <f>'N4'!P20+'K4'!P20</f>
        <v>0</v>
      </c>
      <c r="Q20" s="116">
        <f>'N4'!Q20+'K4'!Q20</f>
        <v>0</v>
      </c>
      <c r="R20" s="121">
        <f>'N4'!R20+'K4'!R20</f>
        <v>0</v>
      </c>
      <c r="S20" s="121">
        <f>'N4'!S20+'K4'!S20</f>
        <v>0</v>
      </c>
      <c r="T20" s="33">
        <f>'N4'!T20+'K4'!T20</f>
        <v>0</v>
      </c>
      <c r="U20" s="115">
        <f>'N4'!U20+'K4'!U20</f>
        <v>0</v>
      </c>
      <c r="V20" s="115">
        <f>'N4'!V20+'K4'!V20</f>
        <v>0</v>
      </c>
      <c r="W20" s="115">
        <f>'N4'!W20+'K4'!W20</f>
        <v>0</v>
      </c>
      <c r="X20" s="116">
        <f>'N4'!X20+'K4'!X20</f>
        <v>0</v>
      </c>
      <c r="Y20" s="115">
        <f>'N4'!Y20+'K4'!Y20</f>
        <v>0</v>
      </c>
      <c r="Z20" s="116">
        <f>'N4'!Z20+'K4'!Z20</f>
        <v>0</v>
      </c>
      <c r="AA20" s="121">
        <f>'N4'!AA20+'K4'!AA20</f>
        <v>0</v>
      </c>
      <c r="AB20" s="121">
        <f>'N4'!AB20+'K4'!AB20</f>
        <v>0</v>
      </c>
      <c r="AC20" s="33">
        <f>'N4'!AC20+'K4'!AC20</f>
        <v>0</v>
      </c>
      <c r="AD20" s="12">
        <f>'N4'!AD20+'K4'!AD20</f>
        <v>306</v>
      </c>
      <c r="AE20" s="39"/>
      <c r="AF20" s="39"/>
      <c r="AG20" s="39"/>
      <c r="AH20" s="39"/>
      <c r="AI20" s="39"/>
      <c r="AJ20"/>
    </row>
    <row r="21" spans="1:36" x14ac:dyDescent="0.2">
      <c r="A21" s="5">
        <f>DAY(Kalenteri!A107)</f>
        <v>17</v>
      </c>
      <c r="B21" s="3" t="str">
        <f>IF(Kalenteri!B107=1,"su",IF(Kalenteri!B107=2,"ma",IF(Kalenteri!B107=3,"ti",IF(Kalenteri!B107=4,"ke",IF(Kalenteri!B107=5,"to",IF(Kalenteri!B107=6,"pe",IF(Kalenteri!B107=7,"la",)))))))</f>
        <v>ke</v>
      </c>
      <c r="C21" s="114">
        <f>'N4'!C21+'K4'!C21</f>
        <v>47</v>
      </c>
      <c r="D21" s="115">
        <f>'N4'!D21+'K4'!D21</f>
        <v>5</v>
      </c>
      <c r="E21" s="115">
        <f>'N4'!E21+'K4'!E21</f>
        <v>2</v>
      </c>
      <c r="F21" s="116">
        <f>'N4'!F21+'K4'!F21</f>
        <v>3</v>
      </c>
      <c r="G21" s="114">
        <f>'N4'!G21+'K4'!G21</f>
        <v>4</v>
      </c>
      <c r="H21" s="116">
        <f>'N4'!H21+'K4'!H21</f>
        <v>79</v>
      </c>
      <c r="I21" s="114">
        <f>'N4'!I21+'K4'!I21</f>
        <v>0</v>
      </c>
      <c r="J21" s="116">
        <f>'N4'!J21+'K4'!J21</f>
        <v>0</v>
      </c>
      <c r="K21" s="33">
        <f>'N4'!K21+'K4'!K21</f>
        <v>140</v>
      </c>
      <c r="L21" s="115">
        <f>'N4'!L21+'K4'!L21</f>
        <v>0</v>
      </c>
      <c r="M21" s="115">
        <f>'N4'!M21+'K4'!M21</f>
        <v>0</v>
      </c>
      <c r="N21" s="115">
        <f>'N4'!N41+'K4'!N41</f>
        <v>0</v>
      </c>
      <c r="O21" s="116">
        <f>'N4'!O21+'K4'!O21</f>
        <v>0</v>
      </c>
      <c r="P21" s="115">
        <f>'N4'!P21+'K4'!P21</f>
        <v>0</v>
      </c>
      <c r="Q21" s="116">
        <f>'N4'!Q21+'K4'!Q21</f>
        <v>0</v>
      </c>
      <c r="R21" s="121">
        <f>'N4'!R21+'K4'!R21</f>
        <v>0</v>
      </c>
      <c r="S21" s="121">
        <f>'N4'!S21+'K4'!S21</f>
        <v>0</v>
      </c>
      <c r="T21" s="33">
        <f>'N4'!T21+'K4'!T21</f>
        <v>0</v>
      </c>
      <c r="U21" s="115">
        <f>'N4'!U21+'K4'!U21</f>
        <v>0</v>
      </c>
      <c r="V21" s="115">
        <f>'N4'!V21+'K4'!V21</f>
        <v>0</v>
      </c>
      <c r="W21" s="115">
        <f>'N4'!W21+'K4'!W21</f>
        <v>0</v>
      </c>
      <c r="X21" s="116">
        <f>'N4'!X21+'K4'!X21</f>
        <v>0</v>
      </c>
      <c r="Y21" s="115">
        <f>'N4'!Y21+'K4'!Y21</f>
        <v>0</v>
      </c>
      <c r="Z21" s="116">
        <f>'N4'!Z21+'K4'!Z21</f>
        <v>0</v>
      </c>
      <c r="AA21" s="121">
        <f>'N4'!AA21+'K4'!AA21</f>
        <v>0</v>
      </c>
      <c r="AB21" s="121">
        <f>'N4'!AB21+'K4'!AB21</f>
        <v>0</v>
      </c>
      <c r="AC21" s="33">
        <f>'N4'!AC21+'K4'!AC21</f>
        <v>0</v>
      </c>
      <c r="AD21" s="12">
        <f>'N4'!AD21+'K4'!AD21</f>
        <v>140</v>
      </c>
      <c r="AE21" s="39"/>
      <c r="AF21" s="39"/>
      <c r="AG21" s="39"/>
      <c r="AH21" s="39"/>
      <c r="AI21" s="39"/>
      <c r="AJ21"/>
    </row>
    <row r="22" spans="1:36" x14ac:dyDescent="0.2">
      <c r="A22" s="5">
        <f>DAY(Kalenteri!A108)</f>
        <v>18</v>
      </c>
      <c r="B22" s="3" t="str">
        <f>IF(Kalenteri!B108=1,"su",IF(Kalenteri!B108=2,"ma",IF(Kalenteri!B108=3,"ti",IF(Kalenteri!B108=4,"ke",IF(Kalenteri!B108=5,"to",IF(Kalenteri!B108=6,"pe",IF(Kalenteri!B108=7,"la",)))))))</f>
        <v>to</v>
      </c>
      <c r="C22" s="114">
        <f>'N4'!C22+'K4'!C22</f>
        <v>92</v>
      </c>
      <c r="D22" s="115">
        <f>'N4'!D22+'K4'!D22</f>
        <v>65</v>
      </c>
      <c r="E22" s="115">
        <f>'N4'!E22+'K4'!E22</f>
        <v>1</v>
      </c>
      <c r="F22" s="116">
        <f>'N4'!F22+'K4'!F22</f>
        <v>2</v>
      </c>
      <c r="G22" s="114">
        <f>'N4'!G22+'K4'!G22</f>
        <v>4</v>
      </c>
      <c r="H22" s="116">
        <f>'N4'!H22+'K4'!H22</f>
        <v>25</v>
      </c>
      <c r="I22" s="114">
        <f>'N4'!I22+'K4'!I22</f>
        <v>0</v>
      </c>
      <c r="J22" s="116">
        <f>'N4'!J22+'K4'!J22</f>
        <v>0</v>
      </c>
      <c r="K22" s="33">
        <f>'N4'!K22+'K4'!K22</f>
        <v>189</v>
      </c>
      <c r="L22" s="115">
        <f>'N4'!L22+'K4'!L22</f>
        <v>0</v>
      </c>
      <c r="M22" s="115">
        <f>'N4'!M22+'K4'!M22</f>
        <v>0</v>
      </c>
      <c r="N22" s="115">
        <f>'N4'!N42+'K4'!N42</f>
        <v>0</v>
      </c>
      <c r="O22" s="116">
        <f>'N4'!O22+'K4'!O22</f>
        <v>0</v>
      </c>
      <c r="P22" s="115">
        <f>'N4'!P22+'K4'!P22</f>
        <v>0</v>
      </c>
      <c r="Q22" s="116">
        <f>'N4'!Q22+'K4'!Q22</f>
        <v>0</v>
      </c>
      <c r="R22" s="121">
        <f>'N4'!R22+'K4'!R22</f>
        <v>0</v>
      </c>
      <c r="S22" s="121">
        <f>'N4'!S22+'K4'!S22</f>
        <v>0</v>
      </c>
      <c r="T22" s="33">
        <f>'N4'!T22+'K4'!T22</f>
        <v>0</v>
      </c>
      <c r="U22" s="115">
        <f>'N4'!U22+'K4'!U22</f>
        <v>0</v>
      </c>
      <c r="V22" s="115">
        <f>'N4'!V22+'K4'!V22</f>
        <v>0</v>
      </c>
      <c r="W22" s="115">
        <f>'N4'!W22+'K4'!W22</f>
        <v>0</v>
      </c>
      <c r="X22" s="116">
        <f>'N4'!X22+'K4'!X22</f>
        <v>0</v>
      </c>
      <c r="Y22" s="115">
        <f>'N4'!Y22+'K4'!Y22</f>
        <v>0</v>
      </c>
      <c r="Z22" s="116">
        <f>'N4'!Z22+'K4'!Z22</f>
        <v>0</v>
      </c>
      <c r="AA22" s="121">
        <f>'N4'!AA22+'K4'!AA22</f>
        <v>0</v>
      </c>
      <c r="AB22" s="121">
        <f>'N4'!AB22+'K4'!AB22</f>
        <v>0</v>
      </c>
      <c r="AC22" s="33">
        <f>'N4'!AC22+'K4'!AC22</f>
        <v>0</v>
      </c>
      <c r="AD22" s="12">
        <f>'N4'!AD22+'K4'!AD22</f>
        <v>189</v>
      </c>
      <c r="AE22" s="39"/>
      <c r="AF22" s="39"/>
      <c r="AG22" s="39"/>
      <c r="AH22" s="39"/>
      <c r="AI22" s="39"/>
      <c r="AJ22"/>
    </row>
    <row r="23" spans="1:36" x14ac:dyDescent="0.2">
      <c r="A23" s="5">
        <f>DAY(Kalenteri!A109)</f>
        <v>19</v>
      </c>
      <c r="B23" s="3" t="str">
        <f>IF(Kalenteri!B109=1,"su",IF(Kalenteri!B109=2,"ma",IF(Kalenteri!B109=3,"ti",IF(Kalenteri!B109=4,"ke",IF(Kalenteri!B109=5,"to",IF(Kalenteri!B109=6,"pe",IF(Kalenteri!B109=7,"la",)))))))</f>
        <v>pe</v>
      </c>
      <c r="C23" s="114">
        <f>'N4'!C23+'K4'!C23</f>
        <v>87</v>
      </c>
      <c r="D23" s="115">
        <f>'N4'!D23+'K4'!D23</f>
        <v>52</v>
      </c>
      <c r="E23" s="115">
        <f>'N4'!E23+'K4'!E23</f>
        <v>1</v>
      </c>
      <c r="F23" s="116">
        <f>'N4'!F23+'K4'!F23</f>
        <v>8</v>
      </c>
      <c r="G23" s="114">
        <f>'N4'!G23+'K4'!G23</f>
        <v>17</v>
      </c>
      <c r="H23" s="116">
        <f>'N4'!H23+'K4'!H23</f>
        <v>86</v>
      </c>
      <c r="I23" s="114">
        <f>'N4'!I23+'K4'!I23</f>
        <v>0</v>
      </c>
      <c r="J23" s="116">
        <f>'N4'!J23+'K4'!J23</f>
        <v>0</v>
      </c>
      <c r="K23" s="33">
        <f>'N4'!K23+'K4'!K23</f>
        <v>251</v>
      </c>
      <c r="L23" s="115">
        <f>'N4'!L23+'K4'!L23</f>
        <v>0</v>
      </c>
      <c r="M23" s="115">
        <f>'N4'!M23+'K4'!M23</f>
        <v>0</v>
      </c>
      <c r="N23" s="115">
        <f>'N4'!N43+'K4'!N43</f>
        <v>0</v>
      </c>
      <c r="O23" s="116">
        <f>'N4'!O23+'K4'!O23</f>
        <v>0</v>
      </c>
      <c r="P23" s="115">
        <f>'N4'!P23+'K4'!P23</f>
        <v>0</v>
      </c>
      <c r="Q23" s="116">
        <f>'N4'!Q23+'K4'!Q23</f>
        <v>0</v>
      </c>
      <c r="R23" s="121">
        <f>'N4'!R23+'K4'!R23</f>
        <v>0</v>
      </c>
      <c r="S23" s="121">
        <f>'N4'!S23+'K4'!S23</f>
        <v>0</v>
      </c>
      <c r="T23" s="33">
        <f>'N4'!T23+'K4'!T23</f>
        <v>0</v>
      </c>
      <c r="U23" s="115">
        <f>'N4'!U23+'K4'!U23</f>
        <v>0</v>
      </c>
      <c r="V23" s="115">
        <f>'N4'!V23+'K4'!V23</f>
        <v>0</v>
      </c>
      <c r="W23" s="115">
        <f>'N4'!W23+'K4'!W23</f>
        <v>0</v>
      </c>
      <c r="X23" s="116">
        <f>'N4'!X23+'K4'!X23</f>
        <v>0</v>
      </c>
      <c r="Y23" s="115">
        <f>'N4'!Y23+'K4'!Y23</f>
        <v>0</v>
      </c>
      <c r="Z23" s="116">
        <f>'N4'!Z23+'K4'!Z23</f>
        <v>0</v>
      </c>
      <c r="AA23" s="121">
        <f>'N4'!AA23+'K4'!AA23</f>
        <v>0</v>
      </c>
      <c r="AB23" s="121">
        <f>'N4'!AB23+'K4'!AB23</f>
        <v>0</v>
      </c>
      <c r="AC23" s="33">
        <f>'N4'!AC23+'K4'!AC23</f>
        <v>0</v>
      </c>
      <c r="AD23" s="12">
        <f>'N4'!AD23+'K4'!AD23</f>
        <v>251</v>
      </c>
      <c r="AE23" s="39"/>
      <c r="AF23" s="39"/>
      <c r="AG23" s="39"/>
      <c r="AH23" s="39"/>
      <c r="AI23" s="39"/>
      <c r="AJ23"/>
    </row>
    <row r="24" spans="1:36" x14ac:dyDescent="0.2">
      <c r="A24" s="5">
        <f>DAY(Kalenteri!A110)</f>
        <v>20</v>
      </c>
      <c r="B24" s="3" t="str">
        <f>IF(Kalenteri!B110=1,"su",IF(Kalenteri!B110=2,"ma",IF(Kalenteri!B110=3,"ti",IF(Kalenteri!B110=4,"ke",IF(Kalenteri!B110=5,"to",IF(Kalenteri!B110=6,"pe",IF(Kalenteri!B110=7,"la",)))))))</f>
        <v>la</v>
      </c>
      <c r="C24" s="114">
        <f>'N4'!C24+'K4'!C24</f>
        <v>718</v>
      </c>
      <c r="D24" s="115">
        <f>'N4'!D24+'K4'!D24</f>
        <v>195</v>
      </c>
      <c r="E24" s="115">
        <f>'N4'!E24+'K4'!E24</f>
        <v>5</v>
      </c>
      <c r="F24" s="116">
        <f>'N4'!F24+'K4'!F24</f>
        <v>54</v>
      </c>
      <c r="G24" s="114">
        <f>'N4'!G24+'K4'!G24</f>
        <v>4</v>
      </c>
      <c r="H24" s="116">
        <f>'N4'!H24+'K4'!H24</f>
        <v>252</v>
      </c>
      <c r="I24" s="114">
        <f>'N4'!I24+'K4'!I24</f>
        <v>10</v>
      </c>
      <c r="J24" s="116">
        <f>'N4'!J24+'K4'!J24</f>
        <v>15</v>
      </c>
      <c r="K24" s="33">
        <f>'N4'!K24+'K4'!K24</f>
        <v>1253</v>
      </c>
      <c r="L24" s="115">
        <f>'N4'!L24+'K4'!L24</f>
        <v>0</v>
      </c>
      <c r="M24" s="115">
        <f>'N4'!M24+'K4'!M24</f>
        <v>0</v>
      </c>
      <c r="N24" s="115">
        <f>'N4'!N44+'K4'!N44</f>
        <v>0</v>
      </c>
      <c r="O24" s="116">
        <f>'N4'!O24+'K4'!O24</f>
        <v>0</v>
      </c>
      <c r="P24" s="115">
        <f>'N4'!P24+'K4'!P24</f>
        <v>0</v>
      </c>
      <c r="Q24" s="116">
        <f>'N4'!Q24+'K4'!Q24</f>
        <v>0</v>
      </c>
      <c r="R24" s="121">
        <f>'N4'!R24+'K4'!R24</f>
        <v>0</v>
      </c>
      <c r="S24" s="121">
        <f>'N4'!S24+'K4'!S24</f>
        <v>0</v>
      </c>
      <c r="T24" s="33">
        <f>'N4'!T24+'K4'!T24</f>
        <v>0</v>
      </c>
      <c r="U24" s="115">
        <f>'N4'!U24+'K4'!U24</f>
        <v>0</v>
      </c>
      <c r="V24" s="115">
        <f>'N4'!V24+'K4'!V24</f>
        <v>0</v>
      </c>
      <c r="W24" s="115">
        <f>'N4'!W24+'K4'!W24</f>
        <v>0</v>
      </c>
      <c r="X24" s="116">
        <f>'N4'!X24+'K4'!X24</f>
        <v>0</v>
      </c>
      <c r="Y24" s="115">
        <f>'N4'!Y24+'K4'!Y24</f>
        <v>0</v>
      </c>
      <c r="Z24" s="116">
        <f>'N4'!Z24+'K4'!Z24</f>
        <v>0</v>
      </c>
      <c r="AA24" s="121">
        <f>'N4'!AA24+'K4'!AA24</f>
        <v>0</v>
      </c>
      <c r="AB24" s="121">
        <f>'N4'!AB24+'K4'!AB24</f>
        <v>0</v>
      </c>
      <c r="AC24" s="33">
        <f>'N4'!AC24+'K4'!AC24</f>
        <v>0</v>
      </c>
      <c r="AD24" s="12">
        <f>'N4'!AD24+'K4'!AD24</f>
        <v>1253</v>
      </c>
      <c r="AE24" s="39"/>
      <c r="AF24" s="39"/>
      <c r="AG24" s="39"/>
      <c r="AH24" s="39"/>
      <c r="AI24" s="39"/>
      <c r="AJ24" s="39"/>
    </row>
    <row r="25" spans="1:36" x14ac:dyDescent="0.2">
      <c r="A25" s="5">
        <f>DAY(Kalenteri!A111)</f>
        <v>21</v>
      </c>
      <c r="B25" s="3" t="str">
        <f>IF(Kalenteri!B111=1,"su",IF(Kalenteri!B111=2,"ma",IF(Kalenteri!B111=3,"ti",IF(Kalenteri!B111=4,"ke",IF(Kalenteri!B111=5,"to",IF(Kalenteri!B111=6,"pe",IF(Kalenteri!B111=7,"la",)))))))</f>
        <v>su</v>
      </c>
      <c r="C25" s="114">
        <f>'N4'!C25+'K4'!C25</f>
        <v>918</v>
      </c>
      <c r="D25" s="115">
        <f>'N4'!D25+'K4'!D25</f>
        <v>217</v>
      </c>
      <c r="E25" s="115">
        <f>'N4'!E25+'K4'!E25</f>
        <v>0</v>
      </c>
      <c r="F25" s="116">
        <f>'N4'!F25+'K4'!F25</f>
        <v>57</v>
      </c>
      <c r="G25" s="114">
        <f>'N4'!G25+'K4'!G25</f>
        <v>15</v>
      </c>
      <c r="H25" s="116">
        <f>'N4'!H25+'K4'!H25</f>
        <v>287</v>
      </c>
      <c r="I25" s="114">
        <f>'N4'!I25+'K4'!I25</f>
        <v>4</v>
      </c>
      <c r="J25" s="116">
        <f>'N4'!J25+'K4'!J25</f>
        <v>6</v>
      </c>
      <c r="K25" s="33">
        <f>'N4'!K25+'K4'!K25</f>
        <v>1504</v>
      </c>
      <c r="L25" s="115">
        <f>'N4'!L25+'K4'!L25</f>
        <v>0</v>
      </c>
      <c r="M25" s="115">
        <f>'N4'!M25+'K4'!M25</f>
        <v>0</v>
      </c>
      <c r="N25" s="115">
        <f>'N4'!N45+'K4'!N45</f>
        <v>0</v>
      </c>
      <c r="O25" s="116">
        <f>'N4'!O25+'K4'!O25</f>
        <v>0</v>
      </c>
      <c r="P25" s="115">
        <f>'N4'!P25+'K4'!P25</f>
        <v>0</v>
      </c>
      <c r="Q25" s="116">
        <f>'N4'!Q25+'K4'!Q25</f>
        <v>0</v>
      </c>
      <c r="R25" s="121">
        <f>'N4'!R25+'K4'!R25</f>
        <v>0</v>
      </c>
      <c r="S25" s="121">
        <f>'N4'!S25+'K4'!S25</f>
        <v>0</v>
      </c>
      <c r="T25" s="33">
        <f>'N4'!T25+'K4'!T25</f>
        <v>0</v>
      </c>
      <c r="U25" s="115">
        <f>'N4'!U25+'K4'!U25</f>
        <v>0</v>
      </c>
      <c r="V25" s="115">
        <f>'N4'!V25+'K4'!V25</f>
        <v>0</v>
      </c>
      <c r="W25" s="115">
        <f>'N4'!W25+'K4'!W25</f>
        <v>0</v>
      </c>
      <c r="X25" s="116">
        <f>'N4'!X25+'K4'!X25</f>
        <v>0</v>
      </c>
      <c r="Y25" s="115">
        <f>'N4'!Y25+'K4'!Y25</f>
        <v>0</v>
      </c>
      <c r="Z25" s="116">
        <f>'N4'!Z25+'K4'!Z25</f>
        <v>0</v>
      </c>
      <c r="AA25" s="121">
        <f>'N4'!AA25+'K4'!AA25</f>
        <v>0</v>
      </c>
      <c r="AB25" s="121">
        <f>'N4'!AB25+'K4'!AB25</f>
        <v>0</v>
      </c>
      <c r="AC25" s="33">
        <f>'N4'!AC25+'K4'!AC25</f>
        <v>0</v>
      </c>
      <c r="AD25" s="12">
        <f>'N4'!AD25+'K4'!AD25</f>
        <v>1504</v>
      </c>
      <c r="AE25" s="39"/>
      <c r="AF25" s="39"/>
      <c r="AG25" s="39"/>
      <c r="AH25" s="39"/>
      <c r="AI25" s="39"/>
      <c r="AJ25" s="39"/>
    </row>
    <row r="26" spans="1:36" x14ac:dyDescent="0.2">
      <c r="A26" s="5">
        <f>DAY(Kalenteri!A112)</f>
        <v>22</v>
      </c>
      <c r="B26" s="3" t="str">
        <f>IF(Kalenteri!B112=1,"su",IF(Kalenteri!B112=2,"ma",IF(Kalenteri!B112=3,"ti",IF(Kalenteri!B112=4,"ke",IF(Kalenteri!B112=5,"to",IF(Kalenteri!B112=6,"pe",IF(Kalenteri!B112=7,"la",)))))))</f>
        <v>ma</v>
      </c>
      <c r="C26" s="114">
        <f>'N4'!C26+'K4'!C26</f>
        <v>93</v>
      </c>
      <c r="D26" s="115">
        <f>'N4'!D26+'K4'!D26</f>
        <v>170</v>
      </c>
      <c r="E26" s="115">
        <f>'N4'!E26+'K4'!E26</f>
        <v>0</v>
      </c>
      <c r="F26" s="116">
        <f>'N4'!F26+'K4'!F26</f>
        <v>65</v>
      </c>
      <c r="G26" s="114">
        <f>'N4'!G26+'K4'!G26</f>
        <v>7</v>
      </c>
      <c r="H26" s="116">
        <f>'N4'!H26+'K4'!H26</f>
        <v>108</v>
      </c>
      <c r="I26" s="114">
        <f>'N4'!I26+'K4'!I26</f>
        <v>13</v>
      </c>
      <c r="J26" s="116">
        <f>'N4'!J26+'K4'!J26</f>
        <v>6</v>
      </c>
      <c r="K26" s="33">
        <f>'N4'!K26+'K4'!K26</f>
        <v>462</v>
      </c>
      <c r="L26" s="115">
        <f>'N4'!L26+'K4'!L26</f>
        <v>0</v>
      </c>
      <c r="M26" s="115">
        <f>'N4'!M26+'K4'!M26</f>
        <v>0</v>
      </c>
      <c r="N26" s="115">
        <f>'N4'!N46+'K4'!N46</f>
        <v>0</v>
      </c>
      <c r="O26" s="116">
        <f>'N4'!O26+'K4'!O26</f>
        <v>0</v>
      </c>
      <c r="P26" s="115">
        <f>'N4'!P26+'K4'!P26</f>
        <v>0</v>
      </c>
      <c r="Q26" s="116">
        <f>'N4'!Q26+'K4'!Q26</f>
        <v>0</v>
      </c>
      <c r="R26" s="121">
        <f>'N4'!R26+'K4'!R26</f>
        <v>0</v>
      </c>
      <c r="S26" s="121">
        <f>'N4'!S26+'K4'!S26</f>
        <v>0</v>
      </c>
      <c r="T26" s="33">
        <f>'N4'!T26+'K4'!T26</f>
        <v>0</v>
      </c>
      <c r="U26" s="115">
        <f>'N4'!U26+'K4'!U26</f>
        <v>0</v>
      </c>
      <c r="V26" s="115">
        <f>'N4'!V26+'K4'!V26</f>
        <v>0</v>
      </c>
      <c r="W26" s="115">
        <f>'N4'!W26+'K4'!W26</f>
        <v>0</v>
      </c>
      <c r="X26" s="116">
        <f>'N4'!X26+'K4'!X26</f>
        <v>0</v>
      </c>
      <c r="Y26" s="115">
        <f>'N4'!Y26+'K4'!Y26</f>
        <v>0</v>
      </c>
      <c r="Z26" s="116">
        <f>'N4'!Z26+'K4'!Z26</f>
        <v>0</v>
      </c>
      <c r="AA26" s="121">
        <f>'N4'!AA26+'K4'!AA26</f>
        <v>0</v>
      </c>
      <c r="AB26" s="121">
        <f>'N4'!AB26+'K4'!AB26</f>
        <v>0</v>
      </c>
      <c r="AC26" s="33">
        <f>'N4'!AC26+'K4'!AC26</f>
        <v>0</v>
      </c>
      <c r="AD26" s="12">
        <f>'N4'!AD26+'K4'!AD26</f>
        <v>462</v>
      </c>
      <c r="AE26" s="39"/>
      <c r="AF26" s="39"/>
      <c r="AG26" s="39"/>
      <c r="AH26" s="39"/>
      <c r="AI26" s="39"/>
      <c r="AJ26" s="39"/>
    </row>
    <row r="27" spans="1:36" x14ac:dyDescent="0.2">
      <c r="A27" s="5">
        <f>DAY(Kalenteri!A113)</f>
        <v>23</v>
      </c>
      <c r="B27" s="3" t="str">
        <f>IF(Kalenteri!B113=1,"su",IF(Kalenteri!B113=2,"ma",IF(Kalenteri!B113=3,"ti",IF(Kalenteri!B113=4,"ke",IF(Kalenteri!B113=5,"to",IF(Kalenteri!B113=6,"pe",IF(Kalenteri!B113=7,"la",)))))))</f>
        <v>ti</v>
      </c>
      <c r="C27" s="114">
        <f>'N4'!C27+'K4'!C27</f>
        <v>49</v>
      </c>
      <c r="D27" s="115">
        <f>'N4'!D27+'K4'!D27</f>
        <v>31</v>
      </c>
      <c r="E27" s="115">
        <f>'N4'!E27+'K4'!E27</f>
        <v>0</v>
      </c>
      <c r="F27" s="116">
        <f>'N4'!F27+'K4'!F27</f>
        <v>0</v>
      </c>
      <c r="G27" s="114">
        <f>'N4'!G27+'K4'!G27</f>
        <v>11</v>
      </c>
      <c r="H27" s="116">
        <f>'N4'!H27+'K4'!H27</f>
        <v>85</v>
      </c>
      <c r="I27" s="114">
        <f>'N4'!I27+'K4'!I27</f>
        <v>0</v>
      </c>
      <c r="J27" s="116">
        <f>'N4'!J27+'K4'!J27</f>
        <v>0</v>
      </c>
      <c r="K27" s="33">
        <f>'N4'!K27+'K4'!K27</f>
        <v>176</v>
      </c>
      <c r="L27" s="115">
        <f>'N4'!L27+'K4'!L27</f>
        <v>0</v>
      </c>
      <c r="M27" s="115">
        <f>'N4'!M27+'K4'!M27</f>
        <v>0</v>
      </c>
      <c r="N27" s="115">
        <f>'N4'!N47+'K4'!N47</f>
        <v>0</v>
      </c>
      <c r="O27" s="116">
        <f>'N4'!O27+'K4'!O27</f>
        <v>0</v>
      </c>
      <c r="P27" s="115">
        <f>'N4'!P27+'K4'!P27</f>
        <v>0</v>
      </c>
      <c r="Q27" s="116">
        <f>'N4'!Q27+'K4'!Q27</f>
        <v>0</v>
      </c>
      <c r="R27" s="121">
        <f>'N4'!R27+'K4'!R27</f>
        <v>0</v>
      </c>
      <c r="S27" s="121">
        <f>'N4'!S27+'K4'!S27</f>
        <v>0</v>
      </c>
      <c r="T27" s="33">
        <f>'N4'!T27+'K4'!T27</f>
        <v>0</v>
      </c>
      <c r="U27" s="115">
        <f>'N4'!U27+'K4'!U27</f>
        <v>0</v>
      </c>
      <c r="V27" s="115">
        <f>'N4'!V27+'K4'!V27</f>
        <v>0</v>
      </c>
      <c r="W27" s="115">
        <f>'N4'!W27+'K4'!W27</f>
        <v>0</v>
      </c>
      <c r="X27" s="116">
        <f>'N4'!X27+'K4'!X27</f>
        <v>0</v>
      </c>
      <c r="Y27" s="115">
        <f>'N4'!Y27+'K4'!Y27</f>
        <v>0</v>
      </c>
      <c r="Z27" s="116">
        <f>'N4'!Z27+'K4'!Z27</f>
        <v>0</v>
      </c>
      <c r="AA27" s="121">
        <f>'N4'!AA27+'K4'!AA27</f>
        <v>0</v>
      </c>
      <c r="AB27" s="121">
        <f>'N4'!AB27+'K4'!AB27</f>
        <v>0</v>
      </c>
      <c r="AC27" s="33">
        <f>'N4'!AC27+'K4'!AC27</f>
        <v>0</v>
      </c>
      <c r="AD27" s="12">
        <f>'N4'!AD27+'K4'!AD27</f>
        <v>176</v>
      </c>
      <c r="AE27" s="39"/>
      <c r="AF27" s="39"/>
      <c r="AG27" s="39"/>
      <c r="AH27" s="39"/>
      <c r="AI27" s="39"/>
      <c r="AJ27" s="39"/>
    </row>
    <row r="28" spans="1:36" x14ac:dyDescent="0.2">
      <c r="A28" s="5">
        <f>DAY(Kalenteri!A114)</f>
        <v>24</v>
      </c>
      <c r="B28" s="3" t="str">
        <f>IF(Kalenteri!B114=1,"su",IF(Kalenteri!B114=2,"ma",IF(Kalenteri!B114=3,"ti",IF(Kalenteri!B114=4,"ke",IF(Kalenteri!B114=5,"to",IF(Kalenteri!B114=6,"pe",IF(Kalenteri!B114=7,"la",)))))))</f>
        <v>ke</v>
      </c>
      <c r="C28" s="114">
        <f>'N4'!C28+'K4'!C28</f>
        <v>165</v>
      </c>
      <c r="D28" s="115">
        <f>'N4'!D28+'K4'!D28</f>
        <v>16</v>
      </c>
      <c r="E28" s="115">
        <f>'N4'!E28+'K4'!E28</f>
        <v>0</v>
      </c>
      <c r="F28" s="116">
        <f>'N4'!F28+'K4'!F28</f>
        <v>14</v>
      </c>
      <c r="G28" s="114">
        <f>'N4'!G28+'K4'!G28</f>
        <v>25</v>
      </c>
      <c r="H28" s="116">
        <f>'N4'!H28+'K4'!H28</f>
        <v>142</v>
      </c>
      <c r="I28" s="114">
        <f>'N4'!I28+'K4'!I28</f>
        <v>0</v>
      </c>
      <c r="J28" s="116">
        <f>'N4'!J28+'K4'!J28</f>
        <v>0</v>
      </c>
      <c r="K28" s="33">
        <f>'N4'!K28+'K4'!K28</f>
        <v>362</v>
      </c>
      <c r="L28" s="115">
        <f>'N4'!L28+'K4'!L28</f>
        <v>0</v>
      </c>
      <c r="M28" s="115">
        <f>'N4'!M28+'K4'!M28</f>
        <v>0</v>
      </c>
      <c r="N28" s="115">
        <f>'N4'!N48+'K4'!N48</f>
        <v>0</v>
      </c>
      <c r="O28" s="116">
        <f>'N4'!O28+'K4'!O28</f>
        <v>0</v>
      </c>
      <c r="P28" s="115">
        <f>'N4'!P28+'K4'!P28</f>
        <v>0</v>
      </c>
      <c r="Q28" s="116">
        <f>'N4'!Q28+'K4'!Q28</f>
        <v>0</v>
      </c>
      <c r="R28" s="121">
        <f>'N4'!R28+'K4'!R28</f>
        <v>0</v>
      </c>
      <c r="S28" s="121">
        <f>'N4'!S28+'K4'!S28</f>
        <v>0</v>
      </c>
      <c r="T28" s="33">
        <f>'N4'!T28+'K4'!T28</f>
        <v>0</v>
      </c>
      <c r="U28" s="115">
        <f>'N4'!U28+'K4'!U28</f>
        <v>0</v>
      </c>
      <c r="V28" s="115">
        <f>'N4'!V28+'K4'!V28</f>
        <v>0</v>
      </c>
      <c r="W28" s="115">
        <f>'N4'!W28+'K4'!W28</f>
        <v>0</v>
      </c>
      <c r="X28" s="116">
        <f>'N4'!X28+'K4'!X28</f>
        <v>0</v>
      </c>
      <c r="Y28" s="115">
        <f>'N4'!Y28+'K4'!Y28</f>
        <v>0</v>
      </c>
      <c r="Z28" s="116">
        <f>'N4'!Z28+'K4'!Z28</f>
        <v>0</v>
      </c>
      <c r="AA28" s="121">
        <f>'N4'!AA28+'K4'!AA28</f>
        <v>0</v>
      </c>
      <c r="AB28" s="121">
        <f>'N4'!AB28+'K4'!AB28</f>
        <v>0</v>
      </c>
      <c r="AC28" s="33">
        <f>'N4'!AC28+'K4'!AC28</f>
        <v>0</v>
      </c>
      <c r="AD28" s="12">
        <f>'N4'!AD28+'K4'!AD28</f>
        <v>362</v>
      </c>
      <c r="AE28" s="39"/>
      <c r="AF28" s="39"/>
      <c r="AG28" s="39"/>
      <c r="AH28" s="39"/>
      <c r="AI28" s="39"/>
      <c r="AJ28" s="39"/>
    </row>
    <row r="29" spans="1:36" x14ac:dyDescent="0.2">
      <c r="A29" s="5">
        <f>DAY(Kalenteri!A115)</f>
        <v>25</v>
      </c>
      <c r="B29" s="3" t="str">
        <f>IF(Kalenteri!B115=1,"su",IF(Kalenteri!B115=2,"ma",IF(Kalenteri!B115=3,"ti",IF(Kalenteri!B115=4,"ke",IF(Kalenteri!B115=5,"to",IF(Kalenteri!B115=6,"pe",IF(Kalenteri!B115=7,"la",)))))))</f>
        <v>to</v>
      </c>
      <c r="C29" s="114">
        <f>'N4'!C29+'K4'!C29</f>
        <v>112</v>
      </c>
      <c r="D29" s="115">
        <f>'N4'!D29+'K4'!D29</f>
        <v>45</v>
      </c>
      <c r="E29" s="115">
        <f>'N4'!E29+'K4'!E29</f>
        <v>2</v>
      </c>
      <c r="F29" s="116">
        <f>'N4'!F29+'K4'!F29</f>
        <v>8</v>
      </c>
      <c r="G29" s="114">
        <f>'N4'!G29+'K4'!G29</f>
        <v>13</v>
      </c>
      <c r="H29" s="116">
        <f>'N4'!H29+'K4'!H29</f>
        <v>106</v>
      </c>
      <c r="I29" s="114">
        <f>'N4'!I29+'K4'!I29</f>
        <v>0</v>
      </c>
      <c r="J29" s="116">
        <f>'N4'!J29+'K4'!J29</f>
        <v>0</v>
      </c>
      <c r="K29" s="33">
        <f>'N4'!K29+'K4'!K29</f>
        <v>286</v>
      </c>
      <c r="L29" s="115">
        <f>'N4'!L29+'K4'!L29</f>
        <v>0</v>
      </c>
      <c r="M29" s="115">
        <f>'N4'!M29+'K4'!M29</f>
        <v>0</v>
      </c>
      <c r="N29" s="115">
        <f>'N4'!N49+'K4'!N49</f>
        <v>0</v>
      </c>
      <c r="O29" s="116">
        <f>'N4'!O29+'K4'!O29</f>
        <v>0</v>
      </c>
      <c r="P29" s="115">
        <f>'N4'!P29+'K4'!P29</f>
        <v>0</v>
      </c>
      <c r="Q29" s="116">
        <f>'N4'!Q29+'K4'!Q29</f>
        <v>0</v>
      </c>
      <c r="R29" s="121">
        <f>'N4'!R29+'K4'!R29</f>
        <v>0</v>
      </c>
      <c r="S29" s="121">
        <f>'N4'!S29+'K4'!S29</f>
        <v>0</v>
      </c>
      <c r="T29" s="33">
        <f>'N4'!T29+'K4'!T29</f>
        <v>0</v>
      </c>
      <c r="U29" s="115">
        <f>'N4'!U29+'K4'!U29</f>
        <v>0</v>
      </c>
      <c r="V29" s="115">
        <f>'N4'!V29+'K4'!V29</f>
        <v>0</v>
      </c>
      <c r="W29" s="115">
        <f>'N4'!W29+'K4'!W29</f>
        <v>0</v>
      </c>
      <c r="X29" s="116">
        <f>'N4'!X29+'K4'!X29</f>
        <v>0</v>
      </c>
      <c r="Y29" s="115">
        <f>'N4'!Y29+'K4'!Y29</f>
        <v>0</v>
      </c>
      <c r="Z29" s="116">
        <f>'N4'!Z29+'K4'!Z29</f>
        <v>0</v>
      </c>
      <c r="AA29" s="121">
        <f>'N4'!AA29+'K4'!AA29</f>
        <v>0</v>
      </c>
      <c r="AB29" s="121">
        <f>'N4'!AB29+'K4'!AB29</f>
        <v>0</v>
      </c>
      <c r="AC29" s="33">
        <f>'N4'!AC29+'K4'!AC29</f>
        <v>0</v>
      </c>
      <c r="AD29" s="12">
        <f>'N4'!AD29+'K4'!AD29</f>
        <v>286</v>
      </c>
      <c r="AE29" s="39"/>
      <c r="AF29" s="39"/>
      <c r="AG29" s="39"/>
      <c r="AH29" s="39"/>
      <c r="AI29" s="39"/>
      <c r="AJ29" s="39"/>
    </row>
    <row r="30" spans="1:36" x14ac:dyDescent="0.2">
      <c r="A30" s="5">
        <f>DAY(Kalenteri!A116)</f>
        <v>26</v>
      </c>
      <c r="B30" s="3" t="str">
        <f>IF(Kalenteri!B116=1,"su",IF(Kalenteri!B116=2,"ma",IF(Kalenteri!B116=3,"ti",IF(Kalenteri!B116=4,"ke",IF(Kalenteri!B116=5,"to",IF(Kalenteri!B116=6,"pe",IF(Kalenteri!B116=7,"la",)))))))</f>
        <v>pe</v>
      </c>
      <c r="C30" s="114">
        <f>'N4'!C30+'K4'!C30</f>
        <v>192</v>
      </c>
      <c r="D30" s="115">
        <f>'N4'!D30+'K4'!D30</f>
        <v>65</v>
      </c>
      <c r="E30" s="115">
        <f>'N4'!E30+'K4'!E30</f>
        <v>0</v>
      </c>
      <c r="F30" s="116">
        <f>'N4'!F30+'K4'!F30</f>
        <v>6</v>
      </c>
      <c r="G30" s="114">
        <f>'N4'!G30+'K4'!G30</f>
        <v>2</v>
      </c>
      <c r="H30" s="116">
        <f>'N4'!H30+'K4'!H30</f>
        <v>52</v>
      </c>
      <c r="I30" s="114">
        <f>'N4'!I30+'K4'!I30</f>
        <v>0</v>
      </c>
      <c r="J30" s="116">
        <f>'N4'!J30+'K4'!J30</f>
        <v>0</v>
      </c>
      <c r="K30" s="33">
        <f>'N4'!K30+'K4'!K30</f>
        <v>317</v>
      </c>
      <c r="L30" s="115">
        <f>'N4'!L30+'K4'!L30</f>
        <v>0</v>
      </c>
      <c r="M30" s="115">
        <f>'N4'!M30+'K4'!M30</f>
        <v>0</v>
      </c>
      <c r="N30" s="115">
        <f>'N4'!N40+'K4'!N40</f>
        <v>0</v>
      </c>
      <c r="O30" s="116">
        <f>'N4'!O30+'K4'!O30</f>
        <v>0</v>
      </c>
      <c r="P30" s="115">
        <f>'N4'!P30+'K4'!P30</f>
        <v>0</v>
      </c>
      <c r="Q30" s="116">
        <f>'N4'!Q30+'K4'!Q30</f>
        <v>0</v>
      </c>
      <c r="R30" s="121">
        <f>'N4'!R30+'K4'!R30</f>
        <v>0</v>
      </c>
      <c r="S30" s="121">
        <f>'N4'!S30+'K4'!S30</f>
        <v>0</v>
      </c>
      <c r="T30" s="33">
        <f>'N4'!T30+'K4'!T30</f>
        <v>0</v>
      </c>
      <c r="U30" s="115">
        <f>'N4'!U30+'K4'!U30</f>
        <v>0</v>
      </c>
      <c r="V30" s="115">
        <f>'N4'!V30+'K4'!V30</f>
        <v>0</v>
      </c>
      <c r="W30" s="115">
        <f>'N4'!W30+'K4'!W30</f>
        <v>0</v>
      </c>
      <c r="X30" s="116">
        <f>'N4'!X30+'K4'!X30</f>
        <v>0</v>
      </c>
      <c r="Y30" s="115">
        <f>'N4'!Y30+'K4'!Y30</f>
        <v>0</v>
      </c>
      <c r="Z30" s="116">
        <f>'N4'!Z30+'K4'!Z30</f>
        <v>0</v>
      </c>
      <c r="AA30" s="121">
        <f>'N4'!AA30+'K4'!AA30</f>
        <v>0</v>
      </c>
      <c r="AB30" s="121">
        <f>'N4'!AB30+'K4'!AB30</f>
        <v>0</v>
      </c>
      <c r="AC30" s="33">
        <f>'N4'!AC30+'K4'!AC30</f>
        <v>0</v>
      </c>
      <c r="AD30" s="12">
        <f>'N4'!AD30+'K4'!AD30</f>
        <v>317</v>
      </c>
      <c r="AE30" s="39"/>
      <c r="AF30" s="39"/>
      <c r="AG30" s="39"/>
      <c r="AH30" s="39"/>
      <c r="AI30" s="39"/>
      <c r="AJ30" s="39"/>
    </row>
    <row r="31" spans="1:36" x14ac:dyDescent="0.2">
      <c r="A31" s="5">
        <f>DAY(Kalenteri!A117)</f>
        <v>27</v>
      </c>
      <c r="B31" s="3" t="str">
        <f>IF(Kalenteri!B117=1,"su",IF(Kalenteri!B117=2,"ma",IF(Kalenteri!B117=3,"ti",IF(Kalenteri!B117=4,"ke",IF(Kalenteri!B117=5,"to",IF(Kalenteri!B117=6,"pe",IF(Kalenteri!B117=7,"la",)))))))</f>
        <v>la</v>
      </c>
      <c r="C31" s="114">
        <f>'N4'!C31+'K4'!C31</f>
        <v>509</v>
      </c>
      <c r="D31" s="115">
        <f>'N4'!D31+'K4'!D31</f>
        <v>154</v>
      </c>
      <c r="E31" s="115">
        <f>'N4'!E31+'K4'!E31</f>
        <v>6</v>
      </c>
      <c r="F31" s="116">
        <f>'N4'!F31+'K4'!F31</f>
        <v>17</v>
      </c>
      <c r="G31" s="114">
        <f>'N4'!G31+'K4'!G31</f>
        <v>2</v>
      </c>
      <c r="H31" s="116">
        <f>'N4'!H31+'K4'!H31</f>
        <v>167</v>
      </c>
      <c r="I31" s="114">
        <f>'N4'!I31+'K4'!I31</f>
        <v>0</v>
      </c>
      <c r="J31" s="116">
        <f>'N4'!J31+'K4'!J31</f>
        <v>0</v>
      </c>
      <c r="K31" s="33">
        <f>'N4'!K31+'K4'!K31</f>
        <v>855</v>
      </c>
      <c r="L31" s="115">
        <f>'N4'!L31+'K4'!L31</f>
        <v>0</v>
      </c>
      <c r="M31" s="115">
        <f>'N4'!M31+'K4'!M31</f>
        <v>0</v>
      </c>
      <c r="N31" s="115">
        <f>'N4'!N41+'K4'!N41</f>
        <v>0</v>
      </c>
      <c r="O31" s="116">
        <f>'N4'!O31+'K4'!O31</f>
        <v>0</v>
      </c>
      <c r="P31" s="115">
        <f>'N4'!P31+'K4'!P31</f>
        <v>0</v>
      </c>
      <c r="Q31" s="116">
        <f>'N4'!Q31+'K4'!Q31</f>
        <v>0</v>
      </c>
      <c r="R31" s="121">
        <f>'N4'!R31+'K4'!R31</f>
        <v>0</v>
      </c>
      <c r="S31" s="121">
        <f>'N4'!S31+'K4'!S31</f>
        <v>0</v>
      </c>
      <c r="T31" s="33">
        <f>'N4'!T31+'K4'!T31</f>
        <v>0</v>
      </c>
      <c r="U31" s="115">
        <f>'N4'!U31+'K4'!U31</f>
        <v>0</v>
      </c>
      <c r="V31" s="115">
        <f>'N4'!V31+'K4'!V31</f>
        <v>0</v>
      </c>
      <c r="W31" s="115">
        <f>'N4'!W31+'K4'!W31</f>
        <v>0</v>
      </c>
      <c r="X31" s="116">
        <f>'N4'!X31+'K4'!X31</f>
        <v>0</v>
      </c>
      <c r="Y31" s="115">
        <f>'N4'!Y31+'K4'!Y31</f>
        <v>0</v>
      </c>
      <c r="Z31" s="116">
        <f>'N4'!Z31+'K4'!Z31</f>
        <v>0</v>
      </c>
      <c r="AA31" s="121">
        <f>'N4'!AA31+'K4'!AA31</f>
        <v>0</v>
      </c>
      <c r="AB31" s="121">
        <f>'N4'!AB31+'K4'!AB31</f>
        <v>0</v>
      </c>
      <c r="AC31" s="33">
        <f>'N4'!AC31+'K4'!AC31</f>
        <v>0</v>
      </c>
      <c r="AD31" s="12">
        <f>'N4'!AD31+'K4'!AD31</f>
        <v>855</v>
      </c>
      <c r="AE31" s="39"/>
      <c r="AF31" s="39"/>
      <c r="AG31" s="39"/>
      <c r="AH31" s="39"/>
      <c r="AI31" s="39"/>
      <c r="AJ31" s="39"/>
    </row>
    <row r="32" spans="1:36" x14ac:dyDescent="0.2">
      <c r="A32" s="5">
        <f>DAY(Kalenteri!A118)</f>
        <v>28</v>
      </c>
      <c r="B32" s="3" t="str">
        <f>IF(Kalenteri!B118=1,"su",IF(Kalenteri!B118=2,"ma",IF(Kalenteri!B118=3,"ti",IF(Kalenteri!B118=4,"ke",IF(Kalenteri!B118=5,"to",IF(Kalenteri!B118=6,"pe",IF(Kalenteri!B118=7,"la",)))))))</f>
        <v>su</v>
      </c>
      <c r="C32" s="114">
        <f>'N4'!C32+'K4'!C32</f>
        <v>694</v>
      </c>
      <c r="D32" s="115">
        <f>'N4'!D32+'K4'!D32</f>
        <v>161</v>
      </c>
      <c r="E32" s="115">
        <f>'N4'!E32+'K4'!E32</f>
        <v>0</v>
      </c>
      <c r="F32" s="116">
        <f>'N4'!F32+'K4'!F32</f>
        <v>28</v>
      </c>
      <c r="G32" s="114">
        <f>'N4'!G32+'K4'!G32</f>
        <v>15</v>
      </c>
      <c r="H32" s="116">
        <f>'N4'!H32+'K4'!H32</f>
        <v>266</v>
      </c>
      <c r="I32" s="114">
        <f>'N4'!I32+'K4'!I32</f>
        <v>0</v>
      </c>
      <c r="J32" s="116">
        <f>'N4'!J32+'K4'!J32</f>
        <v>0</v>
      </c>
      <c r="K32" s="33">
        <f>'N4'!K32+'K4'!K32</f>
        <v>1164</v>
      </c>
      <c r="L32" s="115">
        <f>'N4'!L32+'K4'!L32</f>
        <v>0</v>
      </c>
      <c r="M32" s="115">
        <f>'N4'!M32+'K4'!M32</f>
        <v>0</v>
      </c>
      <c r="N32" s="115">
        <f>'N4'!N42+'K4'!N42</f>
        <v>0</v>
      </c>
      <c r="O32" s="116">
        <f>'N4'!O32+'K4'!O32</f>
        <v>0</v>
      </c>
      <c r="P32" s="115">
        <f>'N4'!P32+'K4'!P32</f>
        <v>0</v>
      </c>
      <c r="Q32" s="116">
        <f>'N4'!Q32+'K4'!Q32</f>
        <v>0</v>
      </c>
      <c r="R32" s="121">
        <f>'N4'!R32+'K4'!R32</f>
        <v>0</v>
      </c>
      <c r="S32" s="121">
        <f>'N4'!S32+'K4'!S32</f>
        <v>0</v>
      </c>
      <c r="T32" s="33">
        <f>'N4'!T32+'K4'!T32</f>
        <v>0</v>
      </c>
      <c r="U32" s="115">
        <f>'N4'!U32+'K4'!U32</f>
        <v>0</v>
      </c>
      <c r="V32" s="115">
        <f>'N4'!V32+'K4'!V32</f>
        <v>0</v>
      </c>
      <c r="W32" s="115">
        <f>'N4'!W32+'K4'!W32</f>
        <v>0</v>
      </c>
      <c r="X32" s="116">
        <f>'N4'!X32+'K4'!X32</f>
        <v>0</v>
      </c>
      <c r="Y32" s="115">
        <f>'N4'!Y32+'K4'!Y32</f>
        <v>0</v>
      </c>
      <c r="Z32" s="116">
        <f>'N4'!Z32+'K4'!Z32</f>
        <v>0</v>
      </c>
      <c r="AA32" s="121">
        <f>'N4'!AA32+'K4'!AA32</f>
        <v>0</v>
      </c>
      <c r="AB32" s="121">
        <f>'N4'!AB32+'K4'!AB32</f>
        <v>0</v>
      </c>
      <c r="AC32" s="33">
        <f>'N4'!AC32+'K4'!AC32</f>
        <v>0</v>
      </c>
      <c r="AD32" s="12">
        <f>'N4'!AD32+'K4'!AD32</f>
        <v>1164</v>
      </c>
      <c r="AE32" s="39"/>
      <c r="AF32" s="39"/>
      <c r="AG32" s="39"/>
      <c r="AH32" s="39"/>
      <c r="AI32" s="39"/>
      <c r="AJ32" s="39"/>
    </row>
    <row r="33" spans="1:36" x14ac:dyDescent="0.2">
      <c r="A33" s="5">
        <f>DAY(Kalenteri!A119)</f>
        <v>29</v>
      </c>
      <c r="B33" s="3" t="str">
        <f>IF(Kalenteri!B119=1,"su",IF(Kalenteri!B119=2,"ma",IF(Kalenteri!B119=3,"ti",IF(Kalenteri!B119=4,"ke",IF(Kalenteri!B119=5,"to",IF(Kalenteri!B119=6,"pe",IF(Kalenteri!B119=7,"la",)))))))</f>
        <v>ma</v>
      </c>
      <c r="C33" s="114">
        <f>'N4'!C33+'K4'!C33</f>
        <v>109</v>
      </c>
      <c r="D33" s="115">
        <f>'N4'!D33+'K4'!D33</f>
        <v>13</v>
      </c>
      <c r="E33" s="115">
        <f>'N4'!E33+'K4'!E33</f>
        <v>36</v>
      </c>
      <c r="F33" s="116">
        <f>'N4'!F33+'K4'!F33</f>
        <v>5</v>
      </c>
      <c r="G33" s="114">
        <f>'N4'!G33+'K4'!G33</f>
        <v>9</v>
      </c>
      <c r="H33" s="116">
        <f>'N4'!H33+'K4'!H33</f>
        <v>153</v>
      </c>
      <c r="I33" s="114">
        <f>'N4'!I33+'K4'!I33</f>
        <v>0</v>
      </c>
      <c r="J33" s="116">
        <f>'N4'!J33+'K4'!J33</f>
        <v>0</v>
      </c>
      <c r="K33" s="33">
        <f>'N4'!K33+'K4'!K33</f>
        <v>325</v>
      </c>
      <c r="L33" s="115">
        <f>'N4'!L33+'K4'!L33</f>
        <v>0</v>
      </c>
      <c r="M33" s="115">
        <f>'N4'!M33+'K4'!M33</f>
        <v>0</v>
      </c>
      <c r="N33" s="115">
        <f>'N4'!N43+'K4'!N43</f>
        <v>0</v>
      </c>
      <c r="O33" s="116">
        <f>'N4'!O33+'K4'!O33</f>
        <v>0</v>
      </c>
      <c r="P33" s="115">
        <f>'N4'!P33+'K4'!P33</f>
        <v>0</v>
      </c>
      <c r="Q33" s="116">
        <f>'N4'!Q33+'K4'!Q33</f>
        <v>0</v>
      </c>
      <c r="R33" s="121">
        <f>'N4'!R33+'K4'!R33</f>
        <v>0</v>
      </c>
      <c r="S33" s="121">
        <f>'N4'!S33+'K4'!S33</f>
        <v>0</v>
      </c>
      <c r="T33" s="33">
        <f>'N4'!T33+'K4'!T33</f>
        <v>0</v>
      </c>
      <c r="U33" s="115">
        <f>'N4'!U33+'K4'!U33</f>
        <v>0</v>
      </c>
      <c r="V33" s="115">
        <f>'N4'!V33+'K4'!V33</f>
        <v>0</v>
      </c>
      <c r="W33" s="115">
        <f>'N4'!W33+'K4'!W33</f>
        <v>0</v>
      </c>
      <c r="X33" s="116">
        <f>'N4'!X33+'K4'!X33</f>
        <v>0</v>
      </c>
      <c r="Y33" s="115">
        <f>'N4'!Y33+'K4'!Y33</f>
        <v>0</v>
      </c>
      <c r="Z33" s="116">
        <f>'N4'!Z33+'K4'!Z33</f>
        <v>0</v>
      </c>
      <c r="AA33" s="121">
        <f>'N4'!AA33+'K4'!AA33</f>
        <v>0</v>
      </c>
      <c r="AB33" s="121">
        <f>'N4'!AB33+'K4'!AB33</f>
        <v>0</v>
      </c>
      <c r="AC33" s="33">
        <f>'N4'!AC33+'K4'!AC33</f>
        <v>0</v>
      </c>
      <c r="AD33" s="12">
        <f>'N4'!AD33+'K4'!AD33</f>
        <v>325</v>
      </c>
      <c r="AE33" s="39"/>
      <c r="AF33" s="39"/>
      <c r="AG33" s="39"/>
      <c r="AH33" s="39"/>
      <c r="AI33" s="39"/>
      <c r="AJ33" s="39"/>
    </row>
    <row r="34" spans="1:36" x14ac:dyDescent="0.2">
      <c r="A34" s="5">
        <f>DAY(Kalenteri!A120)</f>
        <v>30</v>
      </c>
      <c r="B34" s="3" t="str">
        <f>IF(Kalenteri!B120=1,"su",IF(Kalenteri!B120=2,"ma",IF(Kalenteri!B120=3,"ti",IF(Kalenteri!B120=4,"ke",IF(Kalenteri!B120=5,"to",IF(Kalenteri!B120=6,"pe",IF(Kalenteri!B120=7,"la",)))))))</f>
        <v>ti</v>
      </c>
      <c r="C34" s="114">
        <f>'N4'!C34+'K4'!C34</f>
        <v>137</v>
      </c>
      <c r="D34" s="115">
        <f>'N4'!D34+'K4'!D34</f>
        <v>27</v>
      </c>
      <c r="E34" s="115">
        <f>'N4'!E34+'K4'!E34</f>
        <v>0</v>
      </c>
      <c r="F34" s="116">
        <f>'N4'!F34+'K4'!F34</f>
        <v>4</v>
      </c>
      <c r="G34" s="114">
        <f>'N4'!G34+'K4'!G34</f>
        <v>3</v>
      </c>
      <c r="H34" s="116">
        <f>'N4'!H34+'K4'!H34</f>
        <v>40</v>
      </c>
      <c r="I34" s="114">
        <f>'N4'!I34+'K4'!I34</f>
        <v>0</v>
      </c>
      <c r="J34" s="116">
        <f>'N4'!J34+'K4'!J34</f>
        <v>0</v>
      </c>
      <c r="K34" s="33">
        <f>'N4'!K34+'K4'!K34</f>
        <v>211</v>
      </c>
      <c r="L34" s="115">
        <f>'N4'!L34+'K4'!L34</f>
        <v>0</v>
      </c>
      <c r="M34" s="115">
        <f>'N4'!M34+'K4'!M34</f>
        <v>0</v>
      </c>
      <c r="N34" s="115">
        <f>'N4'!N44+'K4'!N44</f>
        <v>0</v>
      </c>
      <c r="O34" s="116">
        <f>'N4'!O34+'K4'!O34</f>
        <v>0</v>
      </c>
      <c r="P34" s="115">
        <f>'N4'!P34+'K4'!P34</f>
        <v>0</v>
      </c>
      <c r="Q34" s="116">
        <f>'N4'!Q34+'K4'!Q34</f>
        <v>0</v>
      </c>
      <c r="R34" s="121">
        <f>'N4'!R34+'K4'!R34</f>
        <v>0</v>
      </c>
      <c r="S34" s="121">
        <f>'N4'!S34+'K4'!S34</f>
        <v>0</v>
      </c>
      <c r="T34" s="33">
        <f>'N4'!T34+'K4'!T34</f>
        <v>0</v>
      </c>
      <c r="U34" s="115">
        <f>'N4'!U34+'K4'!U34</f>
        <v>0</v>
      </c>
      <c r="V34" s="115">
        <f>'N4'!V34+'K4'!V34</f>
        <v>0</v>
      </c>
      <c r="W34" s="115">
        <f>'N4'!W34+'K4'!W34</f>
        <v>0</v>
      </c>
      <c r="X34" s="116">
        <f>'N4'!X34+'K4'!X34</f>
        <v>0</v>
      </c>
      <c r="Y34" s="115">
        <f>'N4'!Y34+'K4'!Y34</f>
        <v>0</v>
      </c>
      <c r="Z34" s="116">
        <f>'N4'!Z34+'K4'!Z34</f>
        <v>0</v>
      </c>
      <c r="AA34" s="121">
        <f>'N4'!AA34+'K4'!AA34</f>
        <v>0</v>
      </c>
      <c r="AB34" s="121">
        <f>'N4'!AB34+'K4'!AB34</f>
        <v>0</v>
      </c>
      <c r="AC34" s="33">
        <f>'N4'!AC34+'K4'!AC34</f>
        <v>0</v>
      </c>
      <c r="AD34" s="12">
        <f>'N4'!AD34+'K4'!AD34</f>
        <v>211</v>
      </c>
      <c r="AE34" s="39"/>
      <c r="AF34" s="39"/>
      <c r="AG34" s="39"/>
      <c r="AH34" s="39"/>
      <c r="AI34" s="39"/>
      <c r="AJ34" s="39"/>
    </row>
    <row r="35" spans="1:36" x14ac:dyDescent="0.2">
      <c r="A35" s="5"/>
      <c r="B35" s="3"/>
      <c r="C35" s="117">
        <f>'N4'!C35+'K4'!C35</f>
        <v>0</v>
      </c>
      <c r="D35" s="118">
        <f>'N4'!D35+'K4'!D35</f>
        <v>0</v>
      </c>
      <c r="E35" s="118">
        <f>'N4'!E35+'K4'!E35</f>
        <v>0</v>
      </c>
      <c r="F35" s="119">
        <f>'N4'!F35+'K4'!F35</f>
        <v>0</v>
      </c>
      <c r="G35" s="117">
        <f>'N4'!G35+'K4'!G35</f>
        <v>0</v>
      </c>
      <c r="H35" s="119">
        <f>'N4'!H35+'K4'!H35</f>
        <v>0</v>
      </c>
      <c r="I35" s="117">
        <f>'N4'!I35+'K4'!I35</f>
        <v>0</v>
      </c>
      <c r="J35" s="119">
        <f>'N4'!J35+'K4'!J35</f>
        <v>0</v>
      </c>
      <c r="K35" s="34">
        <f>'N4'!K35+'K4'!K35</f>
        <v>0</v>
      </c>
      <c r="L35" s="122">
        <f>'N4'!L35+'K4'!L35</f>
        <v>0</v>
      </c>
      <c r="M35" s="122">
        <f>'N4'!M35+'K4'!M35</f>
        <v>0</v>
      </c>
      <c r="N35" s="122">
        <f>'N4'!N45+'K4'!N45</f>
        <v>0</v>
      </c>
      <c r="O35" s="123">
        <f>'N4'!O35+'K4'!O35</f>
        <v>0</v>
      </c>
      <c r="P35" s="122">
        <f>'N4'!P35+'K4'!P35</f>
        <v>0</v>
      </c>
      <c r="Q35" s="123">
        <f>'N4'!Q35+'K4'!Q35</f>
        <v>0</v>
      </c>
      <c r="R35" s="124">
        <f>'N4'!R35+'K4'!R35</f>
        <v>0</v>
      </c>
      <c r="S35" s="124">
        <f>'N4'!S35+'K4'!S35</f>
        <v>0</v>
      </c>
      <c r="T35" s="34">
        <f>'N4'!T35+'K4'!T35</f>
        <v>0</v>
      </c>
      <c r="U35" s="122">
        <f>'N4'!U35+'K4'!U35</f>
        <v>0</v>
      </c>
      <c r="V35" s="122">
        <f>'N4'!V35+'K4'!V35</f>
        <v>0</v>
      </c>
      <c r="W35" s="122">
        <f>'N4'!W35+'K4'!W35</f>
        <v>0</v>
      </c>
      <c r="X35" s="123">
        <f>'N4'!X35+'K4'!X35</f>
        <v>0</v>
      </c>
      <c r="Y35" s="122">
        <f>'N4'!Y35+'K4'!Y35</f>
        <v>0</v>
      </c>
      <c r="Z35" s="123">
        <f>'N4'!Z35+'K4'!Z35</f>
        <v>0</v>
      </c>
      <c r="AA35" s="124">
        <f>'N4'!AA35+'K4'!AA35</f>
        <v>0</v>
      </c>
      <c r="AB35" s="124">
        <f>'N4'!AB35+'K4'!AB35</f>
        <v>0</v>
      </c>
      <c r="AC35" s="34">
        <f>'N4'!AC35+'K4'!AC35</f>
        <v>0</v>
      </c>
      <c r="AD35" s="19">
        <f>'N4'!AD35+'K4'!AD35</f>
        <v>0</v>
      </c>
      <c r="AE35" s="39"/>
      <c r="AF35" s="39"/>
      <c r="AG35" s="39"/>
      <c r="AH35" s="39"/>
      <c r="AI35" s="39"/>
      <c r="AJ35" s="39"/>
    </row>
    <row r="36" spans="1:36" x14ac:dyDescent="0.2">
      <c r="A36" s="6"/>
      <c r="B36"/>
      <c r="C36" s="82">
        <f>'N4'!C36+'K4'!C36</f>
        <v>7805</v>
      </c>
      <c r="D36" s="83">
        <f>'N4'!D36+'K4'!D36</f>
        <v>2224</v>
      </c>
      <c r="E36" s="83">
        <f>'N4'!E36+'K4'!E36</f>
        <v>63</v>
      </c>
      <c r="F36" s="84">
        <f>'N4'!F36+'K4'!F36</f>
        <v>565</v>
      </c>
      <c r="G36" s="83">
        <f>'N4'!G36+'K4'!G36</f>
        <v>342</v>
      </c>
      <c r="H36" s="84">
        <f>'N4'!H36+'K4'!H36</f>
        <v>3767</v>
      </c>
      <c r="I36" s="83">
        <f>'N4'!I36+'K4'!I36</f>
        <v>203</v>
      </c>
      <c r="J36" s="84">
        <f>'N4'!J36+'K4'!J36</f>
        <v>144</v>
      </c>
      <c r="K36" s="85">
        <f>'N4'!K36+'K4'!K36</f>
        <v>15113</v>
      </c>
      <c r="L36" s="83">
        <f>'N4'!L36+'K4'!L36</f>
        <v>0</v>
      </c>
      <c r="M36" s="83">
        <f>'N4'!M36+'K4'!M36</f>
        <v>0</v>
      </c>
      <c r="N36" s="83">
        <f>'N4'!N46+'K4'!N46</f>
        <v>0</v>
      </c>
      <c r="O36" s="84">
        <f>'N4'!O36+'K4'!O36</f>
        <v>0</v>
      </c>
      <c r="P36" s="83">
        <f>'N4'!P36+'K4'!P36</f>
        <v>0</v>
      </c>
      <c r="Q36" s="84">
        <f>'N4'!Q36+'K4'!Q36</f>
        <v>0</v>
      </c>
      <c r="R36" s="86">
        <f>'N4'!R36+'K4'!R36</f>
        <v>0</v>
      </c>
      <c r="S36" s="86">
        <f>'N4'!S36+'K4'!S36</f>
        <v>0</v>
      </c>
      <c r="T36" s="85">
        <f>'N4'!T36+'K4'!T36</f>
        <v>0</v>
      </c>
      <c r="U36" s="83">
        <f>'N4'!U36+'K4'!U36</f>
        <v>0</v>
      </c>
      <c r="V36" s="83">
        <f>'N4'!V36+'K4'!V36</f>
        <v>0</v>
      </c>
      <c r="W36" s="83">
        <f>'N4'!W36+'K4'!W36</f>
        <v>0</v>
      </c>
      <c r="X36" s="84">
        <f>'N4'!X36+'K4'!X36</f>
        <v>0</v>
      </c>
      <c r="Y36" s="83">
        <f>'N4'!Y36+'K4'!Y36</f>
        <v>0</v>
      </c>
      <c r="Z36" s="84">
        <f>'N4'!Z36+'K4'!Z36</f>
        <v>0</v>
      </c>
      <c r="AA36" s="86">
        <f>'N4'!AA36+'K4'!AA36</f>
        <v>0</v>
      </c>
      <c r="AB36" s="86">
        <f>'N4'!AB36+'K4'!AB36</f>
        <v>0</v>
      </c>
      <c r="AC36" s="85">
        <f>'N4'!AC36+'K4'!AC36</f>
        <v>0</v>
      </c>
      <c r="AD36" s="87">
        <f>'N4'!AD36+'K4'!AD36</f>
        <v>15113</v>
      </c>
      <c r="AE36" s="66"/>
      <c r="AF36" s="66"/>
      <c r="AG36" s="66"/>
      <c r="AH36" s="66"/>
      <c r="AI36" s="66"/>
      <c r="AJ36" s="66"/>
    </row>
    <row r="37" spans="1:36" ht="8.1" customHeight="1" thickBot="1" x14ac:dyDescent="0.25">
      <c r="A37" s="6"/>
      <c r="B37"/>
      <c r="C37" s="2"/>
      <c r="D37" s="5"/>
      <c r="E37" s="5"/>
      <c r="F37" s="2"/>
      <c r="G37" s="2"/>
      <c r="H37" s="2"/>
      <c r="I37" s="5"/>
      <c r="J37" s="2"/>
      <c r="K37" s="2"/>
      <c r="L37" s="5"/>
      <c r="M37" s="2"/>
      <c r="N37" s="5"/>
      <c r="O37" s="5"/>
      <c r="P37" s="2"/>
      <c r="Q37" s="5"/>
      <c r="R37" s="42"/>
      <c r="S37" s="42"/>
      <c r="T37" s="2"/>
      <c r="U37" s="2"/>
      <c r="V37" s="2"/>
      <c r="W37" s="2"/>
      <c r="X37" s="5"/>
      <c r="Y37" s="2"/>
      <c r="Z37" s="2"/>
      <c r="AA37" s="39"/>
      <c r="AB37" s="39"/>
      <c r="AC37" s="5"/>
      <c r="AD37" s="40"/>
      <c r="AE37" s="40"/>
      <c r="AF37" s="40"/>
      <c r="AG37" s="40"/>
      <c r="AH37" s="40"/>
      <c r="AI37" s="40"/>
      <c r="AJ37" s="40"/>
    </row>
    <row r="38" spans="1:36" ht="24.95" customHeight="1" thickTop="1" x14ac:dyDescent="0.3">
      <c r="A38" s="6"/>
      <c r="B38"/>
      <c r="C38" s="171" t="str">
        <f>Kalenteri!E38</f>
        <v>Lippujen hinnat:</v>
      </c>
      <c r="D38" s="5"/>
      <c r="E38" s="5"/>
      <c r="F38" s="2"/>
      <c r="G38" s="2"/>
      <c r="H38" s="2"/>
      <c r="I38" s="5"/>
      <c r="J38" s="2"/>
      <c r="K38" s="2"/>
      <c r="L38" s="5"/>
      <c r="M38" s="2"/>
      <c r="N38" s="5"/>
      <c r="O38" s="5"/>
      <c r="P38" s="2"/>
      <c r="Q38"/>
      <c r="R38"/>
      <c r="S38"/>
      <c r="T38"/>
      <c r="U38" s="49" t="s">
        <v>12</v>
      </c>
      <c r="V38" s="50"/>
      <c r="W38" s="43"/>
      <c r="X38" s="44"/>
      <c r="Y38" s="43"/>
      <c r="Z38" s="43"/>
      <c r="AA38" s="44"/>
      <c r="AB38" s="44"/>
      <c r="AC38" s="47"/>
      <c r="AD38" s="45">
        <f>'N4'!AD38+'K4'!AD38</f>
        <v>15113</v>
      </c>
      <c r="AE38" s="41"/>
      <c r="AF38" s="41"/>
      <c r="AG38" s="41"/>
      <c r="AH38" s="41"/>
      <c r="AI38" s="41"/>
      <c r="AJ38" s="41"/>
    </row>
    <row r="39" spans="1:36" ht="24.95" customHeight="1" x14ac:dyDescent="0.3">
      <c r="A39" s="6"/>
      <c r="B39"/>
      <c r="C39" s="193" t="str">
        <f>Kalenteri!E39</f>
        <v>Mustikkamaan kautta: 1.9.-30.4. aik. 10 €, lapset 5 €, kimppalippu 30 €    1.5.-30.8. aik. 12 €, lapset 6 €, kimppalippu 36 €</v>
      </c>
      <c r="D39" s="89"/>
      <c r="E39" s="89"/>
      <c r="F39" s="90"/>
      <c r="G39" s="102"/>
      <c r="H39" s="174"/>
      <c r="I39" s="89"/>
      <c r="J39" s="90"/>
      <c r="K39" s="90"/>
      <c r="L39" s="89"/>
      <c r="M39" s="90"/>
      <c r="N39" s="89"/>
      <c r="O39" s="89"/>
      <c r="P39" s="90"/>
      <c r="Q39" s="104"/>
      <c r="R39" s="103"/>
      <c r="S39"/>
      <c r="T39"/>
      <c r="U39" s="62" t="s">
        <v>13</v>
      </c>
      <c r="V39" s="52"/>
      <c r="W39" s="53"/>
      <c r="X39" s="54"/>
      <c r="Y39" s="53"/>
      <c r="Z39" s="53"/>
      <c r="AA39" s="54"/>
      <c r="AB39" s="54"/>
      <c r="AC39" s="55"/>
      <c r="AD39" s="56">
        <f>'N4'!AD39+'K4'!AD39</f>
        <v>-8926</v>
      </c>
      <c r="AE39" s="67"/>
      <c r="AF39" s="67"/>
      <c r="AG39" s="67"/>
      <c r="AH39" s="67"/>
      <c r="AI39" s="67"/>
      <c r="AJ39" s="67"/>
    </row>
    <row r="40" spans="1:36" ht="24.95" customHeight="1" x14ac:dyDescent="0.3">
      <c r="A40" s="6"/>
      <c r="B40" s="6"/>
      <c r="C40" s="194" t="str">
        <f>Kalenteri!E40</f>
        <v xml:space="preserve">                                    Vuosikortti:     aik. 50 €, lapset 20 €, perhekortti 100 €</v>
      </c>
      <c r="D40" s="39"/>
      <c r="E40" s="39"/>
      <c r="F40" s="42"/>
      <c r="G40" s="65"/>
      <c r="H40" s="176"/>
      <c r="I40" s="39"/>
      <c r="J40" s="42"/>
      <c r="K40" s="42"/>
      <c r="L40" s="39"/>
      <c r="M40" s="42"/>
      <c r="N40" s="39"/>
      <c r="O40" s="39"/>
      <c r="P40" s="39"/>
      <c r="Q40" s="23"/>
      <c r="R40" s="97"/>
      <c r="S40"/>
      <c r="T40"/>
      <c r="U40" s="63" t="s">
        <v>14</v>
      </c>
      <c r="V40" s="37"/>
      <c r="W40" s="51"/>
      <c r="X40" s="41"/>
      <c r="Y40" s="51"/>
      <c r="Z40" s="41"/>
      <c r="AA40" s="41"/>
      <c r="AB40" s="41"/>
      <c r="AC40" s="48"/>
      <c r="AD40" s="46">
        <f>'N4'!AD40+'K4'!AD40</f>
        <v>50383</v>
      </c>
      <c r="AE40" s="41"/>
      <c r="AF40" s="41"/>
      <c r="AG40" s="41"/>
      <c r="AH40" s="41"/>
      <c r="AI40" s="41"/>
      <c r="AJ40" s="41"/>
    </row>
    <row r="41" spans="1:36" ht="24.95" customHeight="1" thickBot="1" x14ac:dyDescent="0.35">
      <c r="A41" s="4"/>
      <c r="B41" s="4"/>
      <c r="C41" s="195" t="str">
        <f>Kalenteri!E41</f>
        <v>Vesibusseilla:             1.9.-30.4. aik. 16 €, lapset 8 €, kimppalippu 47 €    1.5.-31.8. aik. 18 €, lapset 9 €, kimppalippu 53 €</v>
      </c>
      <c r="D41" s="93"/>
      <c r="E41" s="93"/>
      <c r="F41" s="94"/>
      <c r="G41" s="94"/>
      <c r="H41" s="175"/>
      <c r="I41" s="93"/>
      <c r="J41" s="96"/>
      <c r="K41" s="96"/>
      <c r="L41" s="93"/>
      <c r="M41" s="95"/>
      <c r="N41" s="95"/>
      <c r="O41" s="93"/>
      <c r="P41" s="95"/>
      <c r="Q41" s="95"/>
      <c r="R41" s="98"/>
      <c r="S41"/>
      <c r="T41"/>
      <c r="U41" s="64" t="s">
        <v>13</v>
      </c>
      <c r="V41" s="57"/>
      <c r="W41" s="58"/>
      <c r="X41" s="59"/>
      <c r="Y41" s="59"/>
      <c r="Z41" s="59"/>
      <c r="AA41" s="59"/>
      <c r="AB41" s="59"/>
      <c r="AC41" s="60"/>
      <c r="AD41" s="61">
        <f>'N4'!AD41+'K4'!AD41</f>
        <v>14</v>
      </c>
      <c r="AE41" s="68"/>
      <c r="AF41" s="68"/>
      <c r="AG41" s="68"/>
      <c r="AH41" s="68"/>
      <c r="AI41" s="68"/>
      <c r="AJ41" s="68"/>
    </row>
    <row r="42" spans="1:36" ht="13.5" thickTop="1" x14ac:dyDescent="0.2"/>
  </sheetData>
  <sheetProtection password="C4AC" sheet="1" objects="1" scenarios="1"/>
  <phoneticPr fontId="4" type="noConversion"/>
  <pageMargins left="0" right="0" top="0.27559055118110237" bottom="0" header="0" footer="0"/>
  <pageSetup paperSize="9" scale="75" fitToHeight="0" orientation="landscape" horizontalDpi="4294967292" verticalDpi="4294967292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0177" r:id="rId4" name="Button 1">
              <controlPr defaultSize="0" print="0" autoFill="0" autoLine="0" autoPict="0" macro="[1]!TAMMI">
                <anchor moveWithCells="1" sizeWithCells="1">
                  <from>
                    <xdr:col>35</xdr:col>
                    <xdr:colOff>0</xdr:colOff>
                    <xdr:row>3</xdr:row>
                    <xdr:rowOff>9525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0178" r:id="rId5" name="Button 2">
              <controlPr defaultSize="0" print="0" autoFill="0" autoLine="0" autoPict="0" macro="[1]KTMAKRO!$A$1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0179" r:id="rId6" name="Button 3">
              <controlPr defaultSize="0" print="0" autoFill="0" autoLine="0" autoPict="0" macro="[1]!MAALIS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0180" r:id="rId7" name="Button 4">
              <controlPr defaultSize="0" print="0" autoFill="0" autoLine="0" autoPict="0" macro="[1]KTMAKRO!$D$1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0181" r:id="rId8" name="Button 5">
              <controlPr defaultSize="0" print="0" autoFill="0" autoLine="0" autoPict="0" macro="[1]KTMAKRO!$E$1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0182" r:id="rId9" name="Button 6">
              <controlPr defaultSize="0" print="0" autoFill="0" autoLine="0" autoPict="0" macro="[1]!KESÄ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0183" r:id="rId10" name="Button 7">
              <controlPr defaultSize="0" print="0" autoFill="0" autoLine="0" autoPict="0" macro="[1]!HELMI">
                <anchor moveWithCells="1" sizeWithCells="1">
                  <from>
                    <xdr:col>35</xdr:col>
                    <xdr:colOff>0</xdr:colOff>
                    <xdr:row>3</xdr:row>
                    <xdr:rowOff>9525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0184" r:id="rId11" name="Button 8">
              <controlPr defaultSize="0" print="0" autoFill="0" autoLine="0" autoPict="0" macro="[1]KTMAKRO!$G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0185" r:id="rId12" name="Button 9">
              <controlPr defaultSize="0" print="0" autoFill="0" autoLine="0" autoPict="0" macro="[1]KTMAKRO!$I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0186" r:id="rId13" name="Button 10">
              <controlPr defaultSize="0" print="0" autoFill="0" autoLine="0" autoPict="0" macro="[1]KTMAKRO!$J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0187" r:id="rId14" name="Button 11">
              <controlPr defaultSize="0" print="0" autoFill="0" autoLine="0" autoPict="0" macro="[1]KTMAKRO!$K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0188" r:id="rId15" name="Button 12">
              <controlPr defaultSize="0" print="0" autoFill="0" autoLine="0" autoPict="0" macro="[1]KTMAKRO!$L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0189" r:id="rId16" name="Button 13">
              <controlPr defaultSize="0" print="0" autoFill="0" autoLine="0" autoPict="0" macro="[1]KTMAKRO!$H$1">
                <anchor moveWithCells="1" sizeWithCells="1">
                  <from>
                    <xdr:col>35</xdr:col>
                    <xdr:colOff>0</xdr:colOff>
                    <xdr:row>5</xdr:row>
                    <xdr:rowOff>0</xdr:rowOff>
                  </from>
                  <to>
                    <xdr:col>35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0190" r:id="rId17" name="Button 14">
              <controlPr defaultSize="0" print="0" autoFill="0" autoLine="0" autoPict="0" macro="[1]!Yhteenveto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5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0191" r:id="rId18" name="Button 15">
              <controlPr defaultSize="0" print="0" autoFill="0" autoLine="0" autoPict="0" macro="[1]!GRAFIIKKA1">
                <anchor moveWithCells="1" sizeWithCells="1">
                  <from>
                    <xdr:col>35</xdr:col>
                    <xdr:colOff>0</xdr:colOff>
                    <xdr:row>8</xdr:row>
                    <xdr:rowOff>142875</xdr:rowOff>
                  </from>
                  <to>
                    <xdr:col>35</xdr:col>
                    <xdr:colOff>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0192" r:id="rId19" name="Button 16">
              <controlPr defaultSize="0" print="0" autoFill="0" autoLine="0" autoPict="0" macro="[1]!Grafiikka2">
                <anchor moveWithCells="1" sizeWithCells="1">
                  <from>
                    <xdr:col>35</xdr:col>
                    <xdr:colOff>0</xdr:colOff>
                    <xdr:row>8</xdr:row>
                    <xdr:rowOff>152400</xdr:rowOff>
                  </from>
                  <to>
                    <xdr:col>35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0193" r:id="rId20" name="Button 17">
              <controlPr defaultSize="0" print="0" autoFill="0" autoLine="0" autoPict="0" macro="[1]!Grafiikka4">
                <anchor moveWithCells="1" sizeWithCells="1">
                  <from>
                    <xdr:col>35</xdr:col>
                    <xdr:colOff>0</xdr:colOff>
                    <xdr:row>8</xdr:row>
                    <xdr:rowOff>142875</xdr:rowOff>
                  </from>
                  <to>
                    <xdr:col>35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0194" r:id="rId21" name="Button 18">
              <controlPr defaultSize="0" print="0" autoFill="0" autoLine="0" autoPict="0" macro="[1]!Grafiikka4">
                <anchor moveWithCells="1" sizeWithCells="1">
                  <from>
                    <xdr:col>35</xdr:col>
                    <xdr:colOff>0</xdr:colOff>
                    <xdr:row>8</xdr:row>
                    <xdr:rowOff>152400</xdr:rowOff>
                  </from>
                  <to>
                    <xdr:col>35</xdr:col>
                    <xdr:colOff>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0195" r:id="rId22" name="Button 19">
              <controlPr defaultSize="0" print="0" autoFill="0" autoLine="0" autoPict="0" macro="[1]!Grafiikka5">
                <anchor moveWithCells="1" sizeWithCells="1">
                  <from>
                    <xdr:col>35</xdr:col>
                    <xdr:colOff>0</xdr:colOff>
                    <xdr:row>8</xdr:row>
                    <xdr:rowOff>152400</xdr:rowOff>
                  </from>
                  <to>
                    <xdr:col>35</xdr:col>
                    <xdr:colOff>0</xdr:colOff>
                    <xdr:row>12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0196" r:id="rId23" name="Button 20">
              <controlPr defaultSize="0" print="0" autoFill="0" autoLine="0" autoPict="0" macro="[1]!Perusikkuna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12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/>
  <dimension ref="A1:AJ42"/>
  <sheetViews>
    <sheetView showGridLines="0" zoomScale="80" zoomScaleNormal="80" workbookViewId="0"/>
  </sheetViews>
  <sheetFormatPr defaultColWidth="9.75" defaultRowHeight="12.75" x14ac:dyDescent="0.2"/>
  <cols>
    <col min="1" max="1" width="3.75" style="1" customWidth="1"/>
    <col min="2" max="2" width="2.75" style="1" customWidth="1"/>
    <col min="3" max="4" width="6.125" style="1" customWidth="1"/>
    <col min="5" max="5" width="4" style="1" customWidth="1"/>
    <col min="6" max="6" width="4.5" style="1" customWidth="1"/>
    <col min="7" max="10" width="6.125" style="1" customWidth="1"/>
    <col min="11" max="11" width="5.875" style="1" customWidth="1"/>
    <col min="12" max="13" width="6.125" style="1" customWidth="1"/>
    <col min="14" max="14" width="5.25" style="1" customWidth="1"/>
    <col min="15" max="15" width="4.5" style="1" customWidth="1"/>
    <col min="16" max="16" width="6.125" style="1" customWidth="1"/>
    <col min="17" max="17" width="5.5" style="1" customWidth="1"/>
    <col min="18" max="19" width="6.125" style="1" customWidth="1"/>
    <col min="20" max="20" width="5.875" style="1" customWidth="1"/>
    <col min="21" max="22" width="6.125" style="1" customWidth="1"/>
    <col min="23" max="23" width="4.375" style="1" customWidth="1"/>
    <col min="24" max="24" width="4.25" style="1" customWidth="1"/>
    <col min="25" max="29" width="6.125" style="1" customWidth="1"/>
    <col min="30" max="36" width="15.625" style="1" customWidth="1"/>
  </cols>
  <sheetData>
    <row r="1" spans="1:36" ht="30" customHeight="1" x14ac:dyDescent="0.35">
      <c r="A1" s="22"/>
      <c r="B1" s="4"/>
      <c r="C1" s="105" t="s">
        <v>15</v>
      </c>
      <c r="D1" s="106"/>
      <c r="E1" s="106"/>
      <c r="F1" s="106"/>
      <c r="G1" s="106"/>
      <c r="H1" s="106"/>
      <c r="I1" s="106"/>
      <c r="J1" s="106"/>
      <c r="K1" s="106"/>
      <c r="L1" s="105" t="str">
        <f>Kalenteri!$H$1</f>
        <v>KÄVIJÄTILASTO 2013</v>
      </c>
      <c r="M1" s="107"/>
      <c r="N1" s="107"/>
      <c r="O1" s="107"/>
      <c r="P1" s="106"/>
      <c r="Q1" s="106"/>
      <c r="R1" s="105" t="s">
        <v>63</v>
      </c>
      <c r="S1" s="108"/>
      <c r="T1" s="106"/>
      <c r="U1" s="109"/>
      <c r="V1" s="105" t="s">
        <v>20</v>
      </c>
      <c r="W1" s="109"/>
      <c r="X1" s="106"/>
      <c r="Y1" s="106"/>
      <c r="Z1" s="106"/>
      <c r="AA1" s="106"/>
      <c r="AB1" s="106"/>
      <c r="AC1" s="106"/>
      <c r="AD1" s="110"/>
      <c r="AE1" s="4"/>
      <c r="AF1" s="4"/>
      <c r="AG1" s="4"/>
      <c r="AH1" s="4"/>
      <c r="AI1" s="4"/>
      <c r="AJ1" s="4"/>
    </row>
    <row r="2" spans="1:36" ht="30" customHeight="1" x14ac:dyDescent="0.3">
      <c r="A2" s="3"/>
      <c r="B2" s="4"/>
      <c r="C2" s="72"/>
      <c r="D2" s="73"/>
      <c r="E2" s="74" t="s">
        <v>1</v>
      </c>
      <c r="F2" s="75"/>
      <c r="G2" s="75"/>
      <c r="H2" s="75"/>
      <c r="I2" s="75"/>
      <c r="J2" s="75"/>
      <c r="K2" s="76"/>
      <c r="L2" s="72"/>
      <c r="M2" s="77"/>
      <c r="N2" s="73"/>
      <c r="O2" s="74" t="s">
        <v>2</v>
      </c>
      <c r="P2" s="75"/>
      <c r="Q2" s="75"/>
      <c r="R2" s="75"/>
      <c r="S2" s="75"/>
      <c r="T2" s="76"/>
      <c r="U2" s="72"/>
      <c r="V2" s="75"/>
      <c r="W2" s="73"/>
      <c r="X2" s="74" t="s">
        <v>3</v>
      </c>
      <c r="Y2" s="75"/>
      <c r="Z2" s="75"/>
      <c r="AA2" s="75"/>
      <c r="AB2" s="75"/>
      <c r="AC2" s="76"/>
      <c r="AD2" s="13"/>
      <c r="AE2" s="35"/>
      <c r="AF2" s="69"/>
      <c r="AG2" s="69"/>
      <c r="AH2" s="69"/>
      <c r="AI2" s="69"/>
      <c r="AJ2" s="69"/>
    </row>
    <row r="3" spans="1:36" x14ac:dyDescent="0.2">
      <c r="A3" s="4"/>
      <c r="B3" s="4"/>
      <c r="C3" s="24" t="s">
        <v>4</v>
      </c>
      <c r="D3" s="25"/>
      <c r="E3" s="25"/>
      <c r="F3" s="26"/>
      <c r="G3" s="24" t="s">
        <v>5</v>
      </c>
      <c r="H3" s="26"/>
      <c r="I3" s="25" t="s">
        <v>6</v>
      </c>
      <c r="J3" s="25"/>
      <c r="K3" s="27"/>
      <c r="L3" s="24" t="s">
        <v>4</v>
      </c>
      <c r="M3" s="25"/>
      <c r="N3" s="25"/>
      <c r="O3" s="26"/>
      <c r="P3" s="24" t="s">
        <v>5</v>
      </c>
      <c r="Q3" s="26"/>
      <c r="R3" s="25" t="s">
        <v>6</v>
      </c>
      <c r="S3" s="25"/>
      <c r="T3" s="27"/>
      <c r="U3" s="24" t="s">
        <v>4</v>
      </c>
      <c r="V3" s="25"/>
      <c r="W3" s="25"/>
      <c r="X3" s="26"/>
      <c r="Y3" s="24" t="s">
        <v>5</v>
      </c>
      <c r="Z3" s="26"/>
      <c r="AA3" s="25" t="s">
        <v>6</v>
      </c>
      <c r="AB3" s="25"/>
      <c r="AC3" s="27"/>
      <c r="AD3" s="36" t="s">
        <v>7</v>
      </c>
      <c r="AE3" s="38"/>
      <c r="AF3" s="70"/>
      <c r="AG3" s="70"/>
      <c r="AH3" s="70"/>
      <c r="AI3" s="70"/>
      <c r="AJ3" s="23"/>
    </row>
    <row r="4" spans="1:36" x14ac:dyDescent="0.2">
      <c r="A4" s="6"/>
      <c r="B4" s="4"/>
      <c r="C4" s="7" t="s">
        <v>8</v>
      </c>
      <c r="D4" s="8" t="s">
        <v>9</v>
      </c>
      <c r="E4" s="8" t="s">
        <v>10</v>
      </c>
      <c r="F4" s="9" t="s">
        <v>11</v>
      </c>
      <c r="G4" s="7" t="s">
        <v>8</v>
      </c>
      <c r="H4" s="9" t="s">
        <v>9</v>
      </c>
      <c r="I4" s="8" t="s">
        <v>8</v>
      </c>
      <c r="J4" s="8" t="s">
        <v>9</v>
      </c>
      <c r="K4" s="14" t="s">
        <v>0</v>
      </c>
      <c r="L4" s="7" t="s">
        <v>8</v>
      </c>
      <c r="M4" s="8" t="s">
        <v>9</v>
      </c>
      <c r="N4" s="8" t="s">
        <v>10</v>
      </c>
      <c r="O4" s="9" t="s">
        <v>11</v>
      </c>
      <c r="P4" s="7" t="s">
        <v>8</v>
      </c>
      <c r="Q4" s="9" t="s">
        <v>9</v>
      </c>
      <c r="R4" s="8" t="s">
        <v>8</v>
      </c>
      <c r="S4" s="8" t="s">
        <v>9</v>
      </c>
      <c r="T4" s="14" t="s">
        <v>0</v>
      </c>
      <c r="U4" s="7" t="s">
        <v>8</v>
      </c>
      <c r="V4" s="8" t="s">
        <v>9</v>
      </c>
      <c r="W4" s="8" t="s">
        <v>10</v>
      </c>
      <c r="X4" s="9" t="s">
        <v>11</v>
      </c>
      <c r="Y4" s="7" t="s">
        <v>8</v>
      </c>
      <c r="Z4" s="9" t="s">
        <v>9</v>
      </c>
      <c r="AA4" s="8" t="s">
        <v>8</v>
      </c>
      <c r="AB4" s="8" t="s">
        <v>9</v>
      </c>
      <c r="AC4" s="14" t="s">
        <v>0</v>
      </c>
      <c r="AD4" s="28"/>
      <c r="AE4" s="23"/>
      <c r="AF4" s="23"/>
      <c r="AG4" s="23"/>
      <c r="AH4" s="23"/>
      <c r="AI4" s="23"/>
      <c r="AJ4" s="23"/>
    </row>
    <row r="5" spans="1:36" x14ac:dyDescent="0.2">
      <c r="A5" s="5">
        <f>DAY(Kalenteri!A32)</f>
        <v>1</v>
      </c>
      <c r="B5" s="3" t="str">
        <f>IF(Kalenteri!B32=1,"su",IF(Kalenteri!B32=2,"ma",IF(Kalenteri!B32=3,"ti",IF(Kalenteri!B32=4,"ke",IF(Kalenteri!B32=5,"to",IF(Kalenteri!B32=6,"pe",IF(Kalenteri!B32=7,"la",)))))))</f>
        <v>pe</v>
      </c>
      <c r="C5" s="78">
        <v>25</v>
      </c>
      <c r="D5" s="15">
        <v>1</v>
      </c>
      <c r="E5" s="15"/>
      <c r="F5" s="16">
        <v>1</v>
      </c>
      <c r="G5" s="78">
        <v>1</v>
      </c>
      <c r="H5" s="16">
        <v>16</v>
      </c>
      <c r="I5" s="78"/>
      <c r="J5" s="16"/>
      <c r="K5" s="32">
        <f t="shared" ref="K5:K36" si="0">SUM(C5:J5)</f>
        <v>44</v>
      </c>
      <c r="L5" s="15"/>
      <c r="M5" s="15"/>
      <c r="N5" s="15"/>
      <c r="O5" s="16"/>
      <c r="P5" s="15"/>
      <c r="Q5" s="16"/>
      <c r="R5" s="29"/>
      <c r="S5" s="29"/>
      <c r="T5" s="32">
        <f t="shared" ref="T5:T36" si="1">SUM(L5:S5)</f>
        <v>0</v>
      </c>
      <c r="U5" s="15"/>
      <c r="V5" s="15"/>
      <c r="W5" s="15"/>
      <c r="X5" s="16"/>
      <c r="Y5" s="15"/>
      <c r="Z5" s="16"/>
      <c r="AA5" s="29"/>
      <c r="AB5" s="29"/>
      <c r="AC5" s="32">
        <f t="shared" ref="AC5:AC36" si="2">SUM(U5:AB5)</f>
        <v>0</v>
      </c>
      <c r="AD5" s="17">
        <f t="shared" ref="AD5:AD36" si="3">SUM(K5,T5,AC5)</f>
        <v>44</v>
      </c>
      <c r="AE5" s="39"/>
      <c r="AF5" s="39"/>
      <c r="AG5" s="39"/>
      <c r="AH5" s="39"/>
      <c r="AI5" s="39"/>
      <c r="AJ5" s="23"/>
    </row>
    <row r="6" spans="1:36" x14ac:dyDescent="0.2">
      <c r="A6" s="5">
        <f>DAY(Kalenteri!A33)</f>
        <v>2</v>
      </c>
      <c r="B6" s="3" t="str">
        <f>IF(Kalenteri!B33=1,"su",IF(Kalenteri!B33=2,"ma",IF(Kalenteri!B33=3,"ti",IF(Kalenteri!B33=4,"ke",IF(Kalenteri!B33=5,"to",IF(Kalenteri!B33=6,"pe",IF(Kalenteri!B33=7,"la",)))))))</f>
        <v>la</v>
      </c>
      <c r="C6" s="18">
        <v>615</v>
      </c>
      <c r="D6" s="10">
        <v>103</v>
      </c>
      <c r="E6" s="10">
        <v>8</v>
      </c>
      <c r="F6" s="11">
        <v>78</v>
      </c>
      <c r="G6" s="18">
        <v>9</v>
      </c>
      <c r="H6" s="11">
        <v>119</v>
      </c>
      <c r="I6" s="18">
        <v>16</v>
      </c>
      <c r="J6" s="11">
        <v>24</v>
      </c>
      <c r="K6" s="33">
        <f t="shared" si="0"/>
        <v>972</v>
      </c>
      <c r="L6" s="10"/>
      <c r="M6" s="10"/>
      <c r="N6" s="10"/>
      <c r="O6" s="11"/>
      <c r="P6" s="10"/>
      <c r="Q6" s="11"/>
      <c r="R6" s="30"/>
      <c r="S6" s="30"/>
      <c r="T6" s="33">
        <f t="shared" si="1"/>
        <v>0</v>
      </c>
      <c r="U6" s="10"/>
      <c r="V6" s="10"/>
      <c r="W6" s="10"/>
      <c r="X6" s="11"/>
      <c r="Y6" s="10"/>
      <c r="Z6" s="11"/>
      <c r="AA6" s="30"/>
      <c r="AB6" s="30"/>
      <c r="AC6" s="33">
        <f t="shared" si="2"/>
        <v>0</v>
      </c>
      <c r="AD6" s="12">
        <f t="shared" si="3"/>
        <v>972</v>
      </c>
      <c r="AE6" s="39"/>
      <c r="AF6" s="39"/>
      <c r="AG6" s="39"/>
      <c r="AH6" s="39"/>
      <c r="AI6" s="39"/>
      <c r="AJ6" s="23"/>
    </row>
    <row r="7" spans="1:36" x14ac:dyDescent="0.2">
      <c r="A7" s="5">
        <f>DAY(Kalenteri!A34)</f>
        <v>3</v>
      </c>
      <c r="B7" s="3" t="str">
        <f>IF(Kalenteri!B34=1,"su",IF(Kalenteri!B34=2,"ma",IF(Kalenteri!B34=3,"ti",IF(Kalenteri!B34=4,"ke",IF(Kalenteri!B34=5,"to",IF(Kalenteri!B34=6,"pe",IF(Kalenteri!B34=7,"la",)))))))</f>
        <v>su</v>
      </c>
      <c r="C7" s="18">
        <v>1097</v>
      </c>
      <c r="D7" s="10">
        <v>168</v>
      </c>
      <c r="E7" s="10">
        <v>2</v>
      </c>
      <c r="F7" s="11">
        <v>96</v>
      </c>
      <c r="G7" s="18">
        <v>32</v>
      </c>
      <c r="H7" s="11">
        <v>157</v>
      </c>
      <c r="I7" s="18">
        <v>54</v>
      </c>
      <c r="J7" s="11">
        <v>81</v>
      </c>
      <c r="K7" s="33">
        <f t="shared" si="0"/>
        <v>1687</v>
      </c>
      <c r="L7" s="10"/>
      <c r="M7" s="10"/>
      <c r="N7" s="10"/>
      <c r="O7" s="11"/>
      <c r="P7" s="10"/>
      <c r="Q7" s="11"/>
      <c r="R7" s="30"/>
      <c r="S7" s="30"/>
      <c r="T7" s="33">
        <f t="shared" si="1"/>
        <v>0</v>
      </c>
      <c r="U7" s="10"/>
      <c r="V7" s="10"/>
      <c r="W7" s="10"/>
      <c r="X7" s="11"/>
      <c r="Y7" s="10"/>
      <c r="Z7" s="11"/>
      <c r="AA7" s="30"/>
      <c r="AB7" s="30"/>
      <c r="AC7" s="33">
        <f t="shared" si="2"/>
        <v>0</v>
      </c>
      <c r="AD7" s="12">
        <f t="shared" si="3"/>
        <v>1687</v>
      </c>
      <c r="AE7" s="39"/>
      <c r="AF7" s="39"/>
      <c r="AG7" s="39"/>
      <c r="AH7" s="39"/>
      <c r="AI7" s="39"/>
      <c r="AJ7" s="23"/>
    </row>
    <row r="8" spans="1:36" x14ac:dyDescent="0.2">
      <c r="A8" s="5">
        <f>DAY(Kalenteri!A35)</f>
        <v>4</v>
      </c>
      <c r="B8" s="3" t="str">
        <f>IF(Kalenteri!B35=1,"su",IF(Kalenteri!B35=2,"ma",IF(Kalenteri!B35=3,"ti",IF(Kalenteri!B35=4,"ke",IF(Kalenteri!B35=5,"to",IF(Kalenteri!B35=6,"pe",IF(Kalenteri!B35=7,"la",)))))))</f>
        <v>ma</v>
      </c>
      <c r="C8" s="18">
        <v>19</v>
      </c>
      <c r="D8" s="10"/>
      <c r="E8" s="10">
        <v>2</v>
      </c>
      <c r="F8" s="11">
        <v>7</v>
      </c>
      <c r="G8" s="18">
        <v>4</v>
      </c>
      <c r="H8" s="11">
        <v>10</v>
      </c>
      <c r="I8" s="18"/>
      <c r="J8" s="11"/>
      <c r="K8" s="33">
        <f t="shared" si="0"/>
        <v>42</v>
      </c>
      <c r="L8" s="10"/>
      <c r="M8" s="10"/>
      <c r="N8" s="10"/>
      <c r="O8" s="11"/>
      <c r="P8" s="10"/>
      <c r="Q8" s="11"/>
      <c r="R8" s="30"/>
      <c r="S8" s="30"/>
      <c r="T8" s="33">
        <f t="shared" si="1"/>
        <v>0</v>
      </c>
      <c r="U8" s="10"/>
      <c r="V8" s="10"/>
      <c r="W8" s="10"/>
      <c r="X8" s="11"/>
      <c r="Y8" s="10"/>
      <c r="Z8" s="11"/>
      <c r="AA8" s="30"/>
      <c r="AB8" s="30"/>
      <c r="AC8" s="33">
        <f t="shared" si="2"/>
        <v>0</v>
      </c>
      <c r="AD8" s="12">
        <f t="shared" si="3"/>
        <v>42</v>
      </c>
      <c r="AE8" s="39"/>
      <c r="AF8" s="39"/>
      <c r="AG8" s="39"/>
      <c r="AH8" s="39"/>
      <c r="AI8" s="39"/>
      <c r="AJ8" s="23"/>
    </row>
    <row r="9" spans="1:36" x14ac:dyDescent="0.2">
      <c r="A9" s="5">
        <f>DAY(Kalenteri!A36)</f>
        <v>5</v>
      </c>
      <c r="B9" s="3" t="str">
        <f>IF(Kalenteri!B36=1,"su",IF(Kalenteri!B36=2,"ma",IF(Kalenteri!B36=3,"ti",IF(Kalenteri!B36=4,"ke",IF(Kalenteri!B36=5,"to",IF(Kalenteri!B36=6,"pe",IF(Kalenteri!B36=7,"la",)))))))</f>
        <v>ti</v>
      </c>
      <c r="C9" s="18">
        <v>18</v>
      </c>
      <c r="D9" s="10">
        <v>37</v>
      </c>
      <c r="E9" s="10"/>
      <c r="F9" s="11">
        <v>3</v>
      </c>
      <c r="G9" s="18">
        <v>1</v>
      </c>
      <c r="H9" s="11">
        <v>40</v>
      </c>
      <c r="I9" s="18"/>
      <c r="J9" s="11"/>
      <c r="K9" s="33">
        <f t="shared" si="0"/>
        <v>99</v>
      </c>
      <c r="L9" s="10"/>
      <c r="M9" s="10"/>
      <c r="N9" s="10"/>
      <c r="O9" s="11"/>
      <c r="P9" s="10"/>
      <c r="Q9" s="11"/>
      <c r="R9" s="30"/>
      <c r="S9" s="30"/>
      <c r="T9" s="33">
        <f t="shared" si="1"/>
        <v>0</v>
      </c>
      <c r="U9" s="10"/>
      <c r="V9" s="10"/>
      <c r="W9" s="10"/>
      <c r="X9" s="11"/>
      <c r="Y9" s="10"/>
      <c r="Z9" s="11"/>
      <c r="AA9" s="30"/>
      <c r="AB9" s="30"/>
      <c r="AC9" s="33">
        <f t="shared" si="2"/>
        <v>0</v>
      </c>
      <c r="AD9" s="12">
        <f t="shared" si="3"/>
        <v>99</v>
      </c>
      <c r="AE9" s="39"/>
      <c r="AF9" s="39"/>
      <c r="AG9" s="39"/>
      <c r="AH9" s="39"/>
      <c r="AI9" s="39"/>
      <c r="AJ9" s="23"/>
    </row>
    <row r="10" spans="1:36" x14ac:dyDescent="0.2">
      <c r="A10" s="5">
        <f>DAY(Kalenteri!A37)</f>
        <v>6</v>
      </c>
      <c r="B10" s="3" t="str">
        <f>IF(Kalenteri!B37=1,"su",IF(Kalenteri!B37=2,"ma",IF(Kalenteri!B37=3,"ti",IF(Kalenteri!B37=4,"ke",IF(Kalenteri!B37=5,"to",IF(Kalenteri!B37=6,"pe",IF(Kalenteri!B37=7,"la",)))))))</f>
        <v>ke</v>
      </c>
      <c r="C10" s="18">
        <v>36</v>
      </c>
      <c r="D10" s="10">
        <v>1</v>
      </c>
      <c r="E10" s="10">
        <v>2</v>
      </c>
      <c r="F10" s="11">
        <v>3</v>
      </c>
      <c r="G10" s="18">
        <v>4</v>
      </c>
      <c r="H10" s="11">
        <v>26</v>
      </c>
      <c r="I10" s="18"/>
      <c r="J10" s="11"/>
      <c r="K10" s="33">
        <f t="shared" si="0"/>
        <v>72</v>
      </c>
      <c r="L10" s="10"/>
      <c r="M10" s="10"/>
      <c r="N10" s="10"/>
      <c r="O10" s="11"/>
      <c r="P10" s="10"/>
      <c r="Q10" s="11"/>
      <c r="R10" s="30"/>
      <c r="S10" s="30"/>
      <c r="T10" s="33">
        <f t="shared" si="1"/>
        <v>0</v>
      </c>
      <c r="U10" s="10"/>
      <c r="V10" s="10"/>
      <c r="W10" s="10"/>
      <c r="X10" s="11"/>
      <c r="Y10" s="10"/>
      <c r="Z10" s="11"/>
      <c r="AA10" s="30"/>
      <c r="AB10" s="30"/>
      <c r="AC10" s="33">
        <f t="shared" si="2"/>
        <v>0</v>
      </c>
      <c r="AD10" s="12">
        <f t="shared" si="3"/>
        <v>72</v>
      </c>
      <c r="AE10" s="39"/>
      <c r="AF10" s="39"/>
      <c r="AG10" s="39"/>
      <c r="AH10" s="39"/>
      <c r="AI10" s="39"/>
      <c r="AJ10" s="23"/>
    </row>
    <row r="11" spans="1:36" x14ac:dyDescent="0.2">
      <c r="A11" s="5">
        <f>DAY(Kalenteri!A38)</f>
        <v>7</v>
      </c>
      <c r="B11" s="3" t="str">
        <f>IF(Kalenteri!B38=1,"su",IF(Kalenteri!B38=2,"ma",IF(Kalenteri!B38=3,"ti",IF(Kalenteri!B38=4,"ke",IF(Kalenteri!B38=5,"to",IF(Kalenteri!B38=6,"pe",IF(Kalenteri!B38=7,"la",)))))))</f>
        <v>to</v>
      </c>
      <c r="C11" s="18">
        <v>25</v>
      </c>
      <c r="D11" s="10">
        <v>2</v>
      </c>
      <c r="E11" s="10">
        <v>1</v>
      </c>
      <c r="F11" s="11">
        <v>4</v>
      </c>
      <c r="G11" s="18">
        <v>5</v>
      </c>
      <c r="H11" s="11">
        <v>55</v>
      </c>
      <c r="I11" s="18"/>
      <c r="J11" s="11"/>
      <c r="K11" s="33">
        <f t="shared" si="0"/>
        <v>92</v>
      </c>
      <c r="L11" s="10"/>
      <c r="M11" s="10"/>
      <c r="N11" s="10"/>
      <c r="O11" s="11"/>
      <c r="P11" s="10"/>
      <c r="Q11" s="11"/>
      <c r="R11" s="30"/>
      <c r="S11" s="30"/>
      <c r="T11" s="33">
        <f t="shared" si="1"/>
        <v>0</v>
      </c>
      <c r="U11" s="10"/>
      <c r="V11" s="10"/>
      <c r="W11" s="10"/>
      <c r="X11" s="11"/>
      <c r="Y11" s="10"/>
      <c r="Z11" s="11"/>
      <c r="AA11" s="30"/>
      <c r="AB11" s="30"/>
      <c r="AC11" s="33">
        <f t="shared" si="2"/>
        <v>0</v>
      </c>
      <c r="AD11" s="12">
        <f t="shared" si="3"/>
        <v>92</v>
      </c>
      <c r="AE11" s="39"/>
      <c r="AF11" s="39"/>
      <c r="AG11" s="39"/>
      <c r="AH11" s="39"/>
      <c r="AI11" s="39"/>
      <c r="AJ11" s="23"/>
    </row>
    <row r="12" spans="1:36" x14ac:dyDescent="0.2">
      <c r="A12" s="5">
        <f>DAY(Kalenteri!A39)</f>
        <v>8</v>
      </c>
      <c r="B12" s="3" t="str">
        <f>IF(Kalenteri!B39=1,"su",IF(Kalenteri!B39=2,"ma",IF(Kalenteri!B39=3,"ti",IF(Kalenteri!B39=4,"ke",IF(Kalenteri!B39=5,"to",IF(Kalenteri!B39=6,"pe",IF(Kalenteri!B39=7,"la",)))))))</f>
        <v>pe</v>
      </c>
      <c r="C12" s="18">
        <v>48</v>
      </c>
      <c r="D12" s="10">
        <v>3</v>
      </c>
      <c r="E12" s="10"/>
      <c r="F12" s="11">
        <v>7</v>
      </c>
      <c r="G12" s="18">
        <v>2</v>
      </c>
      <c r="H12" s="11">
        <v>40</v>
      </c>
      <c r="I12" s="18"/>
      <c r="J12" s="11"/>
      <c r="K12" s="33">
        <f t="shared" si="0"/>
        <v>100</v>
      </c>
      <c r="L12" s="10"/>
      <c r="M12" s="10"/>
      <c r="N12" s="10"/>
      <c r="O12" s="11"/>
      <c r="P12" s="10"/>
      <c r="Q12" s="11"/>
      <c r="R12" s="30"/>
      <c r="S12" s="30"/>
      <c r="T12" s="33">
        <f t="shared" si="1"/>
        <v>0</v>
      </c>
      <c r="U12" s="10"/>
      <c r="V12" s="10"/>
      <c r="W12" s="10"/>
      <c r="X12" s="11"/>
      <c r="Y12" s="10"/>
      <c r="Z12" s="11"/>
      <c r="AA12" s="30"/>
      <c r="AB12" s="30"/>
      <c r="AC12" s="33">
        <f t="shared" si="2"/>
        <v>0</v>
      </c>
      <c r="AD12" s="12">
        <f t="shared" si="3"/>
        <v>100</v>
      </c>
      <c r="AE12" s="39"/>
      <c r="AF12" s="39"/>
      <c r="AG12" s="39"/>
      <c r="AH12" s="39"/>
      <c r="AI12" s="39"/>
      <c r="AJ12" s="23"/>
    </row>
    <row r="13" spans="1:36" x14ac:dyDescent="0.2">
      <c r="A13" s="5">
        <f>DAY(Kalenteri!A40)</f>
        <v>9</v>
      </c>
      <c r="B13" s="3" t="str">
        <f>IF(Kalenteri!B40=1,"su",IF(Kalenteri!B40=2,"ma",IF(Kalenteri!B40=3,"ti",IF(Kalenteri!B40=4,"ke",IF(Kalenteri!B40=5,"to",IF(Kalenteri!B40=6,"pe",IF(Kalenteri!B40=7,"la",)))))))</f>
        <v>la</v>
      </c>
      <c r="C13" s="18">
        <v>638</v>
      </c>
      <c r="D13" s="10">
        <v>91</v>
      </c>
      <c r="E13" s="10">
        <v>5</v>
      </c>
      <c r="F13" s="11">
        <v>42</v>
      </c>
      <c r="G13" s="18">
        <v>33</v>
      </c>
      <c r="H13" s="11">
        <v>112</v>
      </c>
      <c r="I13" s="18">
        <v>46</v>
      </c>
      <c r="J13" s="11">
        <v>69</v>
      </c>
      <c r="K13" s="33">
        <f t="shared" si="0"/>
        <v>1036</v>
      </c>
      <c r="L13" s="10"/>
      <c r="M13" s="10"/>
      <c r="N13" s="10"/>
      <c r="O13" s="11"/>
      <c r="P13" s="10"/>
      <c r="Q13" s="11"/>
      <c r="R13" s="30"/>
      <c r="S13" s="30"/>
      <c r="T13" s="33">
        <f t="shared" si="1"/>
        <v>0</v>
      </c>
      <c r="U13" s="10"/>
      <c r="V13" s="10"/>
      <c r="W13" s="10"/>
      <c r="X13" s="11"/>
      <c r="Y13" s="10"/>
      <c r="Z13" s="11"/>
      <c r="AA13" s="30"/>
      <c r="AB13" s="30"/>
      <c r="AC13" s="33">
        <f t="shared" si="2"/>
        <v>0</v>
      </c>
      <c r="AD13" s="12">
        <f t="shared" si="3"/>
        <v>1036</v>
      </c>
      <c r="AE13" s="39"/>
      <c r="AF13" s="39"/>
      <c r="AG13" s="39"/>
      <c r="AH13" s="39"/>
      <c r="AI13" s="39"/>
      <c r="AJ13" s="23"/>
    </row>
    <row r="14" spans="1:36" x14ac:dyDescent="0.2">
      <c r="A14" s="5">
        <f>DAY(Kalenteri!A41)</f>
        <v>10</v>
      </c>
      <c r="B14" s="3" t="str">
        <f>IF(Kalenteri!B41=1,"su",IF(Kalenteri!B41=2,"ma",IF(Kalenteri!B41=3,"ti",IF(Kalenteri!B41=4,"ke",IF(Kalenteri!B41=5,"to",IF(Kalenteri!B41=6,"pe",IF(Kalenteri!B41=7,"la",)))))))</f>
        <v>su</v>
      </c>
      <c r="C14" s="18">
        <v>904</v>
      </c>
      <c r="D14" s="10">
        <v>128</v>
      </c>
      <c r="E14" s="10">
        <v>6</v>
      </c>
      <c r="F14" s="11">
        <v>98</v>
      </c>
      <c r="G14" s="18">
        <v>50</v>
      </c>
      <c r="H14" s="11">
        <v>146</v>
      </c>
      <c r="I14" s="18">
        <v>54</v>
      </c>
      <c r="J14" s="11">
        <v>81</v>
      </c>
      <c r="K14" s="33">
        <f t="shared" si="0"/>
        <v>1467</v>
      </c>
      <c r="L14" s="10"/>
      <c r="M14" s="10"/>
      <c r="N14" s="10"/>
      <c r="O14" s="11"/>
      <c r="P14" s="10"/>
      <c r="Q14" s="11"/>
      <c r="R14" s="30"/>
      <c r="S14" s="30"/>
      <c r="T14" s="33">
        <f t="shared" si="1"/>
        <v>0</v>
      </c>
      <c r="U14" s="10"/>
      <c r="V14" s="10"/>
      <c r="W14" s="10"/>
      <c r="X14" s="11"/>
      <c r="Y14" s="10"/>
      <c r="Z14" s="11"/>
      <c r="AA14" s="30"/>
      <c r="AB14" s="30"/>
      <c r="AC14" s="33">
        <f t="shared" si="2"/>
        <v>0</v>
      </c>
      <c r="AD14" s="12">
        <f t="shared" si="3"/>
        <v>1467</v>
      </c>
      <c r="AE14" s="39"/>
      <c r="AF14" s="39"/>
      <c r="AG14" s="39"/>
      <c r="AH14" s="39"/>
      <c r="AI14" s="39"/>
      <c r="AJ14" s="23"/>
    </row>
    <row r="15" spans="1:36" x14ac:dyDescent="0.2">
      <c r="A15" s="5">
        <f>DAY(Kalenteri!A42)</f>
        <v>11</v>
      </c>
      <c r="B15" s="3" t="str">
        <f>IF(Kalenteri!B42=1,"su",IF(Kalenteri!B42=2,"ma",IF(Kalenteri!B42=3,"ti",IF(Kalenteri!B42=4,"ke",IF(Kalenteri!B42=5,"to",IF(Kalenteri!B42=6,"pe",IF(Kalenteri!B42=7,"la",)))))))</f>
        <v>ma</v>
      </c>
      <c r="C15" s="18">
        <v>37</v>
      </c>
      <c r="D15" s="10">
        <v>3</v>
      </c>
      <c r="E15" s="10">
        <v>3</v>
      </c>
      <c r="F15" s="11">
        <v>4</v>
      </c>
      <c r="G15" s="18"/>
      <c r="H15" s="11">
        <v>23</v>
      </c>
      <c r="I15" s="18"/>
      <c r="J15" s="11"/>
      <c r="K15" s="33">
        <f t="shared" si="0"/>
        <v>70</v>
      </c>
      <c r="L15" s="10"/>
      <c r="M15" s="10"/>
      <c r="N15" s="10"/>
      <c r="O15" s="11"/>
      <c r="P15" s="10"/>
      <c r="Q15" s="11"/>
      <c r="R15" s="30"/>
      <c r="S15" s="30"/>
      <c r="T15" s="33">
        <f t="shared" si="1"/>
        <v>0</v>
      </c>
      <c r="U15" s="10"/>
      <c r="V15" s="10"/>
      <c r="W15" s="10"/>
      <c r="X15" s="11"/>
      <c r="Y15" s="10"/>
      <c r="Z15" s="11"/>
      <c r="AA15" s="30"/>
      <c r="AB15" s="30"/>
      <c r="AC15" s="33">
        <f t="shared" si="2"/>
        <v>0</v>
      </c>
      <c r="AD15" s="12">
        <f t="shared" si="3"/>
        <v>70</v>
      </c>
      <c r="AE15" s="39"/>
      <c r="AF15" s="39"/>
      <c r="AG15" s="39"/>
      <c r="AH15" s="39"/>
      <c r="AI15" s="39"/>
      <c r="AJ15" s="23"/>
    </row>
    <row r="16" spans="1:36" x14ac:dyDescent="0.2">
      <c r="A16" s="5">
        <f>DAY(Kalenteri!A43)</f>
        <v>12</v>
      </c>
      <c r="B16" s="3" t="str">
        <f>IF(Kalenteri!B43=1,"su",IF(Kalenteri!B43=2,"ma",IF(Kalenteri!B43=3,"ti",IF(Kalenteri!B43=4,"ke",IF(Kalenteri!B43=5,"to",IF(Kalenteri!B43=6,"pe",IF(Kalenteri!B43=7,"la",)))))))</f>
        <v>ti</v>
      </c>
      <c r="C16" s="18">
        <v>131</v>
      </c>
      <c r="D16" s="10">
        <v>6</v>
      </c>
      <c r="E16" s="10">
        <v>2</v>
      </c>
      <c r="F16" s="11">
        <v>2</v>
      </c>
      <c r="G16" s="18"/>
      <c r="H16" s="11">
        <v>14</v>
      </c>
      <c r="I16" s="18"/>
      <c r="J16" s="11"/>
      <c r="K16" s="33">
        <f t="shared" si="0"/>
        <v>155</v>
      </c>
      <c r="L16" s="10"/>
      <c r="M16" s="10"/>
      <c r="N16" s="10"/>
      <c r="O16" s="11"/>
      <c r="P16" s="10"/>
      <c r="Q16" s="11"/>
      <c r="R16" s="30"/>
      <c r="S16" s="30"/>
      <c r="T16" s="33">
        <f t="shared" si="1"/>
        <v>0</v>
      </c>
      <c r="U16" s="10"/>
      <c r="V16" s="10"/>
      <c r="W16" s="10"/>
      <c r="X16" s="11"/>
      <c r="Y16" s="10"/>
      <c r="Z16" s="11"/>
      <c r="AA16" s="30"/>
      <c r="AB16" s="30"/>
      <c r="AC16" s="33">
        <f t="shared" si="2"/>
        <v>0</v>
      </c>
      <c r="AD16" s="12">
        <f t="shared" si="3"/>
        <v>155</v>
      </c>
      <c r="AE16" s="39"/>
      <c r="AF16" s="39"/>
      <c r="AG16" s="39"/>
      <c r="AH16" s="39"/>
      <c r="AI16" s="39"/>
      <c r="AJ16" s="23"/>
    </row>
    <row r="17" spans="1:36" x14ac:dyDescent="0.2">
      <c r="A17" s="5">
        <f>DAY(Kalenteri!A44)</f>
        <v>13</v>
      </c>
      <c r="B17" s="3" t="str">
        <f>IF(Kalenteri!B44=1,"su",IF(Kalenteri!B44=2,"ma",IF(Kalenteri!B44=3,"ti",IF(Kalenteri!B44=4,"ke",IF(Kalenteri!B44=5,"to",IF(Kalenteri!B44=6,"pe",IF(Kalenteri!B44=7,"la",)))))))</f>
        <v>ke</v>
      </c>
      <c r="C17" s="18">
        <v>134</v>
      </c>
      <c r="D17" s="10">
        <v>30</v>
      </c>
      <c r="E17" s="10">
        <v>1</v>
      </c>
      <c r="F17" s="11">
        <v>5</v>
      </c>
      <c r="G17" s="18">
        <v>10</v>
      </c>
      <c r="H17" s="11">
        <v>97</v>
      </c>
      <c r="I17" s="18"/>
      <c r="J17" s="11"/>
      <c r="K17" s="33">
        <f t="shared" si="0"/>
        <v>277</v>
      </c>
      <c r="L17" s="10"/>
      <c r="M17" s="10"/>
      <c r="N17" s="10"/>
      <c r="O17" s="11"/>
      <c r="P17" s="10"/>
      <c r="Q17" s="11"/>
      <c r="R17" s="30"/>
      <c r="S17" s="30"/>
      <c r="T17" s="33">
        <f t="shared" si="1"/>
        <v>0</v>
      </c>
      <c r="U17" s="10"/>
      <c r="V17" s="10"/>
      <c r="W17" s="10"/>
      <c r="X17" s="11"/>
      <c r="Y17" s="10"/>
      <c r="Z17" s="11"/>
      <c r="AA17" s="30"/>
      <c r="AB17" s="30"/>
      <c r="AC17" s="33">
        <f t="shared" si="2"/>
        <v>0</v>
      </c>
      <c r="AD17" s="12">
        <f t="shared" si="3"/>
        <v>277</v>
      </c>
      <c r="AE17" s="39"/>
      <c r="AF17" s="39"/>
      <c r="AG17" s="39"/>
      <c r="AH17" s="39"/>
      <c r="AI17" s="39"/>
      <c r="AJ17" s="23"/>
    </row>
    <row r="18" spans="1:36" x14ac:dyDescent="0.2">
      <c r="A18" s="5">
        <f>DAY(Kalenteri!A45)</f>
        <v>14</v>
      </c>
      <c r="B18" s="3" t="str">
        <f>IF(Kalenteri!B45=1,"su",IF(Kalenteri!B45=2,"ma",IF(Kalenteri!B45=3,"ti",IF(Kalenteri!B45=4,"ke",IF(Kalenteri!B45=5,"to",IF(Kalenteri!B45=6,"pe",IF(Kalenteri!B45=7,"la",)))))))</f>
        <v>to</v>
      </c>
      <c r="C18" s="18">
        <v>132</v>
      </c>
      <c r="D18" s="10">
        <v>10</v>
      </c>
      <c r="E18" s="10"/>
      <c r="F18" s="11">
        <v>12</v>
      </c>
      <c r="G18" s="18">
        <v>18</v>
      </c>
      <c r="H18" s="11">
        <v>51</v>
      </c>
      <c r="I18" s="18"/>
      <c r="J18" s="11"/>
      <c r="K18" s="33">
        <f t="shared" si="0"/>
        <v>223</v>
      </c>
      <c r="L18" s="10"/>
      <c r="M18" s="10"/>
      <c r="N18" s="10"/>
      <c r="O18" s="11"/>
      <c r="P18" s="10"/>
      <c r="Q18" s="11"/>
      <c r="R18" s="30"/>
      <c r="S18" s="30"/>
      <c r="T18" s="33">
        <f t="shared" si="1"/>
        <v>0</v>
      </c>
      <c r="U18" s="10"/>
      <c r="V18" s="10"/>
      <c r="W18" s="10"/>
      <c r="X18" s="11"/>
      <c r="Y18" s="10"/>
      <c r="Z18" s="11"/>
      <c r="AA18" s="30"/>
      <c r="AB18" s="30"/>
      <c r="AC18" s="33">
        <f t="shared" si="2"/>
        <v>0</v>
      </c>
      <c r="AD18" s="12">
        <f t="shared" si="3"/>
        <v>223</v>
      </c>
      <c r="AE18" s="39"/>
      <c r="AF18" s="39"/>
      <c r="AG18" s="39"/>
      <c r="AH18" s="39"/>
      <c r="AI18" s="39"/>
      <c r="AJ18" s="23"/>
    </row>
    <row r="19" spans="1:36" x14ac:dyDescent="0.2">
      <c r="A19" s="5">
        <f>DAY(Kalenteri!A46)</f>
        <v>15</v>
      </c>
      <c r="B19" s="3" t="str">
        <f>IF(Kalenteri!B46=1,"su",IF(Kalenteri!B46=2,"ma",IF(Kalenteri!B46=3,"ti",IF(Kalenteri!B46=4,"ke",IF(Kalenteri!B46=5,"to",IF(Kalenteri!B46=6,"pe",IF(Kalenteri!B46=7,"la",)))))))</f>
        <v>pe</v>
      </c>
      <c r="C19" s="18">
        <v>130</v>
      </c>
      <c r="D19" s="10">
        <v>18</v>
      </c>
      <c r="E19" s="10"/>
      <c r="F19" s="11">
        <v>4</v>
      </c>
      <c r="G19" s="18">
        <v>8</v>
      </c>
      <c r="H19" s="11">
        <v>51</v>
      </c>
      <c r="I19" s="18"/>
      <c r="J19" s="11"/>
      <c r="K19" s="33">
        <f t="shared" si="0"/>
        <v>211</v>
      </c>
      <c r="L19" s="10"/>
      <c r="M19" s="10"/>
      <c r="N19" s="10"/>
      <c r="O19" s="11"/>
      <c r="P19" s="10"/>
      <c r="Q19" s="11"/>
      <c r="R19" s="30"/>
      <c r="S19" s="30"/>
      <c r="T19" s="33">
        <f t="shared" si="1"/>
        <v>0</v>
      </c>
      <c r="U19" s="10"/>
      <c r="V19" s="10"/>
      <c r="W19" s="10"/>
      <c r="X19" s="11"/>
      <c r="Y19" s="10"/>
      <c r="Z19" s="11"/>
      <c r="AA19" s="30"/>
      <c r="AB19" s="30"/>
      <c r="AC19" s="33">
        <f t="shared" si="2"/>
        <v>0</v>
      </c>
      <c r="AD19" s="12">
        <f t="shared" si="3"/>
        <v>211</v>
      </c>
      <c r="AE19" s="39"/>
      <c r="AF19" s="39"/>
      <c r="AG19" s="39"/>
      <c r="AH19" s="39"/>
      <c r="AI19" s="39"/>
      <c r="AJ19" s="23"/>
    </row>
    <row r="20" spans="1:36" x14ac:dyDescent="0.2">
      <c r="A20" s="5">
        <f>DAY(Kalenteri!A47)</f>
        <v>16</v>
      </c>
      <c r="B20" s="3" t="str">
        <f>IF(Kalenteri!B47=1,"su",IF(Kalenteri!B47=2,"ma",IF(Kalenteri!B47=3,"ti",IF(Kalenteri!B47=4,"ke",IF(Kalenteri!B47=5,"to",IF(Kalenteri!B47=6,"pe",IF(Kalenteri!B47=7,"la",)))))))</f>
        <v>la</v>
      </c>
      <c r="C20" s="18">
        <v>605</v>
      </c>
      <c r="D20" s="10">
        <v>108</v>
      </c>
      <c r="E20" s="10"/>
      <c r="F20" s="11">
        <v>17</v>
      </c>
      <c r="G20" s="18">
        <v>1</v>
      </c>
      <c r="H20" s="11">
        <v>103</v>
      </c>
      <c r="I20" s="18"/>
      <c r="J20" s="11"/>
      <c r="K20" s="33">
        <f t="shared" si="0"/>
        <v>834</v>
      </c>
      <c r="L20" s="10"/>
      <c r="M20" s="10"/>
      <c r="N20" s="10"/>
      <c r="O20" s="11"/>
      <c r="P20" s="10"/>
      <c r="Q20" s="11"/>
      <c r="R20" s="30"/>
      <c r="S20" s="30"/>
      <c r="T20" s="33">
        <f t="shared" si="1"/>
        <v>0</v>
      </c>
      <c r="U20" s="10"/>
      <c r="V20" s="10"/>
      <c r="W20" s="10"/>
      <c r="X20" s="11"/>
      <c r="Y20" s="10"/>
      <c r="Z20" s="11"/>
      <c r="AA20" s="30"/>
      <c r="AB20" s="30"/>
      <c r="AC20" s="33">
        <f t="shared" si="2"/>
        <v>0</v>
      </c>
      <c r="AD20" s="12">
        <f t="shared" si="3"/>
        <v>834</v>
      </c>
      <c r="AE20" s="39"/>
      <c r="AF20" s="39"/>
      <c r="AG20" s="39"/>
      <c r="AH20" s="39"/>
      <c r="AI20" s="39"/>
      <c r="AJ20" s="23"/>
    </row>
    <row r="21" spans="1:36" x14ac:dyDescent="0.2">
      <c r="A21" s="5">
        <f>DAY(Kalenteri!A48)</f>
        <v>17</v>
      </c>
      <c r="B21" s="3" t="str">
        <f>IF(Kalenteri!B48=1,"su",IF(Kalenteri!B48=2,"ma",IF(Kalenteri!B48=3,"ti",IF(Kalenteri!B48=4,"ke",IF(Kalenteri!B48=5,"to",IF(Kalenteri!B48=6,"pe",IF(Kalenteri!B48=7,"la",)))))))</f>
        <v>su</v>
      </c>
      <c r="C21" s="18">
        <v>526</v>
      </c>
      <c r="D21" s="10">
        <v>98</v>
      </c>
      <c r="E21" s="10">
        <v>3</v>
      </c>
      <c r="F21" s="11">
        <v>44</v>
      </c>
      <c r="G21" s="18"/>
      <c r="H21" s="11">
        <v>119</v>
      </c>
      <c r="I21" s="18"/>
      <c r="J21" s="11"/>
      <c r="K21" s="33">
        <f t="shared" si="0"/>
        <v>790</v>
      </c>
      <c r="L21" s="10"/>
      <c r="M21" s="10"/>
      <c r="N21" s="10"/>
      <c r="O21" s="11"/>
      <c r="P21" s="10"/>
      <c r="Q21" s="11"/>
      <c r="R21" s="30"/>
      <c r="S21" s="30"/>
      <c r="T21" s="33">
        <f t="shared" si="1"/>
        <v>0</v>
      </c>
      <c r="U21" s="10"/>
      <c r="V21" s="10"/>
      <c r="W21" s="10"/>
      <c r="X21" s="11"/>
      <c r="Y21" s="10"/>
      <c r="Z21" s="11"/>
      <c r="AA21" s="30"/>
      <c r="AB21" s="30"/>
      <c r="AC21" s="33">
        <f t="shared" si="2"/>
        <v>0</v>
      </c>
      <c r="AD21" s="12">
        <f t="shared" si="3"/>
        <v>790</v>
      </c>
      <c r="AE21" s="39"/>
      <c r="AF21" s="39"/>
      <c r="AG21" s="39"/>
      <c r="AH21" s="39"/>
      <c r="AI21" s="39"/>
      <c r="AJ21" s="23"/>
    </row>
    <row r="22" spans="1:36" x14ac:dyDescent="0.2">
      <c r="A22" s="5">
        <f>DAY(Kalenteri!A49)</f>
        <v>18</v>
      </c>
      <c r="B22" s="3" t="str">
        <f>IF(Kalenteri!B49=1,"su",IF(Kalenteri!B49=2,"ma",IF(Kalenteri!B49=3,"ti",IF(Kalenteri!B49=4,"ke",IF(Kalenteri!B49=5,"to",IF(Kalenteri!B49=6,"pe",IF(Kalenteri!B49=7,"la",)))))))</f>
        <v>ma</v>
      </c>
      <c r="C22" s="18">
        <v>34</v>
      </c>
      <c r="D22" s="10">
        <v>22</v>
      </c>
      <c r="E22" s="10"/>
      <c r="F22" s="11">
        <v>5</v>
      </c>
      <c r="G22" s="18">
        <v>9</v>
      </c>
      <c r="H22" s="11">
        <v>60</v>
      </c>
      <c r="I22" s="18"/>
      <c r="J22" s="11"/>
      <c r="K22" s="33">
        <f t="shared" si="0"/>
        <v>130</v>
      </c>
      <c r="L22" s="10"/>
      <c r="M22" s="10"/>
      <c r="N22" s="10"/>
      <c r="O22" s="11"/>
      <c r="P22" s="10"/>
      <c r="Q22" s="11"/>
      <c r="R22" s="30"/>
      <c r="S22" s="30"/>
      <c r="T22" s="33">
        <f t="shared" si="1"/>
        <v>0</v>
      </c>
      <c r="U22" s="10"/>
      <c r="V22" s="10"/>
      <c r="W22" s="10"/>
      <c r="X22" s="11"/>
      <c r="Y22" s="10"/>
      <c r="Z22" s="11"/>
      <c r="AA22" s="30"/>
      <c r="AB22" s="30"/>
      <c r="AC22" s="33">
        <f t="shared" si="2"/>
        <v>0</v>
      </c>
      <c r="AD22" s="12">
        <f t="shared" si="3"/>
        <v>130</v>
      </c>
      <c r="AE22" s="39"/>
      <c r="AF22" s="39"/>
      <c r="AG22" s="39"/>
      <c r="AH22" s="39"/>
      <c r="AI22" s="39"/>
      <c r="AJ22" s="23"/>
    </row>
    <row r="23" spans="1:36" x14ac:dyDescent="0.2">
      <c r="A23" s="5">
        <f>DAY(Kalenteri!A50)</f>
        <v>19</v>
      </c>
      <c r="B23" s="3" t="str">
        <f>IF(Kalenteri!B50=1,"su",IF(Kalenteri!B50=2,"ma",IF(Kalenteri!B50=3,"ti",IF(Kalenteri!B50=4,"ke",IF(Kalenteri!B50=5,"to",IF(Kalenteri!B50=6,"pe",IF(Kalenteri!B50=7,"la",)))))))</f>
        <v>ti</v>
      </c>
      <c r="C23" s="18">
        <v>208</v>
      </c>
      <c r="D23" s="10">
        <v>135</v>
      </c>
      <c r="E23" s="10">
        <v>5</v>
      </c>
      <c r="F23" s="11">
        <v>12</v>
      </c>
      <c r="G23" s="18">
        <v>11</v>
      </c>
      <c r="H23" s="11">
        <v>79</v>
      </c>
      <c r="I23" s="18"/>
      <c r="J23" s="11"/>
      <c r="K23" s="33">
        <f t="shared" si="0"/>
        <v>450</v>
      </c>
      <c r="L23" s="10"/>
      <c r="M23" s="10"/>
      <c r="N23" s="10"/>
      <c r="O23" s="11"/>
      <c r="P23" s="10"/>
      <c r="Q23" s="11"/>
      <c r="R23" s="30"/>
      <c r="S23" s="30"/>
      <c r="T23" s="33">
        <f t="shared" si="1"/>
        <v>0</v>
      </c>
      <c r="U23" s="10"/>
      <c r="V23" s="10"/>
      <c r="W23" s="10"/>
      <c r="X23" s="11"/>
      <c r="Y23" s="10"/>
      <c r="Z23" s="11"/>
      <c r="AA23" s="30"/>
      <c r="AB23" s="30"/>
      <c r="AC23" s="33">
        <f t="shared" si="2"/>
        <v>0</v>
      </c>
      <c r="AD23" s="12">
        <f t="shared" si="3"/>
        <v>450</v>
      </c>
      <c r="AE23" s="39"/>
      <c r="AF23" s="39"/>
      <c r="AG23" s="39"/>
      <c r="AH23" s="39"/>
      <c r="AI23" s="39"/>
      <c r="AJ23" s="23"/>
    </row>
    <row r="24" spans="1:36" x14ac:dyDescent="0.2">
      <c r="A24" s="5">
        <f>DAY(Kalenteri!A51)</f>
        <v>20</v>
      </c>
      <c r="B24" s="3" t="str">
        <f>IF(Kalenteri!B51=1,"su",IF(Kalenteri!B51=2,"ma",IF(Kalenteri!B51=3,"ti",IF(Kalenteri!B51=4,"ke",IF(Kalenteri!B51=5,"to",IF(Kalenteri!B51=6,"pe",IF(Kalenteri!B51=7,"la",)))))))</f>
        <v>ke</v>
      </c>
      <c r="C24" s="18">
        <v>275</v>
      </c>
      <c r="D24" s="10">
        <v>186</v>
      </c>
      <c r="E24" s="10"/>
      <c r="F24" s="11">
        <v>29</v>
      </c>
      <c r="G24" s="18">
        <v>16</v>
      </c>
      <c r="H24" s="11">
        <v>88</v>
      </c>
      <c r="I24" s="18"/>
      <c r="J24" s="11"/>
      <c r="K24" s="33">
        <f t="shared" si="0"/>
        <v>594</v>
      </c>
      <c r="L24" s="10"/>
      <c r="M24" s="10"/>
      <c r="N24" s="10"/>
      <c r="O24" s="11"/>
      <c r="P24" s="10"/>
      <c r="Q24" s="11"/>
      <c r="R24" s="30"/>
      <c r="S24" s="30"/>
      <c r="T24" s="33">
        <f t="shared" si="1"/>
        <v>0</v>
      </c>
      <c r="U24" s="10"/>
      <c r="V24" s="10"/>
      <c r="W24" s="10"/>
      <c r="X24" s="11"/>
      <c r="Y24" s="10"/>
      <c r="Z24" s="11"/>
      <c r="AA24" s="30"/>
      <c r="AB24" s="30"/>
      <c r="AC24" s="33">
        <f t="shared" si="2"/>
        <v>0</v>
      </c>
      <c r="AD24" s="12">
        <f t="shared" si="3"/>
        <v>594</v>
      </c>
      <c r="AE24" s="39"/>
      <c r="AF24" s="39"/>
      <c r="AG24" s="39"/>
      <c r="AH24" s="39"/>
      <c r="AI24" s="39"/>
      <c r="AJ24" s="39"/>
    </row>
    <row r="25" spans="1:36" x14ac:dyDescent="0.2">
      <c r="A25" s="5">
        <f>DAY(Kalenteri!A52)</f>
        <v>21</v>
      </c>
      <c r="B25" s="3" t="str">
        <f>IF(Kalenteri!B52=1,"su",IF(Kalenteri!B52=2,"ma",IF(Kalenteri!B52=3,"ti",IF(Kalenteri!B52=4,"ke",IF(Kalenteri!B52=5,"to",IF(Kalenteri!B52=6,"pe",IF(Kalenteri!B52=7,"la",)))))))</f>
        <v>to</v>
      </c>
      <c r="C25" s="18">
        <v>302</v>
      </c>
      <c r="D25" s="10">
        <v>194</v>
      </c>
      <c r="E25" s="10">
        <v>5</v>
      </c>
      <c r="F25" s="11">
        <v>19</v>
      </c>
      <c r="G25" s="18"/>
      <c r="H25" s="11">
        <v>86</v>
      </c>
      <c r="I25" s="18"/>
      <c r="J25" s="11"/>
      <c r="K25" s="33">
        <f t="shared" si="0"/>
        <v>606</v>
      </c>
      <c r="L25" s="10"/>
      <c r="M25" s="10"/>
      <c r="N25" s="10"/>
      <c r="O25" s="11"/>
      <c r="P25" s="10"/>
      <c r="Q25" s="11"/>
      <c r="R25" s="30"/>
      <c r="S25" s="30"/>
      <c r="T25" s="33">
        <f t="shared" si="1"/>
        <v>0</v>
      </c>
      <c r="U25" s="10"/>
      <c r="V25" s="10"/>
      <c r="W25" s="10"/>
      <c r="X25" s="11"/>
      <c r="Y25" s="10"/>
      <c r="Z25" s="11"/>
      <c r="AA25" s="30"/>
      <c r="AB25" s="30"/>
      <c r="AC25" s="33">
        <f t="shared" si="2"/>
        <v>0</v>
      </c>
      <c r="AD25" s="12">
        <f t="shared" si="3"/>
        <v>606</v>
      </c>
      <c r="AE25" s="39"/>
      <c r="AF25" s="39"/>
      <c r="AG25" s="39"/>
      <c r="AH25" s="39"/>
      <c r="AI25" s="39"/>
      <c r="AJ25" s="39"/>
    </row>
    <row r="26" spans="1:36" x14ac:dyDescent="0.2">
      <c r="A26" s="5">
        <f>DAY(Kalenteri!A53)</f>
        <v>22</v>
      </c>
      <c r="B26" s="3" t="str">
        <f>IF(Kalenteri!B53=1,"su",IF(Kalenteri!B53=2,"ma",IF(Kalenteri!B53=3,"ti",IF(Kalenteri!B53=4,"ke",IF(Kalenteri!B53=5,"to",IF(Kalenteri!B53=6,"pe",IF(Kalenteri!B53=7,"la",)))))))</f>
        <v>pe</v>
      </c>
      <c r="C26" s="18">
        <v>350</v>
      </c>
      <c r="D26" s="10">
        <v>218</v>
      </c>
      <c r="E26" s="10"/>
      <c r="F26" s="11">
        <v>9</v>
      </c>
      <c r="G26" s="18"/>
      <c r="H26" s="11">
        <v>107</v>
      </c>
      <c r="I26" s="18"/>
      <c r="J26" s="11"/>
      <c r="K26" s="33">
        <f t="shared" si="0"/>
        <v>684</v>
      </c>
      <c r="L26" s="10"/>
      <c r="M26" s="10"/>
      <c r="N26" s="10"/>
      <c r="O26" s="11"/>
      <c r="P26" s="10"/>
      <c r="Q26" s="11"/>
      <c r="R26" s="30"/>
      <c r="S26" s="30"/>
      <c r="T26" s="33">
        <f t="shared" si="1"/>
        <v>0</v>
      </c>
      <c r="U26" s="10"/>
      <c r="V26" s="10"/>
      <c r="W26" s="10"/>
      <c r="X26" s="11"/>
      <c r="Y26" s="10"/>
      <c r="Z26" s="11"/>
      <c r="AA26" s="30"/>
      <c r="AB26" s="30"/>
      <c r="AC26" s="33">
        <f t="shared" si="2"/>
        <v>0</v>
      </c>
      <c r="AD26" s="12">
        <f t="shared" si="3"/>
        <v>684</v>
      </c>
      <c r="AE26" s="39"/>
      <c r="AF26" s="39"/>
      <c r="AG26" s="39"/>
      <c r="AH26" s="39"/>
      <c r="AI26" s="39"/>
      <c r="AJ26" s="39"/>
    </row>
    <row r="27" spans="1:36" x14ac:dyDescent="0.2">
      <c r="A27" s="5">
        <f>DAY(Kalenteri!A54)</f>
        <v>23</v>
      </c>
      <c r="B27" s="3" t="str">
        <f>IF(Kalenteri!B54=1,"su",IF(Kalenteri!B54=2,"ma",IF(Kalenteri!B54=3,"ti",IF(Kalenteri!B54=4,"ke",IF(Kalenteri!B54=5,"to",IF(Kalenteri!B54=6,"pe",IF(Kalenteri!B54=7,"la",)))))))</f>
        <v>la</v>
      </c>
      <c r="C27" s="18">
        <v>454</v>
      </c>
      <c r="D27" s="10">
        <v>121</v>
      </c>
      <c r="E27" s="10"/>
      <c r="F27" s="11">
        <v>23</v>
      </c>
      <c r="G27" s="18">
        <v>1</v>
      </c>
      <c r="H27" s="11">
        <v>136</v>
      </c>
      <c r="I27" s="18"/>
      <c r="J27" s="11"/>
      <c r="K27" s="33">
        <f t="shared" si="0"/>
        <v>735</v>
      </c>
      <c r="L27" s="10"/>
      <c r="M27" s="10"/>
      <c r="N27" s="10"/>
      <c r="O27" s="11"/>
      <c r="P27" s="10"/>
      <c r="Q27" s="11"/>
      <c r="R27" s="30"/>
      <c r="S27" s="30"/>
      <c r="T27" s="33">
        <f t="shared" si="1"/>
        <v>0</v>
      </c>
      <c r="U27" s="10"/>
      <c r="V27" s="10"/>
      <c r="W27" s="10"/>
      <c r="X27" s="11"/>
      <c r="Y27" s="10"/>
      <c r="Z27" s="11"/>
      <c r="AA27" s="30"/>
      <c r="AB27" s="30"/>
      <c r="AC27" s="33">
        <f t="shared" si="2"/>
        <v>0</v>
      </c>
      <c r="AD27" s="12">
        <f t="shared" si="3"/>
        <v>735</v>
      </c>
      <c r="AE27" s="39"/>
      <c r="AF27" s="39"/>
      <c r="AG27" s="39"/>
      <c r="AH27" s="39"/>
      <c r="AI27" s="39"/>
      <c r="AJ27" s="39"/>
    </row>
    <row r="28" spans="1:36" x14ac:dyDescent="0.2">
      <c r="A28" s="5">
        <f>DAY(Kalenteri!A55)</f>
        <v>24</v>
      </c>
      <c r="B28" s="3" t="str">
        <f>IF(Kalenteri!B55=1,"su",IF(Kalenteri!B55=2,"ma",IF(Kalenteri!B55=3,"ti",IF(Kalenteri!B55=4,"ke",IF(Kalenteri!B55=5,"to",IF(Kalenteri!B55=6,"pe",IF(Kalenteri!B55=7,"la",)))))))</f>
        <v>su</v>
      </c>
      <c r="C28" s="18">
        <v>649</v>
      </c>
      <c r="D28" s="10">
        <v>176</v>
      </c>
      <c r="E28" s="10"/>
      <c r="F28" s="11">
        <v>54</v>
      </c>
      <c r="G28" s="18">
        <v>5</v>
      </c>
      <c r="H28" s="11">
        <v>162</v>
      </c>
      <c r="I28" s="18"/>
      <c r="J28" s="11"/>
      <c r="K28" s="33">
        <f t="shared" si="0"/>
        <v>1046</v>
      </c>
      <c r="L28" s="10"/>
      <c r="M28" s="10"/>
      <c r="N28" s="10"/>
      <c r="O28" s="11"/>
      <c r="P28" s="10"/>
      <c r="Q28" s="11"/>
      <c r="R28" s="30"/>
      <c r="S28" s="30"/>
      <c r="T28" s="33">
        <f t="shared" si="1"/>
        <v>0</v>
      </c>
      <c r="U28" s="10"/>
      <c r="V28" s="10"/>
      <c r="W28" s="10"/>
      <c r="X28" s="11"/>
      <c r="Y28" s="10"/>
      <c r="Z28" s="11"/>
      <c r="AA28" s="30"/>
      <c r="AB28" s="30"/>
      <c r="AC28" s="33">
        <f t="shared" si="2"/>
        <v>0</v>
      </c>
      <c r="AD28" s="12">
        <f t="shared" si="3"/>
        <v>1046</v>
      </c>
      <c r="AE28" s="39"/>
      <c r="AF28" s="39"/>
      <c r="AG28" s="39"/>
      <c r="AH28" s="39"/>
      <c r="AI28" s="39"/>
      <c r="AJ28" s="39"/>
    </row>
    <row r="29" spans="1:36" x14ac:dyDescent="0.2">
      <c r="A29" s="5">
        <f>DAY(Kalenteri!A56)</f>
        <v>25</v>
      </c>
      <c r="B29" s="3" t="str">
        <f>IF(Kalenteri!B56=1,"su",IF(Kalenteri!B56=2,"ma",IF(Kalenteri!B56=3,"ti",IF(Kalenteri!B56=4,"ke",IF(Kalenteri!B56=5,"to",IF(Kalenteri!B56=6,"pe",IF(Kalenteri!B56=7,"la",)))))))</f>
        <v>ma</v>
      </c>
      <c r="C29" s="18">
        <v>34</v>
      </c>
      <c r="D29" s="10">
        <v>3</v>
      </c>
      <c r="E29" s="10"/>
      <c r="F29" s="11">
        <v>3</v>
      </c>
      <c r="G29" s="18">
        <v>8</v>
      </c>
      <c r="H29" s="11">
        <v>65</v>
      </c>
      <c r="I29" s="18"/>
      <c r="J29" s="11"/>
      <c r="K29" s="33">
        <f t="shared" si="0"/>
        <v>113</v>
      </c>
      <c r="L29" s="10"/>
      <c r="M29" s="10"/>
      <c r="N29" s="10"/>
      <c r="O29" s="11"/>
      <c r="P29" s="10"/>
      <c r="Q29" s="11"/>
      <c r="R29" s="30"/>
      <c r="S29" s="30"/>
      <c r="T29" s="33">
        <f t="shared" si="1"/>
        <v>0</v>
      </c>
      <c r="U29" s="10"/>
      <c r="V29" s="10"/>
      <c r="W29" s="10"/>
      <c r="X29" s="11"/>
      <c r="Y29" s="10"/>
      <c r="Z29" s="11"/>
      <c r="AA29" s="30"/>
      <c r="AB29" s="30"/>
      <c r="AC29" s="33">
        <f t="shared" si="2"/>
        <v>0</v>
      </c>
      <c r="AD29" s="12">
        <f t="shared" si="3"/>
        <v>113</v>
      </c>
      <c r="AE29" s="39"/>
      <c r="AF29" s="39"/>
      <c r="AG29" s="39"/>
      <c r="AH29" s="39"/>
      <c r="AI29" s="39"/>
      <c r="AJ29" s="39"/>
    </row>
    <row r="30" spans="1:36" x14ac:dyDescent="0.2">
      <c r="A30" s="5">
        <f>DAY(Kalenteri!A57)</f>
        <v>26</v>
      </c>
      <c r="B30" s="3" t="str">
        <f>IF(Kalenteri!B57=1,"su",IF(Kalenteri!B57=2,"ma",IF(Kalenteri!B57=3,"ti",IF(Kalenteri!B57=4,"ke",IF(Kalenteri!B57=5,"to",IF(Kalenteri!B57=6,"pe",IF(Kalenteri!B57=7,"la",)))))))</f>
        <v>ti</v>
      </c>
      <c r="C30" s="18">
        <v>102</v>
      </c>
      <c r="D30" s="10">
        <v>40</v>
      </c>
      <c r="E30" s="10"/>
      <c r="F30" s="11">
        <v>3</v>
      </c>
      <c r="G30" s="18">
        <v>3</v>
      </c>
      <c r="H30" s="11">
        <v>42</v>
      </c>
      <c r="I30" s="18"/>
      <c r="J30" s="11"/>
      <c r="K30" s="33">
        <f t="shared" si="0"/>
        <v>190</v>
      </c>
      <c r="L30" s="10"/>
      <c r="M30" s="10"/>
      <c r="N30" s="10"/>
      <c r="O30" s="11"/>
      <c r="P30" s="10"/>
      <c r="Q30" s="11"/>
      <c r="R30" s="30"/>
      <c r="S30" s="30"/>
      <c r="T30" s="33">
        <f t="shared" si="1"/>
        <v>0</v>
      </c>
      <c r="U30" s="10"/>
      <c r="V30" s="10"/>
      <c r="W30" s="10"/>
      <c r="X30" s="11"/>
      <c r="Y30" s="10"/>
      <c r="Z30" s="11"/>
      <c r="AA30" s="30"/>
      <c r="AB30" s="30"/>
      <c r="AC30" s="33">
        <f t="shared" si="2"/>
        <v>0</v>
      </c>
      <c r="AD30" s="12">
        <f t="shared" si="3"/>
        <v>190</v>
      </c>
      <c r="AE30" s="39"/>
      <c r="AF30" s="39"/>
      <c r="AG30" s="39"/>
      <c r="AH30" s="39"/>
      <c r="AI30" s="39"/>
      <c r="AJ30" s="39"/>
    </row>
    <row r="31" spans="1:36" x14ac:dyDescent="0.2">
      <c r="A31" s="5">
        <f>DAY(Kalenteri!A58)</f>
        <v>27</v>
      </c>
      <c r="B31" s="3" t="str">
        <f>IF(Kalenteri!B58=1,"su",IF(Kalenteri!B58=2,"ma",IF(Kalenteri!B58=3,"ti",IF(Kalenteri!B58=4,"ke",IF(Kalenteri!B58=5,"to",IF(Kalenteri!B58=6,"pe",IF(Kalenteri!B58=7,"la",)))))))</f>
        <v>ke</v>
      </c>
      <c r="C31" s="18">
        <v>159</v>
      </c>
      <c r="D31" s="10">
        <v>42</v>
      </c>
      <c r="E31" s="10">
        <v>2</v>
      </c>
      <c r="F31" s="11">
        <v>4</v>
      </c>
      <c r="G31" s="18">
        <v>23</v>
      </c>
      <c r="H31" s="11">
        <v>105</v>
      </c>
      <c r="I31" s="18"/>
      <c r="J31" s="11"/>
      <c r="K31" s="33">
        <f t="shared" si="0"/>
        <v>335</v>
      </c>
      <c r="L31" s="10"/>
      <c r="M31" s="10"/>
      <c r="N31" s="10"/>
      <c r="O31" s="11"/>
      <c r="P31" s="10"/>
      <c r="Q31" s="11"/>
      <c r="R31" s="30"/>
      <c r="S31" s="30"/>
      <c r="T31" s="33">
        <f t="shared" si="1"/>
        <v>0</v>
      </c>
      <c r="U31" s="10"/>
      <c r="V31" s="10"/>
      <c r="W31" s="10"/>
      <c r="X31" s="11"/>
      <c r="Y31" s="10"/>
      <c r="Z31" s="11"/>
      <c r="AA31" s="30"/>
      <c r="AB31" s="30"/>
      <c r="AC31" s="33">
        <f t="shared" si="2"/>
        <v>0</v>
      </c>
      <c r="AD31" s="12">
        <f t="shared" si="3"/>
        <v>335</v>
      </c>
      <c r="AE31" s="39"/>
      <c r="AF31" s="39"/>
      <c r="AG31" s="39"/>
      <c r="AH31" s="39"/>
      <c r="AI31" s="39"/>
      <c r="AJ31" s="39"/>
    </row>
    <row r="32" spans="1:36" x14ac:dyDescent="0.2">
      <c r="A32" s="5">
        <f>DAY(Kalenteri!A59)</f>
        <v>28</v>
      </c>
      <c r="B32" s="3" t="str">
        <f>IF(Kalenteri!B59=1,"su",IF(Kalenteri!B59=2,"ma",IF(Kalenteri!B59=3,"ti",IF(Kalenteri!B59=4,"ke",IF(Kalenteri!B59=5,"to",IF(Kalenteri!B59=6,"pe",IF(Kalenteri!B59=7,"la",)))))))</f>
        <v>to</v>
      </c>
      <c r="C32" s="18">
        <v>150</v>
      </c>
      <c r="D32" s="10">
        <v>115</v>
      </c>
      <c r="E32" s="10"/>
      <c r="F32" s="11">
        <v>1</v>
      </c>
      <c r="G32" s="18">
        <v>13</v>
      </c>
      <c r="H32" s="11">
        <v>150</v>
      </c>
      <c r="I32" s="18"/>
      <c r="J32" s="11"/>
      <c r="K32" s="33">
        <f t="shared" si="0"/>
        <v>429</v>
      </c>
      <c r="L32" s="10"/>
      <c r="M32" s="10"/>
      <c r="N32" s="10"/>
      <c r="O32" s="11"/>
      <c r="P32" s="10"/>
      <c r="Q32" s="11"/>
      <c r="R32" s="30"/>
      <c r="S32" s="30"/>
      <c r="T32" s="33">
        <f t="shared" si="1"/>
        <v>0</v>
      </c>
      <c r="U32" s="10"/>
      <c r="V32" s="10"/>
      <c r="W32" s="10"/>
      <c r="X32" s="11"/>
      <c r="Y32" s="10"/>
      <c r="Z32" s="11"/>
      <c r="AA32" s="30"/>
      <c r="AB32" s="30"/>
      <c r="AC32" s="33">
        <f t="shared" si="2"/>
        <v>0</v>
      </c>
      <c r="AD32" s="12">
        <f t="shared" si="3"/>
        <v>429</v>
      </c>
      <c r="AE32" s="39"/>
      <c r="AF32" s="39"/>
      <c r="AG32" s="39"/>
      <c r="AH32" s="39"/>
      <c r="AI32" s="39"/>
      <c r="AJ32" s="39"/>
    </row>
    <row r="33" spans="1:36" x14ac:dyDescent="0.2">
      <c r="A33" s="5"/>
      <c r="B33" s="5"/>
      <c r="C33" s="18"/>
      <c r="D33" s="10"/>
      <c r="E33" s="10"/>
      <c r="F33" s="11"/>
      <c r="G33" s="18"/>
      <c r="H33" s="11"/>
      <c r="I33" s="18"/>
      <c r="J33" s="11"/>
      <c r="K33" s="33">
        <f t="shared" si="0"/>
        <v>0</v>
      </c>
      <c r="L33" s="10"/>
      <c r="M33" s="10"/>
      <c r="N33" s="10"/>
      <c r="O33" s="11"/>
      <c r="P33" s="10"/>
      <c r="Q33" s="11"/>
      <c r="R33" s="30"/>
      <c r="S33" s="30"/>
      <c r="T33" s="33">
        <f t="shared" si="1"/>
        <v>0</v>
      </c>
      <c r="U33" s="10"/>
      <c r="V33" s="10"/>
      <c r="W33" s="10"/>
      <c r="X33" s="11"/>
      <c r="Y33" s="10"/>
      <c r="Z33" s="11"/>
      <c r="AA33" s="30"/>
      <c r="AB33" s="30"/>
      <c r="AC33" s="33">
        <f t="shared" si="2"/>
        <v>0</v>
      </c>
      <c r="AD33" s="12">
        <f t="shared" si="3"/>
        <v>0</v>
      </c>
      <c r="AE33" s="39"/>
      <c r="AF33" s="39"/>
      <c r="AG33" s="39"/>
      <c r="AH33" s="39"/>
      <c r="AI33" s="39"/>
      <c r="AJ33" s="39"/>
    </row>
    <row r="34" spans="1:36" x14ac:dyDescent="0.2">
      <c r="A34" s="5"/>
      <c r="B34" s="3"/>
      <c r="C34" s="18"/>
      <c r="D34" s="10"/>
      <c r="E34" s="10"/>
      <c r="F34" s="11"/>
      <c r="G34" s="18"/>
      <c r="H34" s="11"/>
      <c r="I34" s="18"/>
      <c r="J34" s="11"/>
      <c r="K34" s="33">
        <f t="shared" si="0"/>
        <v>0</v>
      </c>
      <c r="L34" s="10"/>
      <c r="M34" s="10"/>
      <c r="N34" s="10"/>
      <c r="O34" s="11"/>
      <c r="P34" s="10"/>
      <c r="Q34" s="11"/>
      <c r="R34" s="30"/>
      <c r="S34" s="30"/>
      <c r="T34" s="33">
        <f t="shared" si="1"/>
        <v>0</v>
      </c>
      <c r="U34" s="10"/>
      <c r="V34" s="10"/>
      <c r="W34" s="10"/>
      <c r="X34" s="11"/>
      <c r="Y34" s="10"/>
      <c r="Z34" s="11"/>
      <c r="AA34" s="30"/>
      <c r="AB34" s="30"/>
      <c r="AC34" s="33">
        <f t="shared" si="2"/>
        <v>0</v>
      </c>
      <c r="AD34" s="12">
        <f t="shared" si="3"/>
        <v>0</v>
      </c>
      <c r="AE34" s="39"/>
      <c r="AF34" s="39"/>
      <c r="AG34" s="39"/>
      <c r="AH34" s="39"/>
      <c r="AI34" s="39"/>
      <c r="AJ34" s="39"/>
    </row>
    <row r="35" spans="1:36" x14ac:dyDescent="0.2">
      <c r="A35" s="5"/>
      <c r="B35" s="3"/>
      <c r="C35" s="79"/>
      <c r="D35" s="80"/>
      <c r="E35" s="80"/>
      <c r="F35" s="81"/>
      <c r="G35" s="79"/>
      <c r="H35" s="81"/>
      <c r="I35" s="79"/>
      <c r="J35" s="81"/>
      <c r="K35" s="34">
        <f t="shared" si="0"/>
        <v>0</v>
      </c>
      <c r="L35" s="20"/>
      <c r="M35" s="20"/>
      <c r="N35" s="20"/>
      <c r="O35" s="21"/>
      <c r="P35" s="20"/>
      <c r="Q35" s="21"/>
      <c r="R35" s="31"/>
      <c r="S35" s="31"/>
      <c r="T35" s="34">
        <f t="shared" si="1"/>
        <v>0</v>
      </c>
      <c r="U35" s="20"/>
      <c r="V35" s="20"/>
      <c r="W35" s="20"/>
      <c r="X35" s="21"/>
      <c r="Y35" s="20"/>
      <c r="Z35" s="21"/>
      <c r="AA35" s="31"/>
      <c r="AB35" s="31"/>
      <c r="AC35" s="34">
        <f t="shared" si="2"/>
        <v>0</v>
      </c>
      <c r="AD35" s="19">
        <f t="shared" si="3"/>
        <v>0</v>
      </c>
      <c r="AE35" s="39"/>
      <c r="AF35" s="39"/>
      <c r="AG35" s="39"/>
      <c r="AH35" s="39"/>
      <c r="AI35" s="39"/>
      <c r="AJ35" s="39"/>
    </row>
    <row r="36" spans="1:36" x14ac:dyDescent="0.2">
      <c r="A36" s="6"/>
      <c r="B36"/>
      <c r="C36" s="82">
        <f t="shared" ref="C36:J36" si="4">SUM(C5:C35)</f>
        <v>7837</v>
      </c>
      <c r="D36" s="83">
        <f t="shared" si="4"/>
        <v>2059</v>
      </c>
      <c r="E36" s="83">
        <f t="shared" si="4"/>
        <v>47</v>
      </c>
      <c r="F36" s="84">
        <f t="shared" si="4"/>
        <v>589</v>
      </c>
      <c r="G36" s="83">
        <f t="shared" si="4"/>
        <v>267</v>
      </c>
      <c r="H36" s="84">
        <f t="shared" si="4"/>
        <v>2259</v>
      </c>
      <c r="I36" s="83">
        <f t="shared" si="4"/>
        <v>170</v>
      </c>
      <c r="J36" s="84">
        <f t="shared" si="4"/>
        <v>255</v>
      </c>
      <c r="K36" s="85">
        <f t="shared" si="0"/>
        <v>13483</v>
      </c>
      <c r="L36" s="83">
        <f t="shared" ref="L36:S36" si="5">SUM(L5:L35)</f>
        <v>0</v>
      </c>
      <c r="M36" s="83">
        <f t="shared" si="5"/>
        <v>0</v>
      </c>
      <c r="N36" s="83">
        <f t="shared" si="5"/>
        <v>0</v>
      </c>
      <c r="O36" s="84">
        <f t="shared" si="5"/>
        <v>0</v>
      </c>
      <c r="P36" s="83">
        <f t="shared" si="5"/>
        <v>0</v>
      </c>
      <c r="Q36" s="84">
        <f t="shared" si="5"/>
        <v>0</v>
      </c>
      <c r="R36" s="86">
        <f t="shared" si="5"/>
        <v>0</v>
      </c>
      <c r="S36" s="86">
        <f t="shared" si="5"/>
        <v>0</v>
      </c>
      <c r="T36" s="85">
        <f t="shared" si="1"/>
        <v>0</v>
      </c>
      <c r="U36" s="83">
        <f t="shared" ref="U36:AB36" si="6">SUM(U5:U35)</f>
        <v>0</v>
      </c>
      <c r="V36" s="83">
        <f t="shared" si="6"/>
        <v>0</v>
      </c>
      <c r="W36" s="83">
        <f t="shared" si="6"/>
        <v>0</v>
      </c>
      <c r="X36" s="84">
        <f t="shared" si="6"/>
        <v>0</v>
      </c>
      <c r="Y36" s="83">
        <f t="shared" si="6"/>
        <v>0</v>
      </c>
      <c r="Z36" s="84">
        <f t="shared" si="6"/>
        <v>0</v>
      </c>
      <c r="AA36" s="86">
        <f t="shared" si="6"/>
        <v>0</v>
      </c>
      <c r="AB36" s="86">
        <f t="shared" si="6"/>
        <v>0</v>
      </c>
      <c r="AC36" s="85">
        <f t="shared" si="2"/>
        <v>0</v>
      </c>
      <c r="AD36" s="87">
        <f t="shared" si="3"/>
        <v>13483</v>
      </c>
      <c r="AE36" s="66"/>
      <c r="AF36" s="66"/>
      <c r="AG36" s="66"/>
      <c r="AH36" s="66"/>
      <c r="AI36" s="66"/>
      <c r="AJ36" s="66"/>
    </row>
    <row r="37" spans="1:36" ht="8.1" customHeight="1" thickBot="1" x14ac:dyDescent="0.25">
      <c r="A37" s="6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2"/>
      <c r="N37" s="5"/>
      <c r="O37" s="5"/>
      <c r="P37" s="2"/>
      <c r="Q37" s="5"/>
      <c r="R37" s="5"/>
      <c r="S37" s="5"/>
      <c r="T37" s="2"/>
      <c r="U37" s="2"/>
      <c r="V37" s="2"/>
      <c r="W37" s="2"/>
      <c r="X37" s="5"/>
      <c r="Y37" s="2"/>
      <c r="Z37" s="2"/>
      <c r="AA37" s="39"/>
      <c r="AB37" s="39"/>
      <c r="AC37" s="5"/>
      <c r="AD37" s="40"/>
      <c r="AE37" s="40"/>
      <c r="AF37" s="40"/>
      <c r="AG37" s="40"/>
      <c r="AH37" s="40"/>
      <c r="AI37" s="40"/>
      <c r="AJ37" s="40"/>
    </row>
    <row r="38" spans="1:36" ht="24.95" customHeight="1" thickTop="1" x14ac:dyDescent="0.3">
      <c r="A38" s="6"/>
      <c r="B38" s="5"/>
      <c r="C38" s="171" t="str">
        <f>Kalenteri!E38</f>
        <v>Lippujen hinnat:</v>
      </c>
      <c r="D38" s="5"/>
      <c r="E38" s="5"/>
      <c r="F38" s="2"/>
      <c r="G38" s="2"/>
      <c r="H38" s="2"/>
      <c r="I38" s="5"/>
      <c r="J38" s="2"/>
      <c r="K38" s="2"/>
      <c r="L38" s="5"/>
      <c r="M38" s="2"/>
      <c r="N38" s="5"/>
      <c r="O38" s="5"/>
      <c r="P38" s="2"/>
      <c r="Q38"/>
      <c r="R38"/>
      <c r="S38"/>
      <c r="U38" s="49" t="s">
        <v>71</v>
      </c>
      <c r="V38" s="50"/>
      <c r="W38" s="43"/>
      <c r="X38" s="44"/>
      <c r="Y38" s="43"/>
      <c r="Z38" s="43"/>
      <c r="AA38" s="44"/>
      <c r="AB38" s="44"/>
      <c r="AC38" s="47"/>
      <c r="AD38" s="45">
        <f>AD36</f>
        <v>13483</v>
      </c>
      <c r="AE38" s="41"/>
      <c r="AF38" s="41"/>
      <c r="AG38" s="41"/>
      <c r="AH38" s="41"/>
      <c r="AI38" s="41"/>
      <c r="AJ38" s="41"/>
    </row>
    <row r="39" spans="1:36" ht="24.95" customHeight="1" x14ac:dyDescent="0.3">
      <c r="A39" s="6"/>
      <c r="B39" s="5"/>
      <c r="C39" s="193" t="str">
        <f>Kalenteri!E39</f>
        <v>Mustikkamaan kautta: 1.9.-30.4. aik. 10 €, lapset 5 €, kimppalippu 30 €    1.5.-30.8. aik. 12 €, lapset 6 €, kimppalippu 36 €</v>
      </c>
      <c r="D39" s="89"/>
      <c r="E39" s="89"/>
      <c r="F39" s="90"/>
      <c r="G39" s="102"/>
      <c r="H39" s="174"/>
      <c r="I39" s="89"/>
      <c r="J39" s="90"/>
      <c r="K39" s="90"/>
      <c r="L39" s="89"/>
      <c r="M39" s="90"/>
      <c r="N39" s="89"/>
      <c r="O39" s="89"/>
      <c r="P39" s="90"/>
      <c r="Q39" s="104"/>
      <c r="R39" s="103"/>
      <c r="S39"/>
      <c r="U39" s="62" t="s">
        <v>13</v>
      </c>
      <c r="V39" s="52"/>
      <c r="W39" s="53"/>
      <c r="X39" s="54"/>
      <c r="Y39" s="53"/>
      <c r="Z39" s="53"/>
      <c r="AA39" s="54"/>
      <c r="AB39" s="54"/>
      <c r="AC39" s="55"/>
      <c r="AD39" s="56">
        <f>AD36-Edellisvuosi!C7</f>
        <v>3881</v>
      </c>
      <c r="AE39" s="67"/>
      <c r="AF39" s="67"/>
      <c r="AG39" s="67"/>
      <c r="AH39" s="67"/>
      <c r="AI39" s="67"/>
      <c r="AJ39" s="67"/>
    </row>
    <row r="40" spans="1:36" ht="24.95" customHeight="1" x14ac:dyDescent="0.3">
      <c r="A40" s="6"/>
      <c r="B40" s="170"/>
      <c r="C40" s="194" t="str">
        <f>Kalenteri!E40</f>
        <v xml:space="preserve">                                    Vuosikortti:     aik. 50 €, lapset 20 €, perhekortti 100 €</v>
      </c>
      <c r="D40" s="39"/>
      <c r="E40" s="39"/>
      <c r="F40" s="42"/>
      <c r="G40" s="65"/>
      <c r="H40" s="176"/>
      <c r="I40" s="39"/>
      <c r="J40" s="42"/>
      <c r="K40" s="42"/>
      <c r="L40" s="39"/>
      <c r="M40" s="42"/>
      <c r="N40" s="39"/>
      <c r="O40" s="39"/>
      <c r="P40" s="39"/>
      <c r="Q40" s="23"/>
      <c r="R40" s="97"/>
      <c r="S40"/>
      <c r="U40" s="63" t="s">
        <v>72</v>
      </c>
      <c r="V40" s="37"/>
      <c r="W40" s="51"/>
      <c r="X40" s="41"/>
      <c r="Y40" s="51"/>
      <c r="Z40" s="41"/>
      <c r="AA40" s="41"/>
      <c r="AB40" s="41"/>
      <c r="AC40" s="48"/>
      <c r="AD40" s="46">
        <f>AD36+'N1'!AD36</f>
        <v>18911</v>
      </c>
      <c r="AE40" s="41"/>
      <c r="AF40" s="41"/>
      <c r="AG40" s="41"/>
      <c r="AH40" s="41"/>
      <c r="AI40" s="41"/>
      <c r="AJ40" s="68"/>
    </row>
    <row r="41" spans="1:36" ht="24.95" customHeight="1" thickBot="1" x14ac:dyDescent="0.35">
      <c r="A41" s="4"/>
      <c r="B41" s="69"/>
      <c r="C41" s="195" t="str">
        <f>Kalenteri!E41</f>
        <v>Vesibusseilla:             1.9.-30.4. aik. 16 €, lapset 8 €, kimppalippu 47 €    1.5.-31.8. aik. 18 €, lapset 9 €, kimppalippu 53 €</v>
      </c>
      <c r="D41" s="93"/>
      <c r="E41" s="93"/>
      <c r="F41" s="94"/>
      <c r="G41" s="94"/>
      <c r="H41" s="175"/>
      <c r="I41" s="93"/>
      <c r="J41" s="96"/>
      <c r="K41" s="96"/>
      <c r="L41" s="93"/>
      <c r="M41" s="95"/>
      <c r="N41" s="95"/>
      <c r="O41" s="93"/>
      <c r="P41" s="95"/>
      <c r="Q41" s="95"/>
      <c r="R41" s="98"/>
      <c r="S41"/>
      <c r="U41" s="64" t="s">
        <v>13</v>
      </c>
      <c r="V41" s="57"/>
      <c r="W41" s="58"/>
      <c r="X41" s="59"/>
      <c r="Y41" s="59"/>
      <c r="Z41" s="59"/>
      <c r="AA41" s="59"/>
      <c r="AB41" s="59"/>
      <c r="AC41" s="60"/>
      <c r="AD41" s="61">
        <f>AD40-Edellisvuosi!B7-Edellisvuosi!C7</f>
        <v>3962</v>
      </c>
      <c r="AE41" s="68"/>
      <c r="AF41" s="68"/>
      <c r="AG41" s="68"/>
      <c r="AH41" s="68"/>
      <c r="AI41" s="68"/>
      <c r="AJ41" s="68"/>
    </row>
    <row r="42" spans="1:36" ht="13.5" thickTop="1" x14ac:dyDescent="0.2"/>
  </sheetData>
  <sheetProtection password="C4AC" sheet="1" objects="1" scenarios="1"/>
  <phoneticPr fontId="4" type="noConversion"/>
  <pageMargins left="0" right="0" top="0.27559055118110237" bottom="0" header="0" footer="0"/>
  <pageSetup paperSize="9" scale="75" fitToHeight="0" orientation="landscape" horizontalDpi="4294967292" verticalDpi="4294967292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9457" r:id="rId4" name="Button 1">
              <controlPr defaultSize="0" print="0" autoFill="0" autoLine="0" autoPict="0" macro="[1]!TAMMI">
                <anchor moveWithCells="1" sizeWithCells="1">
                  <from>
                    <xdr:col>35</xdr:col>
                    <xdr:colOff>0</xdr:colOff>
                    <xdr:row>3</xdr:row>
                    <xdr:rowOff>9525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8" r:id="rId5" name="Button 2">
              <controlPr defaultSize="0" print="0" autoFill="0" autoLine="0" autoPict="0" macro="[1]KTMAKRO!$A$1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9" r:id="rId6" name="Button 3">
              <controlPr defaultSize="0" print="0" autoFill="0" autoLine="0" autoPict="0" macro="[1]!MAALIS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0" r:id="rId7" name="Button 4">
              <controlPr defaultSize="0" print="0" autoFill="0" autoLine="0" autoPict="0" macro="[1]KTMAKRO!$D$1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1" r:id="rId8" name="Button 5">
              <controlPr defaultSize="0" print="0" autoFill="0" autoLine="0" autoPict="0" macro="[1]KTMAKRO!$E$1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2" r:id="rId9" name="Button 6">
              <controlPr defaultSize="0" print="0" autoFill="0" autoLine="0" autoPict="0" macro="[1]!KESÄ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3" r:id="rId10" name="Button 7">
              <controlPr defaultSize="0" print="0" autoFill="0" autoLine="0" autoPict="0" macro="[1]!HELMI">
                <anchor moveWithCells="1" sizeWithCells="1">
                  <from>
                    <xdr:col>35</xdr:col>
                    <xdr:colOff>0</xdr:colOff>
                    <xdr:row>3</xdr:row>
                    <xdr:rowOff>9525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4" r:id="rId11" name="Button 8">
              <controlPr defaultSize="0" print="0" autoFill="0" autoLine="0" autoPict="0" macro="[1]KTMAKRO!$G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5" r:id="rId12" name="Button 9">
              <controlPr defaultSize="0" print="0" autoFill="0" autoLine="0" autoPict="0" macro="[1]KTMAKRO!$I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6" r:id="rId13" name="Button 10">
              <controlPr defaultSize="0" print="0" autoFill="0" autoLine="0" autoPict="0" macro="[1]KTMAKRO!$J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7" r:id="rId14" name="Button 11">
              <controlPr defaultSize="0" print="0" autoFill="0" autoLine="0" autoPict="0" macro="[1]KTMAKRO!$K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8" r:id="rId15" name="Button 12">
              <controlPr defaultSize="0" print="0" autoFill="0" autoLine="0" autoPict="0" macro="[1]KTMAKRO!$L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9" r:id="rId16" name="Button 13">
              <controlPr defaultSize="0" print="0" autoFill="0" autoLine="0" autoPict="0" macro="[1]KTMAKRO!$H$1">
                <anchor moveWithCells="1" sizeWithCells="1">
                  <from>
                    <xdr:col>35</xdr:col>
                    <xdr:colOff>0</xdr:colOff>
                    <xdr:row>5</xdr:row>
                    <xdr:rowOff>0</xdr:rowOff>
                  </from>
                  <to>
                    <xdr:col>35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0" r:id="rId17" name="Button 14">
              <controlPr defaultSize="0" print="0" autoFill="0" autoLine="0" autoPict="0" macro="[1]!Yhteenveto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5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1" r:id="rId18" name="Button 15">
              <controlPr defaultSize="0" print="0" autoFill="0" autoLine="0" autoPict="0" macro="[1]!GRAFIIKKA1">
                <anchor moveWithCells="1" sizeWithCells="1">
                  <from>
                    <xdr:col>35</xdr:col>
                    <xdr:colOff>0</xdr:colOff>
                    <xdr:row>8</xdr:row>
                    <xdr:rowOff>142875</xdr:rowOff>
                  </from>
                  <to>
                    <xdr:col>35</xdr:col>
                    <xdr:colOff>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2" r:id="rId19" name="Button 16">
              <controlPr defaultSize="0" print="0" autoFill="0" autoLine="0" autoPict="0" macro="[1]!Grafiikka2">
                <anchor moveWithCells="1" sizeWithCells="1">
                  <from>
                    <xdr:col>35</xdr:col>
                    <xdr:colOff>0</xdr:colOff>
                    <xdr:row>8</xdr:row>
                    <xdr:rowOff>152400</xdr:rowOff>
                  </from>
                  <to>
                    <xdr:col>35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3" r:id="rId20" name="Button 17">
              <controlPr defaultSize="0" print="0" autoFill="0" autoLine="0" autoPict="0" macro="[1]!Grafiikka4">
                <anchor moveWithCells="1" sizeWithCells="1">
                  <from>
                    <xdr:col>35</xdr:col>
                    <xdr:colOff>0</xdr:colOff>
                    <xdr:row>8</xdr:row>
                    <xdr:rowOff>142875</xdr:rowOff>
                  </from>
                  <to>
                    <xdr:col>35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4" r:id="rId21" name="Button 18">
              <controlPr defaultSize="0" print="0" autoFill="0" autoLine="0" autoPict="0" macro="[1]!Grafiikka4">
                <anchor moveWithCells="1" sizeWithCells="1">
                  <from>
                    <xdr:col>35</xdr:col>
                    <xdr:colOff>0</xdr:colOff>
                    <xdr:row>8</xdr:row>
                    <xdr:rowOff>152400</xdr:rowOff>
                  </from>
                  <to>
                    <xdr:col>35</xdr:col>
                    <xdr:colOff>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5" r:id="rId22" name="Button 19">
              <controlPr defaultSize="0" print="0" autoFill="0" autoLine="0" autoPict="0" macro="[1]!Grafiikka5">
                <anchor moveWithCells="1" sizeWithCells="1">
                  <from>
                    <xdr:col>35</xdr:col>
                    <xdr:colOff>0</xdr:colOff>
                    <xdr:row>8</xdr:row>
                    <xdr:rowOff>152400</xdr:rowOff>
                  </from>
                  <to>
                    <xdr:col>35</xdr:col>
                    <xdr:colOff>0</xdr:colOff>
                    <xdr:row>12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6" r:id="rId23" name="Button 20">
              <controlPr defaultSize="0" print="0" autoFill="0" autoLine="0" autoPict="0" macro="[1]!Perusikkuna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12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/>
  <dimension ref="A1:AJ42"/>
  <sheetViews>
    <sheetView showGridLines="0" zoomScale="75" workbookViewId="0"/>
  </sheetViews>
  <sheetFormatPr defaultColWidth="9.75" defaultRowHeight="12.75" x14ac:dyDescent="0.2"/>
  <cols>
    <col min="1" max="1" width="3.75" style="1" customWidth="1"/>
    <col min="2" max="2" width="2.75" style="1" customWidth="1"/>
    <col min="3" max="4" width="6.125" style="1" customWidth="1"/>
    <col min="5" max="5" width="4" style="1" customWidth="1"/>
    <col min="6" max="6" width="4.5" style="1" customWidth="1"/>
    <col min="7" max="10" width="6.125" style="1" customWidth="1"/>
    <col min="11" max="11" width="5.875" style="1" customWidth="1"/>
    <col min="12" max="13" width="6.125" style="1" customWidth="1"/>
    <col min="14" max="14" width="5.25" style="1" customWidth="1"/>
    <col min="15" max="15" width="4.5" style="1" customWidth="1"/>
    <col min="16" max="16" width="6.125" style="1" customWidth="1"/>
    <col min="17" max="17" width="5.5" style="1" customWidth="1"/>
    <col min="18" max="19" width="6.125" style="1" customWidth="1"/>
    <col min="20" max="20" width="5.875" style="1" customWidth="1"/>
    <col min="21" max="22" width="6.125" style="1" customWidth="1"/>
    <col min="23" max="23" width="4.375" style="1" customWidth="1"/>
    <col min="24" max="24" width="4.25" style="1" customWidth="1"/>
    <col min="25" max="29" width="6.125" style="1" customWidth="1"/>
    <col min="30" max="36" width="15.625" style="1" customWidth="1"/>
  </cols>
  <sheetData>
    <row r="1" spans="1:36" ht="30" customHeight="1" x14ac:dyDescent="0.35">
      <c r="A1" s="22"/>
      <c r="B1" s="4"/>
      <c r="C1" s="105" t="s">
        <v>15</v>
      </c>
      <c r="D1" s="106"/>
      <c r="E1" s="106"/>
      <c r="F1" s="106"/>
      <c r="G1" s="106"/>
      <c r="H1" s="106"/>
      <c r="I1" s="106"/>
      <c r="J1" s="106"/>
      <c r="K1" s="106"/>
      <c r="L1" s="105" t="str">
        <f>Kalenteri!$H$1</f>
        <v>KÄVIJÄTILASTO 2013</v>
      </c>
      <c r="M1" s="107"/>
      <c r="N1" s="107"/>
      <c r="O1" s="107"/>
      <c r="P1" s="106"/>
      <c r="Q1" s="106"/>
      <c r="R1" s="105" t="s">
        <v>74</v>
      </c>
      <c r="S1" s="108"/>
      <c r="T1" s="106"/>
      <c r="U1" s="109"/>
      <c r="V1" s="105" t="s">
        <v>42</v>
      </c>
      <c r="W1" s="109"/>
      <c r="X1" s="106"/>
      <c r="Y1" s="106"/>
      <c r="Z1" s="106"/>
      <c r="AA1" s="106"/>
      <c r="AB1" s="106"/>
      <c r="AC1" s="106"/>
      <c r="AD1" s="110"/>
      <c r="AE1" s="4"/>
      <c r="AF1" s="4"/>
      <c r="AG1" s="4"/>
      <c r="AH1" s="4"/>
      <c r="AI1" s="4"/>
      <c r="AJ1" s="4"/>
    </row>
    <row r="2" spans="1:36" ht="30" customHeight="1" x14ac:dyDescent="0.3">
      <c r="A2" s="3"/>
      <c r="B2" s="4"/>
      <c r="C2" s="72"/>
      <c r="D2" s="73"/>
      <c r="E2" s="74" t="s">
        <v>1</v>
      </c>
      <c r="F2" s="75"/>
      <c r="G2" s="75"/>
      <c r="H2" s="75"/>
      <c r="I2" s="75"/>
      <c r="J2" s="75"/>
      <c r="K2" s="76"/>
      <c r="L2" s="72"/>
      <c r="M2" s="77"/>
      <c r="N2" s="73"/>
      <c r="O2" s="74" t="s">
        <v>2</v>
      </c>
      <c r="P2" s="75"/>
      <c r="Q2" s="75"/>
      <c r="R2" s="75"/>
      <c r="S2" s="75"/>
      <c r="T2" s="76"/>
      <c r="U2" s="72"/>
      <c r="V2" s="75"/>
      <c r="W2" s="73"/>
      <c r="X2" s="74" t="s">
        <v>3</v>
      </c>
      <c r="Y2" s="75"/>
      <c r="Z2" s="75"/>
      <c r="AA2" s="75"/>
      <c r="AB2" s="75"/>
      <c r="AC2" s="76"/>
      <c r="AD2" s="13"/>
      <c r="AE2" s="35"/>
      <c r="AF2" s="69"/>
      <c r="AG2" s="69"/>
      <c r="AH2" s="69"/>
      <c r="AI2" s="69"/>
      <c r="AJ2" s="69"/>
    </row>
    <row r="3" spans="1:36" x14ac:dyDescent="0.2">
      <c r="A3" s="4"/>
      <c r="B3" s="4"/>
      <c r="C3" s="24" t="s">
        <v>4</v>
      </c>
      <c r="D3" s="25"/>
      <c r="E3" s="25"/>
      <c r="F3" s="26"/>
      <c r="G3" s="24" t="s">
        <v>5</v>
      </c>
      <c r="H3" s="26"/>
      <c r="I3" s="25" t="s">
        <v>6</v>
      </c>
      <c r="J3" s="25"/>
      <c r="K3" s="27"/>
      <c r="L3" s="24" t="s">
        <v>4</v>
      </c>
      <c r="M3" s="25"/>
      <c r="N3" s="25"/>
      <c r="O3" s="26"/>
      <c r="P3" s="24" t="s">
        <v>5</v>
      </c>
      <c r="Q3" s="26"/>
      <c r="R3" s="25" t="s">
        <v>6</v>
      </c>
      <c r="S3" s="25"/>
      <c r="T3" s="27"/>
      <c r="U3" s="24" t="s">
        <v>4</v>
      </c>
      <c r="V3" s="25"/>
      <c r="W3" s="25"/>
      <c r="X3" s="26"/>
      <c r="Y3" s="24" t="s">
        <v>5</v>
      </c>
      <c r="Z3" s="26"/>
      <c r="AA3" s="25" t="s">
        <v>6</v>
      </c>
      <c r="AB3" s="25"/>
      <c r="AC3" s="27"/>
      <c r="AD3" s="36" t="s">
        <v>7</v>
      </c>
      <c r="AE3" s="38"/>
      <c r="AF3" s="70"/>
      <c r="AG3" s="70"/>
      <c r="AH3" s="70"/>
      <c r="AI3" s="70"/>
      <c r="AJ3"/>
    </row>
    <row r="4" spans="1:36" x14ac:dyDescent="0.2">
      <c r="A4" s="6"/>
      <c r="B4" s="4"/>
      <c r="C4" s="7" t="s">
        <v>8</v>
      </c>
      <c r="D4" s="8" t="s">
        <v>9</v>
      </c>
      <c r="E4" s="8" t="s">
        <v>10</v>
      </c>
      <c r="F4" s="9" t="s">
        <v>11</v>
      </c>
      <c r="G4" s="7" t="s">
        <v>8</v>
      </c>
      <c r="H4" s="9" t="s">
        <v>9</v>
      </c>
      <c r="I4" s="8" t="s">
        <v>8</v>
      </c>
      <c r="J4" s="8" t="s">
        <v>9</v>
      </c>
      <c r="K4" s="14" t="s">
        <v>0</v>
      </c>
      <c r="L4" s="7" t="s">
        <v>8</v>
      </c>
      <c r="M4" s="8" t="s">
        <v>9</v>
      </c>
      <c r="N4" s="8" t="s">
        <v>10</v>
      </c>
      <c r="O4" s="9" t="s">
        <v>11</v>
      </c>
      <c r="P4" s="7" t="s">
        <v>8</v>
      </c>
      <c r="Q4" s="9" t="s">
        <v>9</v>
      </c>
      <c r="R4" s="8" t="s">
        <v>8</v>
      </c>
      <c r="S4" s="8" t="s">
        <v>9</v>
      </c>
      <c r="T4" s="14" t="s">
        <v>0</v>
      </c>
      <c r="U4" s="7" t="s">
        <v>8</v>
      </c>
      <c r="V4" s="8" t="s">
        <v>9</v>
      </c>
      <c r="W4" s="8" t="s">
        <v>10</v>
      </c>
      <c r="X4" s="9" t="s">
        <v>11</v>
      </c>
      <c r="Y4" s="7" t="s">
        <v>8</v>
      </c>
      <c r="Z4" s="9" t="s">
        <v>9</v>
      </c>
      <c r="AA4" s="8" t="s">
        <v>8</v>
      </c>
      <c r="AB4" s="8" t="s">
        <v>9</v>
      </c>
      <c r="AC4" s="14" t="s">
        <v>0</v>
      </c>
      <c r="AD4" s="28"/>
      <c r="AE4" s="23"/>
      <c r="AF4" s="23"/>
      <c r="AG4" s="23"/>
      <c r="AH4" s="23"/>
      <c r="AI4" s="23"/>
      <c r="AJ4"/>
    </row>
    <row r="5" spans="1:36" x14ac:dyDescent="0.2">
      <c r="A5" s="5">
        <f>DAY(Kalenteri!A121)</f>
        <v>1</v>
      </c>
      <c r="B5" s="3" t="str">
        <f>IF(Kalenteri!B121=1,"su",IF(Kalenteri!B121=2,"ma",IF(Kalenteri!B121=3,"ti",IF(Kalenteri!B121=4,"ke",IF(Kalenteri!B121=5,"to",IF(Kalenteri!B121=6,"pe",IF(Kalenteri!B121=7,"la",)))))))</f>
        <v>ke</v>
      </c>
      <c r="C5" s="111">
        <f>'N5'!C5+'K5'!C5</f>
        <v>1045</v>
      </c>
      <c r="D5" s="112">
        <f>'N5'!D5+'K5'!D5</f>
        <v>302</v>
      </c>
      <c r="E5" s="112">
        <f>'N5'!E5+'K5'!E5</f>
        <v>7</v>
      </c>
      <c r="F5" s="113">
        <f>'N5'!F5+'K5'!F5</f>
        <v>40</v>
      </c>
      <c r="G5" s="111">
        <f>'N5'!G5+'K5'!G5</f>
        <v>9</v>
      </c>
      <c r="H5" s="113">
        <f>'N5'!H5+'K5'!H5</f>
        <v>318</v>
      </c>
      <c r="I5" s="111">
        <f>'N5'!I5+'K5'!I5</f>
        <v>60</v>
      </c>
      <c r="J5" s="113">
        <f>'N5'!J5+'K5'!J5</f>
        <v>90</v>
      </c>
      <c r="K5" s="32">
        <f>'N5'!K5+'K5'!K5</f>
        <v>1871</v>
      </c>
      <c r="L5" s="112">
        <f>'N5'!L5+'K5'!L5</f>
        <v>225</v>
      </c>
      <c r="M5" s="112">
        <f>'N5'!M5+'K5'!M5</f>
        <v>50</v>
      </c>
      <c r="N5" s="112">
        <f>'N5'!N5+'K5'!N5</f>
        <v>0</v>
      </c>
      <c r="O5" s="113">
        <f>'N5'!O5+'K5'!O5</f>
        <v>0</v>
      </c>
      <c r="P5" s="112">
        <f>'N5'!P5+'K5'!P5</f>
        <v>0</v>
      </c>
      <c r="Q5" s="113">
        <f>'N5'!Q5+'K5'!Q5</f>
        <v>52</v>
      </c>
      <c r="R5" s="120">
        <f>'N5'!R5+'K5'!R5</f>
        <v>14</v>
      </c>
      <c r="S5" s="120">
        <f>'N5'!S5+'K5'!S5</f>
        <v>21</v>
      </c>
      <c r="T5" s="32">
        <f>'N5'!T5+'K5'!T5</f>
        <v>362</v>
      </c>
      <c r="U5" s="112">
        <f>'N5'!U5+'K5'!U5</f>
        <v>0</v>
      </c>
      <c r="V5" s="112">
        <f>'N5'!V5+'K5'!V5</f>
        <v>0</v>
      </c>
      <c r="W5" s="112">
        <f>'N5'!W5+'K5'!W5</f>
        <v>0</v>
      </c>
      <c r="X5" s="113">
        <f>'N5'!X5+'K5'!X5</f>
        <v>0</v>
      </c>
      <c r="Y5" s="112">
        <f>'N5'!Y5+'K5'!Y5</f>
        <v>0</v>
      </c>
      <c r="Z5" s="113">
        <f>'N5'!Z5+'K5'!Z5</f>
        <v>0</v>
      </c>
      <c r="AA5" s="120">
        <f>'N5'!AA5+'K5'!AA5</f>
        <v>0</v>
      </c>
      <c r="AB5" s="120">
        <f>'N5'!AB5+'K5'!AB5</f>
        <v>0</v>
      </c>
      <c r="AC5" s="32">
        <f>'N5'!AC5+'K5'!AC5</f>
        <v>0</v>
      </c>
      <c r="AD5" s="17">
        <f>'N5'!AD5+'K5'!AD5</f>
        <v>2233</v>
      </c>
      <c r="AE5" s="39"/>
      <c r="AF5" s="39"/>
      <c r="AG5" s="39"/>
      <c r="AH5" s="39"/>
      <c r="AI5" s="39"/>
      <c r="AJ5"/>
    </row>
    <row r="6" spans="1:36" x14ac:dyDescent="0.2">
      <c r="A6" s="5">
        <f>DAY(Kalenteri!A122)</f>
        <v>2</v>
      </c>
      <c r="B6" s="3" t="str">
        <f>IF(Kalenteri!B122=1,"su",IF(Kalenteri!B122=2,"ma",IF(Kalenteri!B122=3,"ti",IF(Kalenteri!B122=4,"ke",IF(Kalenteri!B122=5,"to",IF(Kalenteri!B122=6,"pe",IF(Kalenteri!B122=7,"la",)))))))</f>
        <v>to</v>
      </c>
      <c r="C6" s="114">
        <f>'N5'!C6+'K5'!C6</f>
        <v>365</v>
      </c>
      <c r="D6" s="115">
        <f>'N5'!D6+'K5'!D6</f>
        <v>76</v>
      </c>
      <c r="E6" s="115">
        <f>'N5'!E6+'K5'!E6</f>
        <v>0</v>
      </c>
      <c r="F6" s="116">
        <f>'N5'!F6+'K5'!F6</f>
        <v>9</v>
      </c>
      <c r="G6" s="114">
        <f>'N5'!G6+'K5'!G6</f>
        <v>23</v>
      </c>
      <c r="H6" s="116">
        <f>'N5'!H6+'K5'!H6</f>
        <v>142</v>
      </c>
      <c r="I6" s="114">
        <f>'N5'!I6+'K5'!I6</f>
        <v>10</v>
      </c>
      <c r="J6" s="116">
        <f>'N5'!J6+'K5'!J6</f>
        <v>15</v>
      </c>
      <c r="K6" s="33">
        <f>'N5'!K6+'K5'!K6</f>
        <v>640</v>
      </c>
      <c r="L6" s="115">
        <f>'N5'!L6+'K5'!L6</f>
        <v>347</v>
      </c>
      <c r="M6" s="115">
        <f>'N5'!M6+'K5'!M6</f>
        <v>45</v>
      </c>
      <c r="N6" s="115">
        <f>'N5'!N6+'K5'!N6</f>
        <v>0</v>
      </c>
      <c r="O6" s="116">
        <f>'N5'!O6+'K5'!O6</f>
        <v>0</v>
      </c>
      <c r="P6" s="115">
        <f>'N5'!P6+'K5'!P6</f>
        <v>12</v>
      </c>
      <c r="Q6" s="116">
        <f>'N5'!Q6+'K5'!Q6</f>
        <v>110</v>
      </c>
      <c r="R6" s="121">
        <f>'N5'!R6+'K5'!R6</f>
        <v>12</v>
      </c>
      <c r="S6" s="121">
        <f>'N5'!S6+'K5'!S6</f>
        <v>18</v>
      </c>
      <c r="T6" s="33">
        <f>'N5'!T6+'K5'!T6</f>
        <v>544</v>
      </c>
      <c r="U6" s="115">
        <f>'N5'!U6+'K5'!U6</f>
        <v>0</v>
      </c>
      <c r="V6" s="115">
        <f>'N5'!V6+'K5'!V6</f>
        <v>0</v>
      </c>
      <c r="W6" s="115">
        <f>'N5'!W6+'K5'!W6</f>
        <v>0</v>
      </c>
      <c r="X6" s="116">
        <f>'N5'!X6+'K5'!X6</f>
        <v>0</v>
      </c>
      <c r="Y6" s="115">
        <f>'N5'!Y6+'K5'!Y6</f>
        <v>0</v>
      </c>
      <c r="Z6" s="116">
        <f>'N5'!Z6+'K5'!Z6</f>
        <v>0</v>
      </c>
      <c r="AA6" s="121">
        <f>'N5'!AA6+'K5'!AA6</f>
        <v>0</v>
      </c>
      <c r="AB6" s="121">
        <f>'N5'!AB6+'K5'!AB6</f>
        <v>0</v>
      </c>
      <c r="AC6" s="33">
        <f>'N5'!AC6+'K5'!AC6</f>
        <v>0</v>
      </c>
      <c r="AD6" s="12">
        <f>'N5'!AD6+'K5'!AD6</f>
        <v>1184</v>
      </c>
      <c r="AE6" s="39"/>
      <c r="AF6" s="39"/>
      <c r="AG6" s="39"/>
      <c r="AH6" s="39"/>
      <c r="AI6" s="39"/>
      <c r="AJ6"/>
    </row>
    <row r="7" spans="1:36" x14ac:dyDescent="0.2">
      <c r="A7" s="5">
        <f>DAY(Kalenteri!A123)</f>
        <v>3</v>
      </c>
      <c r="B7" s="3" t="str">
        <f>IF(Kalenteri!B123=1,"su",IF(Kalenteri!B123=2,"ma",IF(Kalenteri!B123=3,"ti",IF(Kalenteri!B123=4,"ke",IF(Kalenteri!B123=5,"to",IF(Kalenteri!B123=6,"pe",IF(Kalenteri!B123=7,"la",)))))))</f>
        <v>pe</v>
      </c>
      <c r="C7" s="114">
        <f>'N5'!C7+'K5'!C7</f>
        <v>746</v>
      </c>
      <c r="D7" s="115">
        <f>'N5'!D7+'K5'!D7</f>
        <v>293</v>
      </c>
      <c r="E7" s="115">
        <f>'N5'!E7+'K5'!E7</f>
        <v>7</v>
      </c>
      <c r="F7" s="116">
        <f>'N5'!F7+'K5'!F7</f>
        <v>12</v>
      </c>
      <c r="G7" s="114">
        <f>'N5'!G7+'K5'!G7</f>
        <v>130</v>
      </c>
      <c r="H7" s="116">
        <f>'N5'!H7+'K5'!H7</f>
        <v>216</v>
      </c>
      <c r="I7" s="114">
        <f>'N5'!I7+'K5'!I7</f>
        <v>20</v>
      </c>
      <c r="J7" s="116">
        <f>'N5'!J7+'K5'!J7</f>
        <v>30</v>
      </c>
      <c r="K7" s="33">
        <f>'N5'!K7+'K5'!K7</f>
        <v>1454</v>
      </c>
      <c r="L7" s="115">
        <f>'N5'!L7+'K5'!L7</f>
        <v>336</v>
      </c>
      <c r="M7" s="115">
        <f>'N5'!M7+'K5'!M7</f>
        <v>42</v>
      </c>
      <c r="N7" s="115">
        <f>'N5'!N7+'K5'!N7</f>
        <v>0</v>
      </c>
      <c r="O7" s="116">
        <f>'N5'!O7+'K5'!O7</f>
        <v>1</v>
      </c>
      <c r="P7" s="115">
        <f>'N5'!P7+'K5'!P7</f>
        <v>6</v>
      </c>
      <c r="Q7" s="116">
        <f>'N5'!Q7+'K5'!Q7</f>
        <v>145</v>
      </c>
      <c r="R7" s="121">
        <f>'N5'!R7+'K5'!R7</f>
        <v>8</v>
      </c>
      <c r="S7" s="121">
        <f>'N5'!S7+'K5'!S7</f>
        <v>12</v>
      </c>
      <c r="T7" s="33">
        <f>'N5'!T7+'K5'!T7</f>
        <v>550</v>
      </c>
      <c r="U7" s="115">
        <f>'N5'!U7+'K5'!U7</f>
        <v>0</v>
      </c>
      <c r="V7" s="115">
        <f>'N5'!V7+'K5'!V7</f>
        <v>0</v>
      </c>
      <c r="W7" s="115">
        <f>'N5'!W7+'K5'!W7</f>
        <v>0</v>
      </c>
      <c r="X7" s="116">
        <f>'N5'!X7+'K5'!X7</f>
        <v>0</v>
      </c>
      <c r="Y7" s="115">
        <f>'N5'!Y7+'K5'!Y7</f>
        <v>0</v>
      </c>
      <c r="Z7" s="116">
        <f>'N5'!Z7+'K5'!Z7</f>
        <v>0</v>
      </c>
      <c r="AA7" s="121">
        <f>'N5'!AA7+'K5'!AA7</f>
        <v>0</v>
      </c>
      <c r="AB7" s="121">
        <f>'N5'!AB7+'K5'!AB7</f>
        <v>0</v>
      </c>
      <c r="AC7" s="33">
        <f>'N5'!AC7+'K5'!AC7</f>
        <v>0</v>
      </c>
      <c r="AD7" s="12">
        <f>'N5'!AD7+'K5'!AD7</f>
        <v>2004</v>
      </c>
      <c r="AE7" s="39"/>
      <c r="AF7" s="39"/>
      <c r="AG7" s="39"/>
      <c r="AH7" s="39"/>
      <c r="AI7" s="39"/>
      <c r="AJ7"/>
    </row>
    <row r="8" spans="1:36" x14ac:dyDescent="0.2">
      <c r="A8" s="5">
        <f>DAY(Kalenteri!A124)</f>
        <v>4</v>
      </c>
      <c r="B8" s="3" t="str">
        <f>IF(Kalenteri!B124=1,"su",IF(Kalenteri!B124=2,"ma",IF(Kalenteri!B124=3,"ti",IF(Kalenteri!B124=4,"ke",IF(Kalenteri!B124=5,"to",IF(Kalenteri!B124=6,"pe",IF(Kalenteri!B124=7,"la",)))))))</f>
        <v>la</v>
      </c>
      <c r="C8" s="114">
        <f>'N5'!C8+'K5'!C8</f>
        <v>1129</v>
      </c>
      <c r="D8" s="115">
        <f>'N5'!D8+'K5'!D8</f>
        <v>289</v>
      </c>
      <c r="E8" s="115">
        <f>'N5'!E8+'K5'!E8</f>
        <v>0</v>
      </c>
      <c r="F8" s="116">
        <f>'N5'!F8+'K5'!F8</f>
        <v>33</v>
      </c>
      <c r="G8" s="114">
        <f>'N5'!G8+'K5'!G8</f>
        <v>24</v>
      </c>
      <c r="H8" s="116">
        <f>'N5'!H8+'K5'!H8</f>
        <v>344</v>
      </c>
      <c r="I8" s="114">
        <f>'N5'!I8+'K5'!I8</f>
        <v>34</v>
      </c>
      <c r="J8" s="116">
        <f>'N5'!J8+'K5'!J8</f>
        <v>36</v>
      </c>
      <c r="K8" s="33">
        <f>'N5'!K8+'K5'!K8</f>
        <v>1889</v>
      </c>
      <c r="L8" s="115">
        <f>'N5'!L8+'K5'!L8</f>
        <v>289</v>
      </c>
      <c r="M8" s="115">
        <f>'N5'!M8+'K5'!M8</f>
        <v>54</v>
      </c>
      <c r="N8" s="115">
        <f>'N5'!N8+'K5'!N8</f>
        <v>0</v>
      </c>
      <c r="O8" s="116">
        <f>'N5'!O8+'K5'!O8</f>
        <v>0</v>
      </c>
      <c r="P8" s="115">
        <f>'N5'!P8+'K5'!P8</f>
        <v>0</v>
      </c>
      <c r="Q8" s="116">
        <f>'N5'!Q8+'K5'!Q8</f>
        <v>62</v>
      </c>
      <c r="R8" s="121">
        <f>'N5'!R8+'K5'!R8</f>
        <v>16</v>
      </c>
      <c r="S8" s="121">
        <f>'N5'!S8+'K5'!S8</f>
        <v>24</v>
      </c>
      <c r="T8" s="33">
        <f>'N5'!T8+'K5'!T8</f>
        <v>445</v>
      </c>
      <c r="U8" s="115">
        <f>'N5'!U8+'K5'!U8</f>
        <v>63</v>
      </c>
      <c r="V8" s="115">
        <f>'N5'!V8+'K5'!V8</f>
        <v>14</v>
      </c>
      <c r="W8" s="115">
        <f>'N5'!W8+'K5'!W8</f>
        <v>0</v>
      </c>
      <c r="X8" s="116">
        <f>'N5'!X8+'K5'!X8</f>
        <v>0</v>
      </c>
      <c r="Y8" s="115">
        <f>'N5'!Y8+'K5'!Y8</f>
        <v>0</v>
      </c>
      <c r="Z8" s="116">
        <f>'N5'!Z8+'K5'!Z8</f>
        <v>30</v>
      </c>
      <c r="AA8" s="121">
        <f>'N5'!AA8+'K5'!AA8</f>
        <v>0</v>
      </c>
      <c r="AB8" s="121">
        <f>'N5'!AB8+'K5'!AB8</f>
        <v>0</v>
      </c>
      <c r="AC8" s="33">
        <f>'N5'!AC8+'K5'!AC8</f>
        <v>107</v>
      </c>
      <c r="AD8" s="12">
        <f>'N5'!AD8+'K5'!AD8</f>
        <v>2441</v>
      </c>
      <c r="AE8" s="39"/>
      <c r="AF8" s="39"/>
      <c r="AG8" s="39"/>
      <c r="AH8" s="39"/>
      <c r="AI8" s="39"/>
      <c r="AJ8"/>
    </row>
    <row r="9" spans="1:36" x14ac:dyDescent="0.2">
      <c r="A9" s="5">
        <f>DAY(Kalenteri!A125)</f>
        <v>5</v>
      </c>
      <c r="B9" s="3" t="str">
        <f>IF(Kalenteri!B125=1,"su",IF(Kalenteri!B125=2,"ma",IF(Kalenteri!B125=3,"ti",IF(Kalenteri!B125=4,"ke",IF(Kalenteri!B125=5,"to",IF(Kalenteri!B125=6,"pe",IF(Kalenteri!B125=7,"la",)))))))</f>
        <v>su</v>
      </c>
      <c r="C9" s="114">
        <f>'N5'!C9+'K5'!C9</f>
        <v>406</v>
      </c>
      <c r="D9" s="115">
        <f>'N5'!D9+'K5'!D9</f>
        <v>113</v>
      </c>
      <c r="E9" s="115">
        <f>'N5'!E9+'K5'!E9</f>
        <v>2</v>
      </c>
      <c r="F9" s="116">
        <f>'N5'!F9+'K5'!F9</f>
        <v>28</v>
      </c>
      <c r="G9" s="114">
        <f>'N5'!G9+'K5'!G9</f>
        <v>4</v>
      </c>
      <c r="H9" s="116">
        <f>'N5'!H9+'K5'!H9</f>
        <v>110</v>
      </c>
      <c r="I9" s="114">
        <f>'N5'!I9+'K5'!I9</f>
        <v>16</v>
      </c>
      <c r="J9" s="116">
        <f>'N5'!J9+'K5'!J9</f>
        <v>28</v>
      </c>
      <c r="K9" s="33">
        <f>'N5'!K9+'K5'!K9</f>
        <v>707</v>
      </c>
      <c r="L9" s="115">
        <f>'N5'!L9+'K5'!L9</f>
        <v>57</v>
      </c>
      <c r="M9" s="115">
        <f>'N5'!M9+'K5'!M9</f>
        <v>42</v>
      </c>
      <c r="N9" s="115">
        <f>'N5'!N9+'K5'!N9</f>
        <v>0</v>
      </c>
      <c r="O9" s="116">
        <f>'N5'!O9+'K5'!O9</f>
        <v>0</v>
      </c>
      <c r="P9" s="115">
        <f>'N5'!P9+'K5'!P9</f>
        <v>0</v>
      </c>
      <c r="Q9" s="116">
        <f>'N5'!Q9+'K5'!Q9</f>
        <v>11</v>
      </c>
      <c r="R9" s="121">
        <f>'N5'!R9+'K5'!R9</f>
        <v>2</v>
      </c>
      <c r="S9" s="121">
        <f>'N5'!S9+'K5'!S9</f>
        <v>3</v>
      </c>
      <c r="T9" s="33">
        <f>'N5'!T9+'K5'!T9</f>
        <v>115</v>
      </c>
      <c r="U9" s="115">
        <f>'N5'!U9+'K5'!U9</f>
        <v>40</v>
      </c>
      <c r="V9" s="115">
        <f>'N5'!V9+'K5'!V9</f>
        <v>11</v>
      </c>
      <c r="W9" s="115">
        <f>'N5'!W9+'K5'!W9</f>
        <v>0</v>
      </c>
      <c r="X9" s="116">
        <f>'N5'!X9+'K5'!X9</f>
        <v>0</v>
      </c>
      <c r="Y9" s="115">
        <f>'N5'!Y9+'K5'!Y9</f>
        <v>0</v>
      </c>
      <c r="Z9" s="116">
        <f>'N5'!Z9+'K5'!Z9</f>
        <v>11</v>
      </c>
      <c r="AA9" s="121">
        <f>'N5'!AA9+'K5'!AA9</f>
        <v>0</v>
      </c>
      <c r="AB9" s="121">
        <f>'N5'!AB9+'K5'!AB9</f>
        <v>0</v>
      </c>
      <c r="AC9" s="33">
        <f>'N5'!AC9+'K5'!AC9</f>
        <v>62</v>
      </c>
      <c r="AD9" s="12">
        <f>'N5'!AD9+'K5'!AD9</f>
        <v>884</v>
      </c>
      <c r="AE9" s="39"/>
      <c r="AF9" s="39"/>
      <c r="AG9" s="39"/>
      <c r="AH9" s="39"/>
      <c r="AI9" s="39"/>
      <c r="AJ9"/>
    </row>
    <row r="10" spans="1:36" x14ac:dyDescent="0.2">
      <c r="A10" s="5">
        <f>DAY(Kalenteri!A126)</f>
        <v>6</v>
      </c>
      <c r="B10" s="3" t="str">
        <f>IF(Kalenteri!B126=1,"su",IF(Kalenteri!B126=2,"ma",IF(Kalenteri!B126=3,"ti",IF(Kalenteri!B126=4,"ke",IF(Kalenteri!B126=5,"to",IF(Kalenteri!B126=6,"pe",IF(Kalenteri!B126=7,"la",)))))))</f>
        <v>ma</v>
      </c>
      <c r="C10" s="114">
        <f>'N5'!C10+'K5'!C10</f>
        <v>291</v>
      </c>
      <c r="D10" s="115">
        <f>'N5'!D10+'K5'!D10</f>
        <v>73</v>
      </c>
      <c r="E10" s="115">
        <f>'N5'!E10+'K5'!E10</f>
        <v>2</v>
      </c>
      <c r="F10" s="116">
        <f>'N5'!F10+'K5'!F10</f>
        <v>7</v>
      </c>
      <c r="G10" s="114">
        <f>'N5'!G10+'K5'!G10</f>
        <v>23</v>
      </c>
      <c r="H10" s="116">
        <f>'N5'!H10+'K5'!H10</f>
        <v>164</v>
      </c>
      <c r="I10" s="114">
        <f>'N5'!I10+'K5'!I10</f>
        <v>2</v>
      </c>
      <c r="J10" s="116">
        <f>'N5'!J10+'K5'!J10</f>
        <v>3</v>
      </c>
      <c r="K10" s="33">
        <f>'N5'!K10+'K5'!K10</f>
        <v>565</v>
      </c>
      <c r="L10" s="115">
        <f>'N5'!L10+'K5'!L10</f>
        <v>110</v>
      </c>
      <c r="M10" s="115">
        <f>'N5'!M10+'K5'!M10</f>
        <v>33</v>
      </c>
      <c r="N10" s="115">
        <f>'N5'!N10+'K5'!N10</f>
        <v>0</v>
      </c>
      <c r="O10" s="116">
        <f>'N5'!O10+'K5'!O10</f>
        <v>0</v>
      </c>
      <c r="P10" s="115">
        <f>'N5'!P10+'K5'!P10</f>
        <v>0</v>
      </c>
      <c r="Q10" s="116">
        <f>'N5'!Q10+'K5'!Q10</f>
        <v>13</v>
      </c>
      <c r="R10" s="121">
        <f>'N5'!R10+'K5'!R10</f>
        <v>2</v>
      </c>
      <c r="S10" s="121">
        <f>'N5'!S10+'K5'!S10</f>
        <v>3</v>
      </c>
      <c r="T10" s="33">
        <f>'N5'!T10+'K5'!T10</f>
        <v>161</v>
      </c>
      <c r="U10" s="115">
        <f>'N5'!U10+'K5'!U10</f>
        <v>0</v>
      </c>
      <c r="V10" s="115">
        <f>'N5'!V10+'K5'!V10</f>
        <v>0</v>
      </c>
      <c r="W10" s="115">
        <f>'N5'!W10+'K5'!W10</f>
        <v>0</v>
      </c>
      <c r="X10" s="116">
        <f>'N5'!X10+'K5'!X10</f>
        <v>0</v>
      </c>
      <c r="Y10" s="115">
        <f>'N5'!Y10+'K5'!Y10</f>
        <v>0</v>
      </c>
      <c r="Z10" s="116">
        <f>'N5'!Z10+'K5'!Z10</f>
        <v>0</v>
      </c>
      <c r="AA10" s="121">
        <f>'N5'!AA10+'K5'!AA10</f>
        <v>0</v>
      </c>
      <c r="AB10" s="121">
        <f>'N5'!AB10+'K5'!AB10</f>
        <v>0</v>
      </c>
      <c r="AC10" s="33">
        <f>'N5'!AC10+'K5'!AC10</f>
        <v>0</v>
      </c>
      <c r="AD10" s="12">
        <f>'N5'!AD10+'K5'!AD10</f>
        <v>726</v>
      </c>
      <c r="AE10" s="39"/>
      <c r="AF10" s="39"/>
      <c r="AG10" s="39"/>
      <c r="AH10" s="39"/>
      <c r="AI10" s="39"/>
      <c r="AJ10"/>
    </row>
    <row r="11" spans="1:36" x14ac:dyDescent="0.2">
      <c r="A11" s="5">
        <f>DAY(Kalenteri!A127)</f>
        <v>7</v>
      </c>
      <c r="B11" s="3" t="str">
        <f>IF(Kalenteri!B127=1,"su",IF(Kalenteri!B127=2,"ma",IF(Kalenteri!B127=3,"ti",IF(Kalenteri!B127=4,"ke",IF(Kalenteri!B127=5,"to",IF(Kalenteri!B127=6,"pe",IF(Kalenteri!B127=7,"la",)))))))</f>
        <v>ti</v>
      </c>
      <c r="C11" s="114">
        <f>'N5'!C11+'K5'!C11</f>
        <v>285</v>
      </c>
      <c r="D11" s="115">
        <f>'N5'!D11+'K5'!D11</f>
        <v>372</v>
      </c>
      <c r="E11" s="115">
        <f>'N5'!E11+'K5'!E11</f>
        <v>0</v>
      </c>
      <c r="F11" s="116">
        <f>'N5'!F11+'K5'!F11</f>
        <v>10</v>
      </c>
      <c r="G11" s="114">
        <f>'N5'!G11+'K5'!G11</f>
        <v>34</v>
      </c>
      <c r="H11" s="116">
        <f>'N5'!H11+'K5'!H11</f>
        <v>233</v>
      </c>
      <c r="I11" s="114">
        <f>'N5'!I11+'K5'!I11</f>
        <v>22</v>
      </c>
      <c r="J11" s="116">
        <f>'N5'!J11+'K5'!J11</f>
        <v>33</v>
      </c>
      <c r="K11" s="33">
        <f>'N5'!K11+'K5'!K11</f>
        <v>989</v>
      </c>
      <c r="L11" s="115">
        <f>'N5'!L11+'K5'!L11</f>
        <v>151</v>
      </c>
      <c r="M11" s="115">
        <f>'N5'!M11+'K5'!M11</f>
        <v>270</v>
      </c>
      <c r="N11" s="115">
        <f>'N5'!N11+'K5'!N11</f>
        <v>0</v>
      </c>
      <c r="O11" s="116">
        <f>'N5'!O11+'K5'!O11</f>
        <v>0</v>
      </c>
      <c r="P11" s="115">
        <f>'N5'!P11+'K5'!P11</f>
        <v>15</v>
      </c>
      <c r="Q11" s="116">
        <f>'N5'!Q11+'K5'!Q11</f>
        <v>88</v>
      </c>
      <c r="R11" s="121">
        <f>'N5'!R11+'K5'!R11</f>
        <v>4</v>
      </c>
      <c r="S11" s="121">
        <f>'N5'!S11+'K5'!S11</f>
        <v>6</v>
      </c>
      <c r="T11" s="33">
        <f>'N5'!T11+'K5'!T11</f>
        <v>534</v>
      </c>
      <c r="U11" s="115">
        <f>'N5'!U11+'K5'!U11</f>
        <v>0</v>
      </c>
      <c r="V11" s="115">
        <f>'N5'!V11+'K5'!V11</f>
        <v>0</v>
      </c>
      <c r="W11" s="115">
        <f>'N5'!W11+'K5'!W11</f>
        <v>0</v>
      </c>
      <c r="X11" s="116">
        <f>'N5'!X11+'K5'!X11</f>
        <v>0</v>
      </c>
      <c r="Y11" s="115">
        <f>'N5'!Y11+'K5'!Y11</f>
        <v>0</v>
      </c>
      <c r="Z11" s="116">
        <f>'N5'!Z11+'K5'!Z11</f>
        <v>0</v>
      </c>
      <c r="AA11" s="121">
        <f>'N5'!AA11+'K5'!AA11</f>
        <v>0</v>
      </c>
      <c r="AB11" s="121">
        <f>'N5'!AB11+'K5'!AB11</f>
        <v>0</v>
      </c>
      <c r="AC11" s="33">
        <f>'N5'!AC11+'K5'!AC11</f>
        <v>0</v>
      </c>
      <c r="AD11" s="12">
        <f>'N5'!AD11+'K5'!AD11</f>
        <v>1523</v>
      </c>
      <c r="AE11" s="39"/>
      <c r="AF11" s="39"/>
      <c r="AG11" s="39"/>
      <c r="AH11" s="39"/>
      <c r="AI11" s="39"/>
      <c r="AJ11"/>
    </row>
    <row r="12" spans="1:36" x14ac:dyDescent="0.2">
      <c r="A12" s="5">
        <f>DAY(Kalenteri!A128)</f>
        <v>8</v>
      </c>
      <c r="B12" s="3" t="str">
        <f>IF(Kalenteri!B128=1,"su",IF(Kalenteri!B128=2,"ma",IF(Kalenteri!B128=3,"ti",IF(Kalenteri!B128=4,"ke",IF(Kalenteri!B128=5,"to",IF(Kalenteri!B128=6,"pe",IF(Kalenteri!B128=7,"la",)))))))</f>
        <v>ke</v>
      </c>
      <c r="C12" s="114">
        <f>'N5'!C12+'K5'!C12</f>
        <v>365</v>
      </c>
      <c r="D12" s="115">
        <f>'N5'!D12+'K5'!D12</f>
        <v>265</v>
      </c>
      <c r="E12" s="115">
        <f>'N5'!E12+'K5'!E12</f>
        <v>0</v>
      </c>
      <c r="F12" s="116">
        <f>'N5'!F12+'K5'!F12</f>
        <v>14</v>
      </c>
      <c r="G12" s="114">
        <f>'N5'!G12+'K5'!G12</f>
        <v>30</v>
      </c>
      <c r="H12" s="116">
        <f>'N5'!H12+'K5'!H12</f>
        <v>204</v>
      </c>
      <c r="I12" s="114">
        <f>'N5'!I12+'K5'!I12</f>
        <v>2</v>
      </c>
      <c r="J12" s="116">
        <f>'N5'!J12+'K5'!J12</f>
        <v>3</v>
      </c>
      <c r="K12" s="33">
        <f>'N5'!K12+'K5'!K12</f>
        <v>883</v>
      </c>
      <c r="L12" s="115">
        <f>'N5'!L12+'K5'!L12</f>
        <v>172</v>
      </c>
      <c r="M12" s="115">
        <f>'N5'!M12+'K5'!M12</f>
        <v>49</v>
      </c>
      <c r="N12" s="115">
        <f>'N5'!N12+'K5'!N12</f>
        <v>0</v>
      </c>
      <c r="O12" s="116">
        <f>'N5'!O12+'K5'!O12</f>
        <v>0</v>
      </c>
      <c r="P12" s="115">
        <f>'N5'!P12+'K5'!P12</f>
        <v>21</v>
      </c>
      <c r="Q12" s="116">
        <f>'N5'!Q12+'K5'!Q12</f>
        <v>219</v>
      </c>
      <c r="R12" s="121">
        <f>'N5'!R12+'K5'!R12</f>
        <v>0</v>
      </c>
      <c r="S12" s="121">
        <f>'N5'!S12+'K5'!S12</f>
        <v>0</v>
      </c>
      <c r="T12" s="33">
        <f>'N5'!T12+'K5'!T12</f>
        <v>461</v>
      </c>
      <c r="U12" s="115">
        <f>'N5'!U12+'K5'!U12</f>
        <v>0</v>
      </c>
      <c r="V12" s="115">
        <f>'N5'!V12+'K5'!V12</f>
        <v>0</v>
      </c>
      <c r="W12" s="115">
        <f>'N5'!W12+'K5'!W12</f>
        <v>0</v>
      </c>
      <c r="X12" s="116">
        <f>'N5'!X12+'K5'!X12</f>
        <v>0</v>
      </c>
      <c r="Y12" s="115">
        <f>'N5'!Y12+'K5'!Y12</f>
        <v>0</v>
      </c>
      <c r="Z12" s="116">
        <f>'N5'!Z12+'K5'!Z12</f>
        <v>0</v>
      </c>
      <c r="AA12" s="121">
        <f>'N5'!AA12+'K5'!AA12</f>
        <v>0</v>
      </c>
      <c r="AB12" s="121">
        <f>'N5'!AB12+'K5'!AB12</f>
        <v>0</v>
      </c>
      <c r="AC12" s="33">
        <f>'N5'!AC12+'K5'!AC12</f>
        <v>0</v>
      </c>
      <c r="AD12" s="12">
        <f>'N5'!AD12+'K5'!AD12</f>
        <v>1344</v>
      </c>
      <c r="AE12" s="39"/>
      <c r="AF12" s="39"/>
      <c r="AG12" s="39"/>
      <c r="AH12" s="39"/>
      <c r="AI12" s="39"/>
      <c r="AJ12"/>
    </row>
    <row r="13" spans="1:36" x14ac:dyDescent="0.2">
      <c r="A13" s="5">
        <f>DAY(Kalenteri!A129)</f>
        <v>9</v>
      </c>
      <c r="B13" s="3" t="str">
        <f>IF(Kalenteri!B129=1,"su",IF(Kalenteri!B129=2,"ma",IF(Kalenteri!B129=3,"ti",IF(Kalenteri!B129=4,"ke",IF(Kalenteri!B129=5,"to",IF(Kalenteri!B129=6,"pe",IF(Kalenteri!B129=7,"la",)))))))</f>
        <v>to</v>
      </c>
      <c r="C13" s="114">
        <f>'N5'!C13+'K5'!C13</f>
        <v>1263</v>
      </c>
      <c r="D13" s="115">
        <f>'N5'!D13+'K5'!D13</f>
        <v>353</v>
      </c>
      <c r="E13" s="115">
        <f>'N5'!E13+'K5'!E13</f>
        <v>2</v>
      </c>
      <c r="F13" s="116">
        <f>'N5'!F13+'K5'!F13</f>
        <v>50</v>
      </c>
      <c r="G13" s="114">
        <f>'N5'!G13+'K5'!G13</f>
        <v>22</v>
      </c>
      <c r="H13" s="116">
        <f>'N5'!H13+'K5'!H13</f>
        <v>473</v>
      </c>
      <c r="I13" s="114">
        <f>'N5'!I13+'K5'!I13</f>
        <v>50</v>
      </c>
      <c r="J13" s="116">
        <f>'N5'!J13+'K5'!J13</f>
        <v>75</v>
      </c>
      <c r="K13" s="33">
        <f>'N5'!K13+'K5'!K13</f>
        <v>2288</v>
      </c>
      <c r="L13" s="115">
        <f>'N5'!L13+'K5'!L13</f>
        <v>299</v>
      </c>
      <c r="M13" s="115">
        <f>'N5'!M13+'K5'!M13</f>
        <v>53</v>
      </c>
      <c r="N13" s="115">
        <f>'N5'!N13+'K5'!N13</f>
        <v>0</v>
      </c>
      <c r="O13" s="116">
        <f>'N5'!O13+'K5'!O13</f>
        <v>0</v>
      </c>
      <c r="P13" s="115">
        <f>'N5'!P13+'K5'!P13</f>
        <v>0</v>
      </c>
      <c r="Q13" s="116">
        <f>'N5'!Q13+'K5'!Q13</f>
        <v>88</v>
      </c>
      <c r="R13" s="121">
        <f>'N5'!R13+'K5'!R13</f>
        <v>12</v>
      </c>
      <c r="S13" s="121">
        <f>'N5'!S13+'K5'!S13</f>
        <v>18</v>
      </c>
      <c r="T13" s="33">
        <f>'N5'!T13+'K5'!T13</f>
        <v>470</v>
      </c>
      <c r="U13" s="115">
        <f>'N5'!U13+'K5'!U13</f>
        <v>0</v>
      </c>
      <c r="V13" s="115">
        <f>'N5'!V13+'K5'!V13</f>
        <v>0</v>
      </c>
      <c r="W13" s="115">
        <f>'N5'!W13+'K5'!W13</f>
        <v>0</v>
      </c>
      <c r="X13" s="116">
        <f>'N5'!X13+'K5'!X13</f>
        <v>0</v>
      </c>
      <c r="Y13" s="115">
        <f>'N5'!Y13+'K5'!Y13</f>
        <v>0</v>
      </c>
      <c r="Z13" s="116">
        <f>'N5'!Z13+'K5'!Z13</f>
        <v>0</v>
      </c>
      <c r="AA13" s="121">
        <f>'N5'!AA13+'K5'!AA13</f>
        <v>0</v>
      </c>
      <c r="AB13" s="121">
        <f>'N5'!AB13+'K5'!AB13</f>
        <v>0</v>
      </c>
      <c r="AC13" s="33">
        <f>'N5'!AC13+'K5'!AC13</f>
        <v>0</v>
      </c>
      <c r="AD13" s="12">
        <f>'N5'!AD13+'K5'!AD13</f>
        <v>2758</v>
      </c>
      <c r="AE13" s="39"/>
      <c r="AF13" s="39"/>
      <c r="AG13" s="39"/>
      <c r="AH13" s="39"/>
      <c r="AI13" s="39"/>
      <c r="AJ13"/>
    </row>
    <row r="14" spans="1:36" x14ac:dyDescent="0.2">
      <c r="A14" s="5">
        <f>DAY(Kalenteri!A130)</f>
        <v>10</v>
      </c>
      <c r="B14" s="3" t="str">
        <f>IF(Kalenteri!B130=1,"su",IF(Kalenteri!B130=2,"ma",IF(Kalenteri!B130=3,"ti",IF(Kalenteri!B130=4,"ke",IF(Kalenteri!B130=5,"to",IF(Kalenteri!B130=6,"pe",IF(Kalenteri!B130=7,"la",)))))))</f>
        <v>pe</v>
      </c>
      <c r="C14" s="114">
        <f>'N5'!C14+'K5'!C14</f>
        <v>609</v>
      </c>
      <c r="D14" s="115">
        <f>'N5'!D14+'K5'!D14</f>
        <v>418</v>
      </c>
      <c r="E14" s="115">
        <f>'N5'!E14+'K5'!E14</f>
        <v>12</v>
      </c>
      <c r="F14" s="116">
        <f>'N5'!F14+'K5'!F14</f>
        <v>24</v>
      </c>
      <c r="G14" s="114">
        <f>'N5'!G14+'K5'!G14</f>
        <v>25</v>
      </c>
      <c r="H14" s="116">
        <f>'N5'!H14+'K5'!H14</f>
        <v>488</v>
      </c>
      <c r="I14" s="114">
        <f>'N5'!I14+'K5'!I14</f>
        <v>20</v>
      </c>
      <c r="J14" s="116">
        <f>'N5'!J14+'K5'!J14</f>
        <v>30</v>
      </c>
      <c r="K14" s="33">
        <f>'N5'!K14+'K5'!K14</f>
        <v>1626</v>
      </c>
      <c r="L14" s="115">
        <f>'N5'!L14+'K5'!L14</f>
        <v>285</v>
      </c>
      <c r="M14" s="115">
        <f>'N5'!M14+'K5'!M14</f>
        <v>64</v>
      </c>
      <c r="N14" s="115">
        <f>'N5'!N14+'K5'!N14</f>
        <v>0</v>
      </c>
      <c r="O14" s="116">
        <f>'N5'!O14+'K5'!O14</f>
        <v>0</v>
      </c>
      <c r="P14" s="115">
        <f>'N5'!P14+'K5'!P14</f>
        <v>6</v>
      </c>
      <c r="Q14" s="116">
        <f>'N5'!Q14+'K5'!Q14</f>
        <v>138</v>
      </c>
      <c r="R14" s="121">
        <f>'N5'!R14+'K5'!R14</f>
        <v>8</v>
      </c>
      <c r="S14" s="121">
        <f>'N5'!S14+'K5'!S14</f>
        <v>12</v>
      </c>
      <c r="T14" s="33">
        <f>'N5'!T14+'K5'!T14</f>
        <v>513</v>
      </c>
      <c r="U14" s="115">
        <f>'N5'!U14+'K5'!U14</f>
        <v>0</v>
      </c>
      <c r="V14" s="115">
        <f>'N5'!V14+'K5'!V14</f>
        <v>0</v>
      </c>
      <c r="W14" s="115">
        <f>'N5'!W14+'K5'!W14</f>
        <v>0</v>
      </c>
      <c r="X14" s="116">
        <f>'N5'!X14+'K5'!X14</f>
        <v>0</v>
      </c>
      <c r="Y14" s="115">
        <f>'N5'!Y14+'K5'!Y14</f>
        <v>0</v>
      </c>
      <c r="Z14" s="116">
        <f>'N5'!Z14+'K5'!Z14</f>
        <v>0</v>
      </c>
      <c r="AA14" s="121">
        <f>'N5'!AA14+'K5'!AA14</f>
        <v>0</v>
      </c>
      <c r="AB14" s="121">
        <f>'N5'!AB14+'K5'!AB14</f>
        <v>0</v>
      </c>
      <c r="AC14" s="33">
        <f>'N5'!AC14+'K5'!AC14</f>
        <v>0</v>
      </c>
      <c r="AD14" s="12">
        <f>'N5'!AD14+'K5'!AD14</f>
        <v>2139</v>
      </c>
      <c r="AE14" s="39"/>
      <c r="AF14" s="39"/>
      <c r="AG14" s="39"/>
      <c r="AH14" s="39"/>
      <c r="AI14" s="39"/>
      <c r="AJ14"/>
    </row>
    <row r="15" spans="1:36" x14ac:dyDescent="0.2">
      <c r="A15" s="5">
        <f>DAY(Kalenteri!A131)</f>
        <v>11</v>
      </c>
      <c r="B15" s="3" t="str">
        <f>IF(Kalenteri!B131=1,"su",IF(Kalenteri!B131=2,"ma",IF(Kalenteri!B131=3,"ti",IF(Kalenteri!B131=4,"ke",IF(Kalenteri!B131=5,"to",IF(Kalenteri!B131=6,"pe",IF(Kalenteri!B131=7,"la",)))))))</f>
        <v>la</v>
      </c>
      <c r="C15" s="114">
        <f>'N5'!C15+'K5'!C15</f>
        <v>1136</v>
      </c>
      <c r="D15" s="115">
        <f>'N5'!D15+'K5'!D15</f>
        <v>247</v>
      </c>
      <c r="E15" s="115">
        <f>'N5'!E15+'K5'!E15</f>
        <v>0</v>
      </c>
      <c r="F15" s="116">
        <f>'N5'!F15+'K5'!F15</f>
        <v>26</v>
      </c>
      <c r="G15" s="114">
        <f>'N5'!G15+'K5'!G15</f>
        <v>22</v>
      </c>
      <c r="H15" s="116">
        <f>'N5'!H15+'K5'!H15</f>
        <v>416</v>
      </c>
      <c r="I15" s="114">
        <f>'N5'!I15+'K5'!I15</f>
        <v>42</v>
      </c>
      <c r="J15" s="116">
        <f>'N5'!J15+'K5'!J15</f>
        <v>63</v>
      </c>
      <c r="K15" s="33">
        <f>'N5'!K15+'K5'!K15</f>
        <v>1952</v>
      </c>
      <c r="L15" s="115">
        <f>'N5'!L15+'K5'!L15</f>
        <v>432</v>
      </c>
      <c r="M15" s="115">
        <f>'N5'!M15+'K5'!M15</f>
        <v>76</v>
      </c>
      <c r="N15" s="115">
        <f>'N5'!N15+'K5'!N15</f>
        <v>0</v>
      </c>
      <c r="O15" s="116">
        <f>'N5'!O15+'K5'!O15</f>
        <v>0</v>
      </c>
      <c r="P15" s="115">
        <f>'N5'!P15+'K5'!P15</f>
        <v>4</v>
      </c>
      <c r="Q15" s="116">
        <f>'N5'!Q15+'K5'!Q15</f>
        <v>75</v>
      </c>
      <c r="R15" s="121">
        <f>'N5'!R15+'K5'!R15</f>
        <v>16</v>
      </c>
      <c r="S15" s="121">
        <f>'N5'!S15+'K5'!S15</f>
        <v>24</v>
      </c>
      <c r="T15" s="33">
        <f>'N5'!T15+'K5'!T15</f>
        <v>627</v>
      </c>
      <c r="U15" s="115">
        <f>'N5'!U15+'K5'!U15</f>
        <v>149</v>
      </c>
      <c r="V15" s="115">
        <f>'N5'!V15+'K5'!V15</f>
        <v>26</v>
      </c>
      <c r="W15" s="115">
        <f>'N5'!W15+'K5'!W15</f>
        <v>0</v>
      </c>
      <c r="X15" s="116">
        <f>'N5'!X15+'K5'!X15</f>
        <v>0</v>
      </c>
      <c r="Y15" s="115">
        <f>'N5'!Y15+'K5'!Y15</f>
        <v>0</v>
      </c>
      <c r="Z15" s="116">
        <f>'N5'!Z15+'K5'!Z15</f>
        <v>53</v>
      </c>
      <c r="AA15" s="121">
        <f>'N5'!AA15+'K5'!AA15</f>
        <v>2</v>
      </c>
      <c r="AB15" s="121">
        <f>'N5'!AB15+'K5'!AB15</f>
        <v>3</v>
      </c>
      <c r="AC15" s="33">
        <f>'N5'!AC15+'K5'!AC15</f>
        <v>233</v>
      </c>
      <c r="AD15" s="12">
        <f>'N5'!AD15+'K5'!AD15</f>
        <v>2812</v>
      </c>
      <c r="AE15" s="39"/>
      <c r="AF15" s="39"/>
      <c r="AG15" s="39"/>
      <c r="AH15" s="39"/>
      <c r="AI15" s="39"/>
      <c r="AJ15"/>
    </row>
    <row r="16" spans="1:36" x14ac:dyDescent="0.2">
      <c r="A16" s="5">
        <f>DAY(Kalenteri!A132)</f>
        <v>12</v>
      </c>
      <c r="B16" s="3" t="str">
        <f>IF(Kalenteri!B132=1,"su",IF(Kalenteri!B132=2,"ma",IF(Kalenteri!B132=3,"ti",IF(Kalenteri!B132=4,"ke",IF(Kalenteri!B132=5,"to",IF(Kalenteri!B132=6,"pe",IF(Kalenteri!B132=7,"la",)))))))</f>
        <v>su</v>
      </c>
      <c r="C16" s="114">
        <f>'N5'!C16+'K5'!C16</f>
        <v>135</v>
      </c>
      <c r="D16" s="115">
        <f>'N5'!D16+'K5'!D16</f>
        <v>387</v>
      </c>
      <c r="E16" s="115">
        <f>'N5'!E16+'K5'!E16</f>
        <v>2</v>
      </c>
      <c r="F16" s="116">
        <f>'N5'!F16+'K5'!F16</f>
        <v>1</v>
      </c>
      <c r="G16" s="114">
        <f>'N5'!G16+'K5'!G16</f>
        <v>7</v>
      </c>
      <c r="H16" s="116">
        <f>'N5'!H16+'K5'!H16</f>
        <v>92</v>
      </c>
      <c r="I16" s="114">
        <f>'N5'!I16+'K5'!I16</f>
        <v>6</v>
      </c>
      <c r="J16" s="116">
        <f>'N5'!J16+'K5'!J16</f>
        <v>9</v>
      </c>
      <c r="K16" s="33">
        <f>'N5'!K16+'K5'!K16</f>
        <v>639</v>
      </c>
      <c r="L16" s="115">
        <f>'N5'!L16+'K5'!L16</f>
        <v>258</v>
      </c>
      <c r="M16" s="115">
        <f>'N5'!M16+'K5'!M16</f>
        <v>45</v>
      </c>
      <c r="N16" s="115">
        <f>'N5'!N16+'K5'!N16</f>
        <v>0</v>
      </c>
      <c r="O16" s="116">
        <f>'N5'!O16+'K5'!O16</f>
        <v>0</v>
      </c>
      <c r="P16" s="115">
        <f>'N5'!P16+'K5'!P16</f>
        <v>0</v>
      </c>
      <c r="Q16" s="116">
        <f>'N5'!Q16+'K5'!Q16</f>
        <v>54</v>
      </c>
      <c r="R16" s="121">
        <f>'N5'!R16+'K5'!R16</f>
        <v>14</v>
      </c>
      <c r="S16" s="121">
        <f>'N5'!S16+'K5'!S16</f>
        <v>21</v>
      </c>
      <c r="T16" s="33">
        <f>'N5'!T16+'K5'!T16</f>
        <v>392</v>
      </c>
      <c r="U16" s="115">
        <f>'N5'!U16+'K5'!U16</f>
        <v>59</v>
      </c>
      <c r="V16" s="115">
        <f>'N5'!V16+'K5'!V16</f>
        <v>14</v>
      </c>
      <c r="W16" s="115">
        <f>'N5'!W16+'K5'!W16</f>
        <v>0</v>
      </c>
      <c r="X16" s="116">
        <f>'N5'!X16+'K5'!X16</f>
        <v>0</v>
      </c>
      <c r="Y16" s="115">
        <f>'N5'!Y16+'K5'!Y16</f>
        <v>0</v>
      </c>
      <c r="Z16" s="116">
        <f>'N5'!Z16+'K5'!Z16</f>
        <v>35</v>
      </c>
      <c r="AA16" s="121">
        <f>'N5'!AA16+'K5'!AA16</f>
        <v>6</v>
      </c>
      <c r="AB16" s="121">
        <f>'N5'!AB16+'K5'!AB16</f>
        <v>9</v>
      </c>
      <c r="AC16" s="33">
        <f>'N5'!AC16+'K5'!AC16</f>
        <v>123</v>
      </c>
      <c r="AD16" s="12">
        <f>'N5'!AD16+'K5'!AD16</f>
        <v>1154</v>
      </c>
      <c r="AE16" s="39"/>
      <c r="AF16" s="39"/>
      <c r="AG16" s="39"/>
      <c r="AH16" s="39"/>
      <c r="AI16" s="39"/>
      <c r="AJ16"/>
    </row>
    <row r="17" spans="1:36" x14ac:dyDescent="0.2">
      <c r="A17" s="5">
        <f>DAY(Kalenteri!A133)</f>
        <v>13</v>
      </c>
      <c r="B17" s="3" t="str">
        <f>IF(Kalenteri!B133=1,"su",IF(Kalenteri!B133=2,"ma",IF(Kalenteri!B133=3,"ti",IF(Kalenteri!B133=4,"ke",IF(Kalenteri!B133=5,"to",IF(Kalenteri!B133=6,"pe",IF(Kalenteri!B133=7,"la",)))))))</f>
        <v>ma</v>
      </c>
      <c r="C17" s="114">
        <f>'N5'!C17+'K5'!C17</f>
        <v>270</v>
      </c>
      <c r="D17" s="115">
        <f>'N5'!D17+'K5'!D17</f>
        <v>481</v>
      </c>
      <c r="E17" s="115">
        <f>'N5'!E17+'K5'!E17</f>
        <v>0</v>
      </c>
      <c r="F17" s="116">
        <f>'N5'!F17+'K5'!F17</f>
        <v>7</v>
      </c>
      <c r="G17" s="114">
        <f>'N5'!G17+'K5'!G17</f>
        <v>28</v>
      </c>
      <c r="H17" s="116">
        <f>'N5'!H17+'K5'!H17</f>
        <v>574</v>
      </c>
      <c r="I17" s="114">
        <f>'N5'!I17+'K5'!I17</f>
        <v>6</v>
      </c>
      <c r="J17" s="116">
        <f>'N5'!J17+'K5'!J17</f>
        <v>9</v>
      </c>
      <c r="K17" s="33">
        <f>'N5'!K17+'K5'!K17</f>
        <v>1375</v>
      </c>
      <c r="L17" s="115">
        <f>'N5'!L17+'K5'!L17</f>
        <v>81</v>
      </c>
      <c r="M17" s="115">
        <f>'N5'!M17+'K5'!M17</f>
        <v>104</v>
      </c>
      <c r="N17" s="115">
        <f>'N5'!N17+'K5'!N17</f>
        <v>0</v>
      </c>
      <c r="O17" s="116">
        <f>'N5'!O17+'K5'!O17</f>
        <v>0</v>
      </c>
      <c r="P17" s="115">
        <f>'N5'!P17+'K5'!P17</f>
        <v>0</v>
      </c>
      <c r="Q17" s="116">
        <f>'N5'!Q17+'K5'!Q17</f>
        <v>29</v>
      </c>
      <c r="R17" s="121">
        <f>'N5'!R17+'K5'!R17</f>
        <v>0</v>
      </c>
      <c r="S17" s="121">
        <f>'N5'!S17+'K5'!S17</f>
        <v>0</v>
      </c>
      <c r="T17" s="33">
        <f>'N5'!T17+'K5'!T17</f>
        <v>214</v>
      </c>
      <c r="U17" s="115">
        <f>'N5'!U17+'K5'!U17</f>
        <v>0</v>
      </c>
      <c r="V17" s="115">
        <f>'N5'!V17+'K5'!V17</f>
        <v>0</v>
      </c>
      <c r="W17" s="115">
        <f>'N5'!W17+'K5'!W17</f>
        <v>0</v>
      </c>
      <c r="X17" s="116">
        <f>'N5'!X17+'K5'!X17</f>
        <v>0</v>
      </c>
      <c r="Y17" s="115">
        <f>'N5'!Y17+'K5'!Y17</f>
        <v>0</v>
      </c>
      <c r="Z17" s="116">
        <f>'N5'!Z17+'K5'!Z17</f>
        <v>0</v>
      </c>
      <c r="AA17" s="121">
        <f>'N5'!AA17+'K5'!AA17</f>
        <v>0</v>
      </c>
      <c r="AB17" s="121">
        <f>'N5'!AB17+'K5'!AB17</f>
        <v>0</v>
      </c>
      <c r="AC17" s="33">
        <f>'N5'!AC17+'K5'!AC17</f>
        <v>0</v>
      </c>
      <c r="AD17" s="12">
        <f>'N5'!AD17+'K5'!AD17</f>
        <v>1589</v>
      </c>
      <c r="AE17" s="39"/>
      <c r="AF17" s="39"/>
      <c r="AG17" s="39"/>
      <c r="AH17" s="39"/>
      <c r="AI17" s="39"/>
      <c r="AJ17"/>
    </row>
    <row r="18" spans="1:36" x14ac:dyDescent="0.2">
      <c r="A18" s="5">
        <f>DAY(Kalenteri!A134)</f>
        <v>14</v>
      </c>
      <c r="B18" s="3" t="str">
        <f>IF(Kalenteri!B134=1,"su",IF(Kalenteri!B134=2,"ma",IF(Kalenteri!B134=3,"ti",IF(Kalenteri!B134=4,"ke",IF(Kalenteri!B134=5,"to",IF(Kalenteri!B134=6,"pe",IF(Kalenteri!B134=7,"la",)))))))</f>
        <v>ti</v>
      </c>
      <c r="C18" s="114">
        <f>'N5'!C18+'K5'!C18</f>
        <v>270</v>
      </c>
      <c r="D18" s="115">
        <f>'N5'!D18+'K5'!D18</f>
        <v>482</v>
      </c>
      <c r="E18" s="115">
        <f>'N5'!E18+'K5'!E18</f>
        <v>0</v>
      </c>
      <c r="F18" s="116">
        <f>'N5'!F18+'K5'!F18</f>
        <v>7</v>
      </c>
      <c r="G18" s="114">
        <f>'N5'!G18+'K5'!G18</f>
        <v>78</v>
      </c>
      <c r="H18" s="116">
        <f>'N5'!H18+'K5'!H18</f>
        <v>546</v>
      </c>
      <c r="I18" s="114">
        <f>'N5'!I18+'K5'!I18</f>
        <v>6</v>
      </c>
      <c r="J18" s="116">
        <f>'N5'!J18+'K5'!J18</f>
        <v>9</v>
      </c>
      <c r="K18" s="33">
        <f>'N5'!K18+'K5'!K18</f>
        <v>1398</v>
      </c>
      <c r="L18" s="115">
        <f>'N5'!L18+'K5'!L18</f>
        <v>138</v>
      </c>
      <c r="M18" s="115">
        <f>'N5'!M18+'K5'!M18</f>
        <v>7</v>
      </c>
      <c r="N18" s="115">
        <f>'N5'!N18+'K5'!N18</f>
        <v>0</v>
      </c>
      <c r="O18" s="116">
        <f>'N5'!O18+'K5'!O18</f>
        <v>0</v>
      </c>
      <c r="P18" s="115">
        <f>'N5'!P18+'K5'!P18</f>
        <v>28</v>
      </c>
      <c r="Q18" s="116">
        <f>'N5'!Q18+'K5'!Q18</f>
        <v>165</v>
      </c>
      <c r="R18" s="121">
        <f>'N5'!R18+'K5'!R18</f>
        <v>2</v>
      </c>
      <c r="S18" s="121">
        <f>'N5'!S18+'K5'!S18</f>
        <v>3</v>
      </c>
      <c r="T18" s="33">
        <f>'N5'!T18+'K5'!T18</f>
        <v>343</v>
      </c>
      <c r="U18" s="115">
        <f>'N5'!U18+'K5'!U18</f>
        <v>0</v>
      </c>
      <c r="V18" s="115">
        <f>'N5'!V18+'K5'!V18</f>
        <v>0</v>
      </c>
      <c r="W18" s="115">
        <f>'N5'!W18+'K5'!W18</f>
        <v>0</v>
      </c>
      <c r="X18" s="116">
        <f>'N5'!X18+'K5'!X18</f>
        <v>0</v>
      </c>
      <c r="Y18" s="115">
        <f>'N5'!Y18+'K5'!Y18</f>
        <v>0</v>
      </c>
      <c r="Z18" s="116">
        <f>'N5'!Z18+'K5'!Z18</f>
        <v>0</v>
      </c>
      <c r="AA18" s="121">
        <f>'N5'!AA18+'K5'!AA18</f>
        <v>0</v>
      </c>
      <c r="AB18" s="121">
        <f>'N5'!AB18+'K5'!AB18</f>
        <v>0</v>
      </c>
      <c r="AC18" s="33">
        <f>'N5'!AC18+'K5'!AC18</f>
        <v>0</v>
      </c>
      <c r="AD18" s="12">
        <f>'N5'!AD18+'K5'!AD18</f>
        <v>1741</v>
      </c>
      <c r="AE18" s="39"/>
      <c r="AF18" s="39"/>
      <c r="AG18" s="39"/>
      <c r="AH18" s="39"/>
      <c r="AI18" s="39"/>
      <c r="AJ18"/>
    </row>
    <row r="19" spans="1:36" x14ac:dyDescent="0.2">
      <c r="A19" s="5">
        <f>DAY(Kalenteri!A135)</f>
        <v>15</v>
      </c>
      <c r="B19" s="3" t="str">
        <f>IF(Kalenteri!B135=1,"su",IF(Kalenteri!B135=2,"ma",IF(Kalenteri!B135=3,"ti",IF(Kalenteri!B135=4,"ke",IF(Kalenteri!B135=5,"to",IF(Kalenteri!B135=6,"pe",IF(Kalenteri!B135=7,"la",)))))))</f>
        <v>ke</v>
      </c>
      <c r="C19" s="114">
        <f>'N5'!C19+'K5'!C19</f>
        <v>265</v>
      </c>
      <c r="D19" s="115">
        <f>'N5'!D19+'K5'!D19</f>
        <v>564</v>
      </c>
      <c r="E19" s="115">
        <f>'N5'!E19+'K5'!E19</f>
        <v>0</v>
      </c>
      <c r="F19" s="116">
        <f>'N5'!F19+'K5'!F19</f>
        <v>10</v>
      </c>
      <c r="G19" s="114">
        <f>'N5'!G19+'K5'!G19</f>
        <v>14</v>
      </c>
      <c r="H19" s="116">
        <f>'N5'!H19+'K5'!H19</f>
        <v>257</v>
      </c>
      <c r="I19" s="114">
        <f>'N5'!I19+'K5'!I19</f>
        <v>6</v>
      </c>
      <c r="J19" s="116">
        <f>'N5'!J19+'K5'!J19</f>
        <v>9</v>
      </c>
      <c r="K19" s="33">
        <f>'N5'!K19+'K5'!K19</f>
        <v>1125</v>
      </c>
      <c r="L19" s="115">
        <f>'N5'!L19+'K5'!L19</f>
        <v>110</v>
      </c>
      <c r="M19" s="115">
        <f>'N5'!M19+'K5'!M19</f>
        <v>37</v>
      </c>
      <c r="N19" s="115">
        <f>'N5'!N19+'K5'!N19</f>
        <v>0</v>
      </c>
      <c r="O19" s="116">
        <f>'N5'!O19+'K5'!O19</f>
        <v>0</v>
      </c>
      <c r="P19" s="115">
        <f>'N5'!P19+'K5'!P19</f>
        <v>41</v>
      </c>
      <c r="Q19" s="116">
        <f>'N5'!Q19+'K5'!Q19</f>
        <v>273</v>
      </c>
      <c r="R19" s="121">
        <f>'N5'!R19+'K5'!R19</f>
        <v>4</v>
      </c>
      <c r="S19" s="121">
        <f>'N5'!S19+'K5'!S19</f>
        <v>6</v>
      </c>
      <c r="T19" s="33">
        <f>'N5'!T19+'K5'!T19</f>
        <v>471</v>
      </c>
      <c r="U19" s="115">
        <f>'N5'!U19+'K5'!U19</f>
        <v>0</v>
      </c>
      <c r="V19" s="115">
        <f>'N5'!V19+'K5'!V19</f>
        <v>0</v>
      </c>
      <c r="W19" s="115">
        <f>'N5'!W19+'K5'!W19</f>
        <v>0</v>
      </c>
      <c r="X19" s="116">
        <f>'N5'!X19+'K5'!X19</f>
        <v>0</v>
      </c>
      <c r="Y19" s="115">
        <f>'N5'!Y19+'K5'!Y19</f>
        <v>0</v>
      </c>
      <c r="Z19" s="116">
        <f>'N5'!Z19+'K5'!Z19</f>
        <v>0</v>
      </c>
      <c r="AA19" s="121">
        <f>'N5'!AA19+'K5'!AA19</f>
        <v>0</v>
      </c>
      <c r="AB19" s="121">
        <f>'N5'!AB19+'K5'!AB19</f>
        <v>0</v>
      </c>
      <c r="AC19" s="33">
        <f>'N5'!AC19+'K5'!AC19</f>
        <v>0</v>
      </c>
      <c r="AD19" s="12">
        <f>'N5'!AD19+'K5'!AD19</f>
        <v>1596</v>
      </c>
      <c r="AE19" s="39"/>
      <c r="AF19" s="39"/>
      <c r="AG19" s="39"/>
      <c r="AH19" s="39"/>
      <c r="AI19" s="39"/>
      <c r="AJ19"/>
    </row>
    <row r="20" spans="1:36" x14ac:dyDescent="0.2">
      <c r="A20" s="5">
        <f>DAY(Kalenteri!A136)</f>
        <v>16</v>
      </c>
      <c r="B20" s="3" t="str">
        <f>IF(Kalenteri!B136=1,"su",IF(Kalenteri!B136=2,"ma",IF(Kalenteri!B136=3,"ti",IF(Kalenteri!B136=4,"ke",IF(Kalenteri!B136=5,"to",IF(Kalenteri!B136=6,"pe",IF(Kalenteri!B136=7,"la",)))))))</f>
        <v>to</v>
      </c>
      <c r="C20" s="114">
        <f>'N5'!C20+'K5'!C20</f>
        <v>357</v>
      </c>
      <c r="D20" s="115">
        <f>'N5'!D20+'K5'!D20</f>
        <v>413</v>
      </c>
      <c r="E20" s="115">
        <f>'N5'!E20+'K5'!E20</f>
        <v>2</v>
      </c>
      <c r="F20" s="116">
        <f>'N5'!F20+'K5'!F20</f>
        <v>18</v>
      </c>
      <c r="G20" s="114">
        <f>'N5'!G20+'K5'!G20</f>
        <v>49</v>
      </c>
      <c r="H20" s="116">
        <f>'N5'!H20+'K5'!H20</f>
        <v>500</v>
      </c>
      <c r="I20" s="114">
        <f>'N5'!I20+'K5'!I20</f>
        <v>2</v>
      </c>
      <c r="J20" s="116">
        <f>'N5'!J20+'K5'!J20</f>
        <v>3</v>
      </c>
      <c r="K20" s="33">
        <f>'N5'!K20+'K5'!K20</f>
        <v>1344</v>
      </c>
      <c r="L20" s="115">
        <f>'N5'!L20+'K5'!L20</f>
        <v>103</v>
      </c>
      <c r="M20" s="115">
        <f>'N5'!M20+'K5'!M20</f>
        <v>32</v>
      </c>
      <c r="N20" s="115">
        <f>'N5'!N50+'K5'!N50</f>
        <v>0</v>
      </c>
      <c r="O20" s="116">
        <f>'N5'!O20+'K5'!O20</f>
        <v>0</v>
      </c>
      <c r="P20" s="115">
        <f>'N5'!P20+'K5'!P20</f>
        <v>17</v>
      </c>
      <c r="Q20" s="116">
        <f>'N5'!Q20+'K5'!Q20</f>
        <v>166</v>
      </c>
      <c r="R20" s="121">
        <f>'N5'!R20+'K5'!R20</f>
        <v>0</v>
      </c>
      <c r="S20" s="121">
        <f>'N5'!S20+'K5'!S20</f>
        <v>0</v>
      </c>
      <c r="T20" s="33">
        <f>'N5'!T20+'K5'!T20</f>
        <v>318</v>
      </c>
      <c r="U20" s="115">
        <f>'N5'!U20+'K5'!U20</f>
        <v>0</v>
      </c>
      <c r="V20" s="115">
        <f>'N5'!V20+'K5'!V20</f>
        <v>0</v>
      </c>
      <c r="W20" s="115">
        <f>'N5'!W20+'K5'!W20</f>
        <v>0</v>
      </c>
      <c r="X20" s="116">
        <f>'N5'!X20+'K5'!X20</f>
        <v>0</v>
      </c>
      <c r="Y20" s="115">
        <f>'N5'!Y20+'K5'!Y20</f>
        <v>0</v>
      </c>
      <c r="Z20" s="116">
        <f>'N5'!Z20+'K5'!Z20</f>
        <v>0</v>
      </c>
      <c r="AA20" s="121">
        <f>'N5'!AA20+'K5'!AA20</f>
        <v>0</v>
      </c>
      <c r="AB20" s="121">
        <f>'N5'!AB20+'K5'!AB20</f>
        <v>0</v>
      </c>
      <c r="AC20" s="33">
        <f>'N5'!AC20+'K5'!AC20</f>
        <v>0</v>
      </c>
      <c r="AD20" s="12">
        <f>'N5'!AD20+'K5'!AD20</f>
        <v>1662</v>
      </c>
      <c r="AE20" s="39"/>
      <c r="AF20" s="39"/>
      <c r="AG20" s="39"/>
      <c r="AH20" s="39"/>
      <c r="AI20" s="39"/>
      <c r="AJ20"/>
    </row>
    <row r="21" spans="1:36" x14ac:dyDescent="0.2">
      <c r="A21" s="5">
        <f>DAY(Kalenteri!A137)</f>
        <v>17</v>
      </c>
      <c r="B21" s="3" t="str">
        <f>IF(Kalenteri!B137=1,"su",IF(Kalenteri!B137=2,"ma",IF(Kalenteri!B137=3,"ti",IF(Kalenteri!B137=4,"ke",IF(Kalenteri!B137=5,"to",IF(Kalenteri!B137=6,"pe",IF(Kalenteri!B137=7,"la",)))))))</f>
        <v>pe</v>
      </c>
      <c r="C21" s="114">
        <f>'N5'!C21+'K5'!C21</f>
        <v>397</v>
      </c>
      <c r="D21" s="115">
        <f>'N5'!D21+'K5'!D21</f>
        <v>207</v>
      </c>
      <c r="E21" s="115">
        <f>'N5'!E21+'K5'!E21</f>
        <v>0</v>
      </c>
      <c r="F21" s="116">
        <f>'N5'!F21+'K5'!F21</f>
        <v>8</v>
      </c>
      <c r="G21" s="114">
        <f>'N5'!G21+'K5'!G21</f>
        <v>21</v>
      </c>
      <c r="H21" s="116">
        <f>'N5'!H21+'K5'!H21</f>
        <v>260</v>
      </c>
      <c r="I21" s="114">
        <f>'N5'!I21+'K5'!I21</f>
        <v>2</v>
      </c>
      <c r="J21" s="116">
        <f>'N5'!J21+'K5'!J21</f>
        <v>3</v>
      </c>
      <c r="K21" s="33">
        <f>'N5'!K21+'K5'!K21</f>
        <v>898</v>
      </c>
      <c r="L21" s="115">
        <f>'N5'!L21+'K5'!L21</f>
        <v>182</v>
      </c>
      <c r="M21" s="115">
        <f>'N5'!M21+'K5'!M21</f>
        <v>60</v>
      </c>
      <c r="N21" s="115">
        <f>'N5'!N51+'K5'!N51</f>
        <v>0</v>
      </c>
      <c r="O21" s="116">
        <f>'N5'!O21+'K5'!O21</f>
        <v>0</v>
      </c>
      <c r="P21" s="115">
        <f>'N5'!P21+'K5'!P21</f>
        <v>6</v>
      </c>
      <c r="Q21" s="116">
        <f>'N5'!Q21+'K5'!Q21</f>
        <v>156</v>
      </c>
      <c r="R21" s="121">
        <f>'N5'!R21+'K5'!R21</f>
        <v>0</v>
      </c>
      <c r="S21" s="121">
        <f>'N5'!S21+'K5'!S21</f>
        <v>0</v>
      </c>
      <c r="T21" s="33">
        <f>'N5'!T21+'K5'!T21</f>
        <v>404</v>
      </c>
      <c r="U21" s="115">
        <f>'N5'!U21+'K5'!U21</f>
        <v>0</v>
      </c>
      <c r="V21" s="115">
        <f>'N5'!V21+'K5'!V21</f>
        <v>0</v>
      </c>
      <c r="W21" s="115">
        <f>'N5'!W21+'K5'!W21</f>
        <v>0</v>
      </c>
      <c r="X21" s="116">
        <f>'N5'!X21+'K5'!X21</f>
        <v>0</v>
      </c>
      <c r="Y21" s="115">
        <f>'N5'!Y21+'K5'!Y21</f>
        <v>0</v>
      </c>
      <c r="Z21" s="116">
        <f>'N5'!Z21+'K5'!Z21</f>
        <v>0</v>
      </c>
      <c r="AA21" s="121">
        <f>'N5'!AA21+'K5'!AA21</f>
        <v>0</v>
      </c>
      <c r="AB21" s="121">
        <f>'N5'!AB21+'K5'!AB21</f>
        <v>0</v>
      </c>
      <c r="AC21" s="33">
        <f>'N5'!AC21+'K5'!AC21</f>
        <v>0</v>
      </c>
      <c r="AD21" s="12">
        <f>'N5'!AD21+'K5'!AD21</f>
        <v>1302</v>
      </c>
      <c r="AE21" s="39"/>
      <c r="AF21" s="39"/>
      <c r="AG21" s="39"/>
      <c r="AH21" s="39"/>
      <c r="AI21" s="39"/>
      <c r="AJ21"/>
    </row>
    <row r="22" spans="1:36" x14ac:dyDescent="0.2">
      <c r="A22" s="5">
        <f>DAY(Kalenteri!A138)</f>
        <v>18</v>
      </c>
      <c r="B22" s="3" t="str">
        <f>IF(Kalenteri!B138=1,"su",IF(Kalenteri!B138=2,"ma",IF(Kalenteri!B138=3,"ti",IF(Kalenteri!B138=4,"ke",IF(Kalenteri!B138=5,"to",IF(Kalenteri!B138=6,"pe",IF(Kalenteri!B138=7,"la",)))))))</f>
        <v>la</v>
      </c>
      <c r="C22" s="114">
        <f>'N5'!C22+'K5'!C22</f>
        <v>632</v>
      </c>
      <c r="D22" s="115">
        <f>'N5'!D22+'K5'!D22</f>
        <v>188</v>
      </c>
      <c r="E22" s="115">
        <f>'N5'!E22+'K5'!E22</f>
        <v>6</v>
      </c>
      <c r="F22" s="116">
        <f>'N5'!F22+'K5'!F22</f>
        <v>13</v>
      </c>
      <c r="G22" s="114">
        <f>'N5'!G22+'K5'!G22</f>
        <v>21</v>
      </c>
      <c r="H22" s="116">
        <f>'N5'!H22+'K5'!H22</f>
        <v>248</v>
      </c>
      <c r="I22" s="114">
        <f>'N5'!I22+'K5'!I22</f>
        <v>16</v>
      </c>
      <c r="J22" s="116">
        <f>'N5'!J22+'K5'!J22</f>
        <v>24</v>
      </c>
      <c r="K22" s="33">
        <f>'N5'!K22+'K5'!K22</f>
        <v>1148</v>
      </c>
      <c r="L22" s="115">
        <f>'N5'!L22+'K5'!L22</f>
        <v>253</v>
      </c>
      <c r="M22" s="115">
        <f>'N5'!M22+'K5'!M22</f>
        <v>46</v>
      </c>
      <c r="N22" s="115">
        <f>'N5'!N52+'K5'!N52</f>
        <v>0</v>
      </c>
      <c r="O22" s="116">
        <f>'N5'!O22+'K5'!O22</f>
        <v>0</v>
      </c>
      <c r="P22" s="115">
        <f>'N5'!P22+'K5'!P22</f>
        <v>0</v>
      </c>
      <c r="Q22" s="116">
        <f>'N5'!Q22+'K5'!Q22</f>
        <v>28</v>
      </c>
      <c r="R22" s="121">
        <f>'N5'!R22+'K5'!R22</f>
        <v>14</v>
      </c>
      <c r="S22" s="121">
        <f>'N5'!S22+'K5'!S22</f>
        <v>21</v>
      </c>
      <c r="T22" s="33">
        <f>'N5'!T22+'K5'!T22</f>
        <v>362</v>
      </c>
      <c r="U22" s="115">
        <f>'N5'!U22+'K5'!U22</f>
        <v>52</v>
      </c>
      <c r="V22" s="115">
        <f>'N5'!V22+'K5'!V22</f>
        <v>10</v>
      </c>
      <c r="W22" s="115">
        <f>'N5'!W22+'K5'!W22</f>
        <v>0</v>
      </c>
      <c r="X22" s="116">
        <f>'N5'!X22+'K5'!X22</f>
        <v>0</v>
      </c>
      <c r="Y22" s="115">
        <f>'N5'!Y22+'K5'!Y22</f>
        <v>0</v>
      </c>
      <c r="Z22" s="116">
        <f>'N5'!Z22+'K5'!Z22</f>
        <v>18</v>
      </c>
      <c r="AA22" s="121">
        <f>'N5'!AA22+'K5'!AA22</f>
        <v>2</v>
      </c>
      <c r="AB22" s="121">
        <f>'N5'!AB22+'K5'!AB22</f>
        <v>3</v>
      </c>
      <c r="AC22" s="33">
        <f>'N5'!AC22+'K5'!AC22</f>
        <v>85</v>
      </c>
      <c r="AD22" s="12">
        <f>'N5'!AD22+'K5'!AD22</f>
        <v>1595</v>
      </c>
      <c r="AE22" s="39"/>
      <c r="AF22" s="39"/>
      <c r="AG22" s="39"/>
      <c r="AH22" s="39"/>
      <c r="AI22" s="39"/>
      <c r="AJ22"/>
    </row>
    <row r="23" spans="1:36" x14ac:dyDescent="0.2">
      <c r="A23" s="5">
        <f>DAY(Kalenteri!A139)</f>
        <v>19</v>
      </c>
      <c r="B23" s="3" t="str">
        <f>IF(Kalenteri!B139=1,"su",IF(Kalenteri!B139=2,"ma",IF(Kalenteri!B139=3,"ti",IF(Kalenteri!B139=4,"ke",IF(Kalenteri!B139=5,"to",IF(Kalenteri!B139=6,"pe",IF(Kalenteri!B139=7,"la",)))))))</f>
        <v>su</v>
      </c>
      <c r="C23" s="114">
        <f>'N5'!C23+'K5'!C23</f>
        <v>1601</v>
      </c>
      <c r="D23" s="115">
        <f>'N5'!D23+'K5'!D23</f>
        <v>290</v>
      </c>
      <c r="E23" s="115">
        <f>'N5'!E23+'K5'!E23</f>
        <v>0</v>
      </c>
      <c r="F23" s="116">
        <f>'N5'!F23+'K5'!F23</f>
        <v>30</v>
      </c>
      <c r="G23" s="114">
        <f>'N5'!G23+'K5'!G23</f>
        <v>21</v>
      </c>
      <c r="H23" s="116">
        <f>'N5'!H23+'K5'!H23</f>
        <v>458</v>
      </c>
      <c r="I23" s="114">
        <f>'N5'!I23+'K5'!I23</f>
        <v>58</v>
      </c>
      <c r="J23" s="116">
        <f>'N5'!J23+'K5'!J23</f>
        <v>87</v>
      </c>
      <c r="K23" s="33">
        <f>'N5'!K23+'K5'!K23</f>
        <v>2545</v>
      </c>
      <c r="L23" s="115">
        <f>'N5'!L23+'K5'!L23</f>
        <v>259</v>
      </c>
      <c r="M23" s="115">
        <f>'N5'!M23+'K5'!M23</f>
        <v>40</v>
      </c>
      <c r="N23" s="115">
        <f>'N5'!N53+'K5'!N53</f>
        <v>0</v>
      </c>
      <c r="O23" s="116">
        <f>'N5'!O23+'K5'!O23</f>
        <v>0</v>
      </c>
      <c r="P23" s="115">
        <f>'N5'!P23+'K5'!P23</f>
        <v>0</v>
      </c>
      <c r="Q23" s="116">
        <f>'N5'!Q23+'K5'!Q23</f>
        <v>58</v>
      </c>
      <c r="R23" s="121">
        <f>'N5'!R23+'K5'!R23</f>
        <v>2</v>
      </c>
      <c r="S23" s="121">
        <f>'N5'!S23+'K5'!S23</f>
        <v>3</v>
      </c>
      <c r="T23" s="33">
        <f>'N5'!T23+'K5'!T23</f>
        <v>362</v>
      </c>
      <c r="U23" s="115">
        <f>'N5'!U23+'K5'!U23</f>
        <v>56</v>
      </c>
      <c r="V23" s="115">
        <f>'N5'!V23+'K5'!V23</f>
        <v>16</v>
      </c>
      <c r="W23" s="115">
        <f>'N5'!W23+'K5'!W23</f>
        <v>0</v>
      </c>
      <c r="X23" s="116">
        <f>'N5'!X23+'K5'!X23</f>
        <v>0</v>
      </c>
      <c r="Y23" s="115">
        <f>'N5'!Y23+'K5'!Y23</f>
        <v>0</v>
      </c>
      <c r="Z23" s="116">
        <f>'N5'!Z23+'K5'!Z23</f>
        <v>17</v>
      </c>
      <c r="AA23" s="121">
        <f>'N5'!AA23+'K5'!AA23</f>
        <v>0</v>
      </c>
      <c r="AB23" s="121">
        <f>'N5'!AB23+'K5'!AB23</f>
        <v>0</v>
      </c>
      <c r="AC23" s="33">
        <f>'N5'!AC23+'K5'!AC23</f>
        <v>89</v>
      </c>
      <c r="AD23" s="12">
        <f>'N5'!AD23+'K5'!AD23</f>
        <v>2996</v>
      </c>
      <c r="AE23" s="39"/>
      <c r="AF23" s="39"/>
      <c r="AG23" s="39"/>
      <c r="AH23" s="39"/>
      <c r="AI23" s="39"/>
      <c r="AJ23"/>
    </row>
    <row r="24" spans="1:36" x14ac:dyDescent="0.2">
      <c r="A24" s="5">
        <f>DAY(Kalenteri!A140)</f>
        <v>20</v>
      </c>
      <c r="B24" s="3" t="str">
        <f>IF(Kalenteri!B140=1,"su",IF(Kalenteri!B140=2,"ma",IF(Kalenteri!B140=3,"ti",IF(Kalenteri!B140=4,"ke",IF(Kalenteri!B140=5,"to",IF(Kalenteri!B140=6,"pe",IF(Kalenteri!B140=7,"la",)))))))</f>
        <v>ma</v>
      </c>
      <c r="C24" s="114">
        <f>'N5'!C24+'K5'!C24</f>
        <v>207</v>
      </c>
      <c r="D24" s="115">
        <f>'N5'!D24+'K5'!D24</f>
        <v>724</v>
      </c>
      <c r="E24" s="115">
        <f>'N5'!E24+'K5'!E24</f>
        <v>2</v>
      </c>
      <c r="F24" s="116">
        <f>'N5'!F24+'K5'!F24</f>
        <v>7</v>
      </c>
      <c r="G24" s="114">
        <f>'N5'!G24+'K5'!G24</f>
        <v>24</v>
      </c>
      <c r="H24" s="116">
        <f>'N5'!H24+'K5'!H24</f>
        <v>171</v>
      </c>
      <c r="I24" s="114">
        <f>'N5'!I24+'K5'!I24</f>
        <v>0</v>
      </c>
      <c r="J24" s="116">
        <f>'N5'!J24+'K5'!J24</f>
        <v>0</v>
      </c>
      <c r="K24" s="33">
        <f>'N5'!K24+'K5'!K24</f>
        <v>1135</v>
      </c>
      <c r="L24" s="115">
        <f>'N5'!L24+'K5'!L24</f>
        <v>81</v>
      </c>
      <c r="M24" s="115">
        <f>'N5'!M24+'K5'!M24</f>
        <v>70</v>
      </c>
      <c r="N24" s="115">
        <f>'N5'!N54+'K5'!N54</f>
        <v>0</v>
      </c>
      <c r="O24" s="116">
        <f>'N5'!O24+'K5'!O24</f>
        <v>0</v>
      </c>
      <c r="P24" s="115">
        <f>'N5'!P24+'K5'!P24</f>
        <v>2</v>
      </c>
      <c r="Q24" s="116">
        <f>'N5'!Q24+'K5'!Q24</f>
        <v>34</v>
      </c>
      <c r="R24" s="121">
        <f>'N5'!R24+'K5'!R24</f>
        <v>2</v>
      </c>
      <c r="S24" s="121">
        <f>'N5'!S24+'K5'!S24</f>
        <v>3</v>
      </c>
      <c r="T24" s="33">
        <f>'N5'!T24+'K5'!T24</f>
        <v>192</v>
      </c>
      <c r="U24" s="115">
        <f>'N5'!U24+'K5'!U24</f>
        <v>0</v>
      </c>
      <c r="V24" s="115">
        <f>'N5'!V24+'K5'!V24</f>
        <v>0</v>
      </c>
      <c r="W24" s="115">
        <f>'N5'!W24+'K5'!W24</f>
        <v>0</v>
      </c>
      <c r="X24" s="116">
        <f>'N5'!X24+'K5'!X24</f>
        <v>0</v>
      </c>
      <c r="Y24" s="115">
        <f>'N5'!Y24+'K5'!Y24</f>
        <v>0</v>
      </c>
      <c r="Z24" s="116">
        <f>'N5'!Z24+'K5'!Z24</f>
        <v>0</v>
      </c>
      <c r="AA24" s="121">
        <f>'N5'!AA24+'K5'!AA24</f>
        <v>0</v>
      </c>
      <c r="AB24" s="121">
        <f>'N5'!AB24+'K5'!AB24</f>
        <v>0</v>
      </c>
      <c r="AC24" s="33">
        <f>'N5'!AC24+'K5'!AC24</f>
        <v>0</v>
      </c>
      <c r="AD24" s="12">
        <f>'N5'!AD24+'K5'!AD24</f>
        <v>1327</v>
      </c>
      <c r="AE24" s="39"/>
      <c r="AF24" s="39"/>
      <c r="AG24" s="39"/>
      <c r="AH24" s="39"/>
      <c r="AI24" s="39"/>
      <c r="AJ24" s="39"/>
    </row>
    <row r="25" spans="1:36" x14ac:dyDescent="0.2">
      <c r="A25" s="5">
        <f>DAY(Kalenteri!A141)</f>
        <v>21</v>
      </c>
      <c r="B25" s="3" t="str">
        <f>IF(Kalenteri!B141=1,"su",IF(Kalenteri!B141=2,"ma",IF(Kalenteri!B141=3,"ti",IF(Kalenteri!B141=4,"ke",IF(Kalenteri!B141=5,"to",IF(Kalenteri!B141=6,"pe",IF(Kalenteri!B141=7,"la",)))))))</f>
        <v>ti</v>
      </c>
      <c r="C25" s="114">
        <f>'N5'!C25+'K5'!C25</f>
        <v>401</v>
      </c>
      <c r="D25" s="115">
        <f>'N5'!D25+'K5'!D25</f>
        <v>508</v>
      </c>
      <c r="E25" s="115">
        <f>'N5'!E25+'K5'!E25</f>
        <v>0</v>
      </c>
      <c r="F25" s="116">
        <f>'N5'!F25+'K5'!F25</f>
        <v>0</v>
      </c>
      <c r="G25" s="114">
        <f>'N5'!G25+'K5'!G25</f>
        <v>41</v>
      </c>
      <c r="H25" s="116">
        <f>'N5'!H25+'K5'!H25</f>
        <v>258</v>
      </c>
      <c r="I25" s="114">
        <f>'N5'!I25+'K5'!I25</f>
        <v>0</v>
      </c>
      <c r="J25" s="116">
        <f>'N5'!J25+'K5'!J25</f>
        <v>0</v>
      </c>
      <c r="K25" s="33">
        <f>'N5'!K25+'K5'!K25</f>
        <v>1208</v>
      </c>
      <c r="L25" s="115">
        <f>'N5'!L25+'K5'!L25</f>
        <v>178</v>
      </c>
      <c r="M25" s="115">
        <f>'N5'!M25+'K5'!M25</f>
        <v>240</v>
      </c>
      <c r="N25" s="115">
        <f>'N5'!N55+'K5'!N55</f>
        <v>0</v>
      </c>
      <c r="O25" s="116">
        <f>'N5'!O25+'K5'!O25</f>
        <v>0</v>
      </c>
      <c r="P25" s="115">
        <f>'N5'!P25+'K5'!P25</f>
        <v>41</v>
      </c>
      <c r="Q25" s="116">
        <f>'N5'!Q25+'K5'!Q25</f>
        <v>414</v>
      </c>
      <c r="R25" s="121">
        <f>'N5'!R25+'K5'!R25</f>
        <v>10</v>
      </c>
      <c r="S25" s="121">
        <f>'N5'!S25+'K5'!S25</f>
        <v>15</v>
      </c>
      <c r="T25" s="33">
        <f>'N5'!T25+'K5'!T25</f>
        <v>898</v>
      </c>
      <c r="U25" s="115">
        <f>'N5'!U25+'K5'!U25</f>
        <v>0</v>
      </c>
      <c r="V25" s="115">
        <f>'N5'!V25+'K5'!V25</f>
        <v>0</v>
      </c>
      <c r="W25" s="115">
        <f>'N5'!W25+'K5'!W25</f>
        <v>0</v>
      </c>
      <c r="X25" s="116">
        <f>'N5'!X25+'K5'!X25</f>
        <v>0</v>
      </c>
      <c r="Y25" s="115">
        <f>'N5'!Y25+'K5'!Y25</f>
        <v>0</v>
      </c>
      <c r="Z25" s="116">
        <f>'N5'!Z25+'K5'!Z25</f>
        <v>0</v>
      </c>
      <c r="AA25" s="121">
        <f>'N5'!AA25+'K5'!AA25</f>
        <v>0</v>
      </c>
      <c r="AB25" s="121">
        <f>'N5'!AB25+'K5'!AB25</f>
        <v>0</v>
      </c>
      <c r="AC25" s="33">
        <f>'N5'!AC25+'K5'!AC25</f>
        <v>0</v>
      </c>
      <c r="AD25" s="12">
        <f>'N5'!AD25+'K5'!AD25</f>
        <v>2106</v>
      </c>
      <c r="AE25" s="39"/>
      <c r="AF25" s="39"/>
      <c r="AG25" s="39"/>
      <c r="AH25" s="39"/>
      <c r="AI25" s="39"/>
      <c r="AJ25" s="39"/>
    </row>
    <row r="26" spans="1:36" x14ac:dyDescent="0.2">
      <c r="A26" s="5">
        <f>DAY(Kalenteri!A142)</f>
        <v>22</v>
      </c>
      <c r="B26" s="3" t="str">
        <f>IF(Kalenteri!B142=1,"su",IF(Kalenteri!B142=2,"ma",IF(Kalenteri!B142=3,"ti",IF(Kalenteri!B142=4,"ke",IF(Kalenteri!B142=5,"to",IF(Kalenteri!B142=6,"pe",IF(Kalenteri!B142=7,"la",)))))))</f>
        <v>ke</v>
      </c>
      <c r="C26" s="114">
        <f>'N5'!C26+'K5'!C26</f>
        <v>133</v>
      </c>
      <c r="D26" s="115">
        <f>'N5'!D26+'K5'!D26</f>
        <v>508</v>
      </c>
      <c r="E26" s="115">
        <f>'N5'!E26+'K5'!E26</f>
        <v>0</v>
      </c>
      <c r="F26" s="116">
        <f>'N5'!F26+'K5'!F26</f>
        <v>0</v>
      </c>
      <c r="G26" s="114">
        <f>'N5'!G26+'K5'!G26</f>
        <v>35</v>
      </c>
      <c r="H26" s="116">
        <f>'N5'!H26+'K5'!H26</f>
        <v>258</v>
      </c>
      <c r="I26" s="114">
        <f>'N5'!I26+'K5'!I26</f>
        <v>0</v>
      </c>
      <c r="J26" s="116">
        <f>'N5'!J26+'K5'!J26</f>
        <v>0</v>
      </c>
      <c r="K26" s="33">
        <f>'N5'!K26+'K5'!K26</f>
        <v>934</v>
      </c>
      <c r="L26" s="115">
        <f>'N5'!L26+'K5'!L26</f>
        <v>59</v>
      </c>
      <c r="M26" s="115">
        <f>'N5'!M26+'K5'!M26</f>
        <v>231</v>
      </c>
      <c r="N26" s="115">
        <f>'N5'!N56+'K5'!N56</f>
        <v>0</v>
      </c>
      <c r="O26" s="116">
        <f>'N5'!O26+'K5'!O26</f>
        <v>0</v>
      </c>
      <c r="P26" s="115">
        <f>'N5'!P26+'K5'!P26</f>
        <v>16</v>
      </c>
      <c r="Q26" s="116">
        <f>'N5'!Q26+'K5'!Q26</f>
        <v>233</v>
      </c>
      <c r="R26" s="121">
        <f>'N5'!R26+'K5'!R26</f>
        <v>0</v>
      </c>
      <c r="S26" s="121">
        <f>'N5'!S26+'K5'!S26</f>
        <v>0</v>
      </c>
      <c r="T26" s="33">
        <f>'N5'!T26+'K5'!T26</f>
        <v>539</v>
      </c>
      <c r="U26" s="115">
        <f>'N5'!U26+'K5'!U26</f>
        <v>0</v>
      </c>
      <c r="V26" s="115">
        <f>'N5'!V26+'K5'!V26</f>
        <v>0</v>
      </c>
      <c r="W26" s="115">
        <f>'N5'!W26+'K5'!W26</f>
        <v>0</v>
      </c>
      <c r="X26" s="116">
        <f>'N5'!X26+'K5'!X26</f>
        <v>0</v>
      </c>
      <c r="Y26" s="115">
        <f>'N5'!Y26+'K5'!Y26</f>
        <v>0</v>
      </c>
      <c r="Z26" s="116">
        <f>'N5'!Z26+'K5'!Z26</f>
        <v>0</v>
      </c>
      <c r="AA26" s="121">
        <f>'N5'!AA26+'K5'!AA26</f>
        <v>0</v>
      </c>
      <c r="AB26" s="121">
        <f>'N5'!AB26+'K5'!AB26</f>
        <v>0</v>
      </c>
      <c r="AC26" s="33">
        <f>'N5'!AC26+'K5'!AC26</f>
        <v>0</v>
      </c>
      <c r="AD26" s="12">
        <f>'N5'!AD26+'K5'!AD26</f>
        <v>1473</v>
      </c>
      <c r="AE26" s="39"/>
      <c r="AF26" s="39"/>
      <c r="AG26" s="39"/>
      <c r="AH26" s="39"/>
      <c r="AI26" s="39"/>
      <c r="AJ26" s="39"/>
    </row>
    <row r="27" spans="1:36" x14ac:dyDescent="0.2">
      <c r="A27" s="5">
        <f>DAY(Kalenteri!A143)</f>
        <v>23</v>
      </c>
      <c r="B27" s="3" t="str">
        <f>IF(Kalenteri!B143=1,"su",IF(Kalenteri!B143=2,"ma",IF(Kalenteri!B143=3,"ti",IF(Kalenteri!B143=4,"ke",IF(Kalenteri!B143=5,"to",IF(Kalenteri!B143=6,"pe",IF(Kalenteri!B143=7,"la",)))))))</f>
        <v>to</v>
      </c>
      <c r="C27" s="114">
        <f>'N5'!C27+'K5'!C27</f>
        <v>149</v>
      </c>
      <c r="D27" s="115">
        <f>'N5'!D27+'K5'!D27</f>
        <v>1133</v>
      </c>
      <c r="E27" s="115">
        <f>'N5'!E27+'K5'!E27</f>
        <v>2</v>
      </c>
      <c r="F27" s="116">
        <f>'N5'!F27+'K5'!F27</f>
        <v>1</v>
      </c>
      <c r="G27" s="114">
        <f>'N5'!G27+'K5'!G27</f>
        <v>39</v>
      </c>
      <c r="H27" s="116">
        <f>'N5'!H27+'K5'!H27</f>
        <v>501</v>
      </c>
      <c r="I27" s="114">
        <f>'N5'!I27+'K5'!I27</f>
        <v>0</v>
      </c>
      <c r="J27" s="116">
        <f>'N5'!J27+'K5'!J27</f>
        <v>0</v>
      </c>
      <c r="K27" s="33">
        <f>'N5'!K27+'K5'!K27</f>
        <v>1825</v>
      </c>
      <c r="L27" s="115">
        <f>'N5'!L27+'K5'!L27</f>
        <v>35</v>
      </c>
      <c r="M27" s="115">
        <f>'N5'!M27+'K5'!M27</f>
        <v>182</v>
      </c>
      <c r="N27" s="115">
        <f>'N5'!N57+'K5'!N57</f>
        <v>0</v>
      </c>
      <c r="O27" s="116">
        <f>'N5'!O27+'K5'!O27</f>
        <v>0</v>
      </c>
      <c r="P27" s="115">
        <f>'N5'!P27+'K5'!P27</f>
        <v>24</v>
      </c>
      <c r="Q27" s="116">
        <f>'N5'!Q27+'K5'!Q27</f>
        <v>174</v>
      </c>
      <c r="R27" s="121">
        <f>'N5'!R27+'K5'!R27</f>
        <v>6</v>
      </c>
      <c r="S27" s="121">
        <f>'N5'!S27+'K5'!S27</f>
        <v>9</v>
      </c>
      <c r="T27" s="33">
        <f>'N5'!T27+'K5'!T27</f>
        <v>430</v>
      </c>
      <c r="U27" s="115">
        <f>'N5'!U27+'K5'!U27</f>
        <v>0</v>
      </c>
      <c r="V27" s="115">
        <f>'N5'!V27+'K5'!V27</f>
        <v>0</v>
      </c>
      <c r="W27" s="115">
        <f>'N5'!W27+'K5'!W27</f>
        <v>0</v>
      </c>
      <c r="X27" s="116">
        <f>'N5'!X27+'K5'!X27</f>
        <v>0</v>
      </c>
      <c r="Y27" s="115">
        <f>'N5'!Y27+'K5'!Y27</f>
        <v>0</v>
      </c>
      <c r="Z27" s="116">
        <f>'N5'!Z27+'K5'!Z27</f>
        <v>0</v>
      </c>
      <c r="AA27" s="121">
        <f>'N5'!AA27+'K5'!AA27</f>
        <v>0</v>
      </c>
      <c r="AB27" s="121">
        <f>'N5'!AB27+'K5'!AB27</f>
        <v>0</v>
      </c>
      <c r="AC27" s="33">
        <f>'N5'!AC27+'K5'!AC27</f>
        <v>0</v>
      </c>
      <c r="AD27" s="12">
        <f>'N5'!AD27+'K5'!AD27</f>
        <v>2255</v>
      </c>
      <c r="AE27" s="39"/>
      <c r="AF27" s="39"/>
      <c r="AG27" s="39"/>
      <c r="AH27" s="39"/>
      <c r="AI27" s="39"/>
      <c r="AJ27" s="39"/>
    </row>
    <row r="28" spans="1:36" x14ac:dyDescent="0.2">
      <c r="A28" s="5">
        <f>DAY(Kalenteri!A144)</f>
        <v>24</v>
      </c>
      <c r="B28" s="3" t="str">
        <f>IF(Kalenteri!B144=1,"su",IF(Kalenteri!B144=2,"ma",IF(Kalenteri!B144=3,"ti",IF(Kalenteri!B144=4,"ke",IF(Kalenteri!B144=5,"to",IF(Kalenteri!B144=6,"pe",IF(Kalenteri!B144=7,"la",)))))))</f>
        <v>pe</v>
      </c>
      <c r="C28" s="114">
        <f>'N5'!C28+'K5'!C28</f>
        <v>368</v>
      </c>
      <c r="D28" s="115">
        <f>'N5'!D28+'K5'!D28</f>
        <v>482</v>
      </c>
      <c r="E28" s="115">
        <f>'N5'!E28+'K5'!E28</f>
        <v>4</v>
      </c>
      <c r="F28" s="116">
        <f>'N5'!F28+'K5'!F28</f>
        <v>5</v>
      </c>
      <c r="G28" s="114">
        <f>'N5'!G28+'K5'!G28</f>
        <v>44</v>
      </c>
      <c r="H28" s="116">
        <f>'N5'!H28+'K5'!H28</f>
        <v>431</v>
      </c>
      <c r="I28" s="114">
        <f>'N5'!I28+'K5'!I28</f>
        <v>0</v>
      </c>
      <c r="J28" s="116">
        <f>'N5'!J28+'K5'!J28</f>
        <v>0</v>
      </c>
      <c r="K28" s="33">
        <f>'N5'!K28+'K5'!K28</f>
        <v>1334</v>
      </c>
      <c r="L28" s="115">
        <f>'N5'!L28+'K5'!L28</f>
        <v>104</v>
      </c>
      <c r="M28" s="115">
        <f>'N5'!M28+'K5'!M28</f>
        <v>30</v>
      </c>
      <c r="N28" s="115">
        <f>'N5'!N58+'K5'!N58</f>
        <v>0</v>
      </c>
      <c r="O28" s="116">
        <f>'N5'!O28+'K5'!O28</f>
        <v>0</v>
      </c>
      <c r="P28" s="115">
        <f>'N5'!P28+'K5'!P28</f>
        <v>29</v>
      </c>
      <c r="Q28" s="116">
        <f>'N5'!Q28+'K5'!Q28</f>
        <v>327</v>
      </c>
      <c r="R28" s="121">
        <f>'N5'!R28+'K5'!R28</f>
        <v>0</v>
      </c>
      <c r="S28" s="121">
        <f>'N5'!S28+'K5'!S28</f>
        <v>0</v>
      </c>
      <c r="T28" s="33">
        <f>'N5'!T28+'K5'!T28</f>
        <v>490</v>
      </c>
      <c r="U28" s="115">
        <f>'N5'!U28+'K5'!U28</f>
        <v>0</v>
      </c>
      <c r="V28" s="115">
        <f>'N5'!V28+'K5'!V28</f>
        <v>0</v>
      </c>
      <c r="W28" s="115">
        <f>'N5'!W28+'K5'!W28</f>
        <v>0</v>
      </c>
      <c r="X28" s="116">
        <f>'N5'!X28+'K5'!X28</f>
        <v>0</v>
      </c>
      <c r="Y28" s="115">
        <f>'N5'!Y28+'K5'!Y28</f>
        <v>0</v>
      </c>
      <c r="Z28" s="116">
        <f>'N5'!Z28+'K5'!Z28</f>
        <v>0</v>
      </c>
      <c r="AA28" s="121">
        <f>'N5'!AA28+'K5'!AA28</f>
        <v>0</v>
      </c>
      <c r="AB28" s="121">
        <f>'N5'!AB28+'K5'!AB28</f>
        <v>0</v>
      </c>
      <c r="AC28" s="33">
        <f>'N5'!AC28+'K5'!AC28</f>
        <v>0</v>
      </c>
      <c r="AD28" s="12">
        <f>'N5'!AD28+'K5'!AD28</f>
        <v>1824</v>
      </c>
      <c r="AE28" s="39"/>
      <c r="AF28" s="39"/>
      <c r="AG28" s="39"/>
      <c r="AH28" s="39"/>
      <c r="AI28" s="39"/>
      <c r="AJ28" s="39"/>
    </row>
    <row r="29" spans="1:36" x14ac:dyDescent="0.2">
      <c r="A29" s="5">
        <f>DAY(Kalenteri!A145)</f>
        <v>25</v>
      </c>
      <c r="B29" s="3" t="str">
        <f>IF(Kalenteri!B145=1,"su",IF(Kalenteri!B145=2,"ma",IF(Kalenteri!B145=3,"ti",IF(Kalenteri!B145=4,"ke",IF(Kalenteri!B145=5,"to",IF(Kalenteri!B145=6,"pe",IF(Kalenteri!B145=7,"la",)))))))</f>
        <v>la</v>
      </c>
      <c r="C29" s="114">
        <f>'N5'!C29+'K5'!C29</f>
        <v>1499</v>
      </c>
      <c r="D29" s="115">
        <f>'N5'!D29+'K5'!D29</f>
        <v>626</v>
      </c>
      <c r="E29" s="115">
        <f>'N5'!E29+'K5'!E29</f>
        <v>38</v>
      </c>
      <c r="F29" s="116">
        <f>'N5'!F29+'K5'!F29</f>
        <v>501</v>
      </c>
      <c r="G29" s="114">
        <f>'N5'!G29+'K5'!G29</f>
        <v>16</v>
      </c>
      <c r="H29" s="116">
        <f>'N5'!H29+'K5'!H29</f>
        <v>1</v>
      </c>
      <c r="I29" s="114">
        <f>'N5'!I29+'K5'!I29</f>
        <v>2</v>
      </c>
      <c r="J29" s="116">
        <f>'N5'!J29+'K5'!J29</f>
        <v>3</v>
      </c>
      <c r="K29" s="33">
        <f>'N5'!K29+'K5'!K29</f>
        <v>2686</v>
      </c>
      <c r="L29" s="115">
        <f>'N5'!L29+'K5'!L29</f>
        <v>497</v>
      </c>
      <c r="M29" s="115">
        <f>'N5'!M29+'K5'!M29</f>
        <v>119</v>
      </c>
      <c r="N29" s="115">
        <f>'N5'!N59+'K5'!N59</f>
        <v>0</v>
      </c>
      <c r="O29" s="116">
        <f>'N5'!O29+'K5'!O29</f>
        <v>0</v>
      </c>
      <c r="P29" s="115">
        <f>'N5'!P29+'K5'!P29</f>
        <v>0</v>
      </c>
      <c r="Q29" s="116">
        <f>'N5'!Q29+'K5'!Q29</f>
        <v>125</v>
      </c>
      <c r="R29" s="121">
        <f>'N5'!R29+'K5'!R29</f>
        <v>18</v>
      </c>
      <c r="S29" s="121">
        <f>'N5'!S29+'K5'!S29</f>
        <v>27</v>
      </c>
      <c r="T29" s="33">
        <f>'N5'!T29+'K5'!T29</f>
        <v>786</v>
      </c>
      <c r="U29" s="115">
        <f>'N5'!U29+'K5'!U29</f>
        <v>90</v>
      </c>
      <c r="V29" s="115">
        <f>'N5'!V29+'K5'!V29</f>
        <v>24</v>
      </c>
      <c r="W29" s="115">
        <f>'N5'!W29+'K5'!W29</f>
        <v>0</v>
      </c>
      <c r="X29" s="116">
        <f>'N5'!X29+'K5'!X29</f>
        <v>0</v>
      </c>
      <c r="Y29" s="115">
        <f>'N5'!Y29+'K5'!Y29</f>
        <v>0</v>
      </c>
      <c r="Z29" s="116">
        <f>'N5'!Z29+'K5'!Z29</f>
        <v>0</v>
      </c>
      <c r="AA29" s="121">
        <f>'N5'!AA29+'K5'!AA29</f>
        <v>6</v>
      </c>
      <c r="AB29" s="121">
        <f>'N5'!AB29+'K5'!AB29</f>
        <v>9</v>
      </c>
      <c r="AC29" s="33">
        <f>'N5'!AC29+'K5'!AC29</f>
        <v>129</v>
      </c>
      <c r="AD29" s="12">
        <f>'N5'!AD29+'K5'!AD29</f>
        <v>3601</v>
      </c>
      <c r="AE29" s="39"/>
      <c r="AF29" s="39"/>
      <c r="AG29" s="39"/>
      <c r="AH29" s="39"/>
      <c r="AI29" s="39"/>
      <c r="AJ29" s="39"/>
    </row>
    <row r="30" spans="1:36" x14ac:dyDescent="0.2">
      <c r="A30" s="5">
        <f>DAY(Kalenteri!A146)</f>
        <v>26</v>
      </c>
      <c r="B30" s="3" t="str">
        <f>IF(Kalenteri!B146=1,"su",IF(Kalenteri!B146=2,"ma",IF(Kalenteri!B146=3,"ti",IF(Kalenteri!B146=4,"ke",IF(Kalenteri!B146=5,"to",IF(Kalenteri!B146=6,"pe",IF(Kalenteri!B146=7,"la",)))))))</f>
        <v>su</v>
      </c>
      <c r="C30" s="114">
        <f>'N5'!C30+'K5'!C30</f>
        <v>658</v>
      </c>
      <c r="D30" s="115">
        <f>'N5'!D30+'K5'!D30</f>
        <v>189</v>
      </c>
      <c r="E30" s="115">
        <f>'N5'!E30+'K5'!E30</f>
        <v>4</v>
      </c>
      <c r="F30" s="116">
        <f>'N5'!F30+'K5'!F30</f>
        <v>30</v>
      </c>
      <c r="G30" s="114">
        <f>'N5'!G30+'K5'!G30</f>
        <v>23</v>
      </c>
      <c r="H30" s="116">
        <f>'N5'!H30+'K5'!H30</f>
        <v>387</v>
      </c>
      <c r="I30" s="114">
        <f>'N5'!I30+'K5'!I30</f>
        <v>0</v>
      </c>
      <c r="J30" s="116">
        <f>'N5'!J30+'K5'!J30</f>
        <v>0</v>
      </c>
      <c r="K30" s="33">
        <f>'N5'!K30+'K5'!K30</f>
        <v>1291</v>
      </c>
      <c r="L30" s="115">
        <f>'N5'!L30+'K5'!L30</f>
        <v>185</v>
      </c>
      <c r="M30" s="115">
        <f>'N5'!M30+'K5'!M30</f>
        <v>49</v>
      </c>
      <c r="N30" s="115">
        <f>'N5'!N50+'K5'!N50</f>
        <v>0</v>
      </c>
      <c r="O30" s="116">
        <f>'N5'!O30+'K5'!O30</f>
        <v>0</v>
      </c>
      <c r="P30" s="115">
        <f>'N5'!P30+'K5'!P30</f>
        <v>0</v>
      </c>
      <c r="Q30" s="116">
        <f>'N5'!Q30+'K5'!Q30</f>
        <v>63</v>
      </c>
      <c r="R30" s="121">
        <f>'N5'!R30+'K5'!R30</f>
        <v>10</v>
      </c>
      <c r="S30" s="121">
        <f>'N5'!S30+'K5'!S30</f>
        <v>15</v>
      </c>
      <c r="T30" s="33">
        <f>'N5'!T30+'K5'!T30</f>
        <v>322</v>
      </c>
      <c r="U30" s="115">
        <f>'N5'!U30+'K5'!U30</f>
        <v>54</v>
      </c>
      <c r="V30" s="115">
        <f>'N5'!V30+'K5'!V30</f>
        <v>13</v>
      </c>
      <c r="W30" s="115">
        <f>'N5'!W30+'K5'!W30</f>
        <v>0</v>
      </c>
      <c r="X30" s="116">
        <f>'N5'!X30+'K5'!X30</f>
        <v>0</v>
      </c>
      <c r="Y30" s="115">
        <f>'N5'!Y30+'K5'!Y30</f>
        <v>0</v>
      </c>
      <c r="Z30" s="116">
        <f>'N5'!Z30+'K5'!Z30</f>
        <v>23</v>
      </c>
      <c r="AA30" s="121">
        <f>'N5'!AA30+'K5'!AA30</f>
        <v>0</v>
      </c>
      <c r="AB30" s="121">
        <f>'N5'!AB30+'K5'!AB30</f>
        <v>0</v>
      </c>
      <c r="AC30" s="33">
        <f>'N5'!AC30+'K5'!AC30</f>
        <v>90</v>
      </c>
      <c r="AD30" s="12">
        <f>'N5'!AD30+'K5'!AD30</f>
        <v>1703</v>
      </c>
      <c r="AE30" s="39"/>
      <c r="AF30" s="39"/>
      <c r="AG30" s="39"/>
      <c r="AH30" s="39"/>
      <c r="AI30" s="39"/>
      <c r="AJ30" s="39"/>
    </row>
    <row r="31" spans="1:36" x14ac:dyDescent="0.2">
      <c r="A31" s="5">
        <f>DAY(Kalenteri!A147)</f>
        <v>27</v>
      </c>
      <c r="B31" s="3" t="str">
        <f>IF(Kalenteri!B147=1,"su",IF(Kalenteri!B147=2,"ma",IF(Kalenteri!B147=3,"ti",IF(Kalenteri!B147=4,"ke",IF(Kalenteri!B147=5,"to",IF(Kalenteri!B147=6,"pe",IF(Kalenteri!B147=7,"la",)))))))</f>
        <v>ma</v>
      </c>
      <c r="C31" s="114">
        <f>'N5'!C31+'K5'!C31</f>
        <v>262</v>
      </c>
      <c r="D31" s="115">
        <f>'N5'!D31+'K5'!D31</f>
        <v>612</v>
      </c>
      <c r="E31" s="115">
        <f>'N5'!E31+'K5'!E31</f>
        <v>2</v>
      </c>
      <c r="F31" s="116">
        <f>'N5'!F31+'K5'!F31</f>
        <v>14</v>
      </c>
      <c r="G31" s="114">
        <f>'N5'!G31+'K5'!G31</f>
        <v>40</v>
      </c>
      <c r="H31" s="116">
        <f>'N5'!H31+'K5'!H31</f>
        <v>203</v>
      </c>
      <c r="I31" s="114">
        <f>'N5'!I31+'K5'!I31</f>
        <v>2</v>
      </c>
      <c r="J31" s="116">
        <f>'N5'!J31+'K5'!J31</f>
        <v>3</v>
      </c>
      <c r="K31" s="33">
        <f>'N5'!K31+'K5'!K31</f>
        <v>1138</v>
      </c>
      <c r="L31" s="115">
        <f>'N5'!L31+'K5'!L31</f>
        <v>182</v>
      </c>
      <c r="M31" s="115">
        <f>'N5'!M31+'K5'!M31</f>
        <v>178</v>
      </c>
      <c r="N31" s="115">
        <f>'N5'!N51+'K5'!N51</f>
        <v>0</v>
      </c>
      <c r="O31" s="116">
        <f>'N5'!O31+'K5'!O31</f>
        <v>0</v>
      </c>
      <c r="P31" s="115">
        <f>'N5'!P31+'K5'!P31</f>
        <v>11</v>
      </c>
      <c r="Q31" s="116">
        <f>'N5'!Q31+'K5'!Q31</f>
        <v>200</v>
      </c>
      <c r="R31" s="121">
        <f>'N5'!R31+'K5'!R31</f>
        <v>2</v>
      </c>
      <c r="S31" s="121">
        <f>'N5'!S31+'K5'!S31</f>
        <v>3</v>
      </c>
      <c r="T31" s="33">
        <f>'N5'!T31+'K5'!T31</f>
        <v>576</v>
      </c>
      <c r="U31" s="115">
        <f>'N5'!U31+'K5'!U31</f>
        <v>0</v>
      </c>
      <c r="V31" s="115">
        <f>'N5'!V31+'K5'!V31</f>
        <v>0</v>
      </c>
      <c r="W31" s="115">
        <f>'N5'!W31+'K5'!W31</f>
        <v>0</v>
      </c>
      <c r="X31" s="116">
        <f>'N5'!X31+'K5'!X31</f>
        <v>0</v>
      </c>
      <c r="Y31" s="115">
        <f>'N5'!Y31+'K5'!Y31</f>
        <v>0</v>
      </c>
      <c r="Z31" s="116">
        <f>'N5'!Z31+'K5'!Z31</f>
        <v>0</v>
      </c>
      <c r="AA31" s="121">
        <f>'N5'!AA31+'K5'!AA31</f>
        <v>0</v>
      </c>
      <c r="AB31" s="121">
        <f>'N5'!AB31+'K5'!AB31</f>
        <v>0</v>
      </c>
      <c r="AC31" s="33">
        <f>'N5'!AC31+'K5'!AC31</f>
        <v>0</v>
      </c>
      <c r="AD31" s="12">
        <f>'N5'!AD31+'K5'!AD31</f>
        <v>1714</v>
      </c>
      <c r="AE31" s="39"/>
      <c r="AF31" s="39"/>
      <c r="AG31" s="39"/>
      <c r="AH31" s="39"/>
      <c r="AI31" s="39"/>
      <c r="AJ31" s="39"/>
    </row>
    <row r="32" spans="1:36" x14ac:dyDescent="0.2">
      <c r="A32" s="5">
        <f>DAY(Kalenteri!A148)</f>
        <v>28</v>
      </c>
      <c r="B32" s="3" t="str">
        <f>IF(Kalenteri!B148=1,"su",IF(Kalenteri!B148=2,"ma",IF(Kalenteri!B148=3,"ti",IF(Kalenteri!B148=4,"ke",IF(Kalenteri!B148=5,"to",IF(Kalenteri!B148=6,"pe",IF(Kalenteri!B148=7,"la",)))))))</f>
        <v>ti</v>
      </c>
      <c r="C32" s="114">
        <f>'N5'!C32+'K5'!C32</f>
        <v>533</v>
      </c>
      <c r="D32" s="115">
        <f>'N5'!D32+'K5'!D32</f>
        <v>620</v>
      </c>
      <c r="E32" s="115">
        <f>'N5'!E32+'K5'!E32</f>
        <v>0</v>
      </c>
      <c r="F32" s="116">
        <f>'N5'!F32+'K5'!F32</f>
        <v>12</v>
      </c>
      <c r="G32" s="114">
        <f>'N5'!G32+'K5'!G32</f>
        <v>104</v>
      </c>
      <c r="H32" s="116">
        <f>'N5'!H32+'K5'!H32</f>
        <v>745</v>
      </c>
      <c r="I32" s="114">
        <f>'N5'!I32+'K5'!I32</f>
        <v>4</v>
      </c>
      <c r="J32" s="116">
        <f>'N5'!J32+'K5'!J32</f>
        <v>6</v>
      </c>
      <c r="K32" s="33">
        <f>'N5'!K32+'K5'!K32</f>
        <v>2024</v>
      </c>
      <c r="L32" s="115">
        <f>'N5'!L32+'K5'!L32</f>
        <v>187</v>
      </c>
      <c r="M32" s="115">
        <f>'N5'!M32+'K5'!M32</f>
        <v>240</v>
      </c>
      <c r="N32" s="115">
        <f>'N5'!N52+'K5'!N52</f>
        <v>0</v>
      </c>
      <c r="O32" s="116">
        <f>'N5'!O32+'K5'!O32</f>
        <v>0</v>
      </c>
      <c r="P32" s="115">
        <f>'N5'!P32+'K5'!P32</f>
        <v>35</v>
      </c>
      <c r="Q32" s="116">
        <f>'N5'!Q32+'K5'!Q32</f>
        <v>389</v>
      </c>
      <c r="R32" s="121">
        <f>'N5'!R32+'K5'!R32</f>
        <v>2</v>
      </c>
      <c r="S32" s="121">
        <f>'N5'!S32+'K5'!S32</f>
        <v>3</v>
      </c>
      <c r="T32" s="33">
        <f>'N5'!T32+'K5'!T32</f>
        <v>856</v>
      </c>
      <c r="U32" s="115">
        <f>'N5'!U32+'K5'!U32</f>
        <v>0</v>
      </c>
      <c r="V32" s="115">
        <f>'N5'!V32+'K5'!V32</f>
        <v>0</v>
      </c>
      <c r="W32" s="115">
        <f>'N5'!W32+'K5'!W32</f>
        <v>0</v>
      </c>
      <c r="X32" s="116">
        <f>'N5'!X32+'K5'!X32</f>
        <v>0</v>
      </c>
      <c r="Y32" s="115">
        <f>'N5'!Y32+'K5'!Y32</f>
        <v>0</v>
      </c>
      <c r="Z32" s="116">
        <f>'N5'!Z32+'K5'!Z32</f>
        <v>0</v>
      </c>
      <c r="AA32" s="121">
        <f>'N5'!AA32+'K5'!AA32</f>
        <v>0</v>
      </c>
      <c r="AB32" s="121">
        <f>'N5'!AB32+'K5'!AB32</f>
        <v>0</v>
      </c>
      <c r="AC32" s="33">
        <f>'N5'!AC32+'K5'!AC32</f>
        <v>0</v>
      </c>
      <c r="AD32" s="12">
        <f>'N5'!AD32+'K5'!AD32</f>
        <v>2880</v>
      </c>
      <c r="AE32" s="39"/>
      <c r="AF32" s="39"/>
      <c r="AG32" s="39"/>
      <c r="AH32" s="39"/>
      <c r="AI32" s="39"/>
      <c r="AJ32" s="39"/>
    </row>
    <row r="33" spans="1:36" x14ac:dyDescent="0.2">
      <c r="A33" s="5">
        <f>DAY(Kalenteri!A149)</f>
        <v>29</v>
      </c>
      <c r="B33" s="3" t="str">
        <f>IF(Kalenteri!B149=1,"su",IF(Kalenteri!B149=2,"ma",IF(Kalenteri!B149=3,"ti",IF(Kalenteri!B149=4,"ke",IF(Kalenteri!B149=5,"to",IF(Kalenteri!B149=6,"pe",IF(Kalenteri!B149=7,"la",)))))))</f>
        <v>ke</v>
      </c>
      <c r="C33" s="114">
        <f>'N5'!C33+'K5'!C33</f>
        <v>435</v>
      </c>
      <c r="D33" s="115">
        <f>'N5'!D33+'K5'!D33</f>
        <v>730</v>
      </c>
      <c r="E33" s="115">
        <f>'N5'!E33+'K5'!E33</f>
        <v>0</v>
      </c>
      <c r="F33" s="116">
        <f>'N5'!F33+'K5'!F33</f>
        <v>9</v>
      </c>
      <c r="G33" s="114">
        <f>'N5'!G33+'K5'!G33</f>
        <v>76</v>
      </c>
      <c r="H33" s="116">
        <f>'N5'!H33+'K5'!H33</f>
        <v>557</v>
      </c>
      <c r="I33" s="114">
        <f>'N5'!I33+'K5'!I33</f>
        <v>9</v>
      </c>
      <c r="J33" s="116">
        <f>'N5'!J33+'K5'!J33</f>
        <v>9</v>
      </c>
      <c r="K33" s="33">
        <f>'N5'!K33+'K5'!K33</f>
        <v>1825</v>
      </c>
      <c r="L33" s="115">
        <f>'N5'!L33+'K5'!L33</f>
        <v>184</v>
      </c>
      <c r="M33" s="115">
        <f>'N5'!M33+'K5'!M33</f>
        <v>174</v>
      </c>
      <c r="N33" s="115">
        <f>'N5'!N53+'K5'!N53</f>
        <v>0</v>
      </c>
      <c r="O33" s="116">
        <f>'N5'!O33+'K5'!O33</f>
        <v>0</v>
      </c>
      <c r="P33" s="115">
        <f>'N5'!P33+'K5'!P33</f>
        <v>23</v>
      </c>
      <c r="Q33" s="116">
        <f>'N5'!Q33+'K5'!Q33</f>
        <v>277</v>
      </c>
      <c r="R33" s="121">
        <f>'N5'!R33+'K5'!R33</f>
        <v>0</v>
      </c>
      <c r="S33" s="121">
        <f>'N5'!S33+'K5'!S33</f>
        <v>0</v>
      </c>
      <c r="T33" s="33">
        <f>'N5'!T33+'K5'!T33</f>
        <v>658</v>
      </c>
      <c r="U33" s="115">
        <f>'N5'!U33+'K5'!U33</f>
        <v>0</v>
      </c>
      <c r="V33" s="115">
        <f>'N5'!V33+'K5'!V33</f>
        <v>0</v>
      </c>
      <c r="W33" s="115">
        <f>'N5'!W33+'K5'!W33</f>
        <v>0</v>
      </c>
      <c r="X33" s="116">
        <f>'N5'!X33+'K5'!X33</f>
        <v>0</v>
      </c>
      <c r="Y33" s="115">
        <f>'N5'!Y33+'K5'!Y33</f>
        <v>0</v>
      </c>
      <c r="Z33" s="116">
        <f>'N5'!Z33+'K5'!Z33</f>
        <v>0</v>
      </c>
      <c r="AA33" s="121">
        <f>'N5'!AA33+'K5'!AA33</f>
        <v>0</v>
      </c>
      <c r="AB33" s="121">
        <f>'N5'!AB33+'K5'!AB33</f>
        <v>0</v>
      </c>
      <c r="AC33" s="33">
        <f>'N5'!AC33+'K5'!AC33</f>
        <v>0</v>
      </c>
      <c r="AD33" s="12">
        <f>'N5'!AD33+'K5'!AD33</f>
        <v>2483</v>
      </c>
      <c r="AE33" s="39"/>
      <c r="AF33" s="39"/>
      <c r="AG33" s="39"/>
      <c r="AH33" s="39"/>
      <c r="AI33" s="39"/>
      <c r="AJ33" s="39"/>
    </row>
    <row r="34" spans="1:36" x14ac:dyDescent="0.2">
      <c r="A34" s="5">
        <f>DAY(Kalenteri!A150)</f>
        <v>30</v>
      </c>
      <c r="B34" s="3" t="str">
        <f>IF(Kalenteri!B150=1,"su",IF(Kalenteri!B150=2,"ma",IF(Kalenteri!B150=3,"ti",IF(Kalenteri!B150=4,"ke",IF(Kalenteri!B150=5,"to",IF(Kalenteri!B150=6,"pe",IF(Kalenteri!B150=7,"la",)))))))</f>
        <v>to</v>
      </c>
      <c r="C34" s="114">
        <f>'N5'!C34+'K5'!C34</f>
        <v>567</v>
      </c>
      <c r="D34" s="115">
        <f>'N5'!D34+'K5'!D34</f>
        <v>764</v>
      </c>
      <c r="E34" s="115">
        <f>'N5'!E34+'K5'!E34</f>
        <v>0</v>
      </c>
      <c r="F34" s="116">
        <f>'N5'!F34+'K5'!F34</f>
        <v>22</v>
      </c>
      <c r="G34" s="114">
        <f>'N5'!G34+'K5'!G34</f>
        <v>79</v>
      </c>
      <c r="H34" s="116">
        <f>'N5'!H34+'K5'!H34</f>
        <v>758</v>
      </c>
      <c r="I34" s="114">
        <f>'N5'!I34+'K5'!I34</f>
        <v>0</v>
      </c>
      <c r="J34" s="116">
        <f>'N5'!J34+'K5'!J34</f>
        <v>0</v>
      </c>
      <c r="K34" s="33">
        <f>'N5'!K34+'K5'!K34</f>
        <v>2190</v>
      </c>
      <c r="L34" s="115">
        <f>'N5'!L34+'K5'!L34</f>
        <v>147</v>
      </c>
      <c r="M34" s="115">
        <f>'N5'!M34+'K5'!M34</f>
        <v>113</v>
      </c>
      <c r="N34" s="115">
        <f>'N5'!N54+'K5'!N54</f>
        <v>0</v>
      </c>
      <c r="O34" s="116">
        <f>'N5'!O34+'K5'!O34</f>
        <v>0</v>
      </c>
      <c r="P34" s="115">
        <f>'N5'!P34+'K5'!P34</f>
        <v>33</v>
      </c>
      <c r="Q34" s="116">
        <f>'N5'!Q34+'K5'!Q34</f>
        <v>379</v>
      </c>
      <c r="R34" s="121">
        <f>'N5'!R34+'K5'!R34</f>
        <v>4</v>
      </c>
      <c r="S34" s="121">
        <f>'N5'!S34+'K5'!S34</f>
        <v>6</v>
      </c>
      <c r="T34" s="33">
        <f>'N5'!T34+'K5'!T34</f>
        <v>682</v>
      </c>
      <c r="U34" s="115">
        <f>'N5'!U34+'K5'!U34</f>
        <v>0</v>
      </c>
      <c r="V34" s="115">
        <f>'N5'!V34+'K5'!V34</f>
        <v>0</v>
      </c>
      <c r="W34" s="115">
        <f>'N5'!W34+'K5'!W34</f>
        <v>0</v>
      </c>
      <c r="X34" s="116">
        <f>'N5'!X34+'K5'!X34</f>
        <v>0</v>
      </c>
      <c r="Y34" s="115">
        <f>'N5'!Y34+'K5'!Y34</f>
        <v>0</v>
      </c>
      <c r="Z34" s="116">
        <f>'N5'!Z34+'K5'!Z34</f>
        <v>0</v>
      </c>
      <c r="AA34" s="121">
        <f>'N5'!AA34+'K5'!AA34</f>
        <v>0</v>
      </c>
      <c r="AB34" s="121">
        <f>'N5'!AB34+'K5'!AB34</f>
        <v>0</v>
      </c>
      <c r="AC34" s="33">
        <f>'N5'!AC34+'K5'!AC34</f>
        <v>0</v>
      </c>
      <c r="AD34" s="12">
        <f>'N5'!AD34+'K5'!AD34</f>
        <v>2872</v>
      </c>
      <c r="AE34" s="39"/>
      <c r="AF34" s="39"/>
      <c r="AG34" s="39"/>
      <c r="AH34" s="39"/>
      <c r="AI34" s="39"/>
      <c r="AJ34" s="39"/>
    </row>
    <row r="35" spans="1:36" x14ac:dyDescent="0.2">
      <c r="A35" s="5">
        <f>DAY(Kalenteri!A151)</f>
        <v>31</v>
      </c>
      <c r="B35" s="3" t="str">
        <f>IF(Kalenteri!B151=1,"su",IF(Kalenteri!B151=2,"ma",IF(Kalenteri!B151=3,"ti",IF(Kalenteri!B151=4,"ke",IF(Kalenteri!B151=5,"to",IF(Kalenteri!B151=6,"pe",IF(Kalenteri!B151=7,"la",)))))))</f>
        <v>pe</v>
      </c>
      <c r="C35" s="117">
        <f>'N5'!C35+'K5'!C35</f>
        <v>442</v>
      </c>
      <c r="D35" s="118">
        <f>'N5'!D35+'K5'!D35</f>
        <v>158</v>
      </c>
      <c r="E35" s="118">
        <f>'N5'!E35+'K5'!E35</f>
        <v>0</v>
      </c>
      <c r="F35" s="119">
        <f>'N5'!F35+'K5'!F35</f>
        <v>14</v>
      </c>
      <c r="G35" s="117">
        <f>'N5'!G35+'K5'!G35</f>
        <v>45</v>
      </c>
      <c r="H35" s="119">
        <f>'N5'!H35+'K5'!H35</f>
        <v>298</v>
      </c>
      <c r="I35" s="117">
        <f>'N5'!I35+'K5'!I35</f>
        <v>10</v>
      </c>
      <c r="J35" s="119">
        <f>'N5'!J35+'K5'!J35</f>
        <v>15</v>
      </c>
      <c r="K35" s="33">
        <f>'N5'!K35+'K5'!K35</f>
        <v>982</v>
      </c>
      <c r="L35" s="122">
        <f>'N5'!L35+'K5'!L35</f>
        <v>161</v>
      </c>
      <c r="M35" s="122">
        <f>'N5'!M35+'K5'!M35</f>
        <v>40</v>
      </c>
      <c r="N35" s="122">
        <f>'N5'!N55+'K5'!N55</f>
        <v>0</v>
      </c>
      <c r="O35" s="123">
        <f>'N5'!O35+'K5'!O35</f>
        <v>0</v>
      </c>
      <c r="P35" s="122">
        <f>'N5'!P35+'K5'!P35</f>
        <v>39</v>
      </c>
      <c r="Q35" s="123">
        <f>'N5'!Q35+'K5'!Q35</f>
        <v>476</v>
      </c>
      <c r="R35" s="124">
        <f>'N5'!R35+'K5'!R35</f>
        <v>0</v>
      </c>
      <c r="S35" s="124">
        <f>'N5'!S35+'K5'!S35</f>
        <v>0</v>
      </c>
      <c r="T35" s="34">
        <f>'N5'!T35+'K5'!T35</f>
        <v>716</v>
      </c>
      <c r="U35" s="122">
        <f>'N5'!U35+'K5'!U35</f>
        <v>0</v>
      </c>
      <c r="V35" s="122">
        <f>'N5'!V35+'K5'!V35</f>
        <v>0</v>
      </c>
      <c r="W35" s="122">
        <f>'N5'!W35+'K5'!W35</f>
        <v>0</v>
      </c>
      <c r="X35" s="123">
        <f>'N5'!X35+'K5'!X35</f>
        <v>0</v>
      </c>
      <c r="Y35" s="122">
        <f>'N5'!Y35+'K5'!Y35</f>
        <v>0</v>
      </c>
      <c r="Z35" s="123">
        <f>'N5'!Z35+'K5'!Z35</f>
        <v>0</v>
      </c>
      <c r="AA35" s="124">
        <f>'N5'!AA35+'K5'!AA35</f>
        <v>0</v>
      </c>
      <c r="AB35" s="124">
        <f>'N5'!AB35+'K5'!AB35</f>
        <v>0</v>
      </c>
      <c r="AC35" s="34">
        <f>'N5'!AC35+'K5'!AC35</f>
        <v>0</v>
      </c>
      <c r="AD35" s="19">
        <f>'N5'!AD35+'K5'!AD35</f>
        <v>1698</v>
      </c>
      <c r="AE35" s="39"/>
      <c r="AF35" s="39"/>
      <c r="AG35" s="39"/>
      <c r="AH35" s="39"/>
      <c r="AI35" s="39"/>
      <c r="AJ35" s="39"/>
    </row>
    <row r="36" spans="1:36" x14ac:dyDescent="0.2">
      <c r="A36" s="6"/>
      <c r="B36"/>
      <c r="C36" s="82">
        <f>'N5'!C36+'K5'!C36</f>
        <v>17221</v>
      </c>
      <c r="D36" s="83">
        <f>'N5'!D36+'K5'!D36</f>
        <v>12867</v>
      </c>
      <c r="E36" s="83">
        <f>'N5'!E36+'K5'!E36</f>
        <v>94</v>
      </c>
      <c r="F36" s="84">
        <f>'N5'!F36+'K5'!F36</f>
        <v>962</v>
      </c>
      <c r="G36" s="83">
        <f>'N5'!G36+'K5'!G36</f>
        <v>1151</v>
      </c>
      <c r="H36" s="84">
        <f>'N5'!H36+'K5'!H36</f>
        <v>10611</v>
      </c>
      <c r="I36" s="83">
        <f>'N5'!I36+'K5'!I36</f>
        <v>407</v>
      </c>
      <c r="J36" s="84">
        <f>'N5'!J36+'K5'!J36</f>
        <v>595</v>
      </c>
      <c r="K36" s="33">
        <f>'N5'!K36+'K5'!K36</f>
        <v>43908</v>
      </c>
      <c r="L36" s="83">
        <f>'N5'!L36+'K5'!L36</f>
        <v>6087</v>
      </c>
      <c r="M36" s="83">
        <f>'N5'!M36+'K5'!M36</f>
        <v>2815</v>
      </c>
      <c r="N36" s="83">
        <f>'N5'!N36+'K5'!N36</f>
        <v>0</v>
      </c>
      <c r="O36" s="84">
        <f>'N5'!O36+'K5'!O36</f>
        <v>1</v>
      </c>
      <c r="P36" s="83">
        <f>'N5'!P36+'K5'!P36</f>
        <v>409</v>
      </c>
      <c r="Q36" s="84">
        <f>'N5'!Q36+'K5'!Q36</f>
        <v>5021</v>
      </c>
      <c r="R36" s="86">
        <f>'N5'!R36+'K5'!R36</f>
        <v>184</v>
      </c>
      <c r="S36" s="86">
        <f>'N5'!S36+'K5'!S36</f>
        <v>276</v>
      </c>
      <c r="T36" s="85">
        <f>'N5'!T36+'K5'!T36</f>
        <v>14793</v>
      </c>
      <c r="U36" s="83">
        <f>'N5'!U36+'K5'!U36</f>
        <v>563</v>
      </c>
      <c r="V36" s="83">
        <f>'N5'!V36+'K5'!V36</f>
        <v>128</v>
      </c>
      <c r="W36" s="83">
        <f>'N5'!W36+'K5'!W36</f>
        <v>0</v>
      </c>
      <c r="X36" s="84">
        <f>'N5'!X36+'K5'!X36</f>
        <v>0</v>
      </c>
      <c r="Y36" s="83">
        <f>'N5'!Y36+'K5'!Y36</f>
        <v>0</v>
      </c>
      <c r="Z36" s="84">
        <f>'N5'!Z36+'K5'!Z36</f>
        <v>187</v>
      </c>
      <c r="AA36" s="86">
        <f>'N5'!AA36+'K5'!AA36</f>
        <v>16</v>
      </c>
      <c r="AB36" s="86">
        <f>'N5'!AB36+'K5'!AB36</f>
        <v>24</v>
      </c>
      <c r="AC36" s="85">
        <f>'N5'!AC36+'K5'!AC36</f>
        <v>918</v>
      </c>
      <c r="AD36" s="87">
        <f>'N5'!AD36+'K5'!AD36</f>
        <v>59619</v>
      </c>
      <c r="AE36" s="66"/>
      <c r="AF36" s="66"/>
      <c r="AG36" s="66"/>
      <c r="AH36" s="66"/>
      <c r="AI36" s="66"/>
      <c r="AJ36" s="66"/>
    </row>
    <row r="37" spans="1:36" ht="8.1" customHeight="1" thickBot="1" x14ac:dyDescent="0.25">
      <c r="A37" s="6"/>
      <c r="B37"/>
      <c r="C37" s="2"/>
      <c r="D37" s="5"/>
      <c r="E37" s="5"/>
      <c r="F37" s="2"/>
      <c r="G37" s="2"/>
      <c r="H37" s="2"/>
      <c r="I37" s="5"/>
      <c r="J37" s="2"/>
      <c r="K37" s="2"/>
      <c r="L37" s="5"/>
      <c r="M37" s="2"/>
      <c r="N37" s="5"/>
      <c r="O37" s="5"/>
      <c r="P37" s="2"/>
      <c r="Q37" s="5"/>
      <c r="R37" s="42"/>
      <c r="S37" s="42"/>
      <c r="T37" s="2"/>
      <c r="U37" s="2"/>
      <c r="V37" s="2"/>
      <c r="W37" s="2"/>
      <c r="X37" s="5"/>
      <c r="Y37" s="2"/>
      <c r="Z37" s="2"/>
      <c r="AA37" s="39"/>
      <c r="AB37" s="39"/>
      <c r="AC37" s="5"/>
      <c r="AD37" s="40"/>
      <c r="AE37" s="40"/>
      <c r="AF37" s="40"/>
      <c r="AG37" s="40"/>
      <c r="AH37" s="40"/>
      <c r="AI37" s="40"/>
      <c r="AJ37" s="40"/>
    </row>
    <row r="38" spans="1:36" ht="24.95" customHeight="1" thickTop="1" x14ac:dyDescent="0.3">
      <c r="A38" s="6"/>
      <c r="B38"/>
      <c r="C38" s="171" t="str">
        <f>Kalenteri!E38</f>
        <v>Lippujen hinnat:</v>
      </c>
      <c r="D38" s="5"/>
      <c r="E38" s="5"/>
      <c r="F38" s="2"/>
      <c r="G38" s="2"/>
      <c r="H38" s="2"/>
      <c r="I38" s="5"/>
      <c r="J38" s="2"/>
      <c r="K38" s="2"/>
      <c r="L38" s="5"/>
      <c r="M38" s="2"/>
      <c r="N38" s="5"/>
      <c r="O38" s="5"/>
      <c r="P38" s="2"/>
      <c r="Q38"/>
      <c r="R38"/>
      <c r="S38"/>
      <c r="T38"/>
      <c r="U38" s="49" t="s">
        <v>12</v>
      </c>
      <c r="V38" s="50"/>
      <c r="W38" s="43"/>
      <c r="X38" s="44"/>
      <c r="Y38" s="43"/>
      <c r="Z38" s="43"/>
      <c r="AA38" s="44"/>
      <c r="AB38" s="44"/>
      <c r="AC38" s="47"/>
      <c r="AD38" s="45">
        <f>'N5'!AD38+'K5'!AD38</f>
        <v>59619</v>
      </c>
      <c r="AE38" s="41"/>
      <c r="AF38" s="41"/>
      <c r="AG38" s="41"/>
      <c r="AH38" s="41"/>
      <c r="AI38" s="41"/>
      <c r="AJ38" s="41"/>
    </row>
    <row r="39" spans="1:36" ht="24.95" customHeight="1" x14ac:dyDescent="0.3">
      <c r="A39" s="6"/>
      <c r="B39"/>
      <c r="C39" s="193" t="str">
        <f>Kalenteri!E39</f>
        <v>Mustikkamaan kautta: 1.9.-30.4. aik. 10 €, lapset 5 €, kimppalippu 30 €    1.5.-30.8. aik. 12 €, lapset 6 €, kimppalippu 36 €</v>
      </c>
      <c r="D39" s="89"/>
      <c r="E39" s="89"/>
      <c r="F39" s="90"/>
      <c r="G39" s="102"/>
      <c r="H39" s="174"/>
      <c r="I39" s="89"/>
      <c r="J39" s="90"/>
      <c r="K39" s="90"/>
      <c r="L39" s="89"/>
      <c r="M39" s="90"/>
      <c r="N39" s="89"/>
      <c r="O39" s="89"/>
      <c r="P39" s="89"/>
      <c r="Q39" s="104"/>
      <c r="R39" s="103"/>
      <c r="S39"/>
      <c r="T39"/>
      <c r="U39" s="62" t="s">
        <v>13</v>
      </c>
      <c r="V39" s="52"/>
      <c r="W39" s="53"/>
      <c r="X39" s="54"/>
      <c r="Y39" s="53"/>
      <c r="Z39" s="53"/>
      <c r="AA39" s="54"/>
      <c r="AB39" s="54"/>
      <c r="AC39" s="55"/>
      <c r="AD39" s="56">
        <f>'N5'!AD39+'K5'!AD39</f>
        <v>-1509</v>
      </c>
      <c r="AE39" s="67"/>
      <c r="AF39" s="67"/>
      <c r="AG39" s="67"/>
      <c r="AH39" s="67"/>
      <c r="AI39" s="67"/>
      <c r="AJ39" s="67"/>
    </row>
    <row r="40" spans="1:36" ht="24.95" customHeight="1" x14ac:dyDescent="0.3">
      <c r="A40" s="6"/>
      <c r="B40" s="6"/>
      <c r="C40" s="194" t="str">
        <f>Kalenteri!E40</f>
        <v xml:space="preserve">                                    Vuosikortti:     aik. 50 €, lapset 20 €, perhekortti 100 €</v>
      </c>
      <c r="D40" s="39"/>
      <c r="E40" s="39"/>
      <c r="F40" s="42"/>
      <c r="G40" s="65"/>
      <c r="H40" s="176"/>
      <c r="I40" s="39"/>
      <c r="J40" s="42"/>
      <c r="K40" s="42"/>
      <c r="L40" s="39"/>
      <c r="M40" s="42"/>
      <c r="N40" s="39"/>
      <c r="O40" s="39"/>
      <c r="P40" s="39"/>
      <c r="Q40" s="23"/>
      <c r="R40" s="97"/>
      <c r="S40"/>
      <c r="T40"/>
      <c r="U40" s="63" t="s">
        <v>14</v>
      </c>
      <c r="V40" s="37"/>
      <c r="W40" s="51"/>
      <c r="X40" s="41"/>
      <c r="Y40" s="51"/>
      <c r="Z40" s="41"/>
      <c r="AA40" s="41"/>
      <c r="AB40" s="41"/>
      <c r="AC40" s="48"/>
      <c r="AD40" s="46">
        <f>'N5'!AD40+'K5'!AD40</f>
        <v>110002</v>
      </c>
      <c r="AE40" s="41"/>
      <c r="AF40" s="41"/>
      <c r="AG40" s="41"/>
      <c r="AH40" s="41"/>
      <c r="AI40" s="41"/>
      <c r="AJ40" s="41"/>
    </row>
    <row r="41" spans="1:36" ht="24.95" customHeight="1" thickBot="1" x14ac:dyDescent="0.35">
      <c r="A41" s="4"/>
      <c r="B41" s="4"/>
      <c r="C41" s="195" t="str">
        <f>Kalenteri!E41</f>
        <v>Vesibusseilla:             1.9.-30.4. aik. 16 €, lapset 8 €, kimppalippu 47 €    1.5.-31.8. aik. 18 €, lapset 9 €, kimppalippu 53 €</v>
      </c>
      <c r="D41" s="93"/>
      <c r="E41" s="93"/>
      <c r="F41" s="94"/>
      <c r="G41" s="94"/>
      <c r="H41" s="175"/>
      <c r="I41" s="93"/>
      <c r="J41" s="96"/>
      <c r="K41" s="96"/>
      <c r="L41" s="93"/>
      <c r="M41" s="95"/>
      <c r="N41" s="95"/>
      <c r="O41" s="93"/>
      <c r="P41" s="93"/>
      <c r="Q41" s="95"/>
      <c r="R41" s="98"/>
      <c r="S41"/>
      <c r="T41"/>
      <c r="U41" s="64" t="s">
        <v>13</v>
      </c>
      <c r="V41" s="57"/>
      <c r="W41" s="58"/>
      <c r="X41" s="59"/>
      <c r="Y41" s="59"/>
      <c r="Z41" s="59"/>
      <c r="AA41" s="59"/>
      <c r="AB41" s="59"/>
      <c r="AC41" s="60"/>
      <c r="AD41" s="61">
        <f>'N5'!AD41+'K5'!AD41</f>
        <v>-1495</v>
      </c>
      <c r="AE41" s="68"/>
      <c r="AF41" s="68"/>
      <c r="AG41" s="68"/>
      <c r="AH41" s="68"/>
      <c r="AI41" s="68"/>
      <c r="AJ41" s="68"/>
    </row>
    <row r="42" spans="1:36" ht="13.5" thickTop="1" x14ac:dyDescent="0.2"/>
  </sheetData>
  <sheetProtection password="C4AC" sheet="1" objects="1" scenarios="1"/>
  <phoneticPr fontId="4" type="noConversion"/>
  <pageMargins left="0" right="0" top="0.27559055118110237" bottom="0" header="0" footer="0"/>
  <pageSetup paperSize="9" scale="75" fitToHeight="0" orientation="landscape" horizontalDpi="4294967292" verticalDpi="4294967292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3249" r:id="rId4" name="Button 1">
              <controlPr defaultSize="0" print="0" autoFill="0" autoLine="0" autoPict="0" macro="[1]!TAMMI">
                <anchor moveWithCells="1" sizeWithCells="1">
                  <from>
                    <xdr:col>35</xdr:col>
                    <xdr:colOff>0</xdr:colOff>
                    <xdr:row>3</xdr:row>
                    <xdr:rowOff>9525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250" r:id="rId5" name="Button 2">
              <controlPr defaultSize="0" print="0" autoFill="0" autoLine="0" autoPict="0" macro="[1]KTMAKRO!$A$1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251" r:id="rId6" name="Button 3">
              <controlPr defaultSize="0" print="0" autoFill="0" autoLine="0" autoPict="0" macro="[1]!MAALIS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252" r:id="rId7" name="Button 4">
              <controlPr defaultSize="0" print="0" autoFill="0" autoLine="0" autoPict="0" macro="[1]KTMAKRO!$D$1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253" r:id="rId8" name="Button 5">
              <controlPr defaultSize="0" print="0" autoFill="0" autoLine="0" autoPict="0" macro="[1]KTMAKRO!$E$1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254" r:id="rId9" name="Button 6">
              <controlPr defaultSize="0" print="0" autoFill="0" autoLine="0" autoPict="0" macro="[1]!KESÄ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255" r:id="rId10" name="Button 7">
              <controlPr defaultSize="0" print="0" autoFill="0" autoLine="0" autoPict="0" macro="[1]!HELMI">
                <anchor moveWithCells="1" sizeWithCells="1">
                  <from>
                    <xdr:col>35</xdr:col>
                    <xdr:colOff>0</xdr:colOff>
                    <xdr:row>3</xdr:row>
                    <xdr:rowOff>9525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256" r:id="rId11" name="Button 8">
              <controlPr defaultSize="0" print="0" autoFill="0" autoLine="0" autoPict="0" macro="[1]KTMAKRO!$G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257" r:id="rId12" name="Button 9">
              <controlPr defaultSize="0" print="0" autoFill="0" autoLine="0" autoPict="0" macro="[1]KTMAKRO!$I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258" r:id="rId13" name="Button 10">
              <controlPr defaultSize="0" print="0" autoFill="0" autoLine="0" autoPict="0" macro="[1]KTMAKRO!$J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259" r:id="rId14" name="Button 11">
              <controlPr defaultSize="0" print="0" autoFill="0" autoLine="0" autoPict="0" macro="[1]KTMAKRO!$K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260" r:id="rId15" name="Button 12">
              <controlPr defaultSize="0" print="0" autoFill="0" autoLine="0" autoPict="0" macro="[1]KTMAKRO!$L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261" r:id="rId16" name="Button 13">
              <controlPr defaultSize="0" print="0" autoFill="0" autoLine="0" autoPict="0" macro="[1]KTMAKRO!$H$1">
                <anchor moveWithCells="1" sizeWithCells="1">
                  <from>
                    <xdr:col>35</xdr:col>
                    <xdr:colOff>0</xdr:colOff>
                    <xdr:row>5</xdr:row>
                    <xdr:rowOff>0</xdr:rowOff>
                  </from>
                  <to>
                    <xdr:col>35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262" r:id="rId17" name="Button 14">
              <controlPr defaultSize="0" print="0" autoFill="0" autoLine="0" autoPict="0" macro="[1]!Yhteenveto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5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263" r:id="rId18" name="Button 15">
              <controlPr defaultSize="0" print="0" autoFill="0" autoLine="0" autoPict="0" macro="[1]!GRAFIIKKA1">
                <anchor moveWithCells="1" sizeWithCells="1">
                  <from>
                    <xdr:col>35</xdr:col>
                    <xdr:colOff>0</xdr:colOff>
                    <xdr:row>8</xdr:row>
                    <xdr:rowOff>142875</xdr:rowOff>
                  </from>
                  <to>
                    <xdr:col>35</xdr:col>
                    <xdr:colOff>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264" r:id="rId19" name="Button 16">
              <controlPr defaultSize="0" print="0" autoFill="0" autoLine="0" autoPict="0" macro="[1]!Grafiikka2">
                <anchor moveWithCells="1" sizeWithCells="1">
                  <from>
                    <xdr:col>35</xdr:col>
                    <xdr:colOff>0</xdr:colOff>
                    <xdr:row>8</xdr:row>
                    <xdr:rowOff>152400</xdr:rowOff>
                  </from>
                  <to>
                    <xdr:col>35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265" r:id="rId20" name="Button 17">
              <controlPr defaultSize="0" print="0" autoFill="0" autoLine="0" autoPict="0" macro="[1]!Grafiikka4">
                <anchor moveWithCells="1" sizeWithCells="1">
                  <from>
                    <xdr:col>35</xdr:col>
                    <xdr:colOff>0</xdr:colOff>
                    <xdr:row>8</xdr:row>
                    <xdr:rowOff>142875</xdr:rowOff>
                  </from>
                  <to>
                    <xdr:col>35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266" r:id="rId21" name="Button 18">
              <controlPr defaultSize="0" print="0" autoFill="0" autoLine="0" autoPict="0" macro="[1]!Grafiikka4">
                <anchor moveWithCells="1" sizeWithCells="1">
                  <from>
                    <xdr:col>35</xdr:col>
                    <xdr:colOff>0</xdr:colOff>
                    <xdr:row>8</xdr:row>
                    <xdr:rowOff>152400</xdr:rowOff>
                  </from>
                  <to>
                    <xdr:col>35</xdr:col>
                    <xdr:colOff>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267" r:id="rId22" name="Button 19">
              <controlPr defaultSize="0" print="0" autoFill="0" autoLine="0" autoPict="0" macro="[1]!Grafiikka5">
                <anchor moveWithCells="1" sizeWithCells="1">
                  <from>
                    <xdr:col>35</xdr:col>
                    <xdr:colOff>0</xdr:colOff>
                    <xdr:row>8</xdr:row>
                    <xdr:rowOff>152400</xdr:rowOff>
                  </from>
                  <to>
                    <xdr:col>35</xdr:col>
                    <xdr:colOff>0</xdr:colOff>
                    <xdr:row>12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268" r:id="rId23" name="Button 20">
              <controlPr defaultSize="0" print="0" autoFill="0" autoLine="0" autoPict="0" macro="[1]!Perusikkuna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12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/>
  <dimension ref="A1:AJ42"/>
  <sheetViews>
    <sheetView showGridLines="0" zoomScale="80" zoomScaleNormal="80" workbookViewId="0"/>
  </sheetViews>
  <sheetFormatPr defaultColWidth="9.75" defaultRowHeight="12.75" x14ac:dyDescent="0.2"/>
  <cols>
    <col min="1" max="1" width="3.75" style="1" customWidth="1"/>
    <col min="2" max="2" width="2.75" style="1" customWidth="1"/>
    <col min="3" max="4" width="6.125" style="1" customWidth="1"/>
    <col min="5" max="5" width="4" style="1" customWidth="1"/>
    <col min="6" max="6" width="4.5" style="1" customWidth="1"/>
    <col min="7" max="10" width="6.125" style="1" customWidth="1"/>
    <col min="11" max="11" width="5.875" style="1" customWidth="1"/>
    <col min="12" max="13" width="6.125" style="1" customWidth="1"/>
    <col min="14" max="14" width="5.25" style="1" customWidth="1"/>
    <col min="15" max="15" width="4.5" style="1" customWidth="1"/>
    <col min="16" max="16" width="6.125" style="1" customWidth="1"/>
    <col min="17" max="17" width="5.5" style="1" customWidth="1"/>
    <col min="18" max="19" width="6.125" style="1" customWidth="1"/>
    <col min="20" max="20" width="5.875" style="1" customWidth="1"/>
    <col min="21" max="22" width="6.125" style="1" customWidth="1"/>
    <col min="23" max="23" width="4.375" style="1" customWidth="1"/>
    <col min="24" max="24" width="4.25" style="1" customWidth="1"/>
    <col min="25" max="29" width="6.125" style="1" customWidth="1"/>
    <col min="30" max="36" width="15.625" style="1" customWidth="1"/>
  </cols>
  <sheetData>
    <row r="1" spans="1:36" ht="30" customHeight="1" x14ac:dyDescent="0.35">
      <c r="A1" s="22"/>
      <c r="B1" s="4"/>
      <c r="C1" s="105" t="s">
        <v>15</v>
      </c>
      <c r="D1" s="106"/>
      <c r="E1" s="106"/>
      <c r="F1" s="106"/>
      <c r="G1" s="106"/>
      <c r="H1" s="106"/>
      <c r="I1" s="106"/>
      <c r="J1" s="106"/>
      <c r="K1" s="106"/>
      <c r="L1" s="105" t="str">
        <f>Kalenteri!$H$1</f>
        <v>KÄVIJÄTILASTO 2013</v>
      </c>
      <c r="M1" s="107"/>
      <c r="N1" s="107"/>
      <c r="O1" s="107"/>
      <c r="P1" s="106"/>
      <c r="Q1" s="106"/>
      <c r="R1" s="105" t="s">
        <v>75</v>
      </c>
      <c r="S1" s="108"/>
      <c r="T1" s="106"/>
      <c r="U1" s="109"/>
      <c r="V1" s="105" t="s">
        <v>42</v>
      </c>
      <c r="W1" s="109"/>
      <c r="X1" s="106"/>
      <c r="Y1" s="106"/>
      <c r="Z1" s="106"/>
      <c r="AA1" s="106"/>
      <c r="AB1" s="106"/>
      <c r="AC1" s="106"/>
      <c r="AD1" s="110"/>
      <c r="AE1" s="4"/>
      <c r="AF1" s="4"/>
      <c r="AG1" s="4"/>
      <c r="AH1" s="4"/>
      <c r="AI1" s="4"/>
      <c r="AJ1" s="4"/>
    </row>
    <row r="2" spans="1:36" ht="30" customHeight="1" x14ac:dyDescent="0.3">
      <c r="A2" s="3"/>
      <c r="B2" s="4"/>
      <c r="C2" s="72"/>
      <c r="D2" s="73"/>
      <c r="E2" s="74" t="s">
        <v>1</v>
      </c>
      <c r="F2" s="75"/>
      <c r="G2" s="75"/>
      <c r="H2" s="75"/>
      <c r="I2" s="75"/>
      <c r="J2" s="75"/>
      <c r="K2" s="76"/>
      <c r="L2" s="72"/>
      <c r="M2" s="77"/>
      <c r="N2" s="73"/>
      <c r="O2" s="74" t="s">
        <v>2</v>
      </c>
      <c r="P2" s="75"/>
      <c r="Q2" s="75"/>
      <c r="R2" s="75"/>
      <c r="S2" s="75"/>
      <c r="T2" s="76"/>
      <c r="U2" s="72"/>
      <c r="V2" s="75"/>
      <c r="W2" s="73"/>
      <c r="X2" s="74" t="s">
        <v>3</v>
      </c>
      <c r="Y2" s="75"/>
      <c r="Z2" s="75"/>
      <c r="AA2" s="75"/>
      <c r="AB2" s="75"/>
      <c r="AC2" s="76"/>
      <c r="AD2" s="13"/>
      <c r="AE2" s="35"/>
      <c r="AF2" s="69"/>
      <c r="AG2" s="69"/>
      <c r="AH2" s="69"/>
      <c r="AI2" s="69"/>
      <c r="AJ2" s="69"/>
    </row>
    <row r="3" spans="1:36" x14ac:dyDescent="0.2">
      <c r="A3" s="4"/>
      <c r="B3" s="4"/>
      <c r="C3" s="24" t="s">
        <v>4</v>
      </c>
      <c r="D3" s="25"/>
      <c r="E3" s="25"/>
      <c r="F3" s="26"/>
      <c r="G3" s="24" t="s">
        <v>5</v>
      </c>
      <c r="H3" s="26"/>
      <c r="I3" s="25" t="s">
        <v>6</v>
      </c>
      <c r="J3" s="25"/>
      <c r="K3" s="27"/>
      <c r="L3" s="24" t="s">
        <v>4</v>
      </c>
      <c r="M3" s="25"/>
      <c r="N3" s="25"/>
      <c r="O3" s="26"/>
      <c r="P3" s="24" t="s">
        <v>5</v>
      </c>
      <c r="Q3" s="26"/>
      <c r="R3" s="25" t="s">
        <v>6</v>
      </c>
      <c r="S3" s="25"/>
      <c r="T3" s="27"/>
      <c r="U3" s="24" t="s">
        <v>4</v>
      </c>
      <c r="V3" s="25"/>
      <c r="W3" s="25"/>
      <c r="X3" s="26"/>
      <c r="Y3" s="24" t="s">
        <v>5</v>
      </c>
      <c r="Z3" s="26"/>
      <c r="AA3" s="25" t="s">
        <v>6</v>
      </c>
      <c r="AB3" s="25"/>
      <c r="AC3" s="27"/>
      <c r="AD3" s="36" t="s">
        <v>7</v>
      </c>
      <c r="AE3" s="38"/>
      <c r="AF3" s="70"/>
      <c r="AG3" s="70"/>
      <c r="AH3" s="70"/>
      <c r="AI3" s="70"/>
      <c r="AJ3"/>
    </row>
    <row r="4" spans="1:36" x14ac:dyDescent="0.2">
      <c r="A4" s="6"/>
      <c r="B4" s="4"/>
      <c r="C4" s="7" t="s">
        <v>8</v>
      </c>
      <c r="D4" s="8" t="s">
        <v>9</v>
      </c>
      <c r="E4" s="8" t="s">
        <v>10</v>
      </c>
      <c r="F4" s="9" t="s">
        <v>11</v>
      </c>
      <c r="G4" s="7" t="s">
        <v>8</v>
      </c>
      <c r="H4" s="9" t="s">
        <v>9</v>
      </c>
      <c r="I4" s="8" t="s">
        <v>8</v>
      </c>
      <c r="J4" s="8" t="s">
        <v>9</v>
      </c>
      <c r="K4" s="14" t="s">
        <v>0</v>
      </c>
      <c r="L4" s="7" t="s">
        <v>8</v>
      </c>
      <c r="M4" s="8" t="s">
        <v>9</v>
      </c>
      <c r="N4" s="8" t="s">
        <v>10</v>
      </c>
      <c r="O4" s="9" t="s">
        <v>11</v>
      </c>
      <c r="P4" s="7" t="s">
        <v>8</v>
      </c>
      <c r="Q4" s="9" t="s">
        <v>9</v>
      </c>
      <c r="R4" s="8" t="s">
        <v>8</v>
      </c>
      <c r="S4" s="8" t="s">
        <v>9</v>
      </c>
      <c r="T4" s="14" t="s">
        <v>0</v>
      </c>
      <c r="U4" s="7" t="s">
        <v>8</v>
      </c>
      <c r="V4" s="8" t="s">
        <v>9</v>
      </c>
      <c r="W4" s="8" t="s">
        <v>10</v>
      </c>
      <c r="X4" s="9" t="s">
        <v>11</v>
      </c>
      <c r="Y4" s="7" t="s">
        <v>8</v>
      </c>
      <c r="Z4" s="9" t="s">
        <v>9</v>
      </c>
      <c r="AA4" s="8" t="s">
        <v>8</v>
      </c>
      <c r="AB4" s="8" t="s">
        <v>9</v>
      </c>
      <c r="AC4" s="14" t="s">
        <v>0</v>
      </c>
      <c r="AD4" s="28"/>
      <c r="AE4" s="23"/>
      <c r="AF4" s="23"/>
      <c r="AG4" s="23"/>
      <c r="AH4" s="23"/>
      <c r="AI4" s="23"/>
      <c r="AJ4"/>
    </row>
    <row r="5" spans="1:36" x14ac:dyDescent="0.2">
      <c r="A5" s="5">
        <f>DAY(Kalenteri!A152)</f>
        <v>1</v>
      </c>
      <c r="B5" s="3" t="str">
        <f>IF(Kalenteri!B152=1,"su",IF(Kalenteri!B152=2,"ma",IF(Kalenteri!B152=3,"ti",IF(Kalenteri!B152=4,"ke",IF(Kalenteri!B152=5,"to",IF(Kalenteri!B152=6,"pe",IF(Kalenteri!B152=7,"la",)))))))</f>
        <v>la</v>
      </c>
      <c r="C5" s="111">
        <f>'N6'!C5+'K6'!C5</f>
        <v>1508</v>
      </c>
      <c r="D5" s="112">
        <f>'N6'!D5+'K6'!D5</f>
        <v>270</v>
      </c>
      <c r="E5" s="112">
        <f>'N6'!E5+'K6'!E5</f>
        <v>1</v>
      </c>
      <c r="F5" s="113">
        <f>'N6'!F5+'K6'!F5</f>
        <v>34</v>
      </c>
      <c r="G5" s="111">
        <f>'N6'!G5+'K6'!G5</f>
        <v>33</v>
      </c>
      <c r="H5" s="113">
        <f>'N6'!H5+'K6'!H5</f>
        <v>681</v>
      </c>
      <c r="I5" s="111">
        <f>'N6'!I5+'K6'!I5</f>
        <v>32</v>
      </c>
      <c r="J5" s="113">
        <f>'N6'!J5+'K6'!J5</f>
        <v>48</v>
      </c>
      <c r="K5" s="32">
        <f>'N6'!K5+'K6'!K5</f>
        <v>2607</v>
      </c>
      <c r="L5" s="112">
        <f>'N6'!L5+'K6'!L5</f>
        <v>607</v>
      </c>
      <c r="M5" s="112">
        <f>'N6'!M5+'K6'!M5</f>
        <v>95</v>
      </c>
      <c r="N5" s="112">
        <f>'N6'!N5+'K6'!N5</f>
        <v>0</v>
      </c>
      <c r="O5" s="113">
        <f>'N6'!O5+'K6'!O5</f>
        <v>0</v>
      </c>
      <c r="P5" s="112">
        <f>'N6'!P5+'K6'!P5</f>
        <v>179</v>
      </c>
      <c r="Q5" s="113">
        <f>'N6'!Q5+'K6'!Q5</f>
        <v>5</v>
      </c>
      <c r="R5" s="120">
        <f>'N6'!R5+'K6'!R5</f>
        <v>26</v>
      </c>
      <c r="S5" s="120">
        <f>'N6'!S5+'K6'!S5</f>
        <v>39</v>
      </c>
      <c r="T5" s="32">
        <f>'N6'!T5+'K6'!T5</f>
        <v>951</v>
      </c>
      <c r="U5" s="112">
        <f>'N6'!U5+'K6'!U5</f>
        <v>125</v>
      </c>
      <c r="V5" s="112">
        <f>'N6'!V5+'K6'!V5</f>
        <v>26</v>
      </c>
      <c r="W5" s="112">
        <f>'N6'!W5+'K6'!W5</f>
        <v>0</v>
      </c>
      <c r="X5" s="113">
        <f>'N6'!X5+'K6'!X5</f>
        <v>0</v>
      </c>
      <c r="Y5" s="112">
        <f>'N6'!Y5+'K6'!Y5</f>
        <v>0</v>
      </c>
      <c r="Z5" s="113">
        <f>'N6'!Z5+'K6'!Z5</f>
        <v>59</v>
      </c>
      <c r="AA5" s="120">
        <f>'N6'!AA5+'K6'!AA5</f>
        <v>8</v>
      </c>
      <c r="AB5" s="120">
        <f>'N6'!AB5+'K6'!AB5</f>
        <v>12</v>
      </c>
      <c r="AC5" s="32">
        <f>'N6'!AC5+'K6'!AC5</f>
        <v>230</v>
      </c>
      <c r="AD5" s="17">
        <f>'N6'!AD5+'K6'!AD5</f>
        <v>3788</v>
      </c>
      <c r="AE5" s="39"/>
      <c r="AF5" s="39"/>
      <c r="AG5" s="39"/>
      <c r="AH5" s="39"/>
      <c r="AI5" s="39"/>
      <c r="AJ5"/>
    </row>
    <row r="6" spans="1:36" x14ac:dyDescent="0.2">
      <c r="A6" s="5">
        <f>DAY(Kalenteri!A153)</f>
        <v>2</v>
      </c>
      <c r="B6" s="3" t="str">
        <f>IF(Kalenteri!B153=1,"su",IF(Kalenteri!B153=2,"ma",IF(Kalenteri!B153=3,"ti",IF(Kalenteri!B153=4,"ke",IF(Kalenteri!B153=5,"to",IF(Kalenteri!B153=6,"pe",IF(Kalenteri!B153=7,"la",)))))))</f>
        <v>su</v>
      </c>
      <c r="C6" s="114">
        <f>'N6'!C6+'K6'!C6</f>
        <v>1808</v>
      </c>
      <c r="D6" s="115">
        <f>'N6'!D6+'K6'!D6</f>
        <v>397</v>
      </c>
      <c r="E6" s="115">
        <f>'N6'!E6+'K6'!E6</f>
        <v>3</v>
      </c>
      <c r="F6" s="116">
        <f>'N6'!F6+'K6'!F6</f>
        <v>52</v>
      </c>
      <c r="G6" s="114">
        <f>'N6'!G6+'K6'!G6</f>
        <v>27</v>
      </c>
      <c r="H6" s="116">
        <f>'N6'!H6+'K6'!H6</f>
        <v>680</v>
      </c>
      <c r="I6" s="114">
        <f>'N6'!I6+'K6'!I6</f>
        <v>82</v>
      </c>
      <c r="J6" s="116">
        <f>'N6'!J6+'K6'!J6</f>
        <v>123</v>
      </c>
      <c r="K6" s="33">
        <f>'N6'!K6+'K6'!K6</f>
        <v>3172</v>
      </c>
      <c r="L6" s="115">
        <f>'N6'!L6+'K6'!L6</f>
        <v>536</v>
      </c>
      <c r="M6" s="115">
        <f>'N6'!M6+'K6'!M6</f>
        <v>115</v>
      </c>
      <c r="N6" s="115">
        <f>'N6'!N6+'K6'!N6</f>
        <v>0</v>
      </c>
      <c r="O6" s="116">
        <f>'N6'!O6+'K6'!O6</f>
        <v>0</v>
      </c>
      <c r="P6" s="115">
        <f>'N6'!P6+'K6'!P6</f>
        <v>0</v>
      </c>
      <c r="Q6" s="116">
        <f>'N6'!Q6+'K6'!Q6</f>
        <v>141</v>
      </c>
      <c r="R6" s="121">
        <f>'N6'!R6+'K6'!R6</f>
        <v>42</v>
      </c>
      <c r="S6" s="121">
        <f>'N6'!S6+'K6'!S6</f>
        <v>63</v>
      </c>
      <c r="T6" s="33">
        <f>'N6'!T6+'K6'!T6</f>
        <v>897</v>
      </c>
      <c r="U6" s="115">
        <f>'N6'!U6+'K6'!U6</f>
        <v>194</v>
      </c>
      <c r="V6" s="115">
        <f>'N6'!V6+'K6'!V6</f>
        <v>37</v>
      </c>
      <c r="W6" s="115">
        <f>'N6'!W6+'K6'!W6</f>
        <v>0</v>
      </c>
      <c r="X6" s="116">
        <f>'N6'!X6+'K6'!X6</f>
        <v>0</v>
      </c>
      <c r="Y6" s="115">
        <f>'N6'!Y6+'K6'!Y6</f>
        <v>0</v>
      </c>
      <c r="Z6" s="116">
        <f>'N6'!Z6+'K6'!Z6</f>
        <v>0</v>
      </c>
      <c r="AA6" s="121">
        <f>'N6'!AA6+'K6'!AA6</f>
        <v>10</v>
      </c>
      <c r="AB6" s="121">
        <f>'N6'!AB6+'K6'!AB6</f>
        <v>15</v>
      </c>
      <c r="AC6" s="33">
        <f>'N6'!AC6+'K6'!AC6</f>
        <v>256</v>
      </c>
      <c r="AD6" s="12">
        <f>'N6'!AD6+'K6'!AD6</f>
        <v>4325</v>
      </c>
      <c r="AE6" s="39"/>
      <c r="AF6" s="39"/>
      <c r="AG6" s="39"/>
      <c r="AH6" s="39"/>
      <c r="AI6" s="39"/>
      <c r="AJ6"/>
    </row>
    <row r="7" spans="1:36" x14ac:dyDescent="0.2">
      <c r="A7" s="5">
        <f>DAY(Kalenteri!A154)</f>
        <v>3</v>
      </c>
      <c r="B7" s="3" t="str">
        <f>IF(Kalenteri!B154=1,"su",IF(Kalenteri!B154=2,"ma",IF(Kalenteri!B154=3,"ti",IF(Kalenteri!B154=4,"ke",IF(Kalenteri!B154=5,"to",IF(Kalenteri!B154=6,"pe",IF(Kalenteri!B154=7,"la",)))))))</f>
        <v>ma</v>
      </c>
      <c r="C7" s="114">
        <f>'N6'!C7+'K6'!C7</f>
        <v>700</v>
      </c>
      <c r="D7" s="115">
        <f>'N6'!D7+'K6'!D7</f>
        <v>458</v>
      </c>
      <c r="E7" s="115">
        <f>'N6'!E7+'K6'!E7</f>
        <v>0</v>
      </c>
      <c r="F7" s="116">
        <f>'N6'!F7+'K6'!F7</f>
        <v>17</v>
      </c>
      <c r="G7" s="114">
        <f>'N6'!G7+'K6'!G7</f>
        <v>31</v>
      </c>
      <c r="H7" s="116">
        <f>'N6'!H7+'K6'!H7</f>
        <v>353</v>
      </c>
      <c r="I7" s="114">
        <f>'N6'!I7+'K6'!I7</f>
        <v>6</v>
      </c>
      <c r="J7" s="116">
        <f>'N6'!J7+'K6'!J7</f>
        <v>9</v>
      </c>
      <c r="K7" s="33">
        <f>'N6'!K7+'K6'!K7</f>
        <v>1574</v>
      </c>
      <c r="L7" s="115">
        <f>'N6'!L7+'K6'!L7</f>
        <v>329</v>
      </c>
      <c r="M7" s="115">
        <f>'N6'!M7+'K6'!M7</f>
        <v>137</v>
      </c>
      <c r="N7" s="115">
        <f>'N6'!N7+'K6'!N7</f>
        <v>0</v>
      </c>
      <c r="O7" s="116">
        <f>'N6'!O7+'K6'!O7</f>
        <v>0</v>
      </c>
      <c r="P7" s="115">
        <f>'N6'!P7+'K6'!P7</f>
        <v>0</v>
      </c>
      <c r="Q7" s="116">
        <f>'N6'!Q7+'K6'!Q7</f>
        <v>103</v>
      </c>
      <c r="R7" s="121">
        <f>'N6'!R7+'K6'!R7</f>
        <v>8</v>
      </c>
      <c r="S7" s="121">
        <f>'N6'!S7+'K6'!S7</f>
        <v>12</v>
      </c>
      <c r="T7" s="33">
        <f>'N6'!T7+'K6'!T7</f>
        <v>589</v>
      </c>
      <c r="U7" s="115">
        <f>'N6'!U7+'K6'!U7</f>
        <v>64</v>
      </c>
      <c r="V7" s="115">
        <f>'N6'!V7+'K6'!V7</f>
        <v>30</v>
      </c>
      <c r="W7" s="115">
        <f>'N6'!W7+'K6'!W7</f>
        <v>0</v>
      </c>
      <c r="X7" s="116">
        <f>'N6'!X7+'K6'!X7</f>
        <v>0</v>
      </c>
      <c r="Y7" s="115">
        <f>'N6'!Y7+'K6'!Y7</f>
        <v>0</v>
      </c>
      <c r="Z7" s="116">
        <f>'N6'!Z7+'K6'!Z7</f>
        <v>34</v>
      </c>
      <c r="AA7" s="121">
        <f>'N6'!AA7+'K6'!AA7</f>
        <v>4</v>
      </c>
      <c r="AB7" s="121">
        <f>'N6'!AB7+'K6'!AB7</f>
        <v>6</v>
      </c>
      <c r="AC7" s="33">
        <f>'N6'!AC7+'K6'!AC7</f>
        <v>138</v>
      </c>
      <c r="AD7" s="12">
        <f>'N6'!AD7+'K6'!AD7</f>
        <v>2301</v>
      </c>
      <c r="AE7" s="39"/>
      <c r="AF7" s="39"/>
      <c r="AG7" s="39"/>
      <c r="AH7" s="39"/>
      <c r="AI7" s="39"/>
      <c r="AJ7"/>
    </row>
    <row r="8" spans="1:36" x14ac:dyDescent="0.2">
      <c r="A8" s="5">
        <f>DAY(Kalenteri!A155)</f>
        <v>4</v>
      </c>
      <c r="B8" s="3" t="str">
        <f>IF(Kalenteri!B155=1,"su",IF(Kalenteri!B155=2,"ma",IF(Kalenteri!B155=3,"ti",IF(Kalenteri!B155=4,"ke",IF(Kalenteri!B155=5,"to",IF(Kalenteri!B155=6,"pe",IF(Kalenteri!B155=7,"la",)))))))</f>
        <v>ti</v>
      </c>
      <c r="C8" s="114">
        <f>'N6'!C8+'K6'!C8</f>
        <v>739</v>
      </c>
      <c r="D8" s="115">
        <f>'N6'!D8+'K6'!D8</f>
        <v>362</v>
      </c>
      <c r="E8" s="115">
        <f>'N6'!E8+'K6'!E8</f>
        <v>0</v>
      </c>
      <c r="F8" s="116">
        <f>'N6'!F8+'K6'!F8</f>
        <v>12</v>
      </c>
      <c r="G8" s="114">
        <f>'N6'!G8+'K6'!G8</f>
        <v>38</v>
      </c>
      <c r="H8" s="116">
        <f>'N6'!H8+'K6'!H8</f>
        <v>364</v>
      </c>
      <c r="I8" s="114">
        <f>'N6'!I8+'K6'!I8</f>
        <v>0</v>
      </c>
      <c r="J8" s="116">
        <f>'N6'!J8+'K6'!J8</f>
        <v>0</v>
      </c>
      <c r="K8" s="33">
        <f>'N6'!K8+'K6'!K8</f>
        <v>1515</v>
      </c>
      <c r="L8" s="115">
        <f>'N6'!L8+'K6'!L8</f>
        <v>369</v>
      </c>
      <c r="M8" s="115">
        <f>'N6'!M8+'K6'!M8</f>
        <v>128</v>
      </c>
      <c r="N8" s="115">
        <f>'N6'!N8+'K6'!N8</f>
        <v>0</v>
      </c>
      <c r="O8" s="116">
        <f>'N6'!O8+'K6'!O8</f>
        <v>0</v>
      </c>
      <c r="P8" s="115">
        <f>'N6'!P8+'K6'!P8</f>
        <v>12</v>
      </c>
      <c r="Q8" s="116">
        <f>'N6'!Q8+'K6'!Q8</f>
        <v>99</v>
      </c>
      <c r="R8" s="121">
        <f>'N6'!R8+'K6'!R8</f>
        <v>32</v>
      </c>
      <c r="S8" s="121">
        <f>'N6'!S8+'K6'!S8</f>
        <v>48</v>
      </c>
      <c r="T8" s="33">
        <f>'N6'!T8+'K6'!T8</f>
        <v>688</v>
      </c>
      <c r="U8" s="115">
        <f>'N6'!U8+'K6'!U8</f>
        <v>138</v>
      </c>
      <c r="V8" s="115">
        <f>'N6'!V8+'K6'!V8</f>
        <v>56</v>
      </c>
      <c r="W8" s="115">
        <f>'N6'!W8+'K6'!W8</f>
        <v>0</v>
      </c>
      <c r="X8" s="116">
        <f>'N6'!X8+'K6'!X8</f>
        <v>0</v>
      </c>
      <c r="Y8" s="115">
        <f>'N6'!Y8+'K6'!Y8</f>
        <v>8</v>
      </c>
      <c r="Z8" s="116">
        <f>'N6'!Z8+'K6'!Z8</f>
        <v>62</v>
      </c>
      <c r="AA8" s="121">
        <f>'N6'!AA8+'K6'!AA8</f>
        <v>6</v>
      </c>
      <c r="AB8" s="121">
        <f>'N6'!AB8+'K6'!AB8</f>
        <v>9</v>
      </c>
      <c r="AC8" s="33">
        <f>'N6'!AC8+'K6'!AC8</f>
        <v>279</v>
      </c>
      <c r="AD8" s="12">
        <f>'N6'!AD8+'K6'!AD8</f>
        <v>2482</v>
      </c>
      <c r="AE8" s="39"/>
      <c r="AF8" s="39"/>
      <c r="AG8" s="39"/>
      <c r="AH8" s="39"/>
      <c r="AI8" s="39"/>
      <c r="AJ8"/>
    </row>
    <row r="9" spans="1:36" x14ac:dyDescent="0.2">
      <c r="A9" s="5">
        <f>DAY(Kalenteri!A156)</f>
        <v>5</v>
      </c>
      <c r="B9" s="3" t="str">
        <f>IF(Kalenteri!B156=1,"su",IF(Kalenteri!B156=2,"ma",IF(Kalenteri!B156=3,"ti",IF(Kalenteri!B156=4,"ke",IF(Kalenteri!B156=5,"to",IF(Kalenteri!B156=6,"pe",IF(Kalenteri!B156=7,"la",)))))))</f>
        <v>ke</v>
      </c>
      <c r="C9" s="114">
        <f>'N6'!C9+'K6'!C9</f>
        <v>696</v>
      </c>
      <c r="D9" s="115">
        <f>'N6'!D9+'K6'!D9</f>
        <v>283</v>
      </c>
      <c r="E9" s="115">
        <f>'N6'!E9+'K6'!E9</f>
        <v>0</v>
      </c>
      <c r="F9" s="116">
        <f>'N6'!F9+'K6'!F9</f>
        <v>13</v>
      </c>
      <c r="G9" s="114">
        <f>'N6'!G9+'K6'!G9</f>
        <v>56</v>
      </c>
      <c r="H9" s="116">
        <f>'N6'!H9+'K6'!H9</f>
        <v>433</v>
      </c>
      <c r="I9" s="114">
        <f>'N6'!I9+'K6'!I9</f>
        <v>12</v>
      </c>
      <c r="J9" s="116">
        <f>'N6'!J9+'K6'!J9</f>
        <v>18</v>
      </c>
      <c r="K9" s="33">
        <f>'N6'!K9+'K6'!K9</f>
        <v>1511</v>
      </c>
      <c r="L9" s="115">
        <f>'N6'!L9+'K6'!L9</f>
        <v>308</v>
      </c>
      <c r="M9" s="115">
        <f>'N6'!M9+'K6'!M9</f>
        <v>158</v>
      </c>
      <c r="N9" s="115">
        <f>'N6'!N9+'K6'!N9</f>
        <v>0</v>
      </c>
      <c r="O9" s="116">
        <f>'N6'!O9+'K6'!O9</f>
        <v>0</v>
      </c>
      <c r="P9" s="115">
        <f>'N6'!P9+'K6'!P9</f>
        <v>0</v>
      </c>
      <c r="Q9" s="116">
        <f>'N6'!Q9+'K6'!Q9</f>
        <v>68</v>
      </c>
      <c r="R9" s="121">
        <f>'N6'!R9+'K6'!R9</f>
        <v>24</v>
      </c>
      <c r="S9" s="121">
        <f>'N6'!S9+'K6'!S9</f>
        <v>36</v>
      </c>
      <c r="T9" s="33">
        <f>'N6'!T9+'K6'!T9</f>
        <v>594</v>
      </c>
      <c r="U9" s="115">
        <f>'N6'!U9+'K6'!U9</f>
        <v>56</v>
      </c>
      <c r="V9" s="115">
        <f>'N6'!V9+'K6'!V9</f>
        <v>26</v>
      </c>
      <c r="W9" s="115">
        <f>'N6'!W9+'K6'!W9</f>
        <v>0</v>
      </c>
      <c r="X9" s="116">
        <f>'N6'!X9+'K6'!X9</f>
        <v>0</v>
      </c>
      <c r="Y9" s="115">
        <f>'N6'!Y9+'K6'!Y9</f>
        <v>15</v>
      </c>
      <c r="Z9" s="116">
        <f>'N6'!Z9+'K6'!Z9</f>
        <v>79</v>
      </c>
      <c r="AA9" s="121">
        <f>'N6'!AA9+'K6'!AA9</f>
        <v>6</v>
      </c>
      <c r="AB9" s="121">
        <f>'N6'!AB9+'K6'!AB9</f>
        <v>9</v>
      </c>
      <c r="AC9" s="33">
        <f>'N6'!AC9+'K6'!AC9</f>
        <v>191</v>
      </c>
      <c r="AD9" s="12">
        <f>'N6'!AD9+'K6'!AD9</f>
        <v>2296</v>
      </c>
      <c r="AE9" s="39"/>
      <c r="AF9" s="39"/>
      <c r="AG9" s="39"/>
      <c r="AH9" s="39"/>
      <c r="AI9" s="39"/>
      <c r="AJ9"/>
    </row>
    <row r="10" spans="1:36" x14ac:dyDescent="0.2">
      <c r="A10" s="5">
        <f>DAY(Kalenteri!A157)</f>
        <v>6</v>
      </c>
      <c r="B10" s="3" t="str">
        <f>IF(Kalenteri!B157=1,"su",IF(Kalenteri!B157=2,"ma",IF(Kalenteri!B157=3,"ti",IF(Kalenteri!B157=4,"ke",IF(Kalenteri!B157=5,"to",IF(Kalenteri!B157=6,"pe",IF(Kalenteri!B157=7,"la",)))))))</f>
        <v>to</v>
      </c>
      <c r="C10" s="114">
        <f>'N6'!C10+'K6'!C10</f>
        <v>714</v>
      </c>
      <c r="D10" s="115">
        <f>'N6'!D10+'K6'!D10</f>
        <v>363</v>
      </c>
      <c r="E10" s="115">
        <f>'N6'!E10+'K6'!E10</f>
        <v>0</v>
      </c>
      <c r="F10" s="116">
        <f>'N6'!F10+'K6'!F10</f>
        <v>19</v>
      </c>
      <c r="G10" s="114">
        <f>'N6'!G10+'K6'!G10</f>
        <v>48</v>
      </c>
      <c r="H10" s="116">
        <f>'N6'!H10+'K6'!H10</f>
        <v>300</v>
      </c>
      <c r="I10" s="114">
        <f>'N6'!I10+'K6'!I10</f>
        <v>18</v>
      </c>
      <c r="J10" s="116">
        <f>'N6'!J10+'K6'!J10</f>
        <v>27</v>
      </c>
      <c r="K10" s="33">
        <f>'N6'!K10+'K6'!K10</f>
        <v>1489</v>
      </c>
      <c r="L10" s="115">
        <f>'N6'!L10+'K6'!L10</f>
        <v>368</v>
      </c>
      <c r="M10" s="115">
        <f>'N6'!M10+'K6'!M10</f>
        <v>124</v>
      </c>
      <c r="N10" s="115">
        <f>'N6'!N10+'K6'!N10</f>
        <v>0</v>
      </c>
      <c r="O10" s="116">
        <f>'N6'!O10+'K6'!O10</f>
        <v>0</v>
      </c>
      <c r="P10" s="115">
        <f>'N6'!P10+'K6'!P10</f>
        <v>8</v>
      </c>
      <c r="Q10" s="116">
        <f>'N6'!Q10+'K6'!Q10</f>
        <v>207</v>
      </c>
      <c r="R10" s="121">
        <f>'N6'!R10+'K6'!R10</f>
        <v>14</v>
      </c>
      <c r="S10" s="121">
        <f>'N6'!S10+'K6'!S10</f>
        <v>21</v>
      </c>
      <c r="T10" s="33">
        <f>'N6'!T10+'K6'!T10</f>
        <v>742</v>
      </c>
      <c r="U10" s="115">
        <f>'N6'!U10+'K6'!U10</f>
        <v>102</v>
      </c>
      <c r="V10" s="115">
        <f>'N6'!V10+'K6'!V10</f>
        <v>49</v>
      </c>
      <c r="W10" s="115">
        <f>'N6'!W10+'K6'!W10</f>
        <v>0</v>
      </c>
      <c r="X10" s="116">
        <f>'N6'!X10+'K6'!X10</f>
        <v>0</v>
      </c>
      <c r="Y10" s="115">
        <f>'N6'!Y10+'K6'!Y10</f>
        <v>7</v>
      </c>
      <c r="Z10" s="116">
        <f>'N6'!Z10+'K6'!Z10</f>
        <v>73</v>
      </c>
      <c r="AA10" s="121">
        <f>'N6'!AA10+'K6'!AA10</f>
        <v>4</v>
      </c>
      <c r="AB10" s="121">
        <f>'N6'!AB10+'K6'!AB10</f>
        <v>6</v>
      </c>
      <c r="AC10" s="33">
        <f>'N6'!AC10+'K6'!AC10</f>
        <v>241</v>
      </c>
      <c r="AD10" s="12">
        <f>'N6'!AD10+'K6'!AD10</f>
        <v>2472</v>
      </c>
      <c r="AE10" s="39"/>
      <c r="AF10" s="39"/>
      <c r="AG10" s="39"/>
      <c r="AH10" s="39"/>
      <c r="AI10" s="39"/>
      <c r="AJ10"/>
    </row>
    <row r="11" spans="1:36" x14ac:dyDescent="0.2">
      <c r="A11" s="5">
        <f>DAY(Kalenteri!A158)</f>
        <v>7</v>
      </c>
      <c r="B11" s="3" t="str">
        <f>IF(Kalenteri!B158=1,"su",IF(Kalenteri!B158=2,"ma",IF(Kalenteri!B158=3,"ti",IF(Kalenteri!B158=4,"ke",IF(Kalenteri!B158=5,"to",IF(Kalenteri!B158=6,"pe",IF(Kalenteri!B158=7,"la",)))))))</f>
        <v>pe</v>
      </c>
      <c r="C11" s="114">
        <f>'N6'!C11+'K6'!C11</f>
        <v>691</v>
      </c>
      <c r="D11" s="115">
        <f>'N6'!D11+'K6'!D11</f>
        <v>237</v>
      </c>
      <c r="E11" s="115">
        <f>'N6'!E11+'K6'!E11</f>
        <v>0</v>
      </c>
      <c r="F11" s="116">
        <f>'N6'!F11+'K6'!F11</f>
        <v>13</v>
      </c>
      <c r="G11" s="114">
        <f>'N6'!G11+'K6'!G11</f>
        <v>52</v>
      </c>
      <c r="H11" s="116">
        <f>'N6'!H11+'K6'!H11</f>
        <v>451</v>
      </c>
      <c r="I11" s="114">
        <f>'N6'!I11+'K6'!I11</f>
        <v>26</v>
      </c>
      <c r="J11" s="116">
        <f>'N6'!J11+'K6'!J11</f>
        <v>39</v>
      </c>
      <c r="K11" s="33">
        <f>'N6'!K11+'K6'!K11</f>
        <v>1509</v>
      </c>
      <c r="L11" s="115">
        <f>'N6'!L11+'K6'!L11</f>
        <v>360</v>
      </c>
      <c r="M11" s="115">
        <f>'N6'!M11+'K6'!M11</f>
        <v>92</v>
      </c>
      <c r="N11" s="115">
        <f>'N6'!N11+'K6'!N11</f>
        <v>0</v>
      </c>
      <c r="O11" s="116">
        <f>'N6'!O11+'K6'!O11</f>
        <v>2</v>
      </c>
      <c r="P11" s="115">
        <f>'N6'!P11+'K6'!P11</f>
        <v>26</v>
      </c>
      <c r="Q11" s="116">
        <f>'N6'!Q11+'K6'!Q11</f>
        <v>127</v>
      </c>
      <c r="R11" s="121">
        <f>'N6'!R11+'K6'!R11</f>
        <v>22</v>
      </c>
      <c r="S11" s="121">
        <f>'N6'!S11+'K6'!S11</f>
        <v>33</v>
      </c>
      <c r="T11" s="33">
        <f>'N6'!T11+'K6'!T11</f>
        <v>662</v>
      </c>
      <c r="U11" s="115">
        <f>'N6'!U11+'K6'!U11</f>
        <v>134</v>
      </c>
      <c r="V11" s="115">
        <f>'N6'!V11+'K6'!V11</f>
        <v>34</v>
      </c>
      <c r="W11" s="115">
        <f>'N6'!W11+'K6'!W11</f>
        <v>0</v>
      </c>
      <c r="X11" s="116">
        <f>'N6'!X11+'K6'!X11</f>
        <v>0</v>
      </c>
      <c r="Y11" s="115">
        <f>'N6'!Y11+'K6'!Y11</f>
        <v>8</v>
      </c>
      <c r="Z11" s="116">
        <f>'N6'!Z11+'K6'!Z11</f>
        <v>75</v>
      </c>
      <c r="AA11" s="121">
        <f>'N6'!AA11+'K6'!AA11</f>
        <v>0</v>
      </c>
      <c r="AB11" s="121">
        <f>'N6'!AB11+'K6'!AB11</f>
        <v>0</v>
      </c>
      <c r="AC11" s="33">
        <f>'N6'!AC11+'K6'!AC11</f>
        <v>251</v>
      </c>
      <c r="AD11" s="12">
        <f>'N6'!AD11+'K6'!AD11</f>
        <v>2422</v>
      </c>
      <c r="AE11" s="39"/>
      <c r="AF11" s="39"/>
      <c r="AG11" s="39"/>
      <c r="AH11" s="39"/>
      <c r="AI11" s="39"/>
      <c r="AJ11"/>
    </row>
    <row r="12" spans="1:36" x14ac:dyDescent="0.2">
      <c r="A12" s="5">
        <f>DAY(Kalenteri!A159)</f>
        <v>8</v>
      </c>
      <c r="B12" s="3" t="str">
        <f>IF(Kalenteri!B159=1,"su",IF(Kalenteri!B159=2,"ma",IF(Kalenteri!B159=3,"ti",IF(Kalenteri!B159=4,"ke",IF(Kalenteri!B159=5,"to",IF(Kalenteri!B159=6,"pe",IF(Kalenteri!B159=7,"la",)))))))</f>
        <v>la</v>
      </c>
      <c r="C12" s="114">
        <f>'N6'!C12+'K6'!C12</f>
        <v>2179</v>
      </c>
      <c r="D12" s="115">
        <f>'N6'!D12+'K6'!D12</f>
        <v>565</v>
      </c>
      <c r="E12" s="115">
        <f>'N6'!E12+'K6'!E12</f>
        <v>2</v>
      </c>
      <c r="F12" s="116">
        <f>'N6'!F12+'K6'!F12</f>
        <v>48</v>
      </c>
      <c r="G12" s="114">
        <f>'N6'!G12+'K6'!G12</f>
        <v>128</v>
      </c>
      <c r="H12" s="116">
        <f>'N6'!H12+'K6'!H12</f>
        <v>916</v>
      </c>
      <c r="I12" s="114">
        <f>'N6'!I12+'K6'!I12</f>
        <v>88</v>
      </c>
      <c r="J12" s="116">
        <f>'N6'!J12+'K6'!J12</f>
        <v>132</v>
      </c>
      <c r="K12" s="33">
        <f>'N6'!K12+'K6'!K12</f>
        <v>4058</v>
      </c>
      <c r="L12" s="115">
        <f>'N6'!L12+'K6'!L12</f>
        <v>1044</v>
      </c>
      <c r="M12" s="115">
        <f>'N6'!M12+'K6'!M12</f>
        <v>209</v>
      </c>
      <c r="N12" s="115">
        <f>'N6'!N12+'K6'!N12</f>
        <v>0</v>
      </c>
      <c r="O12" s="116">
        <f>'N6'!O12+'K6'!O12</f>
        <v>3</v>
      </c>
      <c r="P12" s="115">
        <f>'N6'!P12+'K6'!P12</f>
        <v>0</v>
      </c>
      <c r="Q12" s="116">
        <f>'N6'!Q12+'K6'!Q12</f>
        <v>278</v>
      </c>
      <c r="R12" s="121">
        <f>'N6'!R12+'K6'!R12</f>
        <v>56</v>
      </c>
      <c r="S12" s="121">
        <f>'N6'!S12+'K6'!S12</f>
        <v>84</v>
      </c>
      <c r="T12" s="33">
        <f>'N6'!T12+'K6'!T12</f>
        <v>1674</v>
      </c>
      <c r="U12" s="115">
        <f>'N6'!U12+'K6'!U12</f>
        <v>326</v>
      </c>
      <c r="V12" s="115">
        <f>'N6'!V12+'K6'!V12</f>
        <v>75</v>
      </c>
      <c r="W12" s="115">
        <f>'N6'!W12+'K6'!W12</f>
        <v>0</v>
      </c>
      <c r="X12" s="116">
        <f>'N6'!X12+'K6'!X12</f>
        <v>0</v>
      </c>
      <c r="Y12" s="115">
        <f>'N6'!Y12+'K6'!Y12</f>
        <v>0</v>
      </c>
      <c r="Z12" s="116">
        <f>'N6'!Z12+'K6'!Z12</f>
        <v>112</v>
      </c>
      <c r="AA12" s="121">
        <f>'N6'!AA12+'K6'!AA12</f>
        <v>24</v>
      </c>
      <c r="AB12" s="121">
        <f>'N6'!AB12+'K6'!AB12</f>
        <v>36</v>
      </c>
      <c r="AC12" s="33">
        <f>'N6'!AC12+'K6'!AC12</f>
        <v>573</v>
      </c>
      <c r="AD12" s="12">
        <f>'N6'!AD12+'K6'!AD12</f>
        <v>6305</v>
      </c>
      <c r="AE12" s="39"/>
      <c r="AF12" s="39"/>
      <c r="AG12" s="39"/>
      <c r="AH12" s="39"/>
      <c r="AI12" s="39"/>
      <c r="AJ12"/>
    </row>
    <row r="13" spans="1:36" x14ac:dyDescent="0.2">
      <c r="A13" s="5">
        <f>DAY(Kalenteri!A160)</f>
        <v>9</v>
      </c>
      <c r="B13" s="3" t="str">
        <f>IF(Kalenteri!B160=1,"su",IF(Kalenteri!B160=2,"ma",IF(Kalenteri!B160=3,"ti",IF(Kalenteri!B160=4,"ke",IF(Kalenteri!B160=5,"to",IF(Kalenteri!B160=6,"pe",IF(Kalenteri!B160=7,"la",)))))))</f>
        <v>su</v>
      </c>
      <c r="C13" s="114">
        <f>'N6'!C13+'K6'!C13</f>
        <v>2001</v>
      </c>
      <c r="D13" s="115">
        <f>'N6'!D13+'K6'!D13</f>
        <v>449</v>
      </c>
      <c r="E13" s="115">
        <f>'N6'!E13+'K6'!E13</f>
        <v>4</v>
      </c>
      <c r="F13" s="116">
        <f>'N6'!F13+'K6'!F13</f>
        <v>62</v>
      </c>
      <c r="G13" s="114">
        <f>'N6'!G13+'K6'!G13</f>
        <v>104</v>
      </c>
      <c r="H13" s="116">
        <f>'N6'!H13+'K6'!H13</f>
        <v>719</v>
      </c>
      <c r="I13" s="114">
        <f>'N6'!I13+'K6'!I13</f>
        <v>58</v>
      </c>
      <c r="J13" s="116">
        <f>'N6'!J13+'K6'!J13</f>
        <v>87</v>
      </c>
      <c r="K13" s="33">
        <f>'N6'!K13+'K6'!K13</f>
        <v>3484</v>
      </c>
      <c r="L13" s="115">
        <f>'N6'!L13+'K6'!L13</f>
        <v>683</v>
      </c>
      <c r="M13" s="115">
        <f>'N6'!M13+'K6'!M13</f>
        <v>152</v>
      </c>
      <c r="N13" s="115">
        <f>'N6'!N13+'K6'!N13</f>
        <v>0</v>
      </c>
      <c r="O13" s="116">
        <f>'N6'!O13+'K6'!O13</f>
        <v>2</v>
      </c>
      <c r="P13" s="115">
        <f>'N6'!P13+'K6'!P13</f>
        <v>0</v>
      </c>
      <c r="Q13" s="116">
        <f>'N6'!Q13+'K6'!Q13</f>
        <v>171</v>
      </c>
      <c r="R13" s="121">
        <f>'N6'!R13+'K6'!R13</f>
        <v>8</v>
      </c>
      <c r="S13" s="121">
        <f>'N6'!S13+'K6'!S13</f>
        <v>12</v>
      </c>
      <c r="T13" s="33">
        <f>'N6'!T13+'K6'!T13</f>
        <v>1028</v>
      </c>
      <c r="U13" s="115">
        <f>'N6'!U13+'K6'!U13</f>
        <v>216</v>
      </c>
      <c r="V13" s="115">
        <f>'N6'!V13+'K6'!V13</f>
        <v>48</v>
      </c>
      <c r="W13" s="115">
        <f>'N6'!W13+'K6'!W13</f>
        <v>0</v>
      </c>
      <c r="X13" s="116">
        <f>'N6'!X13+'K6'!X13</f>
        <v>1</v>
      </c>
      <c r="Y13" s="115">
        <f>'N6'!Y13+'K6'!Y13</f>
        <v>0</v>
      </c>
      <c r="Z13" s="116">
        <f>'N6'!Z13+'K6'!Z13</f>
        <v>80</v>
      </c>
      <c r="AA13" s="121">
        <f>'N6'!AA13+'K6'!AA13</f>
        <v>42</v>
      </c>
      <c r="AB13" s="121">
        <f>'N6'!AB13+'K6'!AB13</f>
        <v>63</v>
      </c>
      <c r="AC13" s="33">
        <f>'N6'!AC13+'K6'!AC13</f>
        <v>450</v>
      </c>
      <c r="AD13" s="12">
        <f>'N6'!AD13+'K6'!AD13</f>
        <v>4962</v>
      </c>
      <c r="AE13" s="39"/>
      <c r="AF13" s="39"/>
      <c r="AG13" s="39"/>
      <c r="AH13" s="39"/>
      <c r="AI13" s="39"/>
      <c r="AJ13"/>
    </row>
    <row r="14" spans="1:36" x14ac:dyDescent="0.2">
      <c r="A14" s="5">
        <f>DAY(Kalenteri!A161)</f>
        <v>10</v>
      </c>
      <c r="B14" s="3" t="str">
        <f>IF(Kalenteri!B161=1,"su",IF(Kalenteri!B161=2,"ma",IF(Kalenteri!B161=3,"ti",IF(Kalenteri!B161=4,"ke",IF(Kalenteri!B161=5,"to",IF(Kalenteri!B161=6,"pe",IF(Kalenteri!B161=7,"la",)))))))</f>
        <v>ma</v>
      </c>
      <c r="C14" s="114">
        <f>'N6'!C14+'K6'!C14</f>
        <v>826</v>
      </c>
      <c r="D14" s="115">
        <f>'N6'!D14+'K6'!D14</f>
        <v>321</v>
      </c>
      <c r="E14" s="115">
        <f>'N6'!E14+'K6'!E14</f>
        <v>3</v>
      </c>
      <c r="F14" s="116">
        <f>'N6'!F14+'K6'!F14</f>
        <v>20</v>
      </c>
      <c r="G14" s="114">
        <f>'N6'!G14+'K6'!G14</f>
        <v>82</v>
      </c>
      <c r="H14" s="116">
        <f>'N6'!H14+'K6'!H14</f>
        <v>405</v>
      </c>
      <c r="I14" s="114">
        <f>'N6'!I14+'K6'!I14</f>
        <v>28</v>
      </c>
      <c r="J14" s="116">
        <f>'N6'!J14+'K6'!J14</f>
        <v>42</v>
      </c>
      <c r="K14" s="33">
        <f>'N6'!K14+'K6'!K14</f>
        <v>1727</v>
      </c>
      <c r="L14" s="115">
        <f>'N6'!L14+'K6'!L14</f>
        <v>352</v>
      </c>
      <c r="M14" s="115">
        <f>'N6'!M14+'K6'!M14</f>
        <v>145</v>
      </c>
      <c r="N14" s="115">
        <f>'N6'!N14+'K6'!N14</f>
        <v>0</v>
      </c>
      <c r="O14" s="116">
        <f>'N6'!O14+'K6'!O14</f>
        <v>1</v>
      </c>
      <c r="P14" s="115">
        <f>'N6'!P14+'K6'!P14</f>
        <v>0</v>
      </c>
      <c r="Q14" s="116">
        <f>'N6'!Q14+'K6'!Q14</f>
        <v>74</v>
      </c>
      <c r="R14" s="121">
        <f>'N6'!R14+'K6'!R14</f>
        <v>20</v>
      </c>
      <c r="S14" s="121">
        <f>'N6'!S14+'K6'!S14</f>
        <v>30</v>
      </c>
      <c r="T14" s="33">
        <f>'N6'!T14+'K6'!T14</f>
        <v>622</v>
      </c>
      <c r="U14" s="115">
        <f>'N6'!U14+'K6'!U14</f>
        <v>82</v>
      </c>
      <c r="V14" s="115">
        <f>'N6'!V14+'K6'!V14</f>
        <v>63</v>
      </c>
      <c r="W14" s="115">
        <f>'N6'!W14+'K6'!W14</f>
        <v>0</v>
      </c>
      <c r="X14" s="116">
        <f>'N6'!X14+'K6'!X14</f>
        <v>0</v>
      </c>
      <c r="Y14" s="115">
        <f>'N6'!Y14+'K6'!Y14</f>
        <v>4</v>
      </c>
      <c r="Z14" s="116">
        <f>'N6'!Z14+'K6'!Z14</f>
        <v>39</v>
      </c>
      <c r="AA14" s="121">
        <f>'N6'!AA14+'K6'!AA14</f>
        <v>6</v>
      </c>
      <c r="AB14" s="121">
        <f>'N6'!AB14+'K6'!AB14</f>
        <v>9</v>
      </c>
      <c r="AC14" s="33">
        <f>'N6'!AC14+'K6'!AC14</f>
        <v>203</v>
      </c>
      <c r="AD14" s="12">
        <f>'N6'!AD14+'K6'!AD14</f>
        <v>2552</v>
      </c>
      <c r="AE14" s="39"/>
      <c r="AF14" s="39"/>
      <c r="AG14" s="39"/>
      <c r="AH14" s="39"/>
      <c r="AI14" s="39"/>
      <c r="AJ14"/>
    </row>
    <row r="15" spans="1:36" x14ac:dyDescent="0.2">
      <c r="A15" s="5">
        <f>DAY(Kalenteri!A162)</f>
        <v>11</v>
      </c>
      <c r="B15" s="3" t="str">
        <f>IF(Kalenteri!B162=1,"su",IF(Kalenteri!B162=2,"ma",IF(Kalenteri!B162=3,"ti",IF(Kalenteri!B162=4,"ke",IF(Kalenteri!B162=5,"to",IF(Kalenteri!B162=6,"pe",IF(Kalenteri!B162=7,"la",)))))))</f>
        <v>ti</v>
      </c>
      <c r="C15" s="114">
        <f>'N6'!C15+'K6'!C15</f>
        <v>659</v>
      </c>
      <c r="D15" s="115">
        <f>'N6'!D15+'K6'!D15</f>
        <v>321</v>
      </c>
      <c r="E15" s="115">
        <f>'N6'!E15+'K6'!E15</f>
        <v>0</v>
      </c>
      <c r="F15" s="116">
        <f>'N6'!F15+'K6'!F15</f>
        <v>20</v>
      </c>
      <c r="G15" s="114">
        <f>'N6'!G15+'K6'!G15</f>
        <v>69</v>
      </c>
      <c r="H15" s="116">
        <f>'N6'!H15+'K6'!H15</f>
        <v>362</v>
      </c>
      <c r="I15" s="114">
        <f>'N6'!I15+'K6'!I15</f>
        <v>64</v>
      </c>
      <c r="J15" s="116">
        <f>'N6'!J15+'K6'!J15</f>
        <v>96</v>
      </c>
      <c r="K15" s="33">
        <f>'N6'!K15+'K6'!K15</f>
        <v>1591</v>
      </c>
      <c r="L15" s="115">
        <f>'N6'!L15+'K6'!L15</f>
        <v>307</v>
      </c>
      <c r="M15" s="115">
        <f>'N6'!M15+'K6'!M15</f>
        <v>144</v>
      </c>
      <c r="N15" s="115">
        <f>'N6'!N15+'K6'!N15</f>
        <v>0</v>
      </c>
      <c r="O15" s="116">
        <f>'N6'!O15+'K6'!O15</f>
        <v>1</v>
      </c>
      <c r="P15" s="115">
        <f>'N6'!P15+'K6'!P15</f>
        <v>5</v>
      </c>
      <c r="Q15" s="116">
        <f>'N6'!Q15+'K6'!Q15</f>
        <v>126</v>
      </c>
      <c r="R15" s="121">
        <f>'N6'!R15+'K6'!R15</f>
        <v>24</v>
      </c>
      <c r="S15" s="121">
        <f>'N6'!S15+'K6'!S15</f>
        <v>36</v>
      </c>
      <c r="T15" s="33">
        <f>'N6'!T15+'K6'!T15</f>
        <v>643</v>
      </c>
      <c r="U15" s="115">
        <f>'N6'!U15+'K6'!U15</f>
        <v>82</v>
      </c>
      <c r="V15" s="115">
        <f>'N6'!V15+'K6'!V15</f>
        <v>29</v>
      </c>
      <c r="W15" s="115">
        <f>'N6'!W15+'K6'!W15</f>
        <v>0</v>
      </c>
      <c r="X15" s="116">
        <f>'N6'!X15+'K6'!X15</f>
        <v>0</v>
      </c>
      <c r="Y15" s="115">
        <f>'N6'!Y15+'K6'!Y15</f>
        <v>0</v>
      </c>
      <c r="Z15" s="116">
        <f>'N6'!Z15+'K6'!Z15</f>
        <v>22</v>
      </c>
      <c r="AA15" s="121">
        <f>'N6'!AA15+'K6'!AA15</f>
        <v>4</v>
      </c>
      <c r="AB15" s="121">
        <f>'N6'!AB15+'K6'!AB15</f>
        <v>6</v>
      </c>
      <c r="AC15" s="33">
        <f>'N6'!AC15+'K6'!AC15</f>
        <v>143</v>
      </c>
      <c r="AD15" s="12">
        <f>'N6'!AD15+'K6'!AD15</f>
        <v>2377</v>
      </c>
      <c r="AE15" s="39"/>
      <c r="AF15" s="39"/>
      <c r="AG15" s="39"/>
      <c r="AH15" s="39"/>
      <c r="AI15" s="39"/>
      <c r="AJ15"/>
    </row>
    <row r="16" spans="1:36" x14ac:dyDescent="0.2">
      <c r="A16" s="5">
        <f>DAY(Kalenteri!A163)</f>
        <v>12</v>
      </c>
      <c r="B16" s="3" t="str">
        <f>IF(Kalenteri!B163=1,"su",IF(Kalenteri!B163=2,"ma",IF(Kalenteri!B163=3,"ti",IF(Kalenteri!B163=4,"ke",IF(Kalenteri!B163=5,"to",IF(Kalenteri!B163=6,"pe",IF(Kalenteri!B163=7,"la",)))))))</f>
        <v>ke</v>
      </c>
      <c r="C16" s="114">
        <f>'N6'!C16+'K6'!C16</f>
        <v>468</v>
      </c>
      <c r="D16" s="115">
        <f>'N6'!D16+'K6'!D16</f>
        <v>399</v>
      </c>
      <c r="E16" s="115">
        <f>'N6'!E16+'K6'!E16</f>
        <v>1</v>
      </c>
      <c r="F16" s="116">
        <f>'N6'!F16+'K6'!F16</f>
        <v>6</v>
      </c>
      <c r="G16" s="114">
        <f>'N6'!G16+'K6'!G16</f>
        <v>97</v>
      </c>
      <c r="H16" s="116">
        <f>'N6'!H16+'K6'!H16</f>
        <v>302</v>
      </c>
      <c r="I16" s="114">
        <f>'N6'!I16+'K6'!I16</f>
        <v>22</v>
      </c>
      <c r="J16" s="116">
        <f>'N6'!J16+'K6'!J16</f>
        <v>33</v>
      </c>
      <c r="K16" s="33">
        <f>'N6'!K16+'K6'!K16</f>
        <v>1328</v>
      </c>
      <c r="L16" s="115">
        <f>'N6'!L16+'K6'!L16</f>
        <v>257</v>
      </c>
      <c r="M16" s="115">
        <f>'N6'!M16+'K6'!M16</f>
        <v>133</v>
      </c>
      <c r="N16" s="115">
        <f>'N6'!N16+'K6'!N16</f>
        <v>0</v>
      </c>
      <c r="O16" s="116">
        <f>'N6'!O16+'K6'!O16</f>
        <v>0</v>
      </c>
      <c r="P16" s="115">
        <f>'N6'!P16+'K6'!P16</f>
        <v>3</v>
      </c>
      <c r="Q16" s="116">
        <f>'N6'!Q16+'K6'!Q16</f>
        <v>81</v>
      </c>
      <c r="R16" s="121">
        <f>'N6'!R16+'K6'!R16</f>
        <v>18</v>
      </c>
      <c r="S16" s="121">
        <f>'N6'!S16+'K6'!S16</f>
        <v>27</v>
      </c>
      <c r="T16" s="33">
        <f>'N6'!T16+'K6'!T16</f>
        <v>519</v>
      </c>
      <c r="U16" s="115">
        <f>'N6'!U16+'K6'!U16</f>
        <v>66</v>
      </c>
      <c r="V16" s="115">
        <f>'N6'!V16+'K6'!V16</f>
        <v>36</v>
      </c>
      <c r="W16" s="115">
        <f>'N6'!W16+'K6'!W16</f>
        <v>0</v>
      </c>
      <c r="X16" s="116">
        <f>'N6'!X16+'K6'!X16</f>
        <v>0</v>
      </c>
      <c r="Y16" s="115">
        <f>'N6'!Y16+'K6'!Y16</f>
        <v>0</v>
      </c>
      <c r="Z16" s="116">
        <f>'N6'!Z16+'K6'!Z16</f>
        <v>0</v>
      </c>
      <c r="AA16" s="121">
        <f>'N6'!AA16+'K6'!AA16</f>
        <v>2</v>
      </c>
      <c r="AB16" s="121">
        <f>'N6'!AB16+'K6'!AB16</f>
        <v>3</v>
      </c>
      <c r="AC16" s="33">
        <f>'N6'!AC16+'K6'!AC16</f>
        <v>107</v>
      </c>
      <c r="AD16" s="12">
        <f>'N6'!AD16+'K6'!AD16</f>
        <v>1954</v>
      </c>
      <c r="AE16" s="39"/>
      <c r="AF16" s="39"/>
      <c r="AG16" s="39"/>
      <c r="AH16" s="39"/>
      <c r="AI16" s="39"/>
      <c r="AJ16"/>
    </row>
    <row r="17" spans="1:36" x14ac:dyDescent="0.2">
      <c r="A17" s="5">
        <f>DAY(Kalenteri!A164)</f>
        <v>13</v>
      </c>
      <c r="B17" s="3" t="str">
        <f>IF(Kalenteri!B164=1,"su",IF(Kalenteri!B164=2,"ma",IF(Kalenteri!B164=3,"ti",IF(Kalenteri!B164=4,"ke",IF(Kalenteri!B164=5,"to",IF(Kalenteri!B164=6,"pe",IF(Kalenteri!B164=7,"la",)))))))</f>
        <v>to</v>
      </c>
      <c r="C17" s="114">
        <f>'N6'!C17+'K6'!C17</f>
        <v>917</v>
      </c>
      <c r="D17" s="115">
        <f>'N6'!D17+'K6'!D17</f>
        <v>515</v>
      </c>
      <c r="E17" s="115">
        <f>'N6'!E17+'K6'!E17</f>
        <v>4</v>
      </c>
      <c r="F17" s="116">
        <f>'N6'!F17+'K6'!F17</f>
        <v>18</v>
      </c>
      <c r="G17" s="114">
        <f>'N6'!G17+'K6'!G17</f>
        <v>77</v>
      </c>
      <c r="H17" s="116">
        <f>'N6'!H17+'K6'!H17</f>
        <v>484</v>
      </c>
      <c r="I17" s="114">
        <f>'N6'!I17+'K6'!I17</f>
        <v>32</v>
      </c>
      <c r="J17" s="116">
        <f>'N6'!J17+'K6'!J17</f>
        <v>48</v>
      </c>
      <c r="K17" s="33">
        <f>'N6'!K17+'K6'!K17</f>
        <v>2095</v>
      </c>
      <c r="L17" s="115">
        <f>'N6'!L17+'K6'!L17</f>
        <v>387</v>
      </c>
      <c r="M17" s="115">
        <f>'N6'!M17+'K6'!M17</f>
        <v>165</v>
      </c>
      <c r="N17" s="115">
        <f>'N6'!N17+'K6'!N17</f>
        <v>0</v>
      </c>
      <c r="O17" s="116">
        <f>'N6'!O17+'K6'!O17</f>
        <v>1</v>
      </c>
      <c r="P17" s="115">
        <f>'N6'!P17+'K6'!P17</f>
        <v>0</v>
      </c>
      <c r="Q17" s="116">
        <f>'N6'!Q17+'K6'!Q17</f>
        <v>116</v>
      </c>
      <c r="R17" s="121">
        <f>'N6'!R17+'K6'!R17</f>
        <v>16</v>
      </c>
      <c r="S17" s="121">
        <f>'N6'!S17+'K6'!S17</f>
        <v>24</v>
      </c>
      <c r="T17" s="33">
        <f>'N6'!T17+'K6'!T17</f>
        <v>709</v>
      </c>
      <c r="U17" s="115">
        <f>'N6'!U17+'K6'!U17</f>
        <v>124</v>
      </c>
      <c r="V17" s="115">
        <f>'N6'!V17+'K6'!V17</f>
        <v>48</v>
      </c>
      <c r="W17" s="115">
        <f>'N6'!W17+'K6'!W17</f>
        <v>0</v>
      </c>
      <c r="X17" s="116">
        <f>'N6'!X17+'K6'!X17</f>
        <v>0</v>
      </c>
      <c r="Y17" s="115">
        <f>'N6'!Y17+'K6'!Y17</f>
        <v>0</v>
      </c>
      <c r="Z17" s="116">
        <f>'N6'!Z17+'K6'!Z17</f>
        <v>62</v>
      </c>
      <c r="AA17" s="121">
        <f>'N6'!AA17+'K6'!AA17</f>
        <v>2</v>
      </c>
      <c r="AB17" s="121">
        <f>'N6'!AB17+'K6'!AB17</f>
        <v>3</v>
      </c>
      <c r="AC17" s="33">
        <f>'N6'!AC17+'K6'!AC17</f>
        <v>239</v>
      </c>
      <c r="AD17" s="12">
        <f>'N6'!AD17+'K6'!AD17</f>
        <v>3043</v>
      </c>
      <c r="AE17" s="39"/>
      <c r="AF17" s="39"/>
      <c r="AG17" s="39"/>
      <c r="AH17" s="39"/>
      <c r="AI17" s="39"/>
      <c r="AJ17"/>
    </row>
    <row r="18" spans="1:36" x14ac:dyDescent="0.2">
      <c r="A18" s="5">
        <f>DAY(Kalenteri!A165)</f>
        <v>14</v>
      </c>
      <c r="B18" s="3" t="str">
        <f>IF(Kalenteri!B165=1,"su",IF(Kalenteri!B165=2,"ma",IF(Kalenteri!B165=3,"ti",IF(Kalenteri!B165=4,"ke",IF(Kalenteri!B165=5,"to",IF(Kalenteri!B165=6,"pe",IF(Kalenteri!B165=7,"la",)))))))</f>
        <v>pe</v>
      </c>
      <c r="C18" s="114">
        <f>'N6'!C18+'K6'!C18</f>
        <v>135</v>
      </c>
      <c r="D18" s="115">
        <f>'N6'!D18+'K6'!D18</f>
        <v>44</v>
      </c>
      <c r="E18" s="115">
        <f>'N6'!E18+'K6'!E18</f>
        <v>0</v>
      </c>
      <c r="F18" s="116">
        <f>'N6'!F18+'K6'!F18</f>
        <v>2</v>
      </c>
      <c r="G18" s="114">
        <f>'N6'!G18+'K6'!G18</f>
        <v>14</v>
      </c>
      <c r="H18" s="116">
        <f>'N6'!H18+'K6'!H18</f>
        <v>47</v>
      </c>
      <c r="I18" s="114">
        <f>'N6'!I18+'K6'!I18</f>
        <v>2</v>
      </c>
      <c r="J18" s="116">
        <f>'N6'!J18+'K6'!J18</f>
        <v>3</v>
      </c>
      <c r="K18" s="33">
        <f>'N6'!K18+'K6'!K18</f>
        <v>247</v>
      </c>
      <c r="L18" s="115">
        <f>'N6'!L18+'K6'!L18</f>
        <v>45</v>
      </c>
      <c r="M18" s="115">
        <f>'N6'!M18+'K6'!M18</f>
        <v>9</v>
      </c>
      <c r="N18" s="115">
        <f>'N6'!N18+'K6'!N18</f>
        <v>0</v>
      </c>
      <c r="O18" s="116">
        <f>'N6'!O18+'K6'!O18</f>
        <v>0</v>
      </c>
      <c r="P18" s="115">
        <f>'N6'!P18+'K6'!P18</f>
        <v>3</v>
      </c>
      <c r="Q18" s="116">
        <f>'N6'!Q18+'K6'!Q18</f>
        <v>25</v>
      </c>
      <c r="R18" s="121">
        <f>'N6'!R18+'K6'!R18</f>
        <v>2</v>
      </c>
      <c r="S18" s="121">
        <f>'N6'!S18+'K6'!S18</f>
        <v>3</v>
      </c>
      <c r="T18" s="33">
        <f>'N6'!T18+'K6'!T18</f>
        <v>87</v>
      </c>
      <c r="U18" s="115">
        <f>'N6'!U18+'K6'!U18</f>
        <v>120</v>
      </c>
      <c r="V18" s="115">
        <f>'N6'!V18+'K6'!V18</f>
        <v>24</v>
      </c>
      <c r="W18" s="115">
        <f>'N6'!W18+'K6'!W18</f>
        <v>0</v>
      </c>
      <c r="X18" s="116">
        <f>'N6'!X18+'K6'!X18</f>
        <v>0</v>
      </c>
      <c r="Y18" s="115">
        <f>'N6'!Y18+'K6'!Y18</f>
        <v>0</v>
      </c>
      <c r="Z18" s="116">
        <f>'N6'!Z18+'K6'!Z18</f>
        <v>3</v>
      </c>
      <c r="AA18" s="121">
        <f>'N6'!AA18+'K6'!AA18</f>
        <v>0</v>
      </c>
      <c r="AB18" s="121">
        <f>'N6'!AB18+'K6'!AB18</f>
        <v>0</v>
      </c>
      <c r="AC18" s="33">
        <f>'N6'!AC18+'K6'!AC18</f>
        <v>147</v>
      </c>
      <c r="AD18" s="12">
        <f>'N6'!AD18+'K6'!AD18</f>
        <v>481</v>
      </c>
      <c r="AE18" s="39"/>
      <c r="AF18" s="39"/>
      <c r="AG18" s="39"/>
      <c r="AH18" s="39"/>
      <c r="AI18" s="39"/>
      <c r="AJ18"/>
    </row>
    <row r="19" spans="1:36" x14ac:dyDescent="0.2">
      <c r="A19" s="5">
        <f>DAY(Kalenteri!A166)</f>
        <v>15</v>
      </c>
      <c r="B19" s="3" t="str">
        <f>IF(Kalenteri!B166=1,"su",IF(Kalenteri!B166=2,"ma",IF(Kalenteri!B166=3,"ti",IF(Kalenteri!B166=4,"ke",IF(Kalenteri!B166=5,"to",IF(Kalenteri!B166=6,"pe",IF(Kalenteri!B166=7,"la",)))))))</f>
        <v>la</v>
      </c>
      <c r="C19" s="114">
        <f>'N6'!C19+'K6'!C19</f>
        <v>2304</v>
      </c>
      <c r="D19" s="115">
        <f>'N6'!D19+'K6'!D19</f>
        <v>540</v>
      </c>
      <c r="E19" s="115">
        <f>'N6'!E19+'K6'!E19</f>
        <v>1</v>
      </c>
      <c r="F19" s="116">
        <f>'N6'!F19+'K6'!F19</f>
        <v>33</v>
      </c>
      <c r="G19" s="114">
        <f>'N6'!G19+'K6'!G19</f>
        <v>29</v>
      </c>
      <c r="H19" s="116">
        <f>'N6'!H19+'K6'!H19</f>
        <v>847</v>
      </c>
      <c r="I19" s="114">
        <f>'N6'!I19+'K6'!I19</f>
        <v>38</v>
      </c>
      <c r="J19" s="116">
        <f>'N6'!J19+'K6'!J19</f>
        <v>57</v>
      </c>
      <c r="K19" s="33">
        <f>'N6'!K19+'K6'!K19</f>
        <v>3849</v>
      </c>
      <c r="L19" s="115">
        <f>'N6'!L19+'K6'!L19</f>
        <v>958</v>
      </c>
      <c r="M19" s="115">
        <f>'N6'!M19+'K6'!M19</f>
        <v>237</v>
      </c>
      <c r="N19" s="115">
        <f>'N6'!N19+'K6'!N19</f>
        <v>0</v>
      </c>
      <c r="O19" s="116">
        <f>'N6'!O19+'K6'!O19</f>
        <v>4</v>
      </c>
      <c r="P19" s="115">
        <f>'N6'!P19+'K6'!P19</f>
        <v>0</v>
      </c>
      <c r="Q19" s="116">
        <f>'N6'!Q19+'K6'!Q19</f>
        <v>203</v>
      </c>
      <c r="R19" s="121">
        <f>'N6'!R19+'K6'!R19</f>
        <v>40</v>
      </c>
      <c r="S19" s="121">
        <f>'N6'!S19+'K6'!S19</f>
        <v>60</v>
      </c>
      <c r="T19" s="33">
        <f>'N6'!T19+'K6'!T19</f>
        <v>1502</v>
      </c>
      <c r="U19" s="115">
        <f>'N6'!U19+'K6'!U19</f>
        <v>302</v>
      </c>
      <c r="V19" s="115">
        <f>'N6'!V19+'K6'!V19</f>
        <v>90</v>
      </c>
      <c r="W19" s="115">
        <f>'N6'!W19+'K6'!W19</f>
        <v>0</v>
      </c>
      <c r="X19" s="116">
        <f>'N6'!X19+'K6'!X19</f>
        <v>0</v>
      </c>
      <c r="Y19" s="115">
        <f>'N6'!Y19+'K6'!Y19</f>
        <v>0</v>
      </c>
      <c r="Z19" s="116">
        <f>'N6'!Z19+'K6'!Z19</f>
        <v>0</v>
      </c>
      <c r="AA19" s="121">
        <f>'N6'!AA19+'K6'!AA19</f>
        <v>2</v>
      </c>
      <c r="AB19" s="121">
        <f>'N6'!AB19+'K6'!AB19</f>
        <v>3</v>
      </c>
      <c r="AC19" s="33">
        <f>'N6'!AC19+'K6'!AC19</f>
        <v>397</v>
      </c>
      <c r="AD19" s="12">
        <f>'N6'!AD19+'K6'!AD19</f>
        <v>5748</v>
      </c>
      <c r="AE19" s="39"/>
      <c r="AF19" s="39"/>
      <c r="AG19" s="39"/>
      <c r="AH19" s="39"/>
      <c r="AI19" s="39"/>
      <c r="AJ19"/>
    </row>
    <row r="20" spans="1:36" x14ac:dyDescent="0.2">
      <c r="A20" s="5">
        <f>DAY(Kalenteri!A167)</f>
        <v>16</v>
      </c>
      <c r="B20" s="3" t="str">
        <f>IF(Kalenteri!B167=1,"su",IF(Kalenteri!B167=2,"ma",IF(Kalenteri!B167=3,"ti",IF(Kalenteri!B167=4,"ke",IF(Kalenteri!B167=5,"to",IF(Kalenteri!B167=6,"pe",IF(Kalenteri!B167=7,"la",)))))))</f>
        <v>su</v>
      </c>
      <c r="C20" s="114">
        <f>'N6'!C20+'K6'!C20</f>
        <v>1058</v>
      </c>
      <c r="D20" s="115">
        <f>'N6'!D20+'K6'!D20</f>
        <v>314</v>
      </c>
      <c r="E20" s="115">
        <f>'N6'!E20+'K6'!E20</f>
        <v>2</v>
      </c>
      <c r="F20" s="116">
        <f>'N6'!F20+'K6'!F20</f>
        <v>27</v>
      </c>
      <c r="G20" s="114">
        <f>'N6'!G20+'K6'!G20</f>
        <v>16</v>
      </c>
      <c r="H20" s="116">
        <f>'N6'!H20+'K6'!H20</f>
        <v>423</v>
      </c>
      <c r="I20" s="114">
        <f>'N6'!I20+'K6'!I20</f>
        <v>38</v>
      </c>
      <c r="J20" s="116">
        <f>'N6'!J20+'K6'!J20</f>
        <v>57</v>
      </c>
      <c r="K20" s="33">
        <f>'N6'!K20+'K6'!K20</f>
        <v>1935</v>
      </c>
      <c r="L20" s="115">
        <f>'N6'!L20+'K6'!L20</f>
        <v>342</v>
      </c>
      <c r="M20" s="115">
        <f>'N6'!M20+'K6'!M20</f>
        <v>99</v>
      </c>
      <c r="N20" s="115">
        <f>'N6'!N20+'K6'!N20</f>
        <v>0</v>
      </c>
      <c r="O20" s="116">
        <f>'N6'!O20+'K6'!O20</f>
        <v>2</v>
      </c>
      <c r="P20" s="115">
        <f>'N6'!P20+'K6'!P20</f>
        <v>0</v>
      </c>
      <c r="Q20" s="116">
        <f>'N6'!Q20+'K6'!Q20</f>
        <v>86</v>
      </c>
      <c r="R20" s="121">
        <f>'N6'!R20+'K6'!R20</f>
        <v>38</v>
      </c>
      <c r="S20" s="121">
        <f>'N6'!S20+'K6'!S20</f>
        <v>57</v>
      </c>
      <c r="T20" s="33">
        <f>'N6'!T20+'K6'!T20</f>
        <v>624</v>
      </c>
      <c r="U20" s="115">
        <f>'N6'!U20+'K6'!U20</f>
        <v>72</v>
      </c>
      <c r="V20" s="115">
        <f>'N6'!V20+'K6'!V20</f>
        <v>34</v>
      </c>
      <c r="W20" s="115">
        <f>'N6'!W20+'K6'!W20</f>
        <v>0</v>
      </c>
      <c r="X20" s="116">
        <f>'N6'!X20+'K6'!X20</f>
        <v>0</v>
      </c>
      <c r="Y20" s="115">
        <f>'N6'!Y20+'K6'!Y20</f>
        <v>0</v>
      </c>
      <c r="Z20" s="116">
        <f>'N6'!Z20+'K6'!Z20</f>
        <v>34</v>
      </c>
      <c r="AA20" s="121">
        <f>'N6'!AA20+'K6'!AA20</f>
        <v>6</v>
      </c>
      <c r="AB20" s="121">
        <f>'N6'!AB20+'K6'!AB20</f>
        <v>9</v>
      </c>
      <c r="AC20" s="33">
        <f>'N6'!AC20+'K6'!AC20</f>
        <v>155</v>
      </c>
      <c r="AD20" s="12">
        <f>'N6'!AD20+'K6'!AD20</f>
        <v>2714</v>
      </c>
      <c r="AE20" s="39"/>
      <c r="AF20" s="39"/>
      <c r="AG20" s="39"/>
      <c r="AH20" s="39"/>
      <c r="AI20" s="39"/>
      <c r="AJ20"/>
    </row>
    <row r="21" spans="1:36" x14ac:dyDescent="0.2">
      <c r="A21" s="5">
        <f>DAY(Kalenteri!A168)</f>
        <v>17</v>
      </c>
      <c r="B21" s="3" t="str">
        <f>IF(Kalenteri!B168=1,"su",IF(Kalenteri!B168=2,"ma",IF(Kalenteri!B168=3,"ti",IF(Kalenteri!B168=4,"ke",IF(Kalenteri!B168=5,"to",IF(Kalenteri!B168=6,"pe",IF(Kalenteri!B168=7,"la",)))))))</f>
        <v>ma</v>
      </c>
      <c r="C21" s="114">
        <f>'N6'!C21+'K6'!C21</f>
        <v>450</v>
      </c>
      <c r="D21" s="115">
        <f>'N6'!D21+'K6'!D21</f>
        <v>335</v>
      </c>
      <c r="E21" s="115">
        <f>'N6'!E21+'K6'!E21</f>
        <v>6</v>
      </c>
      <c r="F21" s="116">
        <f>'N6'!F21+'K6'!F21</f>
        <v>11</v>
      </c>
      <c r="G21" s="114">
        <f>'N6'!G21+'K6'!G21</f>
        <v>86</v>
      </c>
      <c r="H21" s="116">
        <f>'N6'!H21+'K6'!H21</f>
        <v>333</v>
      </c>
      <c r="I21" s="114">
        <f>'N6'!I21+'K6'!I21</f>
        <v>14</v>
      </c>
      <c r="J21" s="116">
        <f>'N6'!J21+'K6'!J21</f>
        <v>21</v>
      </c>
      <c r="K21" s="33">
        <f>'N6'!K21+'K6'!K21</f>
        <v>1256</v>
      </c>
      <c r="L21" s="115">
        <f>'N6'!L21+'K6'!L21</f>
        <v>193</v>
      </c>
      <c r="M21" s="115">
        <f>'N6'!M21+'K6'!M21</f>
        <v>101</v>
      </c>
      <c r="N21" s="115">
        <f>'N6'!N21+'K6'!N21</f>
        <v>0</v>
      </c>
      <c r="O21" s="116">
        <f>'N6'!O21+'K6'!O21</f>
        <v>0</v>
      </c>
      <c r="P21" s="115">
        <f>'N6'!P21+'K6'!P21</f>
        <v>3</v>
      </c>
      <c r="Q21" s="116">
        <f>'N6'!Q21+'K6'!Q21</f>
        <v>87</v>
      </c>
      <c r="R21" s="121">
        <f>'N6'!R21+'K6'!R21</f>
        <v>14</v>
      </c>
      <c r="S21" s="121">
        <f>'N6'!S21+'K6'!S21</f>
        <v>21</v>
      </c>
      <c r="T21" s="33">
        <f>'N6'!T21+'K6'!T21</f>
        <v>419</v>
      </c>
      <c r="U21" s="115">
        <f>'N6'!U21+'K6'!U21</f>
        <v>46</v>
      </c>
      <c r="V21" s="115">
        <f>'N6'!V21+'K6'!V21</f>
        <v>17</v>
      </c>
      <c r="W21" s="115">
        <f>'N6'!W21+'K6'!W21</f>
        <v>0</v>
      </c>
      <c r="X21" s="116">
        <f>'N6'!X21+'K6'!X21</f>
        <v>0</v>
      </c>
      <c r="Y21" s="115">
        <f>'N6'!Y21+'K6'!Y21</f>
        <v>2</v>
      </c>
      <c r="Z21" s="116">
        <f>'N6'!Z21+'K6'!Z21</f>
        <v>24</v>
      </c>
      <c r="AA21" s="121">
        <f>'N6'!AA21+'K6'!AA21</f>
        <v>0</v>
      </c>
      <c r="AB21" s="121">
        <f>'N6'!AB21+'K6'!AB21</f>
        <v>0</v>
      </c>
      <c r="AC21" s="33">
        <f>'N6'!AC21+'K6'!AC21</f>
        <v>89</v>
      </c>
      <c r="AD21" s="12">
        <f>'N6'!AD21+'K6'!AD21</f>
        <v>1764</v>
      </c>
      <c r="AE21" s="39"/>
      <c r="AF21" s="39"/>
      <c r="AG21" s="39"/>
      <c r="AH21" s="39"/>
      <c r="AI21" s="39"/>
      <c r="AJ21"/>
    </row>
    <row r="22" spans="1:36" x14ac:dyDescent="0.2">
      <c r="A22" s="5">
        <f>DAY(Kalenteri!A169)</f>
        <v>18</v>
      </c>
      <c r="B22" s="3" t="str">
        <f>IF(Kalenteri!B169=1,"su",IF(Kalenteri!B169=2,"ma",IF(Kalenteri!B169=3,"ti",IF(Kalenteri!B169=4,"ke",IF(Kalenteri!B169=5,"to",IF(Kalenteri!B169=6,"pe",IF(Kalenteri!B169=7,"la",)))))))</f>
        <v>ti</v>
      </c>
      <c r="C22" s="114">
        <f>'N6'!C22+'K6'!C22</f>
        <v>1165</v>
      </c>
      <c r="D22" s="115">
        <f>'N6'!D22+'K6'!D22</f>
        <v>539</v>
      </c>
      <c r="E22" s="115">
        <f>'N6'!E22+'K6'!E22</f>
        <v>3</v>
      </c>
      <c r="F22" s="116">
        <f>'N6'!F22+'K6'!F22</f>
        <v>18</v>
      </c>
      <c r="G22" s="114">
        <f>'N6'!G22+'K6'!G22</f>
        <v>108</v>
      </c>
      <c r="H22" s="116">
        <f>'N6'!H22+'K6'!H22</f>
        <v>551</v>
      </c>
      <c r="I22" s="114">
        <f>'N6'!I22+'K6'!I22</f>
        <v>34</v>
      </c>
      <c r="J22" s="116">
        <f>'N6'!J22+'K6'!J22</f>
        <v>51</v>
      </c>
      <c r="K22" s="33">
        <f>'N6'!K22+'K6'!K22</f>
        <v>2469</v>
      </c>
      <c r="L22" s="115">
        <f>'N6'!L22+'K6'!L22</f>
        <v>479</v>
      </c>
      <c r="M22" s="115">
        <f>'N6'!M22+'K6'!M22</f>
        <v>245</v>
      </c>
      <c r="N22" s="115">
        <f>'N6'!N22+'K6'!N22</f>
        <v>0</v>
      </c>
      <c r="O22" s="116">
        <f>'N6'!O22+'K6'!O22</f>
        <v>0</v>
      </c>
      <c r="P22" s="115">
        <f>'N6'!P22+'K6'!P22</f>
        <v>8</v>
      </c>
      <c r="Q22" s="116">
        <f>'N6'!Q22+'K6'!Q22</f>
        <v>96</v>
      </c>
      <c r="R22" s="121">
        <f>'N6'!R22+'K6'!R22</f>
        <v>24</v>
      </c>
      <c r="S22" s="121">
        <f>'N6'!S22+'K6'!S22</f>
        <v>36</v>
      </c>
      <c r="T22" s="33">
        <f>'N6'!T22+'K6'!T22</f>
        <v>888</v>
      </c>
      <c r="U22" s="115">
        <f>'N6'!U22+'K6'!U22</f>
        <v>116</v>
      </c>
      <c r="V22" s="115">
        <f>'N6'!V22+'K6'!V22</f>
        <v>76</v>
      </c>
      <c r="W22" s="115">
        <f>'N6'!W22+'K6'!W22</f>
        <v>0</v>
      </c>
      <c r="X22" s="116">
        <f>'N6'!X22+'K6'!X22</f>
        <v>0</v>
      </c>
      <c r="Y22" s="115">
        <f>'N6'!Y22+'K6'!Y22</f>
        <v>20</v>
      </c>
      <c r="Z22" s="116">
        <f>'N6'!Z22+'K6'!Z22</f>
        <v>97</v>
      </c>
      <c r="AA22" s="121">
        <f>'N6'!AA22+'K6'!AA22</f>
        <v>2</v>
      </c>
      <c r="AB22" s="121">
        <f>'N6'!AB22+'K6'!AB22</f>
        <v>3</v>
      </c>
      <c r="AC22" s="33">
        <f>'N6'!AC22+'K6'!AC22</f>
        <v>314</v>
      </c>
      <c r="AD22" s="12">
        <f>'N6'!AD22+'K6'!AD22</f>
        <v>3671</v>
      </c>
      <c r="AE22" s="39"/>
      <c r="AF22" s="39"/>
      <c r="AG22" s="39"/>
      <c r="AH22" s="39"/>
      <c r="AI22" s="39"/>
      <c r="AJ22"/>
    </row>
    <row r="23" spans="1:36" x14ac:dyDescent="0.2">
      <c r="A23" s="5">
        <f>DAY(Kalenteri!A170)</f>
        <v>19</v>
      </c>
      <c r="B23" s="3" t="str">
        <f>IF(Kalenteri!B170=1,"su",IF(Kalenteri!B170=2,"ma",IF(Kalenteri!B170=3,"ti",IF(Kalenteri!B170=4,"ke",IF(Kalenteri!B170=5,"to",IF(Kalenteri!B170=6,"pe",IF(Kalenteri!B170=7,"la",)))))))</f>
        <v>ke</v>
      </c>
      <c r="C23" s="114">
        <f>'N6'!C23+'K6'!C23</f>
        <v>963</v>
      </c>
      <c r="D23" s="115">
        <f>'N6'!D23+'K6'!D23</f>
        <v>427</v>
      </c>
      <c r="E23" s="115">
        <f>'N6'!E23+'K6'!E23</f>
        <v>2</v>
      </c>
      <c r="F23" s="116">
        <f>'N6'!F23+'K6'!F23</f>
        <v>16</v>
      </c>
      <c r="G23" s="114">
        <f>'N6'!G23+'K6'!G23</f>
        <v>54</v>
      </c>
      <c r="H23" s="116">
        <f>'N6'!H23+'K6'!H23</f>
        <v>438</v>
      </c>
      <c r="I23" s="114">
        <f>'N6'!I23+'K6'!I23</f>
        <v>42</v>
      </c>
      <c r="J23" s="116">
        <f>'N6'!J23+'K6'!J23</f>
        <v>63</v>
      </c>
      <c r="K23" s="33">
        <f>'N6'!K23+'K6'!K23</f>
        <v>2005</v>
      </c>
      <c r="L23" s="115">
        <f>'N6'!L23+'K6'!L23</f>
        <v>432</v>
      </c>
      <c r="M23" s="115">
        <f>'N6'!M23+'K6'!M23</f>
        <v>221</v>
      </c>
      <c r="N23" s="115">
        <f>'N6'!N23+'K6'!N23</f>
        <v>0</v>
      </c>
      <c r="O23" s="116">
        <f>'N6'!O23+'K6'!O23</f>
        <v>0</v>
      </c>
      <c r="P23" s="115">
        <f>'N6'!P23+'K6'!P23</f>
        <v>5</v>
      </c>
      <c r="Q23" s="116">
        <f>'N6'!Q23+'K6'!Q23</f>
        <v>134</v>
      </c>
      <c r="R23" s="121">
        <f>'N6'!R23+'K6'!R23</f>
        <v>16</v>
      </c>
      <c r="S23" s="121">
        <f>'N6'!S23+'K6'!S23</f>
        <v>24</v>
      </c>
      <c r="T23" s="33">
        <f>'N6'!T23+'K6'!T23</f>
        <v>832</v>
      </c>
      <c r="U23" s="115">
        <f>'N6'!U23+'K6'!U23</f>
        <v>68</v>
      </c>
      <c r="V23" s="115">
        <f>'N6'!V23+'K6'!V23</f>
        <v>58</v>
      </c>
      <c r="W23" s="115">
        <f>'N6'!W23+'K6'!W23</f>
        <v>0</v>
      </c>
      <c r="X23" s="116">
        <f>'N6'!X23+'K6'!X23</f>
        <v>0</v>
      </c>
      <c r="Y23" s="115">
        <f>'N6'!Y23+'K6'!Y23</f>
        <v>0</v>
      </c>
      <c r="Z23" s="116">
        <f>'N6'!Z23+'K6'!Z23</f>
        <v>59</v>
      </c>
      <c r="AA23" s="121">
        <f>'N6'!AA23+'K6'!AA23</f>
        <v>2</v>
      </c>
      <c r="AB23" s="121">
        <f>'N6'!AB23+'K6'!AB23</f>
        <v>3</v>
      </c>
      <c r="AC23" s="33">
        <f>'N6'!AC23+'K6'!AC23</f>
        <v>190</v>
      </c>
      <c r="AD23" s="12">
        <f>'N6'!AD23+'K6'!AD23</f>
        <v>3027</v>
      </c>
      <c r="AE23" s="39"/>
      <c r="AF23" s="39"/>
      <c r="AG23" s="39"/>
      <c r="AH23" s="39"/>
      <c r="AI23" s="39"/>
      <c r="AJ23"/>
    </row>
    <row r="24" spans="1:36" x14ac:dyDescent="0.2">
      <c r="A24" s="5">
        <f>DAY(Kalenteri!A171)</f>
        <v>20</v>
      </c>
      <c r="B24" s="3" t="str">
        <f>IF(Kalenteri!B171=1,"su",IF(Kalenteri!B171=2,"ma",IF(Kalenteri!B171=3,"ti",IF(Kalenteri!B171=4,"ke",IF(Kalenteri!B171=5,"to",IF(Kalenteri!B171=6,"pe",IF(Kalenteri!B171=7,"la",)))))))</f>
        <v>to</v>
      </c>
      <c r="C24" s="114">
        <f>'N6'!C24+'K6'!C24</f>
        <v>347</v>
      </c>
      <c r="D24" s="115">
        <f>'N6'!D24+'K6'!D24</f>
        <v>132</v>
      </c>
      <c r="E24" s="115">
        <f>'N6'!E24+'K6'!E24</f>
        <v>0</v>
      </c>
      <c r="F24" s="116">
        <f>'N6'!F24+'K6'!F24</f>
        <v>10</v>
      </c>
      <c r="G24" s="114">
        <f>'N6'!G24+'K6'!G24</f>
        <v>28</v>
      </c>
      <c r="H24" s="116">
        <f>'N6'!H24+'K6'!H24</f>
        <v>133</v>
      </c>
      <c r="I24" s="114">
        <f>'N6'!I24+'K6'!I24</f>
        <v>21</v>
      </c>
      <c r="J24" s="116">
        <f>'N6'!J24+'K6'!J24</f>
        <v>30</v>
      </c>
      <c r="K24" s="33">
        <f>'N6'!K24+'K6'!K24</f>
        <v>701</v>
      </c>
      <c r="L24" s="115">
        <f>'N6'!L24+'K6'!L24</f>
        <v>138</v>
      </c>
      <c r="M24" s="115">
        <f>'N6'!M24+'K6'!M24</f>
        <v>66</v>
      </c>
      <c r="N24" s="115">
        <f>'N6'!N24+'K6'!N24</f>
        <v>0</v>
      </c>
      <c r="O24" s="116">
        <f>'N6'!O24+'K6'!O24</f>
        <v>1</v>
      </c>
      <c r="P24" s="115">
        <f>'N6'!P24+'K6'!P24</f>
        <v>34</v>
      </c>
      <c r="Q24" s="116">
        <f>'N6'!Q24+'K6'!Q24</f>
        <v>0</v>
      </c>
      <c r="R24" s="121">
        <f>'N6'!R24+'K6'!R24</f>
        <v>4</v>
      </c>
      <c r="S24" s="121">
        <f>'N6'!S24+'K6'!S24</f>
        <v>6</v>
      </c>
      <c r="T24" s="33">
        <f>'N6'!T24+'K6'!T24</f>
        <v>249</v>
      </c>
      <c r="U24" s="115">
        <f>'N6'!U24+'K6'!U24</f>
        <v>27</v>
      </c>
      <c r="V24" s="115">
        <f>'N6'!V24+'K6'!V24</f>
        <v>10</v>
      </c>
      <c r="W24" s="115">
        <f>'N6'!W24+'K6'!W24</f>
        <v>0</v>
      </c>
      <c r="X24" s="116">
        <f>'N6'!X24+'K6'!X24</f>
        <v>0</v>
      </c>
      <c r="Y24" s="115">
        <f>'N6'!Y24+'K6'!Y24</f>
        <v>2</v>
      </c>
      <c r="Z24" s="116">
        <f>'N6'!Z24+'K6'!Z24</f>
        <v>15</v>
      </c>
      <c r="AA24" s="121">
        <f>'N6'!AA24+'K6'!AA24</f>
        <v>2</v>
      </c>
      <c r="AB24" s="121">
        <f>'N6'!AB24+'K6'!AB24</f>
        <v>3</v>
      </c>
      <c r="AC24" s="33">
        <f>'N6'!AC24+'K6'!AC24</f>
        <v>59</v>
      </c>
      <c r="AD24" s="12">
        <f>'N6'!AD24+'K6'!AD24</f>
        <v>1009</v>
      </c>
      <c r="AE24" s="39"/>
      <c r="AF24" s="39"/>
      <c r="AG24" s="39"/>
      <c r="AH24" s="39"/>
      <c r="AI24" s="39"/>
      <c r="AJ24" s="39"/>
    </row>
    <row r="25" spans="1:36" x14ac:dyDescent="0.2">
      <c r="A25" s="5">
        <f>DAY(Kalenteri!A172)</f>
        <v>21</v>
      </c>
      <c r="B25" s="3" t="str">
        <f>IF(Kalenteri!B172=1,"su",IF(Kalenteri!B172=2,"ma",IF(Kalenteri!B172=3,"ti",IF(Kalenteri!B172=4,"ke",IF(Kalenteri!B172=5,"to",IF(Kalenteri!B172=6,"pe",IF(Kalenteri!B172=7,"la",)))))))</f>
        <v>pe</v>
      </c>
      <c r="C25" s="114">
        <f>'N6'!C25+'K6'!C25</f>
        <v>1022</v>
      </c>
      <c r="D25" s="115">
        <f>'N6'!D25+'K6'!D25</f>
        <v>221</v>
      </c>
      <c r="E25" s="115">
        <f>'N6'!E25+'K6'!E25</f>
        <v>2</v>
      </c>
      <c r="F25" s="116">
        <f>'N6'!F25+'K6'!F25</f>
        <v>14</v>
      </c>
      <c r="G25" s="114">
        <f>'N6'!G25+'K6'!G25</f>
        <v>9</v>
      </c>
      <c r="H25" s="116">
        <f>'N6'!H25+'K6'!H25</f>
        <v>351</v>
      </c>
      <c r="I25" s="114">
        <f>'N6'!I25+'K6'!I25</f>
        <v>18</v>
      </c>
      <c r="J25" s="116">
        <f>'N6'!J25+'K6'!J25</f>
        <v>25</v>
      </c>
      <c r="K25" s="33">
        <f>'N6'!K25+'K6'!K25</f>
        <v>1662</v>
      </c>
      <c r="L25" s="115">
        <f>'N6'!L25+'K6'!L25</f>
        <v>327</v>
      </c>
      <c r="M25" s="115">
        <f>'N6'!M25+'K6'!M25</f>
        <v>56</v>
      </c>
      <c r="N25" s="115">
        <f>'N6'!N25+'K6'!N25</f>
        <v>0</v>
      </c>
      <c r="O25" s="116">
        <f>'N6'!O25+'K6'!O25</f>
        <v>0</v>
      </c>
      <c r="P25" s="115">
        <f>'N6'!P25+'K6'!P25</f>
        <v>0</v>
      </c>
      <c r="Q25" s="116">
        <f>'N6'!Q25+'K6'!Q25</f>
        <v>75</v>
      </c>
      <c r="R25" s="121">
        <f>'N6'!R25+'K6'!R25</f>
        <v>40</v>
      </c>
      <c r="S25" s="121">
        <f>'N6'!S25+'K6'!S25</f>
        <v>60</v>
      </c>
      <c r="T25" s="33">
        <f>'N6'!T25+'K6'!T25</f>
        <v>558</v>
      </c>
      <c r="U25" s="115">
        <f>'N6'!U25+'K6'!U25</f>
        <v>108</v>
      </c>
      <c r="V25" s="115">
        <f>'N6'!V25+'K6'!V25</f>
        <v>18</v>
      </c>
      <c r="W25" s="115">
        <f>'N6'!W25+'K6'!W25</f>
        <v>0</v>
      </c>
      <c r="X25" s="116">
        <f>'N6'!X25+'K6'!X25</f>
        <v>0</v>
      </c>
      <c r="Y25" s="115">
        <f>'N6'!Y25+'K6'!Y25</f>
        <v>0</v>
      </c>
      <c r="Z25" s="116">
        <f>'N6'!Z25+'K6'!Z25</f>
        <v>33</v>
      </c>
      <c r="AA25" s="121">
        <f>'N6'!AA25+'K6'!AA25</f>
        <v>4</v>
      </c>
      <c r="AB25" s="121">
        <f>'N6'!AB25+'K6'!AB25</f>
        <v>6</v>
      </c>
      <c r="AC25" s="33">
        <f>'N6'!AC25+'K6'!AC25</f>
        <v>169</v>
      </c>
      <c r="AD25" s="12">
        <f>'N6'!AD25+'K6'!AD25</f>
        <v>2389</v>
      </c>
      <c r="AE25" s="39"/>
      <c r="AF25" s="39"/>
      <c r="AG25" s="39"/>
      <c r="AH25" s="39"/>
      <c r="AI25" s="39"/>
      <c r="AJ25" s="39"/>
    </row>
    <row r="26" spans="1:36" x14ac:dyDescent="0.2">
      <c r="A26" s="5">
        <f>DAY(Kalenteri!A173)</f>
        <v>22</v>
      </c>
      <c r="B26" s="3" t="str">
        <f>IF(Kalenteri!B173=1,"su",IF(Kalenteri!B173=2,"ma",IF(Kalenteri!B173=3,"ti",IF(Kalenteri!B173=4,"ke",IF(Kalenteri!B173=5,"to",IF(Kalenteri!B173=6,"pe",IF(Kalenteri!B173=7,"la",)))))))</f>
        <v>la</v>
      </c>
      <c r="C26" s="114">
        <f>'N6'!C26+'K6'!C26</f>
        <v>1091</v>
      </c>
      <c r="D26" s="115">
        <f>'N6'!D26+'K6'!D26</f>
        <v>241</v>
      </c>
      <c r="E26" s="115">
        <f>'N6'!E26+'K6'!E26</f>
        <v>3</v>
      </c>
      <c r="F26" s="116">
        <f>'N6'!F26+'K6'!F26</f>
        <v>19</v>
      </c>
      <c r="G26" s="114">
        <f>'N6'!G26+'K6'!G26</f>
        <v>31</v>
      </c>
      <c r="H26" s="116">
        <f>'N6'!H26+'K6'!H26</f>
        <v>380</v>
      </c>
      <c r="I26" s="114">
        <f>'N6'!I26+'K6'!I26</f>
        <v>34</v>
      </c>
      <c r="J26" s="116">
        <f>'N6'!J26+'K6'!J26</f>
        <v>51</v>
      </c>
      <c r="K26" s="33">
        <f>'N6'!K26+'K6'!K26</f>
        <v>1850</v>
      </c>
      <c r="L26" s="115">
        <f>'N6'!L26+'K6'!L26</f>
        <v>334</v>
      </c>
      <c r="M26" s="115">
        <f>'N6'!M26+'K6'!M26</f>
        <v>57</v>
      </c>
      <c r="N26" s="115">
        <f>'N6'!N26+'K6'!N26</f>
        <v>0</v>
      </c>
      <c r="O26" s="116">
        <f>'N6'!O26+'K6'!O26</f>
        <v>0</v>
      </c>
      <c r="P26" s="115">
        <f>'N6'!P26+'K6'!P26</f>
        <v>2</v>
      </c>
      <c r="Q26" s="116">
        <f>'N6'!Q26+'K6'!Q26</f>
        <v>81</v>
      </c>
      <c r="R26" s="121">
        <f>'N6'!R26+'K6'!R26</f>
        <v>31</v>
      </c>
      <c r="S26" s="121">
        <f>'N6'!S26+'K6'!S26</f>
        <v>42</v>
      </c>
      <c r="T26" s="33">
        <f>'N6'!T26+'K6'!T26</f>
        <v>547</v>
      </c>
      <c r="U26" s="115">
        <f>'N6'!U26+'K6'!U26</f>
        <v>102</v>
      </c>
      <c r="V26" s="115">
        <f>'N6'!V26+'K6'!V26</f>
        <v>23</v>
      </c>
      <c r="W26" s="115">
        <f>'N6'!W26+'K6'!W26</f>
        <v>0</v>
      </c>
      <c r="X26" s="116">
        <f>'N6'!X26+'K6'!X26</f>
        <v>0</v>
      </c>
      <c r="Y26" s="115">
        <f>'N6'!Y26+'K6'!Y26</f>
        <v>0</v>
      </c>
      <c r="Z26" s="116">
        <f>'N6'!Z26+'K6'!Z26</f>
        <v>33</v>
      </c>
      <c r="AA26" s="121">
        <f>'N6'!AA26+'K6'!AA26</f>
        <v>0</v>
      </c>
      <c r="AB26" s="121">
        <f>'N6'!AB26+'K6'!AB26</f>
        <v>0</v>
      </c>
      <c r="AC26" s="33">
        <f>'N6'!AC26+'K6'!AC26</f>
        <v>158</v>
      </c>
      <c r="AD26" s="12">
        <f>'N6'!AD26+'K6'!AD26</f>
        <v>2555</v>
      </c>
      <c r="AE26" s="39"/>
      <c r="AF26" s="39"/>
      <c r="AG26" s="39"/>
      <c r="AH26" s="39"/>
      <c r="AI26" s="39"/>
      <c r="AJ26" s="39"/>
    </row>
    <row r="27" spans="1:36" x14ac:dyDescent="0.2">
      <c r="A27" s="5">
        <f>DAY(Kalenteri!A174)</f>
        <v>23</v>
      </c>
      <c r="B27" s="3" t="str">
        <f>IF(Kalenteri!B174=1,"su",IF(Kalenteri!B174=2,"ma",IF(Kalenteri!B174=3,"ti",IF(Kalenteri!B174=4,"ke",IF(Kalenteri!B174=5,"to",IF(Kalenteri!B174=6,"pe",IF(Kalenteri!B174=7,"la",)))))))</f>
        <v>su</v>
      </c>
      <c r="C27" s="114">
        <f>'N6'!C27+'K6'!C27</f>
        <v>1633</v>
      </c>
      <c r="D27" s="115">
        <f>'N6'!D27+'K6'!D27</f>
        <v>375</v>
      </c>
      <c r="E27" s="115">
        <f>'N6'!E27+'K6'!E27</f>
        <v>2</v>
      </c>
      <c r="F27" s="116">
        <f>'N6'!F27+'K6'!F27</f>
        <v>32</v>
      </c>
      <c r="G27" s="114">
        <f>'N6'!G27+'K6'!G27</f>
        <v>33</v>
      </c>
      <c r="H27" s="116">
        <f>'N6'!H27+'K6'!H27</f>
        <v>628</v>
      </c>
      <c r="I27" s="114">
        <f>'N6'!I27+'K6'!I27</f>
        <v>56</v>
      </c>
      <c r="J27" s="116">
        <f>'N6'!J27+'K6'!J27</f>
        <v>84</v>
      </c>
      <c r="K27" s="33">
        <f>'N6'!K27+'K6'!K27</f>
        <v>2843</v>
      </c>
      <c r="L27" s="115">
        <f>'N6'!L27+'K6'!L27</f>
        <v>414</v>
      </c>
      <c r="M27" s="115">
        <f>'N6'!M27+'K6'!M27</f>
        <v>83</v>
      </c>
      <c r="N27" s="115">
        <f>'N6'!N27+'K6'!N27</f>
        <v>0</v>
      </c>
      <c r="O27" s="116">
        <f>'N6'!O27+'K6'!O27</f>
        <v>0</v>
      </c>
      <c r="P27" s="115">
        <f>'N6'!P27+'K6'!P27</f>
        <v>0</v>
      </c>
      <c r="Q27" s="116">
        <f>'N6'!Q27+'K6'!Q27</f>
        <v>83</v>
      </c>
      <c r="R27" s="121">
        <f>'N6'!R27+'K6'!R27</f>
        <v>38</v>
      </c>
      <c r="S27" s="121">
        <f>'N6'!S27+'K6'!S27</f>
        <v>57</v>
      </c>
      <c r="T27" s="33">
        <f>'N6'!T27+'K6'!T27</f>
        <v>675</v>
      </c>
      <c r="U27" s="115">
        <f>'N6'!U27+'K6'!U27</f>
        <v>130</v>
      </c>
      <c r="V27" s="115">
        <f>'N6'!V27+'K6'!V27</f>
        <v>35</v>
      </c>
      <c r="W27" s="115">
        <f>'N6'!W27+'K6'!W27</f>
        <v>0</v>
      </c>
      <c r="X27" s="116">
        <f>'N6'!X27+'K6'!X27</f>
        <v>0</v>
      </c>
      <c r="Y27" s="115">
        <f>'N6'!Y27+'K6'!Y27</f>
        <v>0</v>
      </c>
      <c r="Z27" s="116">
        <f>'N6'!Z27+'K6'!Z27</f>
        <v>48</v>
      </c>
      <c r="AA27" s="121">
        <f>'N6'!AA27+'K6'!AA27</f>
        <v>14</v>
      </c>
      <c r="AB27" s="121">
        <f>'N6'!AB27+'K6'!AB27</f>
        <v>21</v>
      </c>
      <c r="AC27" s="33">
        <f>'N6'!AC27+'K6'!AC27</f>
        <v>248</v>
      </c>
      <c r="AD27" s="12">
        <f>'N6'!AD27+'K6'!AD27</f>
        <v>3766</v>
      </c>
      <c r="AE27" s="39"/>
      <c r="AF27" s="39"/>
      <c r="AG27" s="39"/>
      <c r="AH27" s="39"/>
      <c r="AI27" s="39"/>
      <c r="AJ27" s="39"/>
    </row>
    <row r="28" spans="1:36" x14ac:dyDescent="0.2">
      <c r="A28" s="5">
        <f>DAY(Kalenteri!A175)</f>
        <v>24</v>
      </c>
      <c r="B28" s="3" t="str">
        <f>IF(Kalenteri!B175=1,"su",IF(Kalenteri!B175=2,"ma",IF(Kalenteri!B175=3,"ti",IF(Kalenteri!B175=4,"ke",IF(Kalenteri!B175=5,"to",IF(Kalenteri!B175=6,"pe",IF(Kalenteri!B175=7,"la",)))))))</f>
        <v>ma</v>
      </c>
      <c r="C28" s="114">
        <f>'N6'!C28+'K6'!C28</f>
        <v>881</v>
      </c>
      <c r="D28" s="115">
        <f>'N6'!D28+'K6'!D28</f>
        <v>293</v>
      </c>
      <c r="E28" s="115">
        <f>'N6'!E28+'K6'!E28</f>
        <v>0</v>
      </c>
      <c r="F28" s="116">
        <f>'N6'!F28+'K6'!F28</f>
        <v>16</v>
      </c>
      <c r="G28" s="114">
        <f>'N6'!G28+'K6'!G28</f>
        <v>20</v>
      </c>
      <c r="H28" s="116">
        <f>'N6'!H28+'K6'!H28</f>
        <v>344</v>
      </c>
      <c r="I28" s="114">
        <f>'N6'!I28+'K6'!I28</f>
        <v>32</v>
      </c>
      <c r="J28" s="116">
        <f>'N6'!J28+'K6'!J28</f>
        <v>48</v>
      </c>
      <c r="K28" s="33">
        <f>'N6'!K28+'K6'!K28</f>
        <v>1634</v>
      </c>
      <c r="L28" s="115">
        <f>'N6'!L28+'K6'!L28</f>
        <v>395</v>
      </c>
      <c r="M28" s="115">
        <f>'N6'!M28+'K6'!M28</f>
        <v>149</v>
      </c>
      <c r="N28" s="115">
        <f>'N6'!N28+'K6'!N28</f>
        <v>0</v>
      </c>
      <c r="O28" s="116">
        <f>'N6'!O28+'K6'!O28</f>
        <v>0</v>
      </c>
      <c r="P28" s="115">
        <f>'N6'!P28+'K6'!P28</f>
        <v>0</v>
      </c>
      <c r="Q28" s="116">
        <f>'N6'!Q28+'K6'!Q28</f>
        <v>122</v>
      </c>
      <c r="R28" s="121">
        <f>'N6'!R28+'K6'!R28</f>
        <v>34</v>
      </c>
      <c r="S28" s="121">
        <f>'N6'!S28+'K6'!S28</f>
        <v>51</v>
      </c>
      <c r="T28" s="33">
        <f>'N6'!T28+'K6'!T28</f>
        <v>751</v>
      </c>
      <c r="U28" s="115">
        <f>'N6'!U28+'K6'!U28</f>
        <v>116</v>
      </c>
      <c r="V28" s="115">
        <f>'N6'!V28+'K6'!V28</f>
        <v>33</v>
      </c>
      <c r="W28" s="115">
        <f>'N6'!W28+'K6'!W28</f>
        <v>0</v>
      </c>
      <c r="X28" s="116">
        <f>'N6'!X28+'K6'!X28</f>
        <v>0</v>
      </c>
      <c r="Y28" s="115">
        <f>'N6'!Y28+'K6'!Y28</f>
        <v>0</v>
      </c>
      <c r="Z28" s="116">
        <f>'N6'!Z28+'K6'!Z28</f>
        <v>45</v>
      </c>
      <c r="AA28" s="121">
        <f>'N6'!AA28+'K6'!AA28</f>
        <v>0</v>
      </c>
      <c r="AB28" s="121">
        <f>'N6'!AB28+'K6'!AB28</f>
        <v>0</v>
      </c>
      <c r="AC28" s="33">
        <f>'N6'!AC28+'K6'!AC28</f>
        <v>194</v>
      </c>
      <c r="AD28" s="12">
        <f>'N6'!AD28+'K6'!AD28</f>
        <v>2579</v>
      </c>
      <c r="AE28" s="39"/>
      <c r="AF28" s="39"/>
      <c r="AG28" s="39"/>
      <c r="AH28" s="39"/>
      <c r="AI28" s="39"/>
      <c r="AJ28" s="39"/>
    </row>
    <row r="29" spans="1:36" x14ac:dyDescent="0.2">
      <c r="A29" s="5">
        <f>DAY(Kalenteri!A176)</f>
        <v>25</v>
      </c>
      <c r="B29" s="3" t="str">
        <f>IF(Kalenteri!B176=1,"su",IF(Kalenteri!B176=2,"ma",IF(Kalenteri!B176=3,"ti",IF(Kalenteri!B176=4,"ke",IF(Kalenteri!B176=5,"to",IF(Kalenteri!B176=6,"pe",IF(Kalenteri!B176=7,"la",)))))))</f>
        <v>ti</v>
      </c>
      <c r="C29" s="114">
        <f>'N6'!C29+'K6'!C29</f>
        <v>1088</v>
      </c>
      <c r="D29" s="115">
        <f>'N6'!D29+'K6'!D29</f>
        <v>403</v>
      </c>
      <c r="E29" s="115">
        <f>'N6'!E29+'K6'!E29</f>
        <v>0</v>
      </c>
      <c r="F29" s="116">
        <f>'N6'!F29+'K6'!F29</f>
        <v>17</v>
      </c>
      <c r="G29" s="114">
        <f>'N6'!G29+'K6'!G29</f>
        <v>69</v>
      </c>
      <c r="H29" s="116">
        <f>'N6'!H29+'K6'!H29</f>
        <v>465</v>
      </c>
      <c r="I29" s="114">
        <f>'N6'!I29+'K6'!I29</f>
        <v>28</v>
      </c>
      <c r="J29" s="116">
        <f>'N6'!J29+'K6'!J29</f>
        <v>40</v>
      </c>
      <c r="K29" s="33">
        <f>'N6'!K29+'K6'!K29</f>
        <v>2110</v>
      </c>
      <c r="L29" s="115">
        <f>'N6'!L29+'K6'!L29</f>
        <v>508</v>
      </c>
      <c r="M29" s="115">
        <f>'N6'!M29+'K6'!M29</f>
        <v>194</v>
      </c>
      <c r="N29" s="115">
        <f>'N6'!N29+'K6'!N29</f>
        <v>0</v>
      </c>
      <c r="O29" s="116">
        <f>'N6'!O29+'K6'!O29</f>
        <v>0</v>
      </c>
      <c r="P29" s="115">
        <f>'N6'!P29+'K6'!P29</f>
        <v>0</v>
      </c>
      <c r="Q29" s="116">
        <f>'N6'!Q29+'K6'!Q29</f>
        <v>125</v>
      </c>
      <c r="R29" s="121">
        <f>'N6'!R29+'K6'!R29</f>
        <v>34</v>
      </c>
      <c r="S29" s="121">
        <f>'N6'!S29+'K6'!S29</f>
        <v>51</v>
      </c>
      <c r="T29" s="33">
        <f>'N6'!T29+'K6'!T29</f>
        <v>912</v>
      </c>
      <c r="U29" s="115">
        <f>'N6'!U29+'K6'!U29</f>
        <v>143</v>
      </c>
      <c r="V29" s="115">
        <f>'N6'!V29+'K6'!V29</f>
        <v>63</v>
      </c>
      <c r="W29" s="115">
        <f>'N6'!W29+'K6'!W29</f>
        <v>0</v>
      </c>
      <c r="X29" s="116">
        <f>'N6'!X29+'K6'!X29</f>
        <v>0</v>
      </c>
      <c r="Y29" s="115">
        <f>'N6'!Y29+'K6'!Y29</f>
        <v>0</v>
      </c>
      <c r="Z29" s="116">
        <f>'N6'!Z29+'K6'!Z29</f>
        <v>55</v>
      </c>
      <c r="AA29" s="121">
        <f>'N6'!AA29+'K6'!AA29</f>
        <v>18</v>
      </c>
      <c r="AB29" s="121">
        <f>'N6'!AB29+'K6'!AB29</f>
        <v>27</v>
      </c>
      <c r="AC29" s="33">
        <f>'N6'!AC29+'K6'!AC29</f>
        <v>306</v>
      </c>
      <c r="AD29" s="12">
        <f>'N6'!AD29+'K6'!AD29</f>
        <v>3328</v>
      </c>
      <c r="AE29" s="39"/>
      <c r="AF29" s="39"/>
      <c r="AG29" s="39"/>
      <c r="AH29" s="39"/>
      <c r="AI29" s="39"/>
      <c r="AJ29" s="39"/>
    </row>
    <row r="30" spans="1:36" x14ac:dyDescent="0.2">
      <c r="A30" s="5">
        <f>DAY(Kalenteri!A177)</f>
        <v>26</v>
      </c>
      <c r="B30" s="3" t="str">
        <f>IF(Kalenteri!B177=1,"su",IF(Kalenteri!B177=2,"ma",IF(Kalenteri!B177=3,"ti",IF(Kalenteri!B177=4,"ke",IF(Kalenteri!B177=5,"to",IF(Kalenteri!B177=6,"pe",IF(Kalenteri!B177=7,"la",)))))))</f>
        <v>ke</v>
      </c>
      <c r="C30" s="114">
        <f>'N6'!C30+'K6'!C30</f>
        <v>1085</v>
      </c>
      <c r="D30" s="115">
        <f>'N6'!D30+'K6'!D30</f>
        <v>370</v>
      </c>
      <c r="E30" s="115">
        <f>'N6'!E30+'K6'!E30</f>
        <v>6</v>
      </c>
      <c r="F30" s="116">
        <f>'N6'!F30+'K6'!F30</f>
        <v>30</v>
      </c>
      <c r="G30" s="114">
        <f>'N6'!G30+'K6'!G30</f>
        <v>72</v>
      </c>
      <c r="H30" s="116">
        <f>'N6'!H30+'K6'!H30</f>
        <v>431</v>
      </c>
      <c r="I30" s="114">
        <f>'N6'!I30+'K6'!I30</f>
        <v>34</v>
      </c>
      <c r="J30" s="116">
        <f>'N6'!J30+'K6'!J30</f>
        <v>51</v>
      </c>
      <c r="K30" s="33">
        <f>'N6'!K30+'K6'!K30</f>
        <v>2079</v>
      </c>
      <c r="L30" s="115">
        <f>'N6'!L30+'K6'!L30</f>
        <v>589</v>
      </c>
      <c r="M30" s="115">
        <f>'N6'!M30+'K6'!M30</f>
        <v>210</v>
      </c>
      <c r="N30" s="115">
        <f>'N6'!N30+'K6'!N30</f>
        <v>0</v>
      </c>
      <c r="O30" s="116">
        <f>'N6'!O30+'K6'!O30</f>
        <v>0</v>
      </c>
      <c r="P30" s="115">
        <f>'N6'!P30+'K6'!P30</f>
        <v>0</v>
      </c>
      <c r="Q30" s="116">
        <f>'N6'!Q30+'K6'!Q30</f>
        <v>180</v>
      </c>
      <c r="R30" s="121">
        <f>'N6'!R30+'K6'!R30</f>
        <v>44</v>
      </c>
      <c r="S30" s="121">
        <f>'N6'!S30+'K6'!S30</f>
        <v>66</v>
      </c>
      <c r="T30" s="33">
        <f>'N6'!T30+'K6'!T30</f>
        <v>1089</v>
      </c>
      <c r="U30" s="115">
        <f>'N6'!U30+'K6'!U30</f>
        <v>134</v>
      </c>
      <c r="V30" s="115">
        <f>'N6'!V30+'K6'!V30</f>
        <v>79</v>
      </c>
      <c r="W30" s="115">
        <f>'N6'!W30+'K6'!W30</f>
        <v>0</v>
      </c>
      <c r="X30" s="116">
        <f>'N6'!X30+'K6'!X30</f>
        <v>0</v>
      </c>
      <c r="Y30" s="115">
        <f>'N6'!Y30+'K6'!Y30</f>
        <v>0</v>
      </c>
      <c r="Z30" s="116">
        <f>'N6'!Z30+'K6'!Z30</f>
        <v>57</v>
      </c>
      <c r="AA30" s="121">
        <f>'N6'!AA30+'K6'!AA30</f>
        <v>10</v>
      </c>
      <c r="AB30" s="121">
        <f>'N6'!AB30+'K6'!AB30</f>
        <v>15</v>
      </c>
      <c r="AC30" s="33">
        <f>'N6'!AC30+'K6'!AC30</f>
        <v>295</v>
      </c>
      <c r="AD30" s="12">
        <f>'N6'!AD30+'K6'!AD30</f>
        <v>3463</v>
      </c>
      <c r="AE30" s="39"/>
      <c r="AF30" s="39"/>
      <c r="AG30" s="39"/>
      <c r="AH30" s="39"/>
      <c r="AI30" s="39"/>
      <c r="AJ30" s="39"/>
    </row>
    <row r="31" spans="1:36" x14ac:dyDescent="0.2">
      <c r="A31" s="5">
        <f>DAY(Kalenteri!A178)</f>
        <v>27</v>
      </c>
      <c r="B31" s="3" t="str">
        <f>IF(Kalenteri!B178=1,"su",IF(Kalenteri!B178=2,"ma",IF(Kalenteri!B178=3,"ti",IF(Kalenteri!B178=4,"ke",IF(Kalenteri!B178=5,"to",IF(Kalenteri!B178=6,"pe",IF(Kalenteri!B178=7,"la",)))))))</f>
        <v>to</v>
      </c>
      <c r="C31" s="114">
        <f>'N6'!C31+'K6'!C31</f>
        <v>598</v>
      </c>
      <c r="D31" s="115">
        <f>'N6'!D31+'K6'!D31</f>
        <v>235</v>
      </c>
      <c r="E31" s="115">
        <f>'N6'!E31+'K6'!E31</f>
        <v>2</v>
      </c>
      <c r="F31" s="116">
        <f>'N6'!F31+'K6'!F31</f>
        <v>12</v>
      </c>
      <c r="G31" s="114">
        <f>'N6'!G31+'K6'!G31</f>
        <v>40</v>
      </c>
      <c r="H31" s="116">
        <f>'N6'!H31+'K6'!H31</f>
        <v>231</v>
      </c>
      <c r="I31" s="114">
        <f>'N6'!I31+'K6'!I31</f>
        <v>16</v>
      </c>
      <c r="J31" s="116">
        <f>'N6'!J31+'K6'!J31</f>
        <v>24</v>
      </c>
      <c r="K31" s="33">
        <f>'N6'!K31+'K6'!K31</f>
        <v>1158</v>
      </c>
      <c r="L31" s="115">
        <f>'N6'!L31+'K6'!L31</f>
        <v>235</v>
      </c>
      <c r="M31" s="115">
        <f>'N6'!M31+'K6'!M31</f>
        <v>80</v>
      </c>
      <c r="N31" s="115">
        <f>'N6'!N31+'K6'!N31</f>
        <v>0</v>
      </c>
      <c r="O31" s="116">
        <f>'N6'!O31+'K6'!O31</f>
        <v>0</v>
      </c>
      <c r="P31" s="115">
        <f>'N6'!P31+'K6'!P31</f>
        <v>0</v>
      </c>
      <c r="Q31" s="116">
        <f>'N6'!Q31+'K6'!Q31</f>
        <v>66</v>
      </c>
      <c r="R31" s="121">
        <f>'N6'!R31+'K6'!R31</f>
        <v>24</v>
      </c>
      <c r="S31" s="121">
        <f>'N6'!S31+'K6'!S31</f>
        <v>36</v>
      </c>
      <c r="T31" s="33">
        <f>'N6'!T31+'K6'!T31</f>
        <v>441</v>
      </c>
      <c r="U31" s="115">
        <f>'N6'!U31+'K6'!U31</f>
        <v>73</v>
      </c>
      <c r="V31" s="115">
        <f>'N6'!V31+'K6'!V31</f>
        <v>31</v>
      </c>
      <c r="W31" s="115">
        <f>'N6'!W31+'K6'!W31</f>
        <v>0</v>
      </c>
      <c r="X31" s="116">
        <f>'N6'!X31+'K6'!X31</f>
        <v>0</v>
      </c>
      <c r="Y31" s="115">
        <f>'N6'!Y31+'K6'!Y31</f>
        <v>0</v>
      </c>
      <c r="Z31" s="116">
        <f>'N6'!Z31+'K6'!Z31</f>
        <v>22</v>
      </c>
      <c r="AA31" s="121">
        <f>'N6'!AA31+'K6'!AA31</f>
        <v>2</v>
      </c>
      <c r="AB31" s="121">
        <f>'N6'!AB31+'K6'!AB31</f>
        <v>3</v>
      </c>
      <c r="AC31" s="33">
        <f>'N6'!AC31+'K6'!AC31</f>
        <v>131</v>
      </c>
      <c r="AD31" s="12">
        <f>'N6'!AD31+'K6'!AD31</f>
        <v>1730</v>
      </c>
      <c r="AE31" s="39"/>
      <c r="AF31" s="39"/>
      <c r="AG31" s="39"/>
      <c r="AH31" s="39"/>
      <c r="AI31" s="39"/>
      <c r="AJ31" s="39"/>
    </row>
    <row r="32" spans="1:36" x14ac:dyDescent="0.2">
      <c r="A32" s="5">
        <f>DAY(Kalenteri!A179)</f>
        <v>28</v>
      </c>
      <c r="B32" s="3" t="str">
        <f>IF(Kalenteri!B179=1,"su",IF(Kalenteri!B179=2,"ma",IF(Kalenteri!B179=3,"ti",IF(Kalenteri!B179=4,"ke",IF(Kalenteri!B179=5,"to",IF(Kalenteri!B179=6,"pe",IF(Kalenteri!B179=7,"la",)))))))</f>
        <v>pe</v>
      </c>
      <c r="C32" s="114">
        <f>'N6'!C32+'K6'!C32</f>
        <v>1240</v>
      </c>
      <c r="D32" s="115">
        <f>'N6'!D32+'K6'!D32</f>
        <v>469</v>
      </c>
      <c r="E32" s="115">
        <f>'N6'!E32+'K6'!E32</f>
        <v>4</v>
      </c>
      <c r="F32" s="116">
        <f>'N6'!F32+'K6'!F32</f>
        <v>31</v>
      </c>
      <c r="G32" s="114">
        <f>'N6'!G32+'K6'!G32</f>
        <v>35</v>
      </c>
      <c r="H32" s="116">
        <f>'N6'!H32+'K6'!H32</f>
        <v>543</v>
      </c>
      <c r="I32" s="114">
        <f>'N6'!I32+'K6'!I32</f>
        <v>90</v>
      </c>
      <c r="J32" s="116">
        <f>'N6'!J32+'K6'!J32</f>
        <v>135</v>
      </c>
      <c r="K32" s="33">
        <f>'N6'!K32+'K6'!K32</f>
        <v>2547</v>
      </c>
      <c r="L32" s="115">
        <f>'N6'!L32+'K6'!L32</f>
        <v>557</v>
      </c>
      <c r="M32" s="115">
        <f>'N6'!M32+'K6'!M32</f>
        <v>184</v>
      </c>
      <c r="N32" s="115">
        <f>'N6'!N32+'K6'!N32</f>
        <v>0</v>
      </c>
      <c r="O32" s="116">
        <f>'N6'!O32+'K6'!O32</f>
        <v>0</v>
      </c>
      <c r="P32" s="115">
        <f>'N6'!P32+'K6'!P32</f>
        <v>5</v>
      </c>
      <c r="Q32" s="116">
        <f>'N6'!Q32+'K6'!Q32</f>
        <v>167</v>
      </c>
      <c r="R32" s="121">
        <f>'N6'!R32+'K6'!R32</f>
        <v>33</v>
      </c>
      <c r="S32" s="121">
        <f>'N6'!S32+'K6'!S32</f>
        <v>48</v>
      </c>
      <c r="T32" s="33">
        <f>'N6'!T32+'K6'!T32</f>
        <v>994</v>
      </c>
      <c r="U32" s="115">
        <f>'N6'!U32+'K6'!U32</f>
        <v>153</v>
      </c>
      <c r="V32" s="115">
        <f>'N6'!V32+'K6'!V32</f>
        <v>52</v>
      </c>
      <c r="W32" s="115">
        <f>'N6'!W32+'K6'!W32</f>
        <v>0</v>
      </c>
      <c r="X32" s="116">
        <f>'N6'!X32+'K6'!X32</f>
        <v>0</v>
      </c>
      <c r="Y32" s="115">
        <f>'N6'!Y32+'K6'!Y32</f>
        <v>0</v>
      </c>
      <c r="Z32" s="116">
        <f>'N6'!Z32+'K6'!Z32</f>
        <v>67</v>
      </c>
      <c r="AA32" s="121">
        <f>'N6'!AA32+'K6'!AA32</f>
        <v>18</v>
      </c>
      <c r="AB32" s="121">
        <f>'N6'!AB32+'K6'!AB32</f>
        <v>27</v>
      </c>
      <c r="AC32" s="33">
        <f>'N6'!AC32+'K6'!AC32</f>
        <v>317</v>
      </c>
      <c r="AD32" s="12">
        <f>'N6'!AD32+'K6'!AD32</f>
        <v>3858</v>
      </c>
      <c r="AE32" s="39"/>
      <c r="AF32" s="39"/>
      <c r="AG32" s="39"/>
      <c r="AH32" s="39"/>
      <c r="AI32" s="39"/>
      <c r="AJ32" s="39"/>
    </row>
    <row r="33" spans="1:36" x14ac:dyDescent="0.2">
      <c r="A33" s="5">
        <f>DAY(Kalenteri!A180)</f>
        <v>29</v>
      </c>
      <c r="B33" s="3" t="str">
        <f>IF(Kalenteri!B180=1,"su",IF(Kalenteri!B180=2,"ma",IF(Kalenteri!B180=3,"ti",IF(Kalenteri!B180=4,"ke",IF(Kalenteri!B180=5,"to",IF(Kalenteri!B180=6,"pe",IF(Kalenteri!B180=7,"la",)))))))</f>
        <v>la</v>
      </c>
      <c r="C33" s="114">
        <f>'N6'!C33+'K6'!C33</f>
        <v>1532</v>
      </c>
      <c r="D33" s="115">
        <f>'N6'!D33+'K6'!D33</f>
        <v>401</v>
      </c>
      <c r="E33" s="115">
        <f>'N6'!E33+'K6'!E33</f>
        <v>2</v>
      </c>
      <c r="F33" s="116">
        <f>'N6'!F33+'K6'!F33</f>
        <v>30</v>
      </c>
      <c r="G33" s="114">
        <f>'N6'!G33+'K6'!G33</f>
        <v>37</v>
      </c>
      <c r="H33" s="116">
        <f>'N6'!H33+'K6'!H33</f>
        <v>537</v>
      </c>
      <c r="I33" s="114">
        <f>'N6'!I33+'K6'!I33</f>
        <v>60</v>
      </c>
      <c r="J33" s="116">
        <f>'N6'!J33+'K6'!J33</f>
        <v>90</v>
      </c>
      <c r="K33" s="33">
        <f>'N6'!K33+'K6'!K33</f>
        <v>2689</v>
      </c>
      <c r="L33" s="115">
        <f>'N6'!L33+'K6'!L33</f>
        <v>530</v>
      </c>
      <c r="M33" s="115">
        <f>'N6'!M33+'K6'!M33</f>
        <v>122</v>
      </c>
      <c r="N33" s="115">
        <f>'N6'!N33+'K6'!N33</f>
        <v>0</v>
      </c>
      <c r="O33" s="116">
        <f>'N6'!O33+'K6'!O33</f>
        <v>0</v>
      </c>
      <c r="P33" s="115">
        <f>'N6'!P33+'K6'!P33</f>
        <v>6</v>
      </c>
      <c r="Q33" s="116">
        <f>'N6'!Q33+'K6'!Q33</f>
        <v>131</v>
      </c>
      <c r="R33" s="121">
        <f>'N6'!R33+'K6'!R33</f>
        <v>36</v>
      </c>
      <c r="S33" s="121">
        <f>'N6'!S33+'K6'!S33</f>
        <v>54</v>
      </c>
      <c r="T33" s="33">
        <f>'N6'!T33+'K6'!T33</f>
        <v>879</v>
      </c>
      <c r="U33" s="115">
        <f>'N6'!U33+'K6'!U33</f>
        <v>156</v>
      </c>
      <c r="V33" s="115">
        <f>'N6'!V33+'K6'!V33</f>
        <v>34</v>
      </c>
      <c r="W33" s="115">
        <f>'N6'!W33+'K6'!W33</f>
        <v>0</v>
      </c>
      <c r="X33" s="116">
        <f>'N6'!X33+'K6'!X33</f>
        <v>0</v>
      </c>
      <c r="Y33" s="115">
        <f>'N6'!Y33+'K6'!Y33</f>
        <v>0</v>
      </c>
      <c r="Z33" s="116">
        <f>'N6'!Z33+'K6'!Z33</f>
        <v>62</v>
      </c>
      <c r="AA33" s="121">
        <f>'N6'!AA33+'K6'!AA33</f>
        <v>4</v>
      </c>
      <c r="AB33" s="121">
        <f>'N6'!AB33+'K6'!AB33</f>
        <v>6</v>
      </c>
      <c r="AC33" s="33">
        <f>'N6'!AC33+'K6'!AC33</f>
        <v>262</v>
      </c>
      <c r="AD33" s="12">
        <f>'N6'!AD33+'K6'!AD33</f>
        <v>3830</v>
      </c>
      <c r="AE33" s="39"/>
      <c r="AF33" s="39"/>
      <c r="AG33" s="39"/>
      <c r="AH33" s="39"/>
      <c r="AI33" s="39"/>
      <c r="AJ33" s="39"/>
    </row>
    <row r="34" spans="1:36" x14ac:dyDescent="0.2">
      <c r="A34" s="5">
        <f>DAY(Kalenteri!A181)</f>
        <v>30</v>
      </c>
      <c r="B34" s="3" t="str">
        <f>IF(Kalenteri!B181=1,"su",IF(Kalenteri!B181=2,"ma",IF(Kalenteri!B181=3,"ti",IF(Kalenteri!B181=4,"ke",IF(Kalenteri!B181=5,"to",IF(Kalenteri!B181=6,"pe",IF(Kalenteri!B181=7,"la",)))))))</f>
        <v>su</v>
      </c>
      <c r="C34" s="114">
        <f>'N6'!C34+'K6'!C34</f>
        <v>2287</v>
      </c>
      <c r="D34" s="115">
        <f>'N6'!D34+'K6'!D34</f>
        <v>471</v>
      </c>
      <c r="E34" s="115">
        <f>'N6'!E34+'K6'!E34</f>
        <v>4</v>
      </c>
      <c r="F34" s="116">
        <f>'N6'!F34+'K6'!F34</f>
        <v>53</v>
      </c>
      <c r="G34" s="114">
        <f>'N6'!G34+'K6'!G34</f>
        <v>48</v>
      </c>
      <c r="H34" s="116">
        <f>'N6'!H34+'K6'!H34</f>
        <v>698</v>
      </c>
      <c r="I34" s="114">
        <f>'N6'!I34+'K6'!I34</f>
        <v>54</v>
      </c>
      <c r="J34" s="116">
        <f>'N6'!J34+'K6'!J34</f>
        <v>81</v>
      </c>
      <c r="K34" s="33">
        <f>'N6'!K34+'K6'!K34</f>
        <v>3696</v>
      </c>
      <c r="L34" s="115">
        <f>'N6'!L34+'K6'!L34</f>
        <v>627</v>
      </c>
      <c r="M34" s="115">
        <f>'N6'!M34+'K6'!M34</f>
        <v>141</v>
      </c>
      <c r="N34" s="115">
        <f>'N6'!N34+'K6'!N34</f>
        <v>0</v>
      </c>
      <c r="O34" s="116">
        <f>'N6'!O34+'K6'!O34</f>
        <v>0</v>
      </c>
      <c r="P34" s="115">
        <f>'N6'!P34+'K6'!P34</f>
        <v>2</v>
      </c>
      <c r="Q34" s="116">
        <f>'N6'!Q34+'K6'!Q34</f>
        <v>186</v>
      </c>
      <c r="R34" s="121">
        <f>'N6'!R34+'K6'!R34</f>
        <v>64</v>
      </c>
      <c r="S34" s="121">
        <f>'N6'!S34+'K6'!S34</f>
        <v>96</v>
      </c>
      <c r="T34" s="33">
        <f>'N6'!T34+'K6'!T34</f>
        <v>1116</v>
      </c>
      <c r="U34" s="115">
        <f>'N6'!U34+'K6'!U34</f>
        <v>244</v>
      </c>
      <c r="V34" s="115">
        <f>'N6'!V34+'K6'!V34</f>
        <v>50</v>
      </c>
      <c r="W34" s="115">
        <f>'N6'!W34+'K6'!W34</f>
        <v>0</v>
      </c>
      <c r="X34" s="116">
        <f>'N6'!X34+'K6'!X34</f>
        <v>0</v>
      </c>
      <c r="Y34" s="115">
        <f>'N6'!Y34+'K6'!Y34</f>
        <v>0</v>
      </c>
      <c r="Z34" s="116">
        <f>'N6'!Z34+'K6'!Z34</f>
        <v>86</v>
      </c>
      <c r="AA34" s="121">
        <f>'N6'!AA34+'K6'!AA34</f>
        <v>10</v>
      </c>
      <c r="AB34" s="121">
        <f>'N6'!AB34+'K6'!AB34</f>
        <v>15</v>
      </c>
      <c r="AC34" s="33">
        <f>'N6'!AC34+'K6'!AC34</f>
        <v>405</v>
      </c>
      <c r="AD34" s="12">
        <f>'N6'!AD34+'K6'!AD34</f>
        <v>5217</v>
      </c>
      <c r="AE34" s="39"/>
      <c r="AF34" s="39"/>
      <c r="AG34" s="39"/>
      <c r="AH34" s="39"/>
      <c r="AI34" s="39"/>
      <c r="AJ34" s="39"/>
    </row>
    <row r="35" spans="1:36" x14ac:dyDescent="0.2">
      <c r="A35" s="5"/>
      <c r="B35" s="3"/>
      <c r="C35" s="117">
        <f>'N6'!C35+'K6'!C35</f>
        <v>0</v>
      </c>
      <c r="D35" s="118">
        <f>'N6'!D35+'K6'!D35</f>
        <v>0</v>
      </c>
      <c r="E35" s="118">
        <f>'N6'!E35+'K6'!E35</f>
        <v>0</v>
      </c>
      <c r="F35" s="119">
        <f>'N6'!F35+'K6'!F35</f>
        <v>0</v>
      </c>
      <c r="G35" s="117">
        <f>'N6'!G35+'K6'!G35</f>
        <v>0</v>
      </c>
      <c r="H35" s="119">
        <f>'N6'!H35+'K6'!H35</f>
        <v>0</v>
      </c>
      <c r="I35" s="117">
        <f>'N6'!I35+'K6'!I35</f>
        <v>0</v>
      </c>
      <c r="J35" s="119">
        <f>'N6'!J35+'K6'!J35</f>
        <v>0</v>
      </c>
      <c r="K35" s="34">
        <f>'N6'!K35+'K6'!K35</f>
        <v>0</v>
      </c>
      <c r="L35" s="122">
        <f>'N6'!L35+'K6'!L35</f>
        <v>0</v>
      </c>
      <c r="M35" s="122">
        <f>'N6'!M35+'K6'!M35</f>
        <v>0</v>
      </c>
      <c r="N35" s="122">
        <f>'N6'!N35+'K6'!N35</f>
        <v>0</v>
      </c>
      <c r="O35" s="123">
        <f>'N6'!O35+'K6'!O35</f>
        <v>0</v>
      </c>
      <c r="P35" s="122">
        <f>'N6'!P35+'K6'!P35</f>
        <v>0</v>
      </c>
      <c r="Q35" s="123">
        <f>'N6'!Q35+'K6'!Q35</f>
        <v>0</v>
      </c>
      <c r="R35" s="124">
        <f>'N6'!R35+'K6'!R35</f>
        <v>0</v>
      </c>
      <c r="S35" s="124">
        <f>'N6'!S35+'K6'!S35</f>
        <v>0</v>
      </c>
      <c r="T35" s="34">
        <f>'N6'!T35+'K6'!T35</f>
        <v>0</v>
      </c>
      <c r="U35" s="122">
        <f>'N6'!U35+'K6'!U35</f>
        <v>0</v>
      </c>
      <c r="V35" s="122">
        <f>'N6'!V35+'K6'!V35</f>
        <v>0</v>
      </c>
      <c r="W35" s="122">
        <f>'N6'!W35+'K6'!W35</f>
        <v>0</v>
      </c>
      <c r="X35" s="123">
        <f>'N6'!X35+'K6'!X35</f>
        <v>0</v>
      </c>
      <c r="Y35" s="122">
        <f>'N6'!Y35+'K6'!Y35</f>
        <v>0</v>
      </c>
      <c r="Z35" s="123">
        <f>'N6'!Z35+'K6'!Z35</f>
        <v>0</v>
      </c>
      <c r="AA35" s="124">
        <f>'N6'!AA35+'K6'!AA35</f>
        <v>0</v>
      </c>
      <c r="AB35" s="124">
        <f>'N6'!AB35+'K6'!AB35</f>
        <v>0</v>
      </c>
      <c r="AC35" s="34">
        <f>'N6'!AC35+'K6'!AC35</f>
        <v>0</v>
      </c>
      <c r="AD35" s="19">
        <f>'N6'!AD35+'K6'!AD35</f>
        <v>0</v>
      </c>
      <c r="AE35" s="39"/>
      <c r="AF35" s="39"/>
      <c r="AG35" s="39"/>
      <c r="AH35" s="39"/>
      <c r="AI35" s="39"/>
      <c r="AJ35" s="39"/>
    </row>
    <row r="36" spans="1:36" x14ac:dyDescent="0.2">
      <c r="A36" s="6"/>
      <c r="B36"/>
      <c r="C36" s="82">
        <f>'N6'!C36+'K6'!C36</f>
        <v>32785</v>
      </c>
      <c r="D36" s="83">
        <f>'N6'!D36+'K6'!D36</f>
        <v>10750</v>
      </c>
      <c r="E36" s="83">
        <f>'N6'!E36+'K6'!E36</f>
        <v>57</v>
      </c>
      <c r="F36" s="84">
        <f>'N6'!F36+'K6'!F36</f>
        <v>705</v>
      </c>
      <c r="G36" s="83">
        <f>'N6'!G36+'K6'!G36</f>
        <v>1571</v>
      </c>
      <c r="H36" s="84">
        <f>'N6'!H36+'K6'!H36</f>
        <v>13830</v>
      </c>
      <c r="I36" s="83">
        <f>'N6'!I36+'K6'!I36</f>
        <v>1079</v>
      </c>
      <c r="J36" s="84">
        <f>'N6'!J36+'K6'!J36</f>
        <v>1613</v>
      </c>
      <c r="K36" s="85">
        <f>'N6'!K36+'K6'!K36</f>
        <v>62390</v>
      </c>
      <c r="L36" s="83">
        <f>'N6'!L36+'K6'!L36</f>
        <v>13010</v>
      </c>
      <c r="M36" s="83">
        <f>'N6'!M36+'K6'!M36</f>
        <v>4051</v>
      </c>
      <c r="N36" s="83">
        <f>'N6'!N36+'K6'!N36</f>
        <v>0</v>
      </c>
      <c r="O36" s="84">
        <f>'N6'!O36+'K6'!O36</f>
        <v>17</v>
      </c>
      <c r="P36" s="83">
        <f>'N6'!P36+'K6'!P36</f>
        <v>301</v>
      </c>
      <c r="Q36" s="84">
        <f>'N6'!Q36+'K6'!Q36</f>
        <v>3443</v>
      </c>
      <c r="R36" s="86">
        <f>'N6'!R36+'K6'!R36</f>
        <v>826</v>
      </c>
      <c r="S36" s="86">
        <f>'N6'!S36+'K6'!S36</f>
        <v>1233</v>
      </c>
      <c r="T36" s="85">
        <f>'N6'!T36+'K6'!T36</f>
        <v>22881</v>
      </c>
      <c r="U36" s="83">
        <f>'N6'!U36+'K6'!U36</f>
        <v>3819</v>
      </c>
      <c r="V36" s="83">
        <f>'N6'!V36+'K6'!V36</f>
        <v>1284</v>
      </c>
      <c r="W36" s="83">
        <f>'N6'!W36+'K6'!W36</f>
        <v>0</v>
      </c>
      <c r="X36" s="84">
        <f>'N6'!X36+'K6'!X36</f>
        <v>1</v>
      </c>
      <c r="Y36" s="83">
        <f>'N6'!Y36+'K6'!Y36</f>
        <v>66</v>
      </c>
      <c r="Z36" s="84">
        <f>'N6'!Z36+'K6'!Z36</f>
        <v>1437</v>
      </c>
      <c r="AA36" s="86">
        <f>'N6'!AA36+'K6'!AA36</f>
        <v>212</v>
      </c>
      <c r="AB36" s="86">
        <f>'N6'!AB36+'K6'!AB36</f>
        <v>318</v>
      </c>
      <c r="AC36" s="85">
        <f>'N6'!AC36+'K6'!AC36</f>
        <v>7137</v>
      </c>
      <c r="AD36" s="87">
        <f>'N6'!AD36+'K6'!AD36</f>
        <v>92408</v>
      </c>
      <c r="AE36" s="66"/>
      <c r="AF36" s="66"/>
      <c r="AG36" s="66"/>
      <c r="AH36" s="66"/>
      <c r="AI36" s="66"/>
      <c r="AJ36" s="66"/>
    </row>
    <row r="37" spans="1:36" ht="8.1" customHeight="1" thickBot="1" x14ac:dyDescent="0.25">
      <c r="A37" s="6"/>
      <c r="B37"/>
      <c r="C37" s="2"/>
      <c r="D37" s="5"/>
      <c r="E37" s="5"/>
      <c r="F37" s="2"/>
      <c r="G37" s="2"/>
      <c r="H37" s="2"/>
      <c r="I37" s="5"/>
      <c r="J37" s="2"/>
      <c r="K37" s="2"/>
      <c r="L37" s="5"/>
      <c r="M37" s="2"/>
      <c r="N37" s="5"/>
      <c r="O37" s="5"/>
      <c r="P37" s="2"/>
      <c r="Q37" s="5"/>
      <c r="R37" s="42"/>
      <c r="S37" s="42"/>
      <c r="T37" s="2"/>
      <c r="U37" s="2"/>
      <c r="V37" s="2"/>
      <c r="W37" s="2"/>
      <c r="X37" s="5"/>
      <c r="Y37" s="2"/>
      <c r="Z37" s="2"/>
      <c r="AA37" s="39"/>
      <c r="AB37" s="39"/>
      <c r="AC37" s="5"/>
      <c r="AD37" s="40"/>
      <c r="AE37" s="40"/>
      <c r="AF37" s="40"/>
      <c r="AG37" s="40"/>
      <c r="AH37" s="40"/>
      <c r="AI37" s="40"/>
      <c r="AJ37" s="40"/>
    </row>
    <row r="38" spans="1:36" ht="24.95" customHeight="1" thickTop="1" x14ac:dyDescent="0.3">
      <c r="A38" s="6"/>
      <c r="B38"/>
      <c r="C38" s="171" t="str">
        <f>Kalenteri!E38</f>
        <v>Lippujen hinnat:</v>
      </c>
      <c r="D38" s="5"/>
      <c r="E38" s="5"/>
      <c r="F38" s="2"/>
      <c r="G38" s="2"/>
      <c r="H38" s="2"/>
      <c r="I38" s="5"/>
      <c r="J38" s="2"/>
      <c r="K38" s="2"/>
      <c r="L38" s="5"/>
      <c r="M38" s="2"/>
      <c r="N38" s="5"/>
      <c r="O38" s="5"/>
      <c r="P38" s="2"/>
      <c r="Q38"/>
      <c r="R38"/>
      <c r="S38"/>
      <c r="T38"/>
      <c r="U38" s="49" t="s">
        <v>12</v>
      </c>
      <c r="V38" s="50"/>
      <c r="W38" s="43"/>
      <c r="X38" s="44"/>
      <c r="Y38" s="43"/>
      <c r="Z38" s="43"/>
      <c r="AA38" s="44"/>
      <c r="AB38" s="44"/>
      <c r="AC38" s="47"/>
      <c r="AD38" s="45">
        <f>'N6'!AD38+'K6'!AD38</f>
        <v>92408</v>
      </c>
      <c r="AE38" s="41"/>
      <c r="AF38" s="41"/>
      <c r="AG38" s="41"/>
      <c r="AH38" s="41"/>
      <c r="AI38" s="41"/>
      <c r="AJ38" s="41"/>
    </row>
    <row r="39" spans="1:36" ht="24.95" customHeight="1" x14ac:dyDescent="0.3">
      <c r="A39" s="6"/>
      <c r="B39"/>
      <c r="C39" s="193" t="str">
        <f>Kalenteri!E39</f>
        <v>Mustikkamaan kautta: 1.9.-30.4. aik. 10 €, lapset 5 €, kimppalippu 30 €    1.5.-30.8. aik. 12 €, lapset 6 €, kimppalippu 36 €</v>
      </c>
      <c r="D39" s="89"/>
      <c r="E39" s="89"/>
      <c r="F39" s="90"/>
      <c r="G39" s="102"/>
      <c r="H39" s="174"/>
      <c r="I39" s="89"/>
      <c r="J39" s="90"/>
      <c r="K39" s="90"/>
      <c r="L39" s="89"/>
      <c r="M39" s="90"/>
      <c r="N39" s="89"/>
      <c r="O39" s="89"/>
      <c r="P39" s="89"/>
      <c r="Q39" s="104"/>
      <c r="R39" s="103"/>
      <c r="S39"/>
      <c r="T39"/>
      <c r="U39" s="62" t="s">
        <v>13</v>
      </c>
      <c r="V39" s="52"/>
      <c r="W39" s="53"/>
      <c r="X39" s="54"/>
      <c r="Y39" s="53"/>
      <c r="Z39" s="53"/>
      <c r="AA39" s="54"/>
      <c r="AB39" s="54"/>
      <c r="AC39" s="55"/>
      <c r="AD39" s="56">
        <f>'N6'!AD39+'K6'!AD39</f>
        <v>7093</v>
      </c>
      <c r="AE39" s="67"/>
      <c r="AF39" s="67"/>
      <c r="AG39" s="67"/>
      <c r="AH39" s="67"/>
      <c r="AI39" s="67"/>
      <c r="AJ39" s="67"/>
    </row>
    <row r="40" spans="1:36" ht="24.95" customHeight="1" x14ac:dyDescent="0.3">
      <c r="A40" s="6"/>
      <c r="B40" s="6"/>
      <c r="C40" s="194" t="str">
        <f>Kalenteri!E40</f>
        <v xml:space="preserve">                                    Vuosikortti:     aik. 50 €, lapset 20 €, perhekortti 100 €</v>
      </c>
      <c r="D40" s="39"/>
      <c r="E40" s="39"/>
      <c r="F40" s="42"/>
      <c r="G40" s="65"/>
      <c r="H40" s="176"/>
      <c r="I40" s="39"/>
      <c r="J40" s="42"/>
      <c r="K40" s="42"/>
      <c r="L40" s="39"/>
      <c r="M40" s="42"/>
      <c r="N40" s="39"/>
      <c r="O40" s="39"/>
      <c r="P40" s="39"/>
      <c r="Q40" s="23"/>
      <c r="R40" s="97"/>
      <c r="S40"/>
      <c r="T40"/>
      <c r="U40" s="63" t="s">
        <v>14</v>
      </c>
      <c r="V40" s="37"/>
      <c r="W40" s="51"/>
      <c r="X40" s="41"/>
      <c r="Y40" s="51"/>
      <c r="Z40" s="41"/>
      <c r="AA40" s="41"/>
      <c r="AB40" s="41"/>
      <c r="AC40" s="48"/>
      <c r="AD40" s="46">
        <f>'N6'!AD40+'K6'!AD40</f>
        <v>202410</v>
      </c>
      <c r="AE40" s="41"/>
      <c r="AF40" s="41"/>
      <c r="AG40" s="41"/>
      <c r="AH40" s="41"/>
      <c r="AI40" s="41"/>
      <c r="AJ40" s="41"/>
    </row>
    <row r="41" spans="1:36" ht="24.95" customHeight="1" thickBot="1" x14ac:dyDescent="0.35">
      <c r="A41" s="4"/>
      <c r="B41" s="4"/>
      <c r="C41" s="195" t="str">
        <f>Kalenteri!E41</f>
        <v>Vesibusseilla:             1.9.-30.4. aik. 16 €, lapset 8 €, kimppalippu 47 €    1.5.-31.8. aik. 18 €, lapset 9 €, kimppalippu 53 €</v>
      </c>
      <c r="D41" s="93"/>
      <c r="E41" s="93"/>
      <c r="F41" s="94"/>
      <c r="G41" s="94"/>
      <c r="H41" s="175"/>
      <c r="I41" s="93"/>
      <c r="J41" s="96"/>
      <c r="K41" s="96"/>
      <c r="L41" s="93"/>
      <c r="M41" s="95"/>
      <c r="N41" s="95"/>
      <c r="O41" s="93"/>
      <c r="P41" s="93"/>
      <c r="Q41" s="95"/>
      <c r="R41" s="98"/>
      <c r="S41"/>
      <c r="T41"/>
      <c r="U41" s="64" t="s">
        <v>13</v>
      </c>
      <c r="V41" s="57"/>
      <c r="W41" s="58"/>
      <c r="X41" s="59"/>
      <c r="Y41" s="59"/>
      <c r="Z41" s="59"/>
      <c r="AA41" s="59"/>
      <c r="AB41" s="59"/>
      <c r="AC41" s="60"/>
      <c r="AD41" s="61">
        <f>'N6'!AD41+'K6'!AD41</f>
        <v>5598</v>
      </c>
      <c r="AE41" s="68"/>
      <c r="AF41" s="68"/>
      <c r="AG41" s="68"/>
      <c r="AH41" s="68"/>
      <c r="AI41" s="68"/>
      <c r="AJ41" s="68"/>
    </row>
    <row r="42" spans="1:36" ht="13.5" thickTop="1" x14ac:dyDescent="0.2"/>
  </sheetData>
  <sheetProtection password="C4AC" sheet="1" objects="1" scenarios="1"/>
  <phoneticPr fontId="4" type="noConversion"/>
  <pageMargins left="0" right="0" top="0.27559055118110237" bottom="0" header="0" footer="0"/>
  <pageSetup paperSize="9" scale="75" fitToHeight="0" orientation="landscape" horizontalDpi="4294967292" verticalDpi="4294967292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5473" r:id="rId4" name="Button 1">
              <controlPr defaultSize="0" print="0" autoFill="0" autoLine="0" autoPict="0" macro="[1]!TAMMI">
                <anchor moveWithCells="1" sizeWithCells="1">
                  <from>
                    <xdr:col>35</xdr:col>
                    <xdr:colOff>0</xdr:colOff>
                    <xdr:row>3</xdr:row>
                    <xdr:rowOff>9525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74" r:id="rId5" name="Button 2">
              <controlPr defaultSize="0" print="0" autoFill="0" autoLine="0" autoPict="0" macro="[1]KTMAKRO!$A$1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75" r:id="rId6" name="Button 3">
              <controlPr defaultSize="0" print="0" autoFill="0" autoLine="0" autoPict="0" macro="[1]!MAALIS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76" r:id="rId7" name="Button 4">
              <controlPr defaultSize="0" print="0" autoFill="0" autoLine="0" autoPict="0" macro="[1]KTMAKRO!$D$1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77" r:id="rId8" name="Button 5">
              <controlPr defaultSize="0" print="0" autoFill="0" autoLine="0" autoPict="0" macro="[1]KTMAKRO!$E$1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78" r:id="rId9" name="Button 6">
              <controlPr defaultSize="0" print="0" autoFill="0" autoLine="0" autoPict="0" macro="[1]!KESÄ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79" r:id="rId10" name="Button 7">
              <controlPr defaultSize="0" print="0" autoFill="0" autoLine="0" autoPict="0" macro="[1]!HELMI">
                <anchor moveWithCells="1" sizeWithCells="1">
                  <from>
                    <xdr:col>35</xdr:col>
                    <xdr:colOff>0</xdr:colOff>
                    <xdr:row>3</xdr:row>
                    <xdr:rowOff>9525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80" r:id="rId11" name="Button 8">
              <controlPr defaultSize="0" print="0" autoFill="0" autoLine="0" autoPict="0" macro="[1]KTMAKRO!$G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81" r:id="rId12" name="Button 9">
              <controlPr defaultSize="0" print="0" autoFill="0" autoLine="0" autoPict="0" macro="[1]KTMAKRO!$I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82" r:id="rId13" name="Button 10">
              <controlPr defaultSize="0" print="0" autoFill="0" autoLine="0" autoPict="0" macro="[1]KTMAKRO!$J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83" r:id="rId14" name="Button 11">
              <controlPr defaultSize="0" print="0" autoFill="0" autoLine="0" autoPict="0" macro="[1]KTMAKRO!$K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84" r:id="rId15" name="Button 12">
              <controlPr defaultSize="0" print="0" autoFill="0" autoLine="0" autoPict="0" macro="[1]KTMAKRO!$L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85" r:id="rId16" name="Button 13">
              <controlPr defaultSize="0" print="0" autoFill="0" autoLine="0" autoPict="0" macro="[1]KTMAKRO!$H$1">
                <anchor moveWithCells="1" sizeWithCells="1">
                  <from>
                    <xdr:col>35</xdr:col>
                    <xdr:colOff>0</xdr:colOff>
                    <xdr:row>5</xdr:row>
                    <xdr:rowOff>0</xdr:rowOff>
                  </from>
                  <to>
                    <xdr:col>35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86" r:id="rId17" name="Button 14">
              <controlPr defaultSize="0" print="0" autoFill="0" autoLine="0" autoPict="0" macro="[1]!Yhteenveto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5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87" r:id="rId18" name="Button 15">
              <controlPr defaultSize="0" print="0" autoFill="0" autoLine="0" autoPict="0" macro="[1]!GRAFIIKKA1">
                <anchor moveWithCells="1" sizeWithCells="1">
                  <from>
                    <xdr:col>35</xdr:col>
                    <xdr:colOff>0</xdr:colOff>
                    <xdr:row>8</xdr:row>
                    <xdr:rowOff>142875</xdr:rowOff>
                  </from>
                  <to>
                    <xdr:col>35</xdr:col>
                    <xdr:colOff>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88" r:id="rId19" name="Button 16">
              <controlPr defaultSize="0" print="0" autoFill="0" autoLine="0" autoPict="0" macro="[1]!Grafiikka2">
                <anchor moveWithCells="1" sizeWithCells="1">
                  <from>
                    <xdr:col>35</xdr:col>
                    <xdr:colOff>0</xdr:colOff>
                    <xdr:row>8</xdr:row>
                    <xdr:rowOff>152400</xdr:rowOff>
                  </from>
                  <to>
                    <xdr:col>35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89" r:id="rId20" name="Button 17">
              <controlPr defaultSize="0" print="0" autoFill="0" autoLine="0" autoPict="0" macro="[1]!Grafiikka4">
                <anchor moveWithCells="1" sizeWithCells="1">
                  <from>
                    <xdr:col>35</xdr:col>
                    <xdr:colOff>0</xdr:colOff>
                    <xdr:row>8</xdr:row>
                    <xdr:rowOff>142875</xdr:rowOff>
                  </from>
                  <to>
                    <xdr:col>35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90" r:id="rId21" name="Button 18">
              <controlPr defaultSize="0" print="0" autoFill="0" autoLine="0" autoPict="0" macro="[1]!Grafiikka4">
                <anchor moveWithCells="1" sizeWithCells="1">
                  <from>
                    <xdr:col>35</xdr:col>
                    <xdr:colOff>0</xdr:colOff>
                    <xdr:row>8</xdr:row>
                    <xdr:rowOff>152400</xdr:rowOff>
                  </from>
                  <to>
                    <xdr:col>35</xdr:col>
                    <xdr:colOff>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91" r:id="rId22" name="Button 19">
              <controlPr defaultSize="0" print="0" autoFill="0" autoLine="0" autoPict="0" macro="[1]!Grafiikka5">
                <anchor moveWithCells="1" sizeWithCells="1">
                  <from>
                    <xdr:col>35</xdr:col>
                    <xdr:colOff>0</xdr:colOff>
                    <xdr:row>8</xdr:row>
                    <xdr:rowOff>152400</xdr:rowOff>
                  </from>
                  <to>
                    <xdr:col>35</xdr:col>
                    <xdr:colOff>0</xdr:colOff>
                    <xdr:row>12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92" r:id="rId23" name="Button 20">
              <controlPr defaultSize="0" print="0" autoFill="0" autoLine="0" autoPict="0" macro="[1]!Perusikkuna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12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/>
  <dimension ref="A1:AJ42"/>
  <sheetViews>
    <sheetView showGridLines="0" zoomScale="80" zoomScaleNormal="80" workbookViewId="0"/>
  </sheetViews>
  <sheetFormatPr defaultColWidth="9.75" defaultRowHeight="12.75" x14ac:dyDescent="0.2"/>
  <cols>
    <col min="1" max="1" width="3.75" style="1" customWidth="1"/>
    <col min="2" max="2" width="2.75" style="1" customWidth="1"/>
    <col min="3" max="4" width="6.125" style="1" customWidth="1"/>
    <col min="5" max="5" width="4" style="1" customWidth="1"/>
    <col min="6" max="6" width="4.5" style="1" customWidth="1"/>
    <col min="7" max="10" width="6.125" style="1" customWidth="1"/>
    <col min="11" max="11" width="5.875" style="1" customWidth="1"/>
    <col min="12" max="13" width="6.125" style="1" customWidth="1"/>
    <col min="14" max="14" width="5.25" style="1" customWidth="1"/>
    <col min="15" max="15" width="4.5" style="1" customWidth="1"/>
    <col min="16" max="16" width="6.125" style="1" customWidth="1"/>
    <col min="17" max="17" width="5.5" style="1" customWidth="1"/>
    <col min="18" max="19" width="6.125" style="1" customWidth="1"/>
    <col min="20" max="20" width="5.875" style="1" customWidth="1"/>
    <col min="21" max="22" width="6.125" style="1" customWidth="1"/>
    <col min="23" max="23" width="4.375" style="1" customWidth="1"/>
    <col min="24" max="24" width="4.25" style="1" customWidth="1"/>
    <col min="25" max="29" width="6.125" style="1" customWidth="1"/>
    <col min="30" max="36" width="15.625" style="1" customWidth="1"/>
  </cols>
  <sheetData>
    <row r="1" spans="1:36" ht="30" customHeight="1" x14ac:dyDescent="0.35">
      <c r="A1" s="22"/>
      <c r="B1" s="4"/>
      <c r="C1" s="105" t="s">
        <v>15</v>
      </c>
      <c r="D1" s="106"/>
      <c r="E1" s="106"/>
      <c r="F1" s="106"/>
      <c r="G1" s="106"/>
      <c r="H1" s="106"/>
      <c r="I1" s="106"/>
      <c r="J1" s="106"/>
      <c r="K1" s="106"/>
      <c r="L1" s="105" t="str">
        <f>Kalenteri!$H$1</f>
        <v>KÄVIJÄTILASTO 2013</v>
      </c>
      <c r="M1" s="107"/>
      <c r="N1" s="107"/>
      <c r="O1" s="107"/>
      <c r="P1" s="106"/>
      <c r="Q1" s="106"/>
      <c r="R1" s="105" t="s">
        <v>76</v>
      </c>
      <c r="S1" s="108"/>
      <c r="T1" s="106"/>
      <c r="U1" s="109"/>
      <c r="V1" s="105" t="s">
        <v>42</v>
      </c>
      <c r="W1" s="109"/>
      <c r="X1" s="106"/>
      <c r="Y1" s="106"/>
      <c r="Z1" s="106"/>
      <c r="AA1" s="106"/>
      <c r="AB1" s="106"/>
      <c r="AC1" s="106"/>
      <c r="AD1" s="110"/>
      <c r="AE1" s="4"/>
      <c r="AF1" s="4"/>
      <c r="AG1" s="4"/>
      <c r="AH1" s="4"/>
      <c r="AI1" s="4"/>
      <c r="AJ1" s="4"/>
    </row>
    <row r="2" spans="1:36" ht="30" customHeight="1" x14ac:dyDescent="0.3">
      <c r="A2" s="3"/>
      <c r="B2" s="4"/>
      <c r="C2" s="72"/>
      <c r="D2" s="73"/>
      <c r="E2" s="74" t="s">
        <v>1</v>
      </c>
      <c r="F2" s="75"/>
      <c r="G2" s="75"/>
      <c r="H2" s="75"/>
      <c r="I2" s="75"/>
      <c r="J2" s="75"/>
      <c r="K2" s="76"/>
      <c r="L2" s="72"/>
      <c r="M2" s="77"/>
      <c r="N2" s="73"/>
      <c r="O2" s="74" t="s">
        <v>2</v>
      </c>
      <c r="P2" s="75"/>
      <c r="Q2" s="75"/>
      <c r="R2" s="75"/>
      <c r="S2" s="75"/>
      <c r="T2" s="76"/>
      <c r="U2" s="72"/>
      <c r="V2" s="75"/>
      <c r="W2" s="73"/>
      <c r="X2" s="74" t="s">
        <v>3</v>
      </c>
      <c r="Y2" s="75"/>
      <c r="Z2" s="75"/>
      <c r="AA2" s="75"/>
      <c r="AB2" s="75"/>
      <c r="AC2" s="76"/>
      <c r="AD2" s="13"/>
      <c r="AE2" s="35"/>
      <c r="AF2" s="69"/>
      <c r="AG2" s="69"/>
      <c r="AH2" s="69"/>
      <c r="AI2" s="69"/>
      <c r="AJ2" s="69"/>
    </row>
    <row r="3" spans="1:36" x14ac:dyDescent="0.2">
      <c r="A3" s="4"/>
      <c r="B3" s="4"/>
      <c r="C3" s="24" t="s">
        <v>4</v>
      </c>
      <c r="D3" s="25"/>
      <c r="E3" s="25"/>
      <c r="F3" s="26"/>
      <c r="G3" s="24" t="s">
        <v>5</v>
      </c>
      <c r="H3" s="26"/>
      <c r="I3" s="25" t="s">
        <v>6</v>
      </c>
      <c r="J3" s="25"/>
      <c r="K3" s="27"/>
      <c r="L3" s="24" t="s">
        <v>4</v>
      </c>
      <c r="M3" s="25"/>
      <c r="N3" s="25"/>
      <c r="O3" s="26"/>
      <c r="P3" s="24" t="s">
        <v>5</v>
      </c>
      <c r="Q3" s="26"/>
      <c r="R3" s="25" t="s">
        <v>6</v>
      </c>
      <c r="S3" s="25"/>
      <c r="T3" s="27"/>
      <c r="U3" s="24" t="s">
        <v>4</v>
      </c>
      <c r="V3" s="25"/>
      <c r="W3" s="25"/>
      <c r="X3" s="26"/>
      <c r="Y3" s="24" t="s">
        <v>5</v>
      </c>
      <c r="Z3" s="26"/>
      <c r="AA3" s="25" t="s">
        <v>6</v>
      </c>
      <c r="AB3" s="25"/>
      <c r="AC3" s="27"/>
      <c r="AD3" s="36" t="s">
        <v>7</v>
      </c>
      <c r="AE3" s="38"/>
      <c r="AF3" s="70"/>
      <c r="AG3" s="70"/>
      <c r="AH3" s="70"/>
      <c r="AI3" s="70"/>
      <c r="AJ3"/>
    </row>
    <row r="4" spans="1:36" x14ac:dyDescent="0.2">
      <c r="A4" s="6"/>
      <c r="B4" s="4"/>
      <c r="C4" s="7" t="s">
        <v>8</v>
      </c>
      <c r="D4" s="8" t="s">
        <v>9</v>
      </c>
      <c r="E4" s="8" t="s">
        <v>10</v>
      </c>
      <c r="F4" s="9" t="s">
        <v>11</v>
      </c>
      <c r="G4" s="7" t="s">
        <v>8</v>
      </c>
      <c r="H4" s="9" t="s">
        <v>9</v>
      </c>
      <c r="I4" s="8" t="s">
        <v>8</v>
      </c>
      <c r="J4" s="8" t="s">
        <v>9</v>
      </c>
      <c r="K4" s="14" t="s">
        <v>0</v>
      </c>
      <c r="L4" s="7" t="s">
        <v>8</v>
      </c>
      <c r="M4" s="8" t="s">
        <v>9</v>
      </c>
      <c r="N4" s="8" t="s">
        <v>10</v>
      </c>
      <c r="O4" s="9" t="s">
        <v>11</v>
      </c>
      <c r="P4" s="7" t="s">
        <v>8</v>
      </c>
      <c r="Q4" s="9" t="s">
        <v>9</v>
      </c>
      <c r="R4" s="8" t="s">
        <v>8</v>
      </c>
      <c r="S4" s="8" t="s">
        <v>9</v>
      </c>
      <c r="T4" s="14" t="s">
        <v>0</v>
      </c>
      <c r="U4" s="7" t="s">
        <v>8</v>
      </c>
      <c r="V4" s="8" t="s">
        <v>9</v>
      </c>
      <c r="W4" s="8" t="s">
        <v>10</v>
      </c>
      <c r="X4" s="9" t="s">
        <v>11</v>
      </c>
      <c r="Y4" s="7" t="s">
        <v>8</v>
      </c>
      <c r="Z4" s="9" t="s">
        <v>9</v>
      </c>
      <c r="AA4" s="8" t="s">
        <v>8</v>
      </c>
      <c r="AB4" s="8" t="s">
        <v>9</v>
      </c>
      <c r="AC4" s="14" t="s">
        <v>0</v>
      </c>
      <c r="AD4" s="28"/>
      <c r="AE4" s="23"/>
      <c r="AF4" s="23"/>
      <c r="AG4" s="23"/>
      <c r="AH4" s="23"/>
      <c r="AI4" s="23"/>
      <c r="AJ4"/>
    </row>
    <row r="5" spans="1:36" x14ac:dyDescent="0.2">
      <c r="A5" s="5">
        <f>DAY(Kalenteri!A182)</f>
        <v>1</v>
      </c>
      <c r="B5" s="3" t="str">
        <f>IF(Kalenteri!B182=1,"su",IF(Kalenteri!B182=2,"ma",IF(Kalenteri!B182=3,"ti",IF(Kalenteri!B182=4,"ke",IF(Kalenteri!B182=5,"to",IF(Kalenteri!B182=6,"pe",IF(Kalenteri!B182=7,"la",)))))))</f>
        <v>ma</v>
      </c>
      <c r="C5" s="111">
        <f>'N7'!C5+'K7'!C5</f>
        <v>1291</v>
      </c>
      <c r="D5" s="112">
        <f>'N7'!D5+'K7'!D5</f>
        <v>487</v>
      </c>
      <c r="E5" s="112">
        <f>'N7'!E5+'K7'!E5</f>
        <v>4</v>
      </c>
      <c r="F5" s="113">
        <f>'N7'!F5+'K7'!F5</f>
        <v>28</v>
      </c>
      <c r="G5" s="111">
        <f>'N7'!G5+'K7'!G5</f>
        <v>68</v>
      </c>
      <c r="H5" s="113">
        <f>'N7'!H5+'K7'!H5</f>
        <v>540</v>
      </c>
      <c r="I5" s="111">
        <f>'N7'!I5+'K7'!I5</f>
        <v>46</v>
      </c>
      <c r="J5" s="113">
        <f>'N7'!J5+'K7'!J5</f>
        <v>69</v>
      </c>
      <c r="K5" s="32">
        <f>'N7'!K5+'K7'!K5</f>
        <v>2533</v>
      </c>
      <c r="L5" s="112">
        <f>'N7'!L5+'K7'!L5</f>
        <v>601</v>
      </c>
      <c r="M5" s="112">
        <f>'N7'!M5+'K7'!M5</f>
        <v>218</v>
      </c>
      <c r="N5" s="112">
        <f>'N7'!N5+'K7'!N5</f>
        <v>0</v>
      </c>
      <c r="O5" s="113">
        <f>'N7'!O5+'K7'!O5</f>
        <v>0</v>
      </c>
      <c r="P5" s="112">
        <f>'N7'!P5+'K7'!P5</f>
        <v>0</v>
      </c>
      <c r="Q5" s="113">
        <f>'N7'!Q5+'K7'!Q5</f>
        <v>178</v>
      </c>
      <c r="R5" s="120">
        <f>'N7'!R5+'K7'!R5</f>
        <v>30</v>
      </c>
      <c r="S5" s="120">
        <f>'N7'!S5+'K7'!S5</f>
        <v>45</v>
      </c>
      <c r="T5" s="32">
        <f>'N7'!T5+'K7'!T5</f>
        <v>1072</v>
      </c>
      <c r="U5" s="112">
        <f>'N7'!U5+'K7'!U5</f>
        <v>200</v>
      </c>
      <c r="V5" s="112">
        <f>'N7'!V5+'K7'!V5</f>
        <v>59</v>
      </c>
      <c r="W5" s="112">
        <f>'N7'!W5+'K7'!W5</f>
        <v>0</v>
      </c>
      <c r="X5" s="113">
        <f>'N7'!X5+'K7'!X5</f>
        <v>0</v>
      </c>
      <c r="Y5" s="112">
        <f>'N7'!Y5+'K7'!Y5</f>
        <v>0</v>
      </c>
      <c r="Z5" s="113">
        <f>'N7'!Z5+'K7'!Z5</f>
        <v>90</v>
      </c>
      <c r="AA5" s="120">
        <f>'N7'!AA5+'K7'!AA5</f>
        <v>12</v>
      </c>
      <c r="AB5" s="120">
        <f>'N7'!AB5+'K7'!AB5</f>
        <v>18</v>
      </c>
      <c r="AC5" s="32">
        <f>'N7'!AC5+'K7'!AC5</f>
        <v>379</v>
      </c>
      <c r="AD5" s="17">
        <f>'N7'!AD5+'K7'!AD5</f>
        <v>3984</v>
      </c>
      <c r="AE5" s="39"/>
      <c r="AF5" s="39"/>
      <c r="AG5" s="39"/>
      <c r="AH5" s="39"/>
      <c r="AI5" s="39"/>
      <c r="AJ5"/>
    </row>
    <row r="6" spans="1:36" x14ac:dyDescent="0.2">
      <c r="A6" s="5">
        <f>DAY(Kalenteri!A183)</f>
        <v>2</v>
      </c>
      <c r="B6" s="3" t="str">
        <f>IF(Kalenteri!B183=1,"su",IF(Kalenteri!B183=2,"ma",IF(Kalenteri!B183=3,"ti",IF(Kalenteri!B183=4,"ke",IF(Kalenteri!B183=5,"to",IF(Kalenteri!B183=6,"pe",IF(Kalenteri!B183=7,"la",)))))))</f>
        <v>ti</v>
      </c>
      <c r="C6" s="114">
        <f>'N7'!C6+'K7'!C6</f>
        <v>2082</v>
      </c>
      <c r="D6" s="115">
        <f>'N7'!D6+'K7'!D6</f>
        <v>681</v>
      </c>
      <c r="E6" s="115">
        <f>'N7'!E6+'K7'!E6</f>
        <v>7</v>
      </c>
      <c r="F6" s="116">
        <f>'N7'!F6+'K7'!F6</f>
        <v>38</v>
      </c>
      <c r="G6" s="114">
        <f>'N7'!G6+'K7'!G6</f>
        <v>101</v>
      </c>
      <c r="H6" s="116">
        <f>'N7'!H6+'K7'!H6</f>
        <v>868</v>
      </c>
      <c r="I6" s="114">
        <f>'N7'!I6+'K7'!I6</f>
        <v>91</v>
      </c>
      <c r="J6" s="116">
        <f>'N7'!J6+'K7'!J6</f>
        <v>137</v>
      </c>
      <c r="K6" s="33">
        <f>'N7'!K6+'K7'!K6</f>
        <v>4005</v>
      </c>
      <c r="L6" s="115">
        <f>'N7'!L6+'K7'!L6</f>
        <v>939</v>
      </c>
      <c r="M6" s="115">
        <f>'N7'!M6+'K7'!M6</f>
        <v>408</v>
      </c>
      <c r="N6" s="115">
        <f>'N7'!N6+'K7'!N6</f>
        <v>0</v>
      </c>
      <c r="O6" s="116">
        <f>'N7'!O6+'K7'!O6</f>
        <v>0</v>
      </c>
      <c r="P6" s="115">
        <f>'N7'!P6+'K7'!P6</f>
        <v>0</v>
      </c>
      <c r="Q6" s="116">
        <f>'N7'!Q6+'K7'!Q6</f>
        <v>259</v>
      </c>
      <c r="R6" s="121">
        <f>'N7'!R6+'K7'!R6</f>
        <v>44</v>
      </c>
      <c r="S6" s="121">
        <f>'N7'!S6+'K7'!S6</f>
        <v>66</v>
      </c>
      <c r="T6" s="33">
        <f>'N7'!T6+'K7'!T6</f>
        <v>1716</v>
      </c>
      <c r="U6" s="115">
        <f>'N7'!U6+'K7'!U6</f>
        <v>260</v>
      </c>
      <c r="V6" s="115">
        <f>'N7'!V6+'K7'!V6</f>
        <v>90</v>
      </c>
      <c r="W6" s="115">
        <f>'N7'!W6+'K7'!W6</f>
        <v>0</v>
      </c>
      <c r="X6" s="116">
        <f>'N7'!X6+'K7'!X6</f>
        <v>0</v>
      </c>
      <c r="Y6" s="115">
        <f>'N7'!Y6+'K7'!Y6</f>
        <v>0</v>
      </c>
      <c r="Z6" s="116">
        <f>'N7'!Z6+'K7'!Z6</f>
        <v>109</v>
      </c>
      <c r="AA6" s="121">
        <f>'N7'!AA6+'K7'!AA6</f>
        <v>12</v>
      </c>
      <c r="AB6" s="121">
        <f>'N7'!AB6+'K7'!AB6</f>
        <v>18</v>
      </c>
      <c r="AC6" s="33">
        <f>'N7'!AC6+'K7'!AC6</f>
        <v>489</v>
      </c>
      <c r="AD6" s="12">
        <f>'N7'!AD6+'K7'!AD6</f>
        <v>6210</v>
      </c>
      <c r="AE6" s="39"/>
      <c r="AF6" s="39"/>
      <c r="AG6" s="39"/>
      <c r="AH6" s="39"/>
      <c r="AI6" s="39"/>
      <c r="AJ6"/>
    </row>
    <row r="7" spans="1:36" x14ac:dyDescent="0.2">
      <c r="A7" s="5">
        <f>DAY(Kalenteri!A184)</f>
        <v>3</v>
      </c>
      <c r="B7" s="3" t="str">
        <f>IF(Kalenteri!B184=1,"su",IF(Kalenteri!B184=2,"ma",IF(Kalenteri!B184=3,"ti",IF(Kalenteri!B184=4,"ke",IF(Kalenteri!B184=5,"to",IF(Kalenteri!B184=6,"pe",IF(Kalenteri!B184=7,"la",)))))))</f>
        <v>ke</v>
      </c>
      <c r="C7" s="114">
        <f>'N7'!C7+'K7'!C7</f>
        <v>1742</v>
      </c>
      <c r="D7" s="115">
        <f>'N7'!D7+'K7'!D7</f>
        <v>612</v>
      </c>
      <c r="E7" s="115">
        <f>'N7'!E7+'K7'!E7</f>
        <v>4</v>
      </c>
      <c r="F7" s="116">
        <f>'N7'!F7+'K7'!F7</f>
        <v>17</v>
      </c>
      <c r="G7" s="114">
        <f>'N7'!G7+'K7'!G7</f>
        <v>93</v>
      </c>
      <c r="H7" s="116">
        <f>'N7'!H7+'K7'!H7</f>
        <v>677</v>
      </c>
      <c r="I7" s="114">
        <f>'N7'!I7+'K7'!I7</f>
        <v>110</v>
      </c>
      <c r="J7" s="116">
        <f>'N7'!J7+'K7'!J7</f>
        <v>165</v>
      </c>
      <c r="K7" s="33">
        <f>'N7'!K7+'K7'!K7</f>
        <v>3420</v>
      </c>
      <c r="L7" s="115">
        <f>'N7'!L7+'K7'!L7</f>
        <v>787</v>
      </c>
      <c r="M7" s="115">
        <f>'N7'!M7+'K7'!M7</f>
        <v>250</v>
      </c>
      <c r="N7" s="115">
        <f>'N7'!N7+'K7'!N7</f>
        <v>0</v>
      </c>
      <c r="O7" s="116">
        <f>'N7'!O7+'K7'!O7</f>
        <v>1</v>
      </c>
      <c r="P7" s="115">
        <f>'N7'!P7+'K7'!P7</f>
        <v>2</v>
      </c>
      <c r="Q7" s="116">
        <f>'N7'!Q7+'K7'!Q7</f>
        <v>288</v>
      </c>
      <c r="R7" s="121">
        <f>'N7'!R7+'K7'!R7</f>
        <v>64</v>
      </c>
      <c r="S7" s="121">
        <f>'N7'!S7+'K7'!S7</f>
        <v>96</v>
      </c>
      <c r="T7" s="33">
        <f>'N7'!T7+'K7'!T7</f>
        <v>1488</v>
      </c>
      <c r="U7" s="115">
        <f>'N7'!U7+'K7'!U7</f>
        <v>169</v>
      </c>
      <c r="V7" s="115">
        <f>'N7'!V7+'K7'!V7</f>
        <v>65</v>
      </c>
      <c r="W7" s="115">
        <f>'N7'!W7+'K7'!W7</f>
        <v>0</v>
      </c>
      <c r="X7" s="116">
        <f>'N7'!X7+'K7'!X7</f>
        <v>0</v>
      </c>
      <c r="Y7" s="115">
        <f>'N7'!Y7+'K7'!Y7</f>
        <v>0</v>
      </c>
      <c r="Z7" s="116">
        <f>'N7'!Z7+'K7'!Z7</f>
        <v>70</v>
      </c>
      <c r="AA7" s="121">
        <f>'N7'!AA7+'K7'!AA7</f>
        <v>8</v>
      </c>
      <c r="AB7" s="121">
        <f>'N7'!AB7+'K7'!AB7</f>
        <v>12</v>
      </c>
      <c r="AC7" s="33">
        <f>'N7'!AC7+'K7'!AC7</f>
        <v>324</v>
      </c>
      <c r="AD7" s="12">
        <f>'N7'!AD7+'K7'!AD7</f>
        <v>5232</v>
      </c>
      <c r="AE7" s="39"/>
      <c r="AF7" s="39"/>
      <c r="AG7" s="39"/>
      <c r="AH7" s="39"/>
      <c r="AI7" s="39"/>
      <c r="AJ7"/>
    </row>
    <row r="8" spans="1:36" x14ac:dyDescent="0.2">
      <c r="A8" s="5">
        <f>DAY(Kalenteri!A185)</f>
        <v>4</v>
      </c>
      <c r="B8" s="3" t="str">
        <f>IF(Kalenteri!B185=1,"su",IF(Kalenteri!B185=2,"ma",IF(Kalenteri!B185=3,"ti",IF(Kalenteri!B185=4,"ke",IF(Kalenteri!B185=5,"to",IF(Kalenteri!B185=6,"pe",IF(Kalenteri!B185=7,"la",)))))))</f>
        <v>to</v>
      </c>
      <c r="C8" s="114">
        <f>'N7'!C8+'K7'!C8</f>
        <v>390</v>
      </c>
      <c r="D8" s="115">
        <f>'N7'!D8+'K7'!D8</f>
        <v>658</v>
      </c>
      <c r="E8" s="115">
        <f>'N7'!E8+'K7'!E8</f>
        <v>4</v>
      </c>
      <c r="F8" s="116">
        <f>'N7'!F8+'K7'!F8</f>
        <v>16</v>
      </c>
      <c r="G8" s="114">
        <f>'N7'!G8+'K7'!G8</f>
        <v>67</v>
      </c>
      <c r="H8" s="116">
        <f>'N7'!H8+'K7'!H8</f>
        <v>729</v>
      </c>
      <c r="I8" s="114">
        <f>'N7'!I8+'K7'!I8</f>
        <v>115</v>
      </c>
      <c r="J8" s="116">
        <f>'N7'!J8+'K7'!J8</f>
        <v>79</v>
      </c>
      <c r="K8" s="33">
        <f>'N7'!K8+'K7'!K8</f>
        <v>2058</v>
      </c>
      <c r="L8" s="115">
        <f>'N7'!L8+'K7'!L8</f>
        <v>869</v>
      </c>
      <c r="M8" s="115">
        <f>'N7'!M8+'K7'!M8</f>
        <v>285</v>
      </c>
      <c r="N8" s="115">
        <f>'N7'!N8+'K7'!N8</f>
        <v>0</v>
      </c>
      <c r="O8" s="116">
        <f>'N7'!O8+'K7'!O8</f>
        <v>0</v>
      </c>
      <c r="P8" s="115">
        <f>'N7'!P8+'K7'!P8</f>
        <v>2</v>
      </c>
      <c r="Q8" s="116">
        <f>'N7'!Q8+'K7'!Q8</f>
        <v>289</v>
      </c>
      <c r="R8" s="121">
        <f>'N7'!R8+'K7'!R8</f>
        <v>74</v>
      </c>
      <c r="S8" s="121">
        <f>'N7'!S8+'K7'!S8</f>
        <v>111</v>
      </c>
      <c r="T8" s="33">
        <f>'N7'!T8+'K7'!T8</f>
        <v>1630</v>
      </c>
      <c r="U8" s="115">
        <f>'N7'!U8+'K7'!U8</f>
        <v>251</v>
      </c>
      <c r="V8" s="115">
        <f>'N7'!V8+'K7'!V8</f>
        <v>69</v>
      </c>
      <c r="W8" s="115">
        <f>'N7'!W8+'K7'!W8</f>
        <v>0</v>
      </c>
      <c r="X8" s="116">
        <f>'N7'!X8+'K7'!X8</f>
        <v>0</v>
      </c>
      <c r="Y8" s="115">
        <f>'N7'!Y8+'K7'!Y8</f>
        <v>6</v>
      </c>
      <c r="Z8" s="116">
        <f>'N7'!Z8+'K7'!Z8</f>
        <v>128</v>
      </c>
      <c r="AA8" s="121">
        <f>'N7'!AA8+'K7'!AA8</f>
        <v>10</v>
      </c>
      <c r="AB8" s="121">
        <f>'N7'!AB8+'K7'!AB8</f>
        <v>15</v>
      </c>
      <c r="AC8" s="33">
        <f>'N7'!AC8+'K7'!AC8</f>
        <v>479</v>
      </c>
      <c r="AD8" s="12">
        <f>'N7'!AD8+'K7'!AD8</f>
        <v>4167</v>
      </c>
      <c r="AE8" s="39"/>
      <c r="AF8" s="39"/>
      <c r="AG8" s="39"/>
      <c r="AH8" s="39"/>
      <c r="AI8" s="39"/>
      <c r="AJ8"/>
    </row>
    <row r="9" spans="1:36" x14ac:dyDescent="0.2">
      <c r="A9" s="5">
        <f>DAY(Kalenteri!A186)</f>
        <v>5</v>
      </c>
      <c r="B9" s="3" t="str">
        <f>IF(Kalenteri!B186=1,"su",IF(Kalenteri!B186=2,"ma",IF(Kalenteri!B186=3,"ti",IF(Kalenteri!B186=4,"ke",IF(Kalenteri!B186=5,"to",IF(Kalenteri!B186=6,"pe",IF(Kalenteri!B186=7,"la",)))))))</f>
        <v>pe</v>
      </c>
      <c r="C9" s="114">
        <f>'N7'!C9+'K7'!C9</f>
        <v>1220</v>
      </c>
      <c r="D9" s="115">
        <f>'N7'!D9+'K7'!D9</f>
        <v>403</v>
      </c>
      <c r="E9" s="115">
        <f>'N7'!E9+'K7'!E9</f>
        <v>3</v>
      </c>
      <c r="F9" s="116">
        <f>'N7'!F9+'K7'!F9</f>
        <v>18</v>
      </c>
      <c r="G9" s="114">
        <f>'N7'!G9+'K7'!G9</f>
        <v>57</v>
      </c>
      <c r="H9" s="116">
        <f>'N7'!H9+'K7'!H9</f>
        <v>473</v>
      </c>
      <c r="I9" s="114">
        <f>'N7'!I9+'K7'!I9</f>
        <v>42</v>
      </c>
      <c r="J9" s="116">
        <f>'N7'!J9+'K7'!J9</f>
        <v>64</v>
      </c>
      <c r="K9" s="33">
        <f>'N7'!K9+'K7'!K9</f>
        <v>2280</v>
      </c>
      <c r="L9" s="115">
        <f>'N7'!L9+'K7'!L9</f>
        <v>575</v>
      </c>
      <c r="M9" s="115">
        <f>'N7'!M9+'K7'!M9</f>
        <v>199</v>
      </c>
      <c r="N9" s="115">
        <f>'N7'!N9+'K7'!N9</f>
        <v>0</v>
      </c>
      <c r="O9" s="116">
        <f>'N7'!O9+'K7'!O9</f>
        <v>0</v>
      </c>
      <c r="P9" s="115">
        <f>'N7'!P9+'K7'!P9</f>
        <v>0</v>
      </c>
      <c r="Q9" s="116">
        <f>'N7'!Q9+'K7'!Q9</f>
        <v>143</v>
      </c>
      <c r="R9" s="121">
        <f>'N7'!R9+'K7'!R9</f>
        <v>52</v>
      </c>
      <c r="S9" s="121">
        <f>'N7'!S9+'K7'!S9</f>
        <v>78</v>
      </c>
      <c r="T9" s="33">
        <f>'N7'!T9+'K7'!T9</f>
        <v>1047</v>
      </c>
      <c r="U9" s="115">
        <f>'N7'!U9+'K7'!U9</f>
        <v>169</v>
      </c>
      <c r="V9" s="115">
        <f>'N7'!V9+'K7'!V9</f>
        <v>42</v>
      </c>
      <c r="W9" s="115">
        <f>'N7'!W9+'K7'!W9</f>
        <v>0</v>
      </c>
      <c r="X9" s="116">
        <f>'N7'!X9+'K7'!X9</f>
        <v>0</v>
      </c>
      <c r="Y9" s="115">
        <f>'N7'!Y9+'K7'!Y9</f>
        <v>0</v>
      </c>
      <c r="Z9" s="116">
        <f>'N7'!Z9+'K7'!Z9</f>
        <v>72</v>
      </c>
      <c r="AA9" s="121">
        <f>'N7'!AA9+'K7'!AA9</f>
        <v>10</v>
      </c>
      <c r="AB9" s="121">
        <f>'N7'!AB9+'K7'!AB9</f>
        <v>15</v>
      </c>
      <c r="AC9" s="33">
        <f>'N7'!AC9+'K7'!AC9</f>
        <v>308</v>
      </c>
      <c r="AD9" s="12">
        <f>'N7'!AD9+'K7'!AD9</f>
        <v>3635</v>
      </c>
      <c r="AE9" s="39"/>
      <c r="AF9" s="39"/>
      <c r="AG9" s="39"/>
      <c r="AH9" s="39"/>
      <c r="AI9" s="39"/>
      <c r="AJ9"/>
    </row>
    <row r="10" spans="1:36" x14ac:dyDescent="0.2">
      <c r="A10" s="5">
        <f>DAY(Kalenteri!A187)</f>
        <v>6</v>
      </c>
      <c r="B10" s="3" t="str">
        <f>IF(Kalenteri!B187=1,"su",IF(Kalenteri!B187=2,"ma",IF(Kalenteri!B187=3,"ti",IF(Kalenteri!B187=4,"ke",IF(Kalenteri!B187=5,"to",IF(Kalenteri!B187=6,"pe",IF(Kalenteri!B187=7,"la",)))))))</f>
        <v>la</v>
      </c>
      <c r="C10" s="114">
        <f>'N7'!C10+'K7'!C10</f>
        <v>2097</v>
      </c>
      <c r="D10" s="115">
        <f>'N7'!D10+'K7'!D10</f>
        <v>498</v>
      </c>
      <c r="E10" s="115">
        <f>'N7'!E10+'K7'!E10</f>
        <v>0</v>
      </c>
      <c r="F10" s="116">
        <f>'N7'!F10+'K7'!F10</f>
        <v>39</v>
      </c>
      <c r="G10" s="114">
        <f>'N7'!G10+'K7'!G10</f>
        <v>51</v>
      </c>
      <c r="H10" s="116">
        <f>'N7'!H10+'K7'!H10</f>
        <v>724</v>
      </c>
      <c r="I10" s="114">
        <f>'N7'!I10+'K7'!I10</f>
        <v>110</v>
      </c>
      <c r="J10" s="116">
        <f>'N7'!J10+'K7'!J10</f>
        <v>162</v>
      </c>
      <c r="K10" s="33">
        <f>'N7'!K10+'K7'!K10</f>
        <v>3681</v>
      </c>
      <c r="L10" s="115">
        <f>'N7'!L10+'K7'!L10</f>
        <v>888</v>
      </c>
      <c r="M10" s="115">
        <f>'N7'!M10+'K7'!M10</f>
        <v>202</v>
      </c>
      <c r="N10" s="115">
        <f>'N7'!N10+'K7'!N10</f>
        <v>0</v>
      </c>
      <c r="O10" s="116">
        <f>'N7'!O10+'K7'!O10</f>
        <v>0</v>
      </c>
      <c r="P10" s="115">
        <f>'N7'!P10+'K7'!P10</f>
        <v>6</v>
      </c>
      <c r="Q10" s="116">
        <f>'N7'!Q10+'K7'!Q10</f>
        <v>287</v>
      </c>
      <c r="R10" s="121">
        <f>'N7'!R10+'K7'!R10</f>
        <v>50</v>
      </c>
      <c r="S10" s="121">
        <f>'N7'!S10+'K7'!S10</f>
        <v>75</v>
      </c>
      <c r="T10" s="33">
        <f>'N7'!T10+'K7'!T10</f>
        <v>1508</v>
      </c>
      <c r="U10" s="115">
        <f>'N7'!U10+'K7'!U10</f>
        <v>269</v>
      </c>
      <c r="V10" s="115">
        <f>'N7'!V10+'K7'!V10</f>
        <v>77</v>
      </c>
      <c r="W10" s="115">
        <f>'N7'!W10+'K7'!W10</f>
        <v>0</v>
      </c>
      <c r="X10" s="116">
        <f>'N7'!X10+'K7'!X10</f>
        <v>0</v>
      </c>
      <c r="Y10" s="115">
        <f>'N7'!Y10+'K7'!Y10</f>
        <v>0</v>
      </c>
      <c r="Z10" s="116">
        <f>'N7'!Z10+'K7'!Z10</f>
        <v>91</v>
      </c>
      <c r="AA10" s="121">
        <f>'N7'!AA10+'K7'!AA10</f>
        <v>10</v>
      </c>
      <c r="AB10" s="121">
        <f>'N7'!AB10+'K7'!AB10</f>
        <v>15</v>
      </c>
      <c r="AC10" s="33">
        <f>'N7'!AC10+'K7'!AC10</f>
        <v>462</v>
      </c>
      <c r="AD10" s="12">
        <f>'N7'!AD10+'K7'!AD10</f>
        <v>5651</v>
      </c>
      <c r="AE10" s="39"/>
      <c r="AF10" s="39"/>
      <c r="AG10" s="39"/>
      <c r="AH10" s="39"/>
      <c r="AI10" s="39"/>
      <c r="AJ10"/>
    </row>
    <row r="11" spans="1:36" x14ac:dyDescent="0.2">
      <c r="A11" s="5">
        <f>DAY(Kalenteri!A188)</f>
        <v>7</v>
      </c>
      <c r="B11" s="3" t="str">
        <f>IF(Kalenteri!B188=1,"su",IF(Kalenteri!B188=2,"ma",IF(Kalenteri!B188=3,"ti",IF(Kalenteri!B188=4,"ke",IF(Kalenteri!B188=5,"to",IF(Kalenteri!B188=6,"pe",IF(Kalenteri!B188=7,"la",)))))))</f>
        <v>su</v>
      </c>
      <c r="C11" s="114">
        <f>'N7'!C11+'K7'!C11</f>
        <v>2086</v>
      </c>
      <c r="D11" s="115">
        <f>'N7'!D11+'K7'!D11</f>
        <v>473</v>
      </c>
      <c r="E11" s="115">
        <f>'N7'!E11+'K7'!E11</f>
        <v>8</v>
      </c>
      <c r="F11" s="116">
        <f>'N7'!F11+'K7'!F11</f>
        <v>35</v>
      </c>
      <c r="G11" s="114">
        <f>'N7'!G11+'K7'!G11</f>
        <v>52</v>
      </c>
      <c r="H11" s="116">
        <f>'N7'!H11+'K7'!H11</f>
        <v>645</v>
      </c>
      <c r="I11" s="114">
        <f>'N7'!I11+'K7'!I11</f>
        <v>78</v>
      </c>
      <c r="J11" s="116">
        <f>'N7'!J11+'K7'!J11</f>
        <v>117</v>
      </c>
      <c r="K11" s="33">
        <f>'N7'!K11+'K7'!K11</f>
        <v>3494</v>
      </c>
      <c r="L11" s="115">
        <f>'N7'!L11+'K7'!L11</f>
        <v>887</v>
      </c>
      <c r="M11" s="115">
        <f>'N7'!M11+'K7'!M11</f>
        <v>187</v>
      </c>
      <c r="N11" s="115">
        <f>'N7'!N11+'K7'!N11</f>
        <v>0</v>
      </c>
      <c r="O11" s="116">
        <f>'N7'!O11+'K7'!O11</f>
        <v>2</v>
      </c>
      <c r="P11" s="115">
        <f>'N7'!P11+'K7'!P11</f>
        <v>0</v>
      </c>
      <c r="Q11" s="116">
        <f>'N7'!Q11+'K7'!Q11</f>
        <v>183</v>
      </c>
      <c r="R11" s="121">
        <f>'N7'!R11+'K7'!R11</f>
        <v>70</v>
      </c>
      <c r="S11" s="121">
        <f>'N7'!S11+'K7'!S11</f>
        <v>105</v>
      </c>
      <c r="T11" s="33">
        <f>'N7'!T11+'K7'!T11</f>
        <v>1434</v>
      </c>
      <c r="U11" s="115">
        <f>'N7'!U11+'K7'!U11</f>
        <v>255</v>
      </c>
      <c r="V11" s="115">
        <f>'N7'!V11+'K7'!V11</f>
        <v>61</v>
      </c>
      <c r="W11" s="115">
        <f>'N7'!W11+'K7'!W11</f>
        <v>0</v>
      </c>
      <c r="X11" s="116">
        <f>'N7'!X11+'K7'!X11</f>
        <v>0</v>
      </c>
      <c r="Y11" s="115">
        <f>'N7'!Y11+'K7'!Y11</f>
        <v>0</v>
      </c>
      <c r="Z11" s="116">
        <f>'N7'!Z11+'K7'!Z11</f>
        <v>63</v>
      </c>
      <c r="AA11" s="121">
        <f>'N7'!AA11+'K7'!AA11</f>
        <v>16</v>
      </c>
      <c r="AB11" s="121">
        <f>'N7'!AB11+'K7'!AB11</f>
        <v>24</v>
      </c>
      <c r="AC11" s="33">
        <f>'N7'!AC11+'K7'!AC11</f>
        <v>419</v>
      </c>
      <c r="AD11" s="12">
        <f>'N7'!AD11+'K7'!AD11</f>
        <v>5347</v>
      </c>
      <c r="AE11" s="39"/>
      <c r="AF11" s="39"/>
      <c r="AG11" s="39"/>
      <c r="AH11" s="39"/>
      <c r="AI11" s="39"/>
      <c r="AJ11"/>
    </row>
    <row r="12" spans="1:36" x14ac:dyDescent="0.2">
      <c r="A12" s="5">
        <f>DAY(Kalenteri!A189)</f>
        <v>8</v>
      </c>
      <c r="B12" s="3" t="str">
        <f>IF(Kalenteri!B189=1,"su",IF(Kalenteri!B189=2,"ma",IF(Kalenteri!B189=3,"ti",IF(Kalenteri!B189=4,"ke",IF(Kalenteri!B189=5,"to",IF(Kalenteri!B189=6,"pe",IF(Kalenteri!B189=7,"la",)))))))</f>
        <v>ma</v>
      </c>
      <c r="C12" s="114">
        <f>'N7'!C12+'K7'!C12</f>
        <v>1656</v>
      </c>
      <c r="D12" s="115">
        <f>'N7'!D12+'K7'!D12</f>
        <v>476</v>
      </c>
      <c r="E12" s="115">
        <f>'N7'!E12+'K7'!E12</f>
        <v>4</v>
      </c>
      <c r="F12" s="116">
        <f>'N7'!F12+'K7'!F12</f>
        <v>7</v>
      </c>
      <c r="G12" s="114">
        <f>'N7'!G12+'K7'!G12</f>
        <v>54</v>
      </c>
      <c r="H12" s="116">
        <f>'N7'!H12+'K7'!H12</f>
        <v>655</v>
      </c>
      <c r="I12" s="114">
        <f>'N7'!I12+'K7'!I12</f>
        <v>56</v>
      </c>
      <c r="J12" s="116">
        <f>'N7'!J12+'K7'!J12</f>
        <v>84</v>
      </c>
      <c r="K12" s="33">
        <f>'N7'!K12+'K7'!K12</f>
        <v>2992</v>
      </c>
      <c r="L12" s="115">
        <f>'N7'!L12+'K7'!L12</f>
        <v>699</v>
      </c>
      <c r="M12" s="115">
        <f>'N7'!M12+'K7'!M12</f>
        <v>212</v>
      </c>
      <c r="N12" s="115">
        <f>'N7'!N12+'K7'!N12</f>
        <v>0</v>
      </c>
      <c r="O12" s="116">
        <f>'N7'!O12+'K7'!O12</f>
        <v>0</v>
      </c>
      <c r="P12" s="115">
        <f>'N7'!P12+'K7'!P12</f>
        <v>0</v>
      </c>
      <c r="Q12" s="116">
        <f>'N7'!Q12+'K7'!Q12</f>
        <v>222</v>
      </c>
      <c r="R12" s="121">
        <f>'N7'!R12+'K7'!R12</f>
        <v>86</v>
      </c>
      <c r="S12" s="121">
        <f>'N7'!S12+'K7'!S12</f>
        <v>129</v>
      </c>
      <c r="T12" s="33">
        <f>'N7'!T12+'K7'!T12</f>
        <v>1348</v>
      </c>
      <c r="U12" s="115">
        <f>'N7'!U12+'K7'!U12</f>
        <v>194</v>
      </c>
      <c r="V12" s="115">
        <f>'N7'!V12+'K7'!V12</f>
        <v>60</v>
      </c>
      <c r="W12" s="115">
        <f>'N7'!W12+'K7'!W12</f>
        <v>0</v>
      </c>
      <c r="X12" s="116">
        <f>'N7'!X12+'K7'!X12</f>
        <v>0</v>
      </c>
      <c r="Y12" s="115">
        <f>'N7'!Y12+'K7'!Y12</f>
        <v>0</v>
      </c>
      <c r="Z12" s="116">
        <f>'N7'!Z12+'K7'!Z12</f>
        <v>82</v>
      </c>
      <c r="AA12" s="121">
        <f>'N7'!AA12+'K7'!AA12</f>
        <v>12</v>
      </c>
      <c r="AB12" s="121">
        <f>'N7'!AB12+'K7'!AB12</f>
        <v>18</v>
      </c>
      <c r="AC12" s="33">
        <f>'N7'!AC12+'K7'!AC12</f>
        <v>366</v>
      </c>
      <c r="AD12" s="12">
        <f>'N7'!AD12+'K7'!AD12</f>
        <v>4706</v>
      </c>
      <c r="AE12" s="39"/>
      <c r="AF12" s="39"/>
      <c r="AG12" s="39"/>
      <c r="AH12" s="39"/>
      <c r="AI12" s="39"/>
      <c r="AJ12"/>
    </row>
    <row r="13" spans="1:36" x14ac:dyDescent="0.2">
      <c r="A13" s="5">
        <f>DAY(Kalenteri!A190)</f>
        <v>9</v>
      </c>
      <c r="B13" s="3" t="str">
        <f>IF(Kalenteri!B190=1,"su",IF(Kalenteri!B190=2,"ma",IF(Kalenteri!B190=3,"ti",IF(Kalenteri!B190=4,"ke",IF(Kalenteri!B190=5,"to",IF(Kalenteri!B190=6,"pe",IF(Kalenteri!B190=7,"la",)))))))</f>
        <v>ti</v>
      </c>
      <c r="C13" s="114">
        <f>'N7'!C13+'K7'!C13</f>
        <v>2296</v>
      </c>
      <c r="D13" s="115">
        <f>'N7'!D13+'K7'!D13</f>
        <v>688</v>
      </c>
      <c r="E13" s="115">
        <f>'N7'!E13+'K7'!E13</f>
        <v>3</v>
      </c>
      <c r="F13" s="116">
        <f>'N7'!F13+'K7'!F13</f>
        <v>28</v>
      </c>
      <c r="G13" s="114">
        <f>'N7'!G13+'K7'!G13</f>
        <v>92</v>
      </c>
      <c r="H13" s="116">
        <f>'N7'!H13+'K7'!H13</f>
        <v>932</v>
      </c>
      <c r="I13" s="114">
        <f>'N7'!I13+'K7'!I13</f>
        <v>110</v>
      </c>
      <c r="J13" s="116">
        <f>'N7'!J13+'K7'!J13</f>
        <v>165</v>
      </c>
      <c r="K13" s="33">
        <f>'N7'!K13+'K7'!K13</f>
        <v>4314</v>
      </c>
      <c r="L13" s="115">
        <f>'N7'!L13+'K7'!L13</f>
        <v>1179</v>
      </c>
      <c r="M13" s="115">
        <f>'N7'!M13+'K7'!M13</f>
        <v>383</v>
      </c>
      <c r="N13" s="115">
        <f>'N7'!N13+'K7'!N13</f>
        <v>0</v>
      </c>
      <c r="O13" s="116">
        <f>'N7'!O13+'K7'!O13</f>
        <v>1</v>
      </c>
      <c r="P13" s="115">
        <f>'N7'!P13+'K7'!P13</f>
        <v>6</v>
      </c>
      <c r="Q13" s="116">
        <f>'N7'!Q13+'K7'!Q13</f>
        <v>404</v>
      </c>
      <c r="R13" s="121">
        <f>'N7'!R13+'K7'!R13</f>
        <v>56</v>
      </c>
      <c r="S13" s="121">
        <f>'N7'!S13+'K7'!S13</f>
        <v>84</v>
      </c>
      <c r="T13" s="33">
        <f>'N7'!T13+'K7'!T13</f>
        <v>2113</v>
      </c>
      <c r="U13" s="115">
        <f>'N7'!U13+'K7'!U13</f>
        <v>304</v>
      </c>
      <c r="V13" s="115">
        <f>'N7'!V13+'K7'!V13</f>
        <v>0</v>
      </c>
      <c r="W13" s="115">
        <f>'N7'!W13+'K7'!W13</f>
        <v>0</v>
      </c>
      <c r="X13" s="116">
        <f>'N7'!X13+'K7'!X13</f>
        <v>0</v>
      </c>
      <c r="Y13" s="115">
        <f>'N7'!Y13+'K7'!Y13</f>
        <v>0</v>
      </c>
      <c r="Z13" s="116">
        <f>'N7'!Z13+'K7'!Z13</f>
        <v>91</v>
      </c>
      <c r="AA13" s="121">
        <f>'N7'!AA13+'K7'!AA13</f>
        <v>18</v>
      </c>
      <c r="AB13" s="121">
        <f>'N7'!AB13+'K7'!AB13</f>
        <v>27</v>
      </c>
      <c r="AC13" s="33">
        <f>'N7'!AC13+'K7'!AC13</f>
        <v>440</v>
      </c>
      <c r="AD13" s="12">
        <f>'N7'!AD13+'K7'!AD13</f>
        <v>6867</v>
      </c>
      <c r="AE13" s="39"/>
      <c r="AF13" s="39"/>
      <c r="AG13" s="39"/>
      <c r="AH13" s="39"/>
      <c r="AI13" s="39"/>
      <c r="AJ13"/>
    </row>
    <row r="14" spans="1:36" x14ac:dyDescent="0.2">
      <c r="A14" s="5">
        <f>DAY(Kalenteri!A191)</f>
        <v>10</v>
      </c>
      <c r="B14" s="3" t="str">
        <f>IF(Kalenteri!B191=1,"su",IF(Kalenteri!B191=2,"ma",IF(Kalenteri!B191=3,"ti",IF(Kalenteri!B191=4,"ke",IF(Kalenteri!B191=5,"to",IF(Kalenteri!B191=6,"pe",IF(Kalenteri!B191=7,"la",)))))))</f>
        <v>ke</v>
      </c>
      <c r="C14" s="114">
        <f>'N7'!C14+'K7'!C14</f>
        <v>811</v>
      </c>
      <c r="D14" s="115">
        <f>'N7'!D14+'K7'!D14</f>
        <v>243</v>
      </c>
      <c r="E14" s="115">
        <f>'N7'!E14+'K7'!E14</f>
        <v>0</v>
      </c>
      <c r="F14" s="116">
        <f>'N7'!F14+'K7'!F14</f>
        <v>2</v>
      </c>
      <c r="G14" s="114">
        <f>'N7'!G14+'K7'!G14</f>
        <v>39</v>
      </c>
      <c r="H14" s="116">
        <f>'N7'!H14+'K7'!H14</f>
        <v>300</v>
      </c>
      <c r="I14" s="114">
        <f>'N7'!I14+'K7'!I14</f>
        <v>36</v>
      </c>
      <c r="J14" s="116">
        <f>'N7'!J14+'K7'!J14</f>
        <v>54</v>
      </c>
      <c r="K14" s="33">
        <f>'N7'!K14+'K7'!K14</f>
        <v>1485</v>
      </c>
      <c r="L14" s="115">
        <f>'N7'!L14+'K7'!L14</f>
        <v>327</v>
      </c>
      <c r="M14" s="115">
        <f>'N7'!M14+'K7'!M14</f>
        <v>99</v>
      </c>
      <c r="N14" s="115">
        <f>'N7'!N14+'K7'!N14</f>
        <v>0</v>
      </c>
      <c r="O14" s="116">
        <f>'N7'!O14+'K7'!O14</f>
        <v>0</v>
      </c>
      <c r="P14" s="115">
        <f>'N7'!P14+'K7'!P14</f>
        <v>2</v>
      </c>
      <c r="Q14" s="116">
        <f>'N7'!Q14+'K7'!Q14</f>
        <v>84</v>
      </c>
      <c r="R14" s="121">
        <f>'N7'!R14+'K7'!R14</f>
        <v>32</v>
      </c>
      <c r="S14" s="121">
        <f>'N7'!S14+'K7'!S14</f>
        <v>48</v>
      </c>
      <c r="T14" s="33">
        <f>'N7'!T14+'K7'!T14</f>
        <v>592</v>
      </c>
      <c r="U14" s="115">
        <f>'N7'!U14+'K7'!U14</f>
        <v>69</v>
      </c>
      <c r="V14" s="115">
        <f>'N7'!V14+'K7'!V14</f>
        <v>37</v>
      </c>
      <c r="W14" s="115">
        <f>'N7'!W14+'K7'!W14</f>
        <v>0</v>
      </c>
      <c r="X14" s="116">
        <f>'N7'!X14+'K7'!X14</f>
        <v>0</v>
      </c>
      <c r="Y14" s="115">
        <f>'N7'!Y14+'K7'!Y14</f>
        <v>0</v>
      </c>
      <c r="Z14" s="116">
        <f>'N7'!Z14+'K7'!Z14</f>
        <v>27</v>
      </c>
      <c r="AA14" s="121">
        <f>'N7'!AA14+'K7'!AA14</f>
        <v>4</v>
      </c>
      <c r="AB14" s="121">
        <f>'N7'!AB14+'K7'!AB14</f>
        <v>6</v>
      </c>
      <c r="AC14" s="33">
        <f>'N7'!AC14+'K7'!AC14</f>
        <v>143</v>
      </c>
      <c r="AD14" s="12">
        <f>'N7'!AD14+'K7'!AD14</f>
        <v>2220</v>
      </c>
      <c r="AE14" s="39"/>
      <c r="AF14" s="39"/>
      <c r="AG14" s="39"/>
      <c r="AH14" s="39"/>
      <c r="AI14" s="39"/>
      <c r="AJ14"/>
    </row>
    <row r="15" spans="1:36" x14ac:dyDescent="0.2">
      <c r="A15" s="5">
        <f>DAY(Kalenteri!A192)</f>
        <v>11</v>
      </c>
      <c r="B15" s="3" t="str">
        <f>IF(Kalenteri!B192=1,"su",IF(Kalenteri!B192=2,"ma",IF(Kalenteri!B192=3,"ti",IF(Kalenteri!B192=4,"ke",IF(Kalenteri!B192=5,"to",IF(Kalenteri!B192=6,"pe",IF(Kalenteri!B192=7,"la",)))))))</f>
        <v>to</v>
      </c>
      <c r="C15" s="114">
        <f>'N7'!C15+'K7'!C15</f>
        <v>2252</v>
      </c>
      <c r="D15" s="115">
        <f>'N7'!D15+'K7'!D15</f>
        <v>675</v>
      </c>
      <c r="E15" s="115">
        <f>'N7'!E15+'K7'!E15</f>
        <v>8</v>
      </c>
      <c r="F15" s="116">
        <f>'N7'!F15+'K7'!F15</f>
        <v>30</v>
      </c>
      <c r="G15" s="114">
        <f>'N7'!G15+'K7'!G15</f>
        <v>77</v>
      </c>
      <c r="H15" s="116">
        <f>'N7'!H15+'K7'!H15</f>
        <v>867</v>
      </c>
      <c r="I15" s="114">
        <f>'N7'!I15+'K7'!I15</f>
        <v>98</v>
      </c>
      <c r="J15" s="116">
        <f>'N7'!J15+'K7'!J15</f>
        <v>147</v>
      </c>
      <c r="K15" s="33">
        <f>'N7'!K15+'K7'!K15</f>
        <v>4154</v>
      </c>
      <c r="L15" s="115">
        <f>'N7'!L15+'K7'!L15</f>
        <v>971</v>
      </c>
      <c r="M15" s="115">
        <f>'N7'!M15+'K7'!M15</f>
        <v>302</v>
      </c>
      <c r="N15" s="115">
        <f>'N7'!N15+'K7'!N15</f>
        <v>0</v>
      </c>
      <c r="O15" s="116">
        <f>'N7'!O15+'K7'!O15</f>
        <v>0</v>
      </c>
      <c r="P15" s="115">
        <f>'N7'!P15+'K7'!P15</f>
        <v>2</v>
      </c>
      <c r="Q15" s="116">
        <f>'N7'!Q15+'K7'!Q15</f>
        <v>280</v>
      </c>
      <c r="R15" s="121">
        <f>'N7'!R15+'K7'!R15</f>
        <v>104</v>
      </c>
      <c r="S15" s="121">
        <f>'N7'!S15+'K7'!S15</f>
        <v>156</v>
      </c>
      <c r="T15" s="33">
        <f>'N7'!T15+'K7'!T15</f>
        <v>1815</v>
      </c>
      <c r="U15" s="115">
        <f>'N7'!U15+'K7'!U15</f>
        <v>284</v>
      </c>
      <c r="V15" s="115">
        <f>'N7'!V15+'K7'!V15</f>
        <v>73</v>
      </c>
      <c r="W15" s="115">
        <f>'N7'!W15+'K7'!W15</f>
        <v>0</v>
      </c>
      <c r="X15" s="116">
        <f>'N7'!X15+'K7'!X15</f>
        <v>0</v>
      </c>
      <c r="Y15" s="115">
        <f>'N7'!Y15+'K7'!Y15</f>
        <v>0</v>
      </c>
      <c r="Z15" s="116">
        <f>'N7'!Z15+'K7'!Z15</f>
        <v>116</v>
      </c>
      <c r="AA15" s="121">
        <f>'N7'!AA15+'K7'!AA15</f>
        <v>22</v>
      </c>
      <c r="AB15" s="121">
        <f>'N7'!AB15+'K7'!AB15</f>
        <v>33</v>
      </c>
      <c r="AC15" s="33">
        <f>'N7'!AC15+'K7'!AC15</f>
        <v>528</v>
      </c>
      <c r="AD15" s="12">
        <f>'N7'!AD15+'K7'!AD15</f>
        <v>6497</v>
      </c>
      <c r="AE15" s="39"/>
      <c r="AF15" s="39"/>
      <c r="AG15" s="39"/>
      <c r="AH15" s="39"/>
      <c r="AI15" s="39"/>
      <c r="AJ15"/>
    </row>
    <row r="16" spans="1:36" x14ac:dyDescent="0.2">
      <c r="A16" s="5">
        <f>DAY(Kalenteri!A193)</f>
        <v>12</v>
      </c>
      <c r="B16" s="3" t="str">
        <f>IF(Kalenteri!B193=1,"su",IF(Kalenteri!B193=2,"ma",IF(Kalenteri!B193=3,"ti",IF(Kalenteri!B193=4,"ke",IF(Kalenteri!B193=5,"to",IF(Kalenteri!B193=6,"pe",IF(Kalenteri!B193=7,"la",)))))))</f>
        <v>pe</v>
      </c>
      <c r="C16" s="114">
        <f>'N7'!C16+'K7'!C16</f>
        <v>1600</v>
      </c>
      <c r="D16" s="115">
        <f>'N7'!D16+'K7'!D16</f>
        <v>466</v>
      </c>
      <c r="E16" s="115">
        <f>'N7'!E16+'K7'!E16</f>
        <v>18</v>
      </c>
      <c r="F16" s="116">
        <f>'N7'!F16+'K7'!F16</f>
        <v>18</v>
      </c>
      <c r="G16" s="114">
        <f>'N7'!G16+'K7'!G16</f>
        <v>69</v>
      </c>
      <c r="H16" s="116">
        <f>'N7'!H16+'K7'!H16</f>
        <v>666</v>
      </c>
      <c r="I16" s="114">
        <f>'N7'!I16+'K7'!I16</f>
        <v>66</v>
      </c>
      <c r="J16" s="116">
        <f>'N7'!J16+'K7'!J16</f>
        <v>99</v>
      </c>
      <c r="K16" s="33">
        <f>'N7'!K16+'K7'!K16</f>
        <v>3002</v>
      </c>
      <c r="L16" s="115">
        <f>'N7'!L16+'K7'!L16</f>
        <v>777</v>
      </c>
      <c r="M16" s="115">
        <f>'N7'!M16+'K7'!M16</f>
        <v>182</v>
      </c>
      <c r="N16" s="115">
        <f>'N7'!N16+'K7'!N16</f>
        <v>0</v>
      </c>
      <c r="O16" s="116">
        <f>'N7'!O16+'K7'!O16</f>
        <v>0</v>
      </c>
      <c r="P16" s="115">
        <f>'N7'!P16+'K7'!P16</f>
        <v>0</v>
      </c>
      <c r="Q16" s="116">
        <f>'N7'!Q16+'K7'!Q16</f>
        <v>226</v>
      </c>
      <c r="R16" s="121">
        <f>'N7'!R16+'K7'!R16</f>
        <v>66</v>
      </c>
      <c r="S16" s="121">
        <f>'N7'!S16+'K7'!S16</f>
        <v>99</v>
      </c>
      <c r="T16" s="33">
        <f>'N7'!T16+'K7'!T16</f>
        <v>1350</v>
      </c>
      <c r="U16" s="115">
        <f>'N7'!U16+'K7'!U16</f>
        <v>191</v>
      </c>
      <c r="V16" s="115">
        <f>'N7'!V16+'K7'!V16</f>
        <v>56</v>
      </c>
      <c r="W16" s="115">
        <f>'N7'!W16+'K7'!W16</f>
        <v>0</v>
      </c>
      <c r="X16" s="116">
        <f>'N7'!X16+'K7'!X16</f>
        <v>0</v>
      </c>
      <c r="Y16" s="115">
        <f>'N7'!Y16+'K7'!Y16</f>
        <v>0</v>
      </c>
      <c r="Z16" s="116">
        <f>'N7'!Z16+'K7'!Z16</f>
        <v>89</v>
      </c>
      <c r="AA16" s="121">
        <f>'N7'!AA16+'K7'!AA16</f>
        <v>10</v>
      </c>
      <c r="AB16" s="121">
        <f>'N7'!AB16+'K7'!AB16</f>
        <v>15</v>
      </c>
      <c r="AC16" s="33">
        <f>'N7'!AC16+'K7'!AC16</f>
        <v>361</v>
      </c>
      <c r="AD16" s="12">
        <f>'N7'!AD16+'K7'!AD16</f>
        <v>4713</v>
      </c>
      <c r="AE16" s="39"/>
      <c r="AF16" s="39"/>
      <c r="AG16" s="39"/>
      <c r="AH16" s="39"/>
      <c r="AI16" s="39"/>
      <c r="AJ16"/>
    </row>
    <row r="17" spans="1:36" x14ac:dyDescent="0.2">
      <c r="A17" s="5">
        <f>DAY(Kalenteri!A194)</f>
        <v>13</v>
      </c>
      <c r="B17" s="3" t="str">
        <f>IF(Kalenteri!B194=1,"su",IF(Kalenteri!B194=2,"ma",IF(Kalenteri!B194=3,"ti",IF(Kalenteri!B194=4,"ke",IF(Kalenteri!B194=5,"to",IF(Kalenteri!B194=6,"pe",IF(Kalenteri!B194=7,"la",)))))))</f>
        <v>la</v>
      </c>
      <c r="C17" s="114">
        <f>'N7'!C17+'K7'!C17</f>
        <v>2524</v>
      </c>
      <c r="D17" s="115">
        <f>'N7'!D17+'K7'!D17</f>
        <v>563</v>
      </c>
      <c r="E17" s="115">
        <f>'N7'!E17+'K7'!E17</f>
        <v>5</v>
      </c>
      <c r="F17" s="116">
        <f>'N7'!F17+'K7'!F17</f>
        <v>34</v>
      </c>
      <c r="G17" s="114">
        <f>'N7'!G17+'K7'!G17</f>
        <v>56</v>
      </c>
      <c r="H17" s="116">
        <f>'N7'!H17+'K7'!H17</f>
        <v>786</v>
      </c>
      <c r="I17" s="114">
        <f>'N7'!I17+'K7'!I17</f>
        <v>102</v>
      </c>
      <c r="J17" s="116">
        <f>'N7'!J17+'K7'!J17</f>
        <v>153</v>
      </c>
      <c r="K17" s="33">
        <f>'N7'!K17+'K7'!K17</f>
        <v>4223</v>
      </c>
      <c r="L17" s="115">
        <f>'N7'!L17+'K7'!L17</f>
        <v>1128</v>
      </c>
      <c r="M17" s="115">
        <f>'N7'!M17+'K7'!M17</f>
        <v>251</v>
      </c>
      <c r="N17" s="115">
        <f>'N7'!N17+'K7'!N17</f>
        <v>0</v>
      </c>
      <c r="O17" s="116">
        <f>'N7'!O17+'K7'!O17</f>
        <v>0</v>
      </c>
      <c r="P17" s="115">
        <f>'N7'!P17+'K7'!P17</f>
        <v>0</v>
      </c>
      <c r="Q17" s="116">
        <f>'N7'!Q17+'K7'!Q17</f>
        <v>243</v>
      </c>
      <c r="R17" s="121">
        <f>'N7'!R17+'K7'!R17</f>
        <v>68</v>
      </c>
      <c r="S17" s="121">
        <f>'N7'!S17+'K7'!S17</f>
        <v>102</v>
      </c>
      <c r="T17" s="33">
        <f>'N7'!T17+'K7'!T17</f>
        <v>1792</v>
      </c>
      <c r="U17" s="115">
        <f>'N7'!U17+'K7'!U17</f>
        <v>346</v>
      </c>
      <c r="V17" s="115">
        <f>'N7'!V17+'K7'!V17</f>
        <v>64</v>
      </c>
      <c r="W17" s="115">
        <f>'N7'!W17+'K7'!W17</f>
        <v>0</v>
      </c>
      <c r="X17" s="116">
        <f>'N7'!X17+'K7'!X17</f>
        <v>0</v>
      </c>
      <c r="Y17" s="115">
        <f>'N7'!Y17+'K7'!Y17</f>
        <v>0</v>
      </c>
      <c r="Z17" s="116">
        <f>'N7'!Z17+'K7'!Z17</f>
        <v>120</v>
      </c>
      <c r="AA17" s="121">
        <f>'N7'!AA17+'K7'!AA17</f>
        <v>6</v>
      </c>
      <c r="AB17" s="121">
        <f>'N7'!AB17+'K7'!AB17</f>
        <v>9</v>
      </c>
      <c r="AC17" s="33">
        <f>'N7'!AC17+'K7'!AC17</f>
        <v>545</v>
      </c>
      <c r="AD17" s="12">
        <f>'N7'!AD17+'K7'!AD17</f>
        <v>6560</v>
      </c>
      <c r="AE17" s="39"/>
      <c r="AF17" s="39"/>
      <c r="AG17" s="39"/>
      <c r="AH17" s="39"/>
      <c r="AI17" s="39"/>
      <c r="AJ17"/>
    </row>
    <row r="18" spans="1:36" x14ac:dyDescent="0.2">
      <c r="A18" s="5">
        <f>DAY(Kalenteri!A195)</f>
        <v>14</v>
      </c>
      <c r="B18" s="3" t="str">
        <f>IF(Kalenteri!B195=1,"su",IF(Kalenteri!B195=2,"ma",IF(Kalenteri!B195=3,"ti",IF(Kalenteri!B195=4,"ke",IF(Kalenteri!B195=5,"to",IF(Kalenteri!B195=6,"pe",IF(Kalenteri!B195=7,"la",)))))))</f>
        <v>su</v>
      </c>
      <c r="C18" s="114">
        <f>'N7'!C18+'K7'!C18</f>
        <v>2124</v>
      </c>
      <c r="D18" s="115">
        <f>'N7'!D18+'K7'!D18</f>
        <v>517</v>
      </c>
      <c r="E18" s="115">
        <f>'N7'!E18+'K7'!E18</f>
        <v>2</v>
      </c>
      <c r="F18" s="116">
        <f>'N7'!F18+'K7'!F18</f>
        <v>24</v>
      </c>
      <c r="G18" s="114">
        <f>'N7'!G18+'K7'!G18</f>
        <v>34</v>
      </c>
      <c r="H18" s="116">
        <f>'N7'!H18+'K7'!H18</f>
        <v>627</v>
      </c>
      <c r="I18" s="114">
        <f>'N7'!I18+'K7'!I18</f>
        <v>112</v>
      </c>
      <c r="J18" s="116">
        <f>'N7'!J18+'K7'!J18</f>
        <v>168</v>
      </c>
      <c r="K18" s="33">
        <f>'N7'!K18+'K7'!K18</f>
        <v>3608</v>
      </c>
      <c r="L18" s="115">
        <f>'N7'!L18+'K7'!L18</f>
        <v>732</v>
      </c>
      <c r="M18" s="115">
        <f>'N7'!M18+'K7'!M18</f>
        <v>152</v>
      </c>
      <c r="N18" s="115">
        <f>'N7'!N18+'K7'!N18</f>
        <v>0</v>
      </c>
      <c r="O18" s="116">
        <f>'N7'!O18+'K7'!O18</f>
        <v>0</v>
      </c>
      <c r="P18" s="115">
        <f>'N7'!P18+'K7'!P18</f>
        <v>2</v>
      </c>
      <c r="Q18" s="116">
        <f>'N7'!Q18+'K7'!Q18</f>
        <v>119</v>
      </c>
      <c r="R18" s="121">
        <f>'N7'!R18+'K7'!R18</f>
        <v>68</v>
      </c>
      <c r="S18" s="121">
        <f>'N7'!S18+'K7'!S18</f>
        <v>102</v>
      </c>
      <c r="T18" s="33">
        <f>'N7'!T18+'K7'!T18</f>
        <v>1175</v>
      </c>
      <c r="U18" s="115">
        <f>'N7'!U18+'K7'!U18</f>
        <v>206</v>
      </c>
      <c r="V18" s="115">
        <f>'N7'!V18+'K7'!V18</f>
        <v>38</v>
      </c>
      <c r="W18" s="115">
        <f>'N7'!W18+'K7'!W18</f>
        <v>0</v>
      </c>
      <c r="X18" s="116">
        <f>'N7'!X18+'K7'!X18</f>
        <v>0</v>
      </c>
      <c r="Y18" s="115">
        <f>'N7'!Y18+'K7'!Y18</f>
        <v>0</v>
      </c>
      <c r="Z18" s="116">
        <f>'N7'!Z18+'K7'!Z18</f>
        <v>75</v>
      </c>
      <c r="AA18" s="121">
        <f>'N7'!AA18+'K7'!AA18</f>
        <v>10</v>
      </c>
      <c r="AB18" s="121">
        <f>'N7'!AB18+'K7'!AB18</f>
        <v>15</v>
      </c>
      <c r="AC18" s="33">
        <f>'N7'!AC18+'K7'!AC18</f>
        <v>344</v>
      </c>
      <c r="AD18" s="12">
        <f>'N7'!AD18+'K7'!AD18</f>
        <v>5127</v>
      </c>
      <c r="AE18" s="39"/>
      <c r="AF18" s="39"/>
      <c r="AG18" s="39"/>
      <c r="AH18" s="39"/>
      <c r="AI18" s="39"/>
      <c r="AJ18"/>
    </row>
    <row r="19" spans="1:36" x14ac:dyDescent="0.2">
      <c r="A19" s="5">
        <f>DAY(Kalenteri!A196)</f>
        <v>15</v>
      </c>
      <c r="B19" s="3" t="str">
        <f>IF(Kalenteri!B196=1,"su",IF(Kalenteri!B196=2,"ma",IF(Kalenteri!B196=3,"ti",IF(Kalenteri!B196=4,"ke",IF(Kalenteri!B196=5,"to",IF(Kalenteri!B196=6,"pe",IF(Kalenteri!B196=7,"la",)))))))</f>
        <v>ma</v>
      </c>
      <c r="C19" s="114">
        <f>'N7'!C19+'K7'!C19</f>
        <v>1845</v>
      </c>
      <c r="D19" s="115">
        <f>'N7'!D19+'K7'!D19</f>
        <v>569</v>
      </c>
      <c r="E19" s="115">
        <f>'N7'!E19+'K7'!E19</f>
        <v>2</v>
      </c>
      <c r="F19" s="116">
        <f>'N7'!F19+'K7'!F19</f>
        <v>16</v>
      </c>
      <c r="G19" s="114">
        <f>'N7'!G19+'K7'!G19</f>
        <v>66</v>
      </c>
      <c r="H19" s="116">
        <f>'N7'!H19+'K7'!H19</f>
        <v>750</v>
      </c>
      <c r="I19" s="114">
        <f>'N7'!I19+'K7'!I19</f>
        <v>70</v>
      </c>
      <c r="J19" s="116">
        <f>'N7'!J19+'K7'!J19</f>
        <v>106</v>
      </c>
      <c r="K19" s="33">
        <f>'N7'!K19+'K7'!K19</f>
        <v>3424</v>
      </c>
      <c r="L19" s="115">
        <f>'N7'!L19+'K7'!L19</f>
        <v>805</v>
      </c>
      <c r="M19" s="115">
        <f>'N7'!M19+'K7'!M19</f>
        <v>239</v>
      </c>
      <c r="N19" s="115">
        <f>'N7'!N19+'K7'!N19</f>
        <v>0</v>
      </c>
      <c r="O19" s="116">
        <f>'N7'!O19+'K7'!O19</f>
        <v>1</v>
      </c>
      <c r="P19" s="115">
        <f>'N7'!P19+'K7'!P19</f>
        <v>0</v>
      </c>
      <c r="Q19" s="116">
        <f>'N7'!Q19+'K7'!Q19</f>
        <v>221</v>
      </c>
      <c r="R19" s="121">
        <f>'N7'!R19+'K7'!R19</f>
        <v>82</v>
      </c>
      <c r="S19" s="121">
        <f>'N7'!S19+'K7'!S19</f>
        <v>123</v>
      </c>
      <c r="T19" s="33">
        <f>'N7'!T19+'K7'!T19</f>
        <v>1471</v>
      </c>
      <c r="U19" s="115">
        <f>'N7'!U19+'K7'!U19</f>
        <v>139</v>
      </c>
      <c r="V19" s="115">
        <f>'N7'!V19+'K7'!V19</f>
        <v>90</v>
      </c>
      <c r="W19" s="115">
        <f>'N7'!W19+'K7'!W19</f>
        <v>0</v>
      </c>
      <c r="X19" s="116">
        <f>'N7'!X19+'K7'!X19</f>
        <v>0</v>
      </c>
      <c r="Y19" s="115">
        <f>'N7'!Y19+'K7'!Y19</f>
        <v>0</v>
      </c>
      <c r="Z19" s="116">
        <f>'N7'!Z19+'K7'!Z19</f>
        <v>87</v>
      </c>
      <c r="AA19" s="121">
        <f>'N7'!AA19+'K7'!AA19</f>
        <v>10</v>
      </c>
      <c r="AB19" s="121">
        <f>'N7'!AB19+'K7'!AB19</f>
        <v>15</v>
      </c>
      <c r="AC19" s="33">
        <f>'N7'!AC19+'K7'!AC19</f>
        <v>341</v>
      </c>
      <c r="AD19" s="12">
        <f>'N7'!AD19+'K7'!AD19</f>
        <v>5236</v>
      </c>
      <c r="AE19" s="39"/>
      <c r="AF19" s="39"/>
      <c r="AG19" s="39"/>
      <c r="AH19" s="39"/>
      <c r="AI19" s="39"/>
      <c r="AJ19"/>
    </row>
    <row r="20" spans="1:36" x14ac:dyDescent="0.2">
      <c r="A20" s="5">
        <f>DAY(Kalenteri!A197)</f>
        <v>16</v>
      </c>
      <c r="B20" s="3" t="str">
        <f>IF(Kalenteri!B197=1,"su",IF(Kalenteri!B197=2,"ma",IF(Kalenteri!B197=3,"ti",IF(Kalenteri!B197=4,"ke",IF(Kalenteri!B197=5,"to",IF(Kalenteri!B197=6,"pe",IF(Kalenteri!B197=7,"la",)))))))</f>
        <v>ti</v>
      </c>
      <c r="C20" s="114">
        <f>'N7'!C20+'K7'!C20</f>
        <v>2492</v>
      </c>
      <c r="D20" s="115">
        <f>'N7'!D20+'K7'!D20</f>
        <v>742</v>
      </c>
      <c r="E20" s="115">
        <f>'N7'!E20+'K7'!E20</f>
        <v>9</v>
      </c>
      <c r="F20" s="116">
        <f>'N7'!F20+'K7'!F20</f>
        <v>23</v>
      </c>
      <c r="G20" s="114">
        <f>'N7'!G20+'K7'!G20</f>
        <v>71</v>
      </c>
      <c r="H20" s="116">
        <f>'N7'!H20+'K7'!H20</f>
        <v>1080</v>
      </c>
      <c r="I20" s="114">
        <f>'N7'!I20+'K7'!I20</f>
        <v>138</v>
      </c>
      <c r="J20" s="116">
        <f>'N7'!J20+'K7'!J20</f>
        <v>207</v>
      </c>
      <c r="K20" s="33">
        <f>'N7'!K20+'K7'!K20</f>
        <v>4762</v>
      </c>
      <c r="L20" s="115">
        <f>'N7'!L20+'K7'!L20</f>
        <v>1077</v>
      </c>
      <c r="M20" s="115">
        <f>'N7'!M20+'K7'!M20</f>
        <v>342</v>
      </c>
      <c r="N20" s="115">
        <f>'N7'!N20+'K7'!N20</f>
        <v>0</v>
      </c>
      <c r="O20" s="116">
        <f>'N7'!O20+'K7'!O20</f>
        <v>3</v>
      </c>
      <c r="P20" s="115">
        <f>'N7'!P20+'K7'!P20</f>
        <v>1</v>
      </c>
      <c r="Q20" s="116">
        <f>'N7'!Q20+'K7'!Q20</f>
        <v>324</v>
      </c>
      <c r="R20" s="121">
        <f>'N7'!R20+'K7'!R20</f>
        <v>124</v>
      </c>
      <c r="S20" s="121">
        <f>'N7'!S20+'K7'!S20</f>
        <v>186</v>
      </c>
      <c r="T20" s="33">
        <f>'N7'!T20+'K7'!T20</f>
        <v>2057</v>
      </c>
      <c r="U20" s="115">
        <f>'N7'!U20+'K7'!U20</f>
        <v>486</v>
      </c>
      <c r="V20" s="115">
        <f>'N7'!V20+'K7'!V20</f>
        <v>85</v>
      </c>
      <c r="W20" s="115">
        <f>'N7'!W20+'K7'!W20</f>
        <v>0</v>
      </c>
      <c r="X20" s="116">
        <f>'N7'!X20+'K7'!X20</f>
        <v>0</v>
      </c>
      <c r="Y20" s="115">
        <f>'N7'!Y20+'K7'!Y20</f>
        <v>0</v>
      </c>
      <c r="Z20" s="116">
        <f>'N7'!Z20+'K7'!Z20</f>
        <v>107</v>
      </c>
      <c r="AA20" s="121">
        <f>'N7'!AA20+'K7'!AA20</f>
        <v>10</v>
      </c>
      <c r="AB20" s="121">
        <f>'N7'!AB20+'K7'!AB20</f>
        <v>15</v>
      </c>
      <c r="AC20" s="33">
        <f>'N7'!AC20+'K7'!AC20</f>
        <v>703</v>
      </c>
      <c r="AD20" s="12">
        <f>'N7'!AD20+'K7'!AD20</f>
        <v>7522</v>
      </c>
      <c r="AE20" s="39"/>
      <c r="AF20" s="39"/>
      <c r="AG20" s="39"/>
      <c r="AH20" s="39"/>
      <c r="AI20" s="39"/>
      <c r="AJ20"/>
    </row>
    <row r="21" spans="1:36" x14ac:dyDescent="0.2">
      <c r="A21" s="5">
        <f>DAY(Kalenteri!A198)</f>
        <v>17</v>
      </c>
      <c r="B21" s="3" t="str">
        <f>IF(Kalenteri!B198=1,"su",IF(Kalenteri!B198=2,"ma",IF(Kalenteri!B198=3,"ti",IF(Kalenteri!B198=4,"ke",IF(Kalenteri!B198=5,"to",IF(Kalenteri!B198=6,"pe",IF(Kalenteri!B198=7,"la",)))))))</f>
        <v>ke</v>
      </c>
      <c r="C21" s="114">
        <f>'N7'!C21+'K7'!C21</f>
        <v>2399</v>
      </c>
      <c r="D21" s="115">
        <f>'N7'!D21+'K7'!D21</f>
        <v>761</v>
      </c>
      <c r="E21" s="115">
        <f>'N7'!E21+'K7'!E21</f>
        <v>10</v>
      </c>
      <c r="F21" s="116">
        <f>'N7'!F21+'K7'!F21</f>
        <v>28</v>
      </c>
      <c r="G21" s="114">
        <f>'N7'!G21+'K7'!G21</f>
        <v>92</v>
      </c>
      <c r="H21" s="116">
        <f>'N7'!H21+'K7'!H21</f>
        <v>913</v>
      </c>
      <c r="I21" s="114">
        <f>'N7'!I21+'K7'!I21</f>
        <v>124</v>
      </c>
      <c r="J21" s="116">
        <f>'N7'!J21+'K7'!J21</f>
        <v>186</v>
      </c>
      <c r="K21" s="33">
        <f>'N7'!K21+'K7'!K21</f>
        <v>4513</v>
      </c>
      <c r="L21" s="115">
        <f>'N7'!L21+'K7'!L21</f>
        <v>999</v>
      </c>
      <c r="M21" s="115">
        <f>'N7'!M21+'K7'!M21</f>
        <v>360</v>
      </c>
      <c r="N21" s="115">
        <f>'N7'!N21+'K7'!N21</f>
        <v>0</v>
      </c>
      <c r="O21" s="116">
        <f>'N7'!O21+'K7'!O21</f>
        <v>2</v>
      </c>
      <c r="P21" s="115">
        <f>'N7'!P21+'K7'!P21</f>
        <v>3</v>
      </c>
      <c r="Q21" s="116">
        <f>'N7'!Q21+'K7'!Q21</f>
        <v>259</v>
      </c>
      <c r="R21" s="121">
        <f>'N7'!R21+'K7'!R21</f>
        <v>56</v>
      </c>
      <c r="S21" s="121">
        <f>'N7'!S21+'K7'!S21</f>
        <v>84</v>
      </c>
      <c r="T21" s="33">
        <f>'N7'!T21+'K7'!T21</f>
        <v>1763</v>
      </c>
      <c r="U21" s="115">
        <f>'N7'!U21+'K7'!U21</f>
        <v>284</v>
      </c>
      <c r="V21" s="115">
        <f>'N7'!V21+'K7'!V21</f>
        <v>101</v>
      </c>
      <c r="W21" s="115">
        <f>'N7'!W21+'K7'!W21</f>
        <v>0</v>
      </c>
      <c r="X21" s="116">
        <f>'N7'!X21+'K7'!X21</f>
        <v>0</v>
      </c>
      <c r="Y21" s="115">
        <f>'N7'!Y21+'K7'!Y21</f>
        <v>0</v>
      </c>
      <c r="Z21" s="116">
        <f>'N7'!Z21+'K7'!Z21</f>
        <v>104</v>
      </c>
      <c r="AA21" s="121">
        <f>'N7'!AA21+'K7'!AA21</f>
        <v>14</v>
      </c>
      <c r="AB21" s="121">
        <f>'N7'!AB21+'K7'!AB21</f>
        <v>21</v>
      </c>
      <c r="AC21" s="33">
        <f>'N7'!AC21+'K7'!AC21</f>
        <v>524</v>
      </c>
      <c r="AD21" s="12">
        <f>'N7'!AD21+'K7'!AD21</f>
        <v>6800</v>
      </c>
      <c r="AE21" s="39"/>
      <c r="AF21" s="39"/>
      <c r="AG21" s="39"/>
      <c r="AH21" s="39"/>
      <c r="AI21" s="39"/>
      <c r="AJ21"/>
    </row>
    <row r="22" spans="1:36" x14ac:dyDescent="0.2">
      <c r="A22" s="5">
        <f>DAY(Kalenteri!A199)</f>
        <v>18</v>
      </c>
      <c r="B22" s="3" t="str">
        <f>IF(Kalenteri!B199=1,"su",IF(Kalenteri!B199=2,"ma",IF(Kalenteri!B199=3,"ti",IF(Kalenteri!B199=4,"ke",IF(Kalenteri!B199=5,"to",IF(Kalenteri!B199=6,"pe",IF(Kalenteri!B199=7,"la",)))))))</f>
        <v>to</v>
      </c>
      <c r="C22" s="114">
        <f>'N7'!C22+'K7'!C22</f>
        <v>1119</v>
      </c>
      <c r="D22" s="115">
        <f>'N7'!D22+'K7'!D22</f>
        <v>343</v>
      </c>
      <c r="E22" s="115">
        <f>'N7'!E22+'K7'!E22</f>
        <v>1</v>
      </c>
      <c r="F22" s="116">
        <f>'N7'!F22+'K7'!F22</f>
        <v>13</v>
      </c>
      <c r="G22" s="114">
        <f>'N7'!G22+'K7'!G22</f>
        <v>69</v>
      </c>
      <c r="H22" s="116">
        <f>'N7'!H22+'K7'!H22</f>
        <v>393</v>
      </c>
      <c r="I22" s="114">
        <f>'N7'!I22+'K7'!I22</f>
        <v>48</v>
      </c>
      <c r="J22" s="116">
        <f>'N7'!J22+'K7'!J22</f>
        <v>72</v>
      </c>
      <c r="K22" s="33">
        <f>'N7'!K22+'K7'!K22</f>
        <v>2058</v>
      </c>
      <c r="L22" s="115">
        <f>'N7'!L22+'K7'!L22</f>
        <v>512</v>
      </c>
      <c r="M22" s="115">
        <f>'N7'!M22+'K7'!M22</f>
        <v>156</v>
      </c>
      <c r="N22" s="115">
        <f>'N7'!N22+'K7'!N22</f>
        <v>0</v>
      </c>
      <c r="O22" s="116">
        <f>'N7'!O22+'K7'!O22</f>
        <v>0</v>
      </c>
      <c r="P22" s="115">
        <f>'N7'!P22+'K7'!P22</f>
        <v>4</v>
      </c>
      <c r="Q22" s="116">
        <f>'N7'!Q22+'K7'!Q22</f>
        <v>106</v>
      </c>
      <c r="R22" s="121">
        <f>'N7'!R22+'K7'!R22</f>
        <v>42</v>
      </c>
      <c r="S22" s="121">
        <f>'N7'!S22+'K7'!S22</f>
        <v>63</v>
      </c>
      <c r="T22" s="33">
        <f>'N7'!T22+'K7'!T22</f>
        <v>883</v>
      </c>
      <c r="U22" s="115">
        <f>'N7'!U22+'K7'!U22</f>
        <v>117</v>
      </c>
      <c r="V22" s="115">
        <f>'N7'!V22+'K7'!V22</f>
        <v>38</v>
      </c>
      <c r="W22" s="115">
        <f>'N7'!W22+'K7'!W22</f>
        <v>0</v>
      </c>
      <c r="X22" s="116">
        <f>'N7'!X22+'K7'!X22</f>
        <v>0</v>
      </c>
      <c r="Y22" s="115">
        <f>'N7'!Y22+'K7'!Y22</f>
        <v>0</v>
      </c>
      <c r="Z22" s="116">
        <f>'N7'!Z22+'K7'!Z22</f>
        <v>43</v>
      </c>
      <c r="AA22" s="121">
        <f>'N7'!AA22+'K7'!AA22</f>
        <v>6</v>
      </c>
      <c r="AB22" s="121">
        <f>'N7'!AB22+'K7'!AB22</f>
        <v>9</v>
      </c>
      <c r="AC22" s="33">
        <f>'N7'!AC22+'K7'!AC22</f>
        <v>213</v>
      </c>
      <c r="AD22" s="12">
        <f>'N7'!AD22+'K7'!AD22</f>
        <v>3154</v>
      </c>
      <c r="AE22" s="39"/>
      <c r="AF22" s="39"/>
      <c r="AG22" s="39"/>
      <c r="AH22" s="39"/>
      <c r="AI22" s="39"/>
      <c r="AJ22"/>
    </row>
    <row r="23" spans="1:36" x14ac:dyDescent="0.2">
      <c r="A23" s="5">
        <f>DAY(Kalenteri!A200)</f>
        <v>19</v>
      </c>
      <c r="B23" s="3" t="str">
        <f>IF(Kalenteri!B200=1,"su",IF(Kalenteri!B200=2,"ma",IF(Kalenteri!B200=3,"ti",IF(Kalenteri!B200=4,"ke",IF(Kalenteri!B200=5,"to",IF(Kalenteri!B200=6,"pe",IF(Kalenteri!B200=7,"la",)))))))</f>
        <v>pe</v>
      </c>
      <c r="C23" s="114">
        <f>'N7'!C23+'K7'!C23</f>
        <v>1034</v>
      </c>
      <c r="D23" s="115">
        <f>'N7'!D23+'K7'!D23</f>
        <v>336</v>
      </c>
      <c r="E23" s="115">
        <f>'N7'!E23+'K7'!E23</f>
        <v>1</v>
      </c>
      <c r="F23" s="116">
        <f>'N7'!F23+'K7'!F23</f>
        <v>11</v>
      </c>
      <c r="G23" s="114">
        <f>'N7'!G23+'K7'!G23</f>
        <v>44</v>
      </c>
      <c r="H23" s="116">
        <f>'N7'!H23+'K7'!H23</f>
        <v>413</v>
      </c>
      <c r="I23" s="114">
        <f>'N7'!I23+'K7'!I23</f>
        <v>46</v>
      </c>
      <c r="J23" s="116">
        <f>'N7'!J23+'K7'!J23</f>
        <v>69</v>
      </c>
      <c r="K23" s="33">
        <f>'N7'!K23+'K7'!K23</f>
        <v>1954</v>
      </c>
      <c r="L23" s="115">
        <f>'N7'!L23+'K7'!L23</f>
        <v>442</v>
      </c>
      <c r="M23" s="115">
        <f>'N7'!M23+'K7'!M23</f>
        <v>77</v>
      </c>
      <c r="N23" s="115">
        <f>'N7'!N23+'K7'!N23</f>
        <v>0</v>
      </c>
      <c r="O23" s="116">
        <f>'N7'!O23+'K7'!O23</f>
        <v>0</v>
      </c>
      <c r="P23" s="115">
        <f>'N7'!P23+'K7'!P23</f>
        <v>3</v>
      </c>
      <c r="Q23" s="116">
        <f>'N7'!Q23+'K7'!Q23</f>
        <v>103</v>
      </c>
      <c r="R23" s="121">
        <f>'N7'!R23+'K7'!R23</f>
        <v>28</v>
      </c>
      <c r="S23" s="121">
        <f>'N7'!S23+'K7'!S23</f>
        <v>42</v>
      </c>
      <c r="T23" s="33">
        <f>'N7'!T23+'K7'!T23</f>
        <v>695</v>
      </c>
      <c r="U23" s="115">
        <f>'N7'!U23+'K7'!U23</f>
        <v>75</v>
      </c>
      <c r="V23" s="115">
        <f>'N7'!V23+'K7'!V23</f>
        <v>27</v>
      </c>
      <c r="W23" s="115">
        <f>'N7'!W23+'K7'!W23</f>
        <v>0</v>
      </c>
      <c r="X23" s="116">
        <f>'N7'!X23+'K7'!X23</f>
        <v>0</v>
      </c>
      <c r="Y23" s="115">
        <f>'N7'!Y23+'K7'!Y23</f>
        <v>0</v>
      </c>
      <c r="Z23" s="116">
        <f>'N7'!Z23+'K7'!Z23</f>
        <v>30</v>
      </c>
      <c r="AA23" s="121">
        <f>'N7'!AA23+'K7'!AA23</f>
        <v>4</v>
      </c>
      <c r="AB23" s="121">
        <f>'N7'!AB23+'K7'!AB23</f>
        <v>6</v>
      </c>
      <c r="AC23" s="33">
        <f>'N7'!AC23+'K7'!AC23</f>
        <v>142</v>
      </c>
      <c r="AD23" s="12">
        <f>'N7'!AD23+'K7'!AD23</f>
        <v>2791</v>
      </c>
      <c r="AE23" s="39"/>
      <c r="AF23" s="39"/>
      <c r="AG23" s="39"/>
      <c r="AH23" s="39"/>
      <c r="AI23" s="39"/>
      <c r="AJ23"/>
    </row>
    <row r="24" spans="1:36" x14ac:dyDescent="0.2">
      <c r="A24" s="5">
        <f>DAY(Kalenteri!A201)</f>
        <v>20</v>
      </c>
      <c r="B24" s="3" t="str">
        <f>IF(Kalenteri!B201=1,"su",IF(Kalenteri!B201=2,"ma",IF(Kalenteri!B201=3,"ti",IF(Kalenteri!B201=4,"ke",IF(Kalenteri!B201=5,"to",IF(Kalenteri!B201=6,"pe",IF(Kalenteri!B201=7,"la",)))))))</f>
        <v>la</v>
      </c>
      <c r="C24" s="114">
        <f>'N7'!C24+'K7'!C24</f>
        <v>2383</v>
      </c>
      <c r="D24" s="115">
        <f>'N7'!D24+'K7'!D24</f>
        <v>589</v>
      </c>
      <c r="E24" s="115">
        <f>'N7'!E24+'K7'!E24</f>
        <v>0</v>
      </c>
      <c r="F24" s="116">
        <f>'N7'!F24+'K7'!F24</f>
        <v>27</v>
      </c>
      <c r="G24" s="114">
        <f>'N7'!G24+'K7'!G24</f>
        <v>43</v>
      </c>
      <c r="H24" s="116">
        <f>'N7'!H24+'K7'!H24</f>
        <v>803</v>
      </c>
      <c r="I24" s="114">
        <f>'N7'!I24+'K7'!I24</f>
        <v>90</v>
      </c>
      <c r="J24" s="116">
        <f>'N7'!J24+'K7'!J24</f>
        <v>134</v>
      </c>
      <c r="K24" s="33">
        <f>'N7'!K24+'K7'!K24</f>
        <v>4069</v>
      </c>
      <c r="L24" s="115">
        <f>'N7'!L24+'K7'!L24</f>
        <v>910</v>
      </c>
      <c r="M24" s="115">
        <f>'N7'!M24+'K7'!M24</f>
        <v>193</v>
      </c>
      <c r="N24" s="115">
        <f>'N7'!N24+'K7'!N24</f>
        <v>0</v>
      </c>
      <c r="O24" s="116">
        <f>'N7'!O24+'K7'!O24</f>
        <v>2</v>
      </c>
      <c r="P24" s="115">
        <f>'N7'!P24+'K7'!P24</f>
        <v>2</v>
      </c>
      <c r="Q24" s="116">
        <f>'N7'!Q24+'K7'!Q24</f>
        <v>173</v>
      </c>
      <c r="R24" s="121">
        <f>'N7'!R24+'K7'!R24</f>
        <v>62</v>
      </c>
      <c r="S24" s="121">
        <f>'N7'!S24+'K7'!S24</f>
        <v>93</v>
      </c>
      <c r="T24" s="33">
        <f>'N7'!T24+'K7'!T24</f>
        <v>1435</v>
      </c>
      <c r="U24" s="115">
        <f>'N7'!U24+'K7'!U24</f>
        <v>226</v>
      </c>
      <c r="V24" s="115">
        <f>'N7'!V24+'K7'!V24</f>
        <v>48</v>
      </c>
      <c r="W24" s="115">
        <f>'N7'!W24+'K7'!W24</f>
        <v>0</v>
      </c>
      <c r="X24" s="116">
        <f>'N7'!X24+'K7'!X24</f>
        <v>0</v>
      </c>
      <c r="Y24" s="115">
        <f>'N7'!Y24+'K7'!Y24</f>
        <v>0</v>
      </c>
      <c r="Z24" s="116">
        <f>'N7'!Z24+'K7'!Z24</f>
        <v>82</v>
      </c>
      <c r="AA24" s="121">
        <f>'N7'!AA24+'K7'!AA24</f>
        <v>4</v>
      </c>
      <c r="AB24" s="121">
        <f>'N7'!AB24+'K7'!AB24</f>
        <v>6</v>
      </c>
      <c r="AC24" s="33">
        <f>'N7'!AC24+'K7'!AC24</f>
        <v>366</v>
      </c>
      <c r="AD24" s="12">
        <f>'N7'!AD24+'K7'!AD24</f>
        <v>5870</v>
      </c>
      <c r="AE24" s="39"/>
      <c r="AF24" s="39"/>
      <c r="AG24" s="39"/>
      <c r="AH24" s="39"/>
      <c r="AI24" s="39"/>
      <c r="AJ24" s="39"/>
    </row>
    <row r="25" spans="1:36" x14ac:dyDescent="0.2">
      <c r="A25" s="5">
        <f>DAY(Kalenteri!A202)</f>
        <v>21</v>
      </c>
      <c r="B25" s="3" t="str">
        <f>IF(Kalenteri!B202=1,"su",IF(Kalenteri!B202=2,"ma",IF(Kalenteri!B202=3,"ti",IF(Kalenteri!B202=4,"ke",IF(Kalenteri!B202=5,"to",IF(Kalenteri!B202=6,"pe",IF(Kalenteri!B202=7,"la",)))))))</f>
        <v>su</v>
      </c>
      <c r="C25" s="114">
        <f>'N7'!C25+'K7'!C25</f>
        <v>1970</v>
      </c>
      <c r="D25" s="115">
        <f>'N7'!D25+'K7'!D25</f>
        <v>448</v>
      </c>
      <c r="E25" s="115">
        <f>'N7'!E25+'K7'!E25</f>
        <v>5</v>
      </c>
      <c r="F25" s="116">
        <f>'N7'!F25+'K7'!F25</f>
        <v>16</v>
      </c>
      <c r="G25" s="114">
        <f>'N7'!G25+'K7'!G25</f>
        <v>32</v>
      </c>
      <c r="H25" s="116">
        <f>'N7'!H25+'K7'!H25</f>
        <v>596</v>
      </c>
      <c r="I25" s="114">
        <f>'N7'!I25+'K7'!I25</f>
        <v>106</v>
      </c>
      <c r="J25" s="116">
        <f>'N7'!J25+'K7'!J25</f>
        <v>159</v>
      </c>
      <c r="K25" s="33">
        <f>'N7'!K25+'K7'!K25</f>
        <v>3332</v>
      </c>
      <c r="L25" s="115">
        <f>'N7'!L25+'K7'!L25</f>
        <v>647</v>
      </c>
      <c r="M25" s="115">
        <f>'N7'!M25+'K7'!M25</f>
        <v>137</v>
      </c>
      <c r="N25" s="115">
        <f>'N7'!N25+'K7'!N25</f>
        <v>0</v>
      </c>
      <c r="O25" s="116">
        <f>'N7'!O25+'K7'!O25</f>
        <v>0</v>
      </c>
      <c r="P25" s="115">
        <f>'N7'!P25+'K7'!P25</f>
        <v>0</v>
      </c>
      <c r="Q25" s="116">
        <f>'N7'!Q25+'K7'!Q25</f>
        <v>115</v>
      </c>
      <c r="R25" s="121">
        <f>'N7'!R25+'K7'!R25</f>
        <v>86</v>
      </c>
      <c r="S25" s="121">
        <f>'N7'!S25+'K7'!S25</f>
        <v>129</v>
      </c>
      <c r="T25" s="33">
        <f>'N7'!T25+'K7'!T25</f>
        <v>1114</v>
      </c>
      <c r="U25" s="115">
        <f>'N7'!U25+'K7'!U25</f>
        <v>166</v>
      </c>
      <c r="V25" s="115">
        <f>'N7'!V25+'K7'!V25</f>
        <v>46</v>
      </c>
      <c r="W25" s="115">
        <f>'N7'!W25+'K7'!W25</f>
        <v>0</v>
      </c>
      <c r="X25" s="116">
        <f>'N7'!X25+'K7'!X25</f>
        <v>0</v>
      </c>
      <c r="Y25" s="115">
        <f>'N7'!Y25+'K7'!Y25</f>
        <v>0</v>
      </c>
      <c r="Z25" s="116">
        <f>'N7'!Z25+'K7'!Z25</f>
        <v>57</v>
      </c>
      <c r="AA25" s="121">
        <f>'N7'!AA25+'K7'!AA25</f>
        <v>2</v>
      </c>
      <c r="AB25" s="121">
        <f>'N7'!AB25+'K7'!AB25</f>
        <v>3</v>
      </c>
      <c r="AC25" s="33">
        <f>'N7'!AC25+'K7'!AC25</f>
        <v>274</v>
      </c>
      <c r="AD25" s="12">
        <f>'N7'!AD25+'K7'!AD25</f>
        <v>4720</v>
      </c>
      <c r="AE25" s="39"/>
      <c r="AF25" s="39"/>
      <c r="AG25" s="39"/>
      <c r="AH25" s="39"/>
      <c r="AI25" s="39"/>
      <c r="AJ25" s="39"/>
    </row>
    <row r="26" spans="1:36" x14ac:dyDescent="0.2">
      <c r="A26" s="5">
        <f>DAY(Kalenteri!A203)</f>
        <v>22</v>
      </c>
      <c r="B26" s="3" t="str">
        <f>IF(Kalenteri!B203=1,"su",IF(Kalenteri!B203=2,"ma",IF(Kalenteri!B203=3,"ti",IF(Kalenteri!B203=4,"ke",IF(Kalenteri!B203=5,"to",IF(Kalenteri!B203=6,"pe",IF(Kalenteri!B203=7,"la",)))))))</f>
        <v>ma</v>
      </c>
      <c r="C26" s="114">
        <f>'N7'!C26+'K7'!C26</f>
        <v>1026</v>
      </c>
      <c r="D26" s="115">
        <f>'N7'!D26+'K7'!D26</f>
        <v>343</v>
      </c>
      <c r="E26" s="115">
        <f>'N7'!E26+'K7'!E26</f>
        <v>9</v>
      </c>
      <c r="F26" s="116">
        <f>'N7'!F26+'K7'!F26</f>
        <v>9</v>
      </c>
      <c r="G26" s="114">
        <f>'N7'!G26+'K7'!G26</f>
        <v>17</v>
      </c>
      <c r="H26" s="116">
        <f>'N7'!H26+'K7'!H26</f>
        <v>361</v>
      </c>
      <c r="I26" s="114">
        <f>'N7'!I26+'K7'!I26</f>
        <v>42</v>
      </c>
      <c r="J26" s="116">
        <f>'N7'!J26+'K7'!J26</f>
        <v>63</v>
      </c>
      <c r="K26" s="33">
        <f>'N7'!K26+'K7'!K26</f>
        <v>1870</v>
      </c>
      <c r="L26" s="115">
        <f>'N7'!L26+'K7'!L26</f>
        <v>358</v>
      </c>
      <c r="M26" s="115">
        <f>'N7'!M26+'K7'!M26</f>
        <v>144</v>
      </c>
      <c r="N26" s="115">
        <f>'N7'!N26+'K7'!N26</f>
        <v>0</v>
      </c>
      <c r="O26" s="116">
        <f>'N7'!O26+'K7'!O26</f>
        <v>0</v>
      </c>
      <c r="P26" s="115">
        <f>'N7'!P26+'K7'!P26</f>
        <v>2</v>
      </c>
      <c r="Q26" s="116">
        <f>'N7'!Q26+'K7'!Q26</f>
        <v>125</v>
      </c>
      <c r="R26" s="121">
        <f>'N7'!R26+'K7'!R26</f>
        <v>68</v>
      </c>
      <c r="S26" s="121">
        <f>'N7'!S26+'K7'!S26</f>
        <v>102</v>
      </c>
      <c r="T26" s="33">
        <f>'N7'!T26+'K7'!T26</f>
        <v>799</v>
      </c>
      <c r="U26" s="115">
        <f>'N7'!U26+'K7'!U26</f>
        <v>84</v>
      </c>
      <c r="V26" s="115">
        <f>'N7'!V26+'K7'!V26</f>
        <v>43</v>
      </c>
      <c r="W26" s="115">
        <f>'N7'!W26+'K7'!W26</f>
        <v>0</v>
      </c>
      <c r="X26" s="116">
        <f>'N7'!X26+'K7'!X26</f>
        <v>0</v>
      </c>
      <c r="Y26" s="115">
        <f>'N7'!Y26+'K7'!Y26</f>
        <v>0</v>
      </c>
      <c r="Z26" s="116">
        <f>'N7'!Z26+'K7'!Z26</f>
        <v>38</v>
      </c>
      <c r="AA26" s="121">
        <f>'N7'!AA26+'K7'!AA26</f>
        <v>6</v>
      </c>
      <c r="AB26" s="121">
        <f>'N7'!AB26+'K7'!AB26</f>
        <v>9</v>
      </c>
      <c r="AC26" s="33">
        <f>'N7'!AC26+'K7'!AC26</f>
        <v>180</v>
      </c>
      <c r="AD26" s="12">
        <f>'N7'!AD26+'K7'!AD26</f>
        <v>2849</v>
      </c>
      <c r="AE26" s="39"/>
      <c r="AF26" s="39"/>
      <c r="AG26" s="39"/>
      <c r="AH26" s="39"/>
      <c r="AI26" s="39"/>
      <c r="AJ26" s="39"/>
    </row>
    <row r="27" spans="1:36" x14ac:dyDescent="0.2">
      <c r="A27" s="5">
        <f>DAY(Kalenteri!A204)</f>
        <v>23</v>
      </c>
      <c r="B27" s="3" t="str">
        <f>IF(Kalenteri!B204=1,"su",IF(Kalenteri!B204=2,"ma",IF(Kalenteri!B204=3,"ti",IF(Kalenteri!B204=4,"ke",IF(Kalenteri!B204=5,"to",IF(Kalenteri!B204=6,"pe",IF(Kalenteri!B204=7,"la",)))))))</f>
        <v>ti</v>
      </c>
      <c r="C27" s="114">
        <f>'N7'!C27+'K7'!C27</f>
        <v>2426</v>
      </c>
      <c r="D27" s="115">
        <f>'N7'!D27+'K7'!D27</f>
        <v>782</v>
      </c>
      <c r="E27" s="115">
        <f>'N7'!E27+'K7'!E27</f>
        <v>4</v>
      </c>
      <c r="F27" s="116">
        <f>'N7'!F27+'K7'!F27</f>
        <v>27</v>
      </c>
      <c r="G27" s="114">
        <f>'N7'!G27+'K7'!G27</f>
        <v>90</v>
      </c>
      <c r="H27" s="116">
        <f>'N7'!H27+'K7'!H27</f>
        <v>908</v>
      </c>
      <c r="I27" s="114">
        <f>'N7'!I27+'K7'!I27</f>
        <v>104</v>
      </c>
      <c r="J27" s="116">
        <f>'N7'!J27+'K7'!J27</f>
        <v>156</v>
      </c>
      <c r="K27" s="33">
        <f>'N7'!K27+'K7'!K27</f>
        <v>4497</v>
      </c>
      <c r="L27" s="115">
        <f>'N7'!L27+'K7'!L27</f>
        <v>955</v>
      </c>
      <c r="M27" s="115">
        <f>'N7'!M27+'K7'!M27</f>
        <v>297</v>
      </c>
      <c r="N27" s="115">
        <f>'N7'!N27+'K7'!N27</f>
        <v>0</v>
      </c>
      <c r="O27" s="116">
        <f>'N7'!O27+'K7'!O27</f>
        <v>0</v>
      </c>
      <c r="P27" s="115">
        <f>'N7'!P27+'K7'!P27</f>
        <v>4</v>
      </c>
      <c r="Q27" s="116">
        <f>'N7'!Q27+'K7'!Q27</f>
        <v>207</v>
      </c>
      <c r="R27" s="121">
        <f>'N7'!R27+'K7'!R27</f>
        <v>64</v>
      </c>
      <c r="S27" s="121">
        <f>'N7'!S27+'K7'!S27</f>
        <v>96</v>
      </c>
      <c r="T27" s="33">
        <f>'N7'!T27+'K7'!T27</f>
        <v>1623</v>
      </c>
      <c r="U27" s="115">
        <f>'N7'!U27+'K7'!U27</f>
        <v>252</v>
      </c>
      <c r="V27" s="115">
        <f>'N7'!V27+'K7'!V27</f>
        <v>90</v>
      </c>
      <c r="W27" s="115">
        <f>'N7'!W27+'K7'!W27</f>
        <v>0</v>
      </c>
      <c r="X27" s="116">
        <f>'N7'!X27+'K7'!X27</f>
        <v>0</v>
      </c>
      <c r="Y27" s="115">
        <f>'N7'!Y27+'K7'!Y27</f>
        <v>0</v>
      </c>
      <c r="Z27" s="116">
        <f>'N7'!Z27+'K7'!Z27</f>
        <v>90</v>
      </c>
      <c r="AA27" s="121">
        <f>'N7'!AA27+'K7'!AA27</f>
        <v>14</v>
      </c>
      <c r="AB27" s="121">
        <f>'N7'!AB27+'K7'!AB27</f>
        <v>21</v>
      </c>
      <c r="AC27" s="33">
        <f>'N7'!AC27+'K7'!AC27</f>
        <v>467</v>
      </c>
      <c r="AD27" s="12">
        <f>'N7'!AD27+'K7'!AD27</f>
        <v>6587</v>
      </c>
      <c r="AE27" s="39"/>
      <c r="AF27" s="39"/>
      <c r="AG27" s="39"/>
      <c r="AH27" s="39"/>
      <c r="AI27" s="39"/>
      <c r="AJ27" s="39"/>
    </row>
    <row r="28" spans="1:36" x14ac:dyDescent="0.2">
      <c r="A28" s="5">
        <f>DAY(Kalenteri!A205)</f>
        <v>24</v>
      </c>
      <c r="B28" s="3" t="str">
        <f>IF(Kalenteri!B205=1,"su",IF(Kalenteri!B205=2,"ma",IF(Kalenteri!B205=3,"ti",IF(Kalenteri!B205=4,"ke",IF(Kalenteri!B205=5,"to",IF(Kalenteri!B205=6,"pe",IF(Kalenteri!B205=7,"la",)))))))</f>
        <v>ke</v>
      </c>
      <c r="C28" s="114">
        <f>'N7'!C28+'K7'!C28</f>
        <v>2045</v>
      </c>
      <c r="D28" s="115">
        <f>'N7'!D28+'K7'!D28</f>
        <v>669</v>
      </c>
      <c r="E28" s="115">
        <f>'N7'!E28+'K7'!E28</f>
        <v>2</v>
      </c>
      <c r="F28" s="116">
        <f>'N7'!F28+'K7'!F28</f>
        <v>11</v>
      </c>
      <c r="G28" s="114">
        <f>'N7'!G28+'K7'!G28</f>
        <v>75</v>
      </c>
      <c r="H28" s="116">
        <f>'N7'!H28+'K7'!H28</f>
        <v>772</v>
      </c>
      <c r="I28" s="114">
        <f>'N7'!I28+'K7'!I28</f>
        <v>76</v>
      </c>
      <c r="J28" s="116">
        <f>'N7'!J28+'K7'!J28</f>
        <v>114</v>
      </c>
      <c r="K28" s="33">
        <f>'N7'!K28+'K7'!K28</f>
        <v>3764</v>
      </c>
      <c r="L28" s="115">
        <f>'N7'!L28+'K7'!L28</f>
        <v>811</v>
      </c>
      <c r="M28" s="115">
        <f>'N7'!M28+'K7'!M28</f>
        <v>238</v>
      </c>
      <c r="N28" s="115">
        <f>'N7'!N28+'K7'!N28</f>
        <v>0</v>
      </c>
      <c r="O28" s="116">
        <f>'N7'!O28+'K7'!O28</f>
        <v>0</v>
      </c>
      <c r="P28" s="115">
        <f>'N7'!P28+'K7'!P28</f>
        <v>11</v>
      </c>
      <c r="Q28" s="116">
        <f>'N7'!Q28+'K7'!Q28</f>
        <v>226</v>
      </c>
      <c r="R28" s="121">
        <f>'N7'!R28+'K7'!R28</f>
        <v>80</v>
      </c>
      <c r="S28" s="121">
        <f>'N7'!S28+'K7'!S28</f>
        <v>120</v>
      </c>
      <c r="T28" s="33">
        <f>'N7'!T28+'K7'!T28</f>
        <v>1486</v>
      </c>
      <c r="U28" s="115">
        <f>'N7'!U28+'K7'!U28</f>
        <v>238</v>
      </c>
      <c r="V28" s="115">
        <f>'N7'!V28+'K7'!V28</f>
        <v>68</v>
      </c>
      <c r="W28" s="115">
        <f>'N7'!W28+'K7'!W28</f>
        <v>0</v>
      </c>
      <c r="X28" s="116">
        <f>'N7'!X28+'K7'!X28</f>
        <v>0</v>
      </c>
      <c r="Y28" s="115">
        <f>'N7'!Y28+'K7'!Y28</f>
        <v>0</v>
      </c>
      <c r="Z28" s="116">
        <f>'N7'!Z28+'K7'!Z28</f>
        <v>85</v>
      </c>
      <c r="AA28" s="121">
        <f>'N7'!AA28+'K7'!AA28</f>
        <v>16</v>
      </c>
      <c r="AB28" s="121">
        <f>'N7'!AB28+'K7'!AB28</f>
        <v>24</v>
      </c>
      <c r="AC28" s="33">
        <f>'N7'!AC28+'K7'!AC28</f>
        <v>431</v>
      </c>
      <c r="AD28" s="12">
        <f>'N7'!AD28+'K7'!AD28</f>
        <v>5681</v>
      </c>
      <c r="AE28" s="39"/>
      <c r="AF28" s="39"/>
      <c r="AG28" s="39"/>
      <c r="AH28" s="39"/>
      <c r="AI28" s="39"/>
      <c r="AJ28" s="39"/>
    </row>
    <row r="29" spans="1:36" x14ac:dyDescent="0.2">
      <c r="A29" s="5">
        <f>DAY(Kalenteri!A206)</f>
        <v>25</v>
      </c>
      <c r="B29" s="3" t="str">
        <f>IF(Kalenteri!B206=1,"su",IF(Kalenteri!B206=2,"ma",IF(Kalenteri!B206=3,"ti",IF(Kalenteri!B206=4,"ke",IF(Kalenteri!B206=5,"to",IF(Kalenteri!B206=6,"pe",IF(Kalenteri!B206=7,"la",)))))))</f>
        <v>to</v>
      </c>
      <c r="C29" s="114">
        <f>'N7'!C29+'K7'!C29</f>
        <v>1913</v>
      </c>
      <c r="D29" s="115">
        <f>'N7'!D29+'K7'!D29</f>
        <v>552</v>
      </c>
      <c r="E29" s="115">
        <f>'N7'!E29+'K7'!E29</f>
        <v>7</v>
      </c>
      <c r="F29" s="116">
        <f>'N7'!F29+'K7'!F29</f>
        <v>17</v>
      </c>
      <c r="G29" s="114">
        <f>'N7'!G29+'K7'!G29</f>
        <v>117</v>
      </c>
      <c r="H29" s="116">
        <f>'N7'!H29+'K7'!H29</f>
        <v>724</v>
      </c>
      <c r="I29" s="114">
        <f>'N7'!I29+'K7'!I29</f>
        <v>84</v>
      </c>
      <c r="J29" s="116">
        <f>'N7'!J29+'K7'!J29</f>
        <v>126</v>
      </c>
      <c r="K29" s="33">
        <f>'N7'!K29+'K7'!K29</f>
        <v>3540</v>
      </c>
      <c r="L29" s="115">
        <f>'N7'!L29+'K7'!L29</f>
        <v>693</v>
      </c>
      <c r="M29" s="115">
        <f>'N7'!M29+'K7'!M29</f>
        <v>200</v>
      </c>
      <c r="N29" s="115">
        <f>'N7'!N29+'K7'!N29</f>
        <v>0</v>
      </c>
      <c r="O29" s="116">
        <f>'N7'!O29+'K7'!O29</f>
        <v>0</v>
      </c>
      <c r="P29" s="115">
        <f>'N7'!P29+'K7'!P29</f>
        <v>8</v>
      </c>
      <c r="Q29" s="116">
        <f>'N7'!Q29+'K7'!Q29</f>
        <v>170</v>
      </c>
      <c r="R29" s="121">
        <f>'N7'!R29+'K7'!R29</f>
        <v>86</v>
      </c>
      <c r="S29" s="121">
        <f>'N7'!S29+'K7'!S29</f>
        <v>129</v>
      </c>
      <c r="T29" s="33">
        <f>'N7'!T29+'K7'!T29</f>
        <v>1286</v>
      </c>
      <c r="U29" s="115">
        <f>'N7'!U29+'K7'!U29</f>
        <v>195</v>
      </c>
      <c r="V29" s="115">
        <f>'N7'!V29+'K7'!V29</f>
        <v>57</v>
      </c>
      <c r="W29" s="115">
        <f>'N7'!W29+'K7'!W29</f>
        <v>0</v>
      </c>
      <c r="X29" s="116">
        <f>'N7'!X29+'K7'!X29</f>
        <v>0</v>
      </c>
      <c r="Y29" s="115">
        <f>'N7'!Y29+'K7'!Y29</f>
        <v>11</v>
      </c>
      <c r="Z29" s="116">
        <f>'N7'!Z29+'K7'!Z29</f>
        <v>98</v>
      </c>
      <c r="AA29" s="121">
        <f>'N7'!AA29+'K7'!AA29</f>
        <v>6</v>
      </c>
      <c r="AB29" s="121">
        <f>'N7'!AB29+'K7'!AB29</f>
        <v>9</v>
      </c>
      <c r="AC29" s="33">
        <f>'N7'!AC29+'K7'!AC29</f>
        <v>376</v>
      </c>
      <c r="AD29" s="12">
        <f>'N7'!AD29+'K7'!AD29</f>
        <v>5202</v>
      </c>
      <c r="AE29" s="39"/>
      <c r="AF29" s="39"/>
      <c r="AG29" s="39"/>
      <c r="AH29" s="39"/>
      <c r="AI29" s="39"/>
      <c r="AJ29" s="39"/>
    </row>
    <row r="30" spans="1:36" x14ac:dyDescent="0.2">
      <c r="A30" s="5">
        <f>DAY(Kalenteri!A207)</f>
        <v>26</v>
      </c>
      <c r="B30" s="3" t="str">
        <f>IF(Kalenteri!B207=1,"su",IF(Kalenteri!B207=2,"ma",IF(Kalenteri!B207=3,"ti",IF(Kalenteri!B207=4,"ke",IF(Kalenteri!B207=5,"to",IF(Kalenteri!B207=6,"pe",IF(Kalenteri!B207=7,"la",)))))))</f>
        <v>pe</v>
      </c>
      <c r="C30" s="114">
        <f>'N7'!C30+'K7'!C30</f>
        <v>1349</v>
      </c>
      <c r="D30" s="115">
        <f>'N7'!D30+'K7'!D30</f>
        <v>385</v>
      </c>
      <c r="E30" s="115">
        <f>'N7'!E30+'K7'!E30</f>
        <v>10</v>
      </c>
      <c r="F30" s="116">
        <f>'N7'!F30+'K7'!F30</f>
        <v>9</v>
      </c>
      <c r="G30" s="114">
        <f>'N7'!G30+'K7'!G30</f>
        <v>32</v>
      </c>
      <c r="H30" s="116">
        <f>'N7'!H30+'K7'!H30</f>
        <v>575</v>
      </c>
      <c r="I30" s="114">
        <f>'N7'!I30+'K7'!I30</f>
        <v>46</v>
      </c>
      <c r="J30" s="116">
        <f>'N7'!J30+'K7'!J30</f>
        <v>69</v>
      </c>
      <c r="K30" s="33">
        <f>'N7'!K30+'K7'!K30</f>
        <v>2475</v>
      </c>
      <c r="L30" s="115">
        <f>'N7'!L30+'K7'!L30</f>
        <v>632</v>
      </c>
      <c r="M30" s="115">
        <f>'N7'!M30+'K7'!M30</f>
        <v>191</v>
      </c>
      <c r="N30" s="115">
        <f>'N7'!N30+'K7'!N30</f>
        <v>0</v>
      </c>
      <c r="O30" s="116">
        <f>'N7'!O30+'K7'!O30</f>
        <v>0</v>
      </c>
      <c r="P30" s="115">
        <f>'N7'!P30+'K7'!P30</f>
        <v>3</v>
      </c>
      <c r="Q30" s="116">
        <f>'N7'!Q30+'K7'!Q30</f>
        <v>178</v>
      </c>
      <c r="R30" s="121">
        <f>'N7'!R30+'K7'!R30</f>
        <v>60</v>
      </c>
      <c r="S30" s="121">
        <f>'N7'!S30+'K7'!S30</f>
        <v>90</v>
      </c>
      <c r="T30" s="33">
        <f>'N7'!T30+'K7'!T30</f>
        <v>1154</v>
      </c>
      <c r="U30" s="115">
        <f>'N7'!U30+'K7'!U30</f>
        <v>138</v>
      </c>
      <c r="V30" s="115">
        <f>'N7'!V30+'K7'!V30</f>
        <v>42</v>
      </c>
      <c r="W30" s="115">
        <f>'N7'!W30+'K7'!W30</f>
        <v>0</v>
      </c>
      <c r="X30" s="116">
        <f>'N7'!X30+'K7'!X30</f>
        <v>0</v>
      </c>
      <c r="Y30" s="115">
        <f>'N7'!Y30+'K7'!Y30</f>
        <v>0</v>
      </c>
      <c r="Z30" s="116">
        <f>'N7'!Z30+'K7'!Z30</f>
        <v>58</v>
      </c>
      <c r="AA30" s="121">
        <f>'N7'!AA30+'K7'!AA30</f>
        <v>0</v>
      </c>
      <c r="AB30" s="121">
        <f>'N7'!AB30+'K7'!AB30</f>
        <v>0</v>
      </c>
      <c r="AC30" s="33">
        <f>'N7'!AC30+'K7'!AC30</f>
        <v>238</v>
      </c>
      <c r="AD30" s="12">
        <f>'N7'!AD30+'K7'!AD30</f>
        <v>3867</v>
      </c>
      <c r="AE30" s="39"/>
      <c r="AF30" s="39"/>
      <c r="AG30" s="39"/>
      <c r="AH30" s="39"/>
      <c r="AI30" s="39"/>
      <c r="AJ30" s="39"/>
    </row>
    <row r="31" spans="1:36" x14ac:dyDescent="0.2">
      <c r="A31" s="5">
        <f>DAY(Kalenteri!A208)</f>
        <v>27</v>
      </c>
      <c r="B31" s="3" t="str">
        <f>IF(Kalenteri!B208=1,"su",IF(Kalenteri!B208=2,"ma",IF(Kalenteri!B208=3,"ti",IF(Kalenteri!B208=4,"ke",IF(Kalenteri!B208=5,"to",IF(Kalenteri!B208=6,"pe",IF(Kalenteri!B208=7,"la",)))))))</f>
        <v>la</v>
      </c>
      <c r="C31" s="114">
        <f>'N7'!C31+'K7'!C31</f>
        <v>2132</v>
      </c>
      <c r="D31" s="115">
        <f>'N7'!D31+'K7'!D31</f>
        <v>535</v>
      </c>
      <c r="E31" s="115">
        <f>'N7'!E31+'K7'!E31</f>
        <v>5</v>
      </c>
      <c r="F31" s="116">
        <f>'N7'!F31+'K7'!F31</f>
        <v>10</v>
      </c>
      <c r="G31" s="114">
        <f>'N7'!G31+'K7'!G31</f>
        <v>57</v>
      </c>
      <c r="H31" s="116">
        <f>'N7'!H31+'K7'!H31</f>
        <v>683</v>
      </c>
      <c r="I31" s="114">
        <f>'N7'!I31+'K7'!I31</f>
        <v>82</v>
      </c>
      <c r="J31" s="116">
        <f>'N7'!J31+'K7'!J31</f>
        <v>123</v>
      </c>
      <c r="K31" s="33">
        <f>'N7'!K31+'K7'!K31</f>
        <v>3627</v>
      </c>
      <c r="L31" s="115">
        <f>'N7'!L31+'K7'!L31</f>
        <v>1105</v>
      </c>
      <c r="M31" s="115">
        <f>'N7'!M31+'K7'!M31</f>
        <v>245</v>
      </c>
      <c r="N31" s="115">
        <f>'N7'!N31+'K7'!N31</f>
        <v>0</v>
      </c>
      <c r="O31" s="116">
        <f>'N7'!O31+'K7'!O31</f>
        <v>0</v>
      </c>
      <c r="P31" s="115">
        <f>'N7'!P31+'K7'!P31</f>
        <v>5</v>
      </c>
      <c r="Q31" s="116">
        <f>'N7'!Q31+'K7'!Q31</f>
        <v>197</v>
      </c>
      <c r="R31" s="121">
        <f>'N7'!R31+'K7'!R31</f>
        <v>54</v>
      </c>
      <c r="S31" s="121">
        <f>'N7'!S31+'K7'!S31</f>
        <v>81</v>
      </c>
      <c r="T31" s="33">
        <f>'N7'!T31+'K7'!T31</f>
        <v>1687</v>
      </c>
      <c r="U31" s="115">
        <f>'N7'!U31+'K7'!U31</f>
        <v>282</v>
      </c>
      <c r="V31" s="115">
        <f>'N7'!V31+'K7'!V31</f>
        <v>75</v>
      </c>
      <c r="W31" s="115">
        <f>'N7'!W31+'K7'!W31</f>
        <v>0</v>
      </c>
      <c r="X31" s="116">
        <f>'N7'!X31+'K7'!X31</f>
        <v>0</v>
      </c>
      <c r="Y31" s="115">
        <f>'N7'!Y31+'K7'!Y31</f>
        <v>0</v>
      </c>
      <c r="Z31" s="116">
        <f>'N7'!Z31+'K7'!Z31</f>
        <v>104</v>
      </c>
      <c r="AA31" s="121">
        <f>'N7'!AA31+'K7'!AA31</f>
        <v>12</v>
      </c>
      <c r="AB31" s="121">
        <f>'N7'!AB31+'K7'!AB31</f>
        <v>18</v>
      </c>
      <c r="AC31" s="33">
        <f>'N7'!AC31+'K7'!AC31</f>
        <v>491</v>
      </c>
      <c r="AD31" s="12">
        <f>'N7'!AD31+'K7'!AD31</f>
        <v>5805</v>
      </c>
      <c r="AE31" s="39"/>
      <c r="AF31" s="39"/>
      <c r="AG31" s="39"/>
      <c r="AH31" s="39"/>
      <c r="AI31" s="39"/>
      <c r="AJ31" s="39"/>
    </row>
    <row r="32" spans="1:36" x14ac:dyDescent="0.2">
      <c r="A32" s="5">
        <f>DAY(Kalenteri!A209)</f>
        <v>28</v>
      </c>
      <c r="B32" s="3" t="str">
        <f>IF(Kalenteri!B209=1,"su",IF(Kalenteri!B209=2,"ma",IF(Kalenteri!B209=3,"ti",IF(Kalenteri!B209=4,"ke",IF(Kalenteri!B209=5,"to",IF(Kalenteri!B209=6,"pe",IF(Kalenteri!B209=7,"la",)))))))</f>
        <v>su</v>
      </c>
      <c r="C32" s="114">
        <f>'N7'!C32+'K7'!C32</f>
        <v>1795</v>
      </c>
      <c r="D32" s="115">
        <f>'N7'!D32+'K7'!D32</f>
        <v>390</v>
      </c>
      <c r="E32" s="115">
        <f>'N7'!E32+'K7'!E32</f>
        <v>6</v>
      </c>
      <c r="F32" s="116">
        <f>'N7'!F32+'K7'!F32</f>
        <v>21</v>
      </c>
      <c r="G32" s="114">
        <f>'N7'!G32+'K7'!G32</f>
        <v>42</v>
      </c>
      <c r="H32" s="116">
        <f>'N7'!H32+'K7'!H32</f>
        <v>519</v>
      </c>
      <c r="I32" s="114">
        <f>'N7'!I32+'K7'!I32</f>
        <v>64</v>
      </c>
      <c r="J32" s="116">
        <f>'N7'!J32+'K7'!J32</f>
        <v>96</v>
      </c>
      <c r="K32" s="33">
        <f>'N7'!K32+'K7'!K32</f>
        <v>2933</v>
      </c>
      <c r="L32" s="115">
        <f>'N7'!L32+'K7'!L32</f>
        <v>619</v>
      </c>
      <c r="M32" s="115">
        <f>'N7'!M32+'K7'!M32</f>
        <v>162</v>
      </c>
      <c r="N32" s="115">
        <f>'N7'!N32+'K7'!N32</f>
        <v>0</v>
      </c>
      <c r="O32" s="116">
        <f>'N7'!O32+'K7'!O32</f>
        <v>1</v>
      </c>
      <c r="P32" s="115">
        <f>'N7'!P32+'K7'!P32</f>
        <v>4</v>
      </c>
      <c r="Q32" s="116">
        <f>'N7'!Q32+'K7'!Q32</f>
        <v>124</v>
      </c>
      <c r="R32" s="121">
        <f>'N7'!R32+'K7'!R32</f>
        <v>48</v>
      </c>
      <c r="S32" s="121">
        <f>'N7'!S32+'K7'!S32</f>
        <v>72</v>
      </c>
      <c r="T32" s="33">
        <f>'N7'!T32+'K7'!T32</f>
        <v>1030</v>
      </c>
      <c r="U32" s="115">
        <f>'N7'!U32+'K7'!U32</f>
        <v>224</v>
      </c>
      <c r="V32" s="115">
        <f>'N7'!V32+'K7'!V32</f>
        <v>49</v>
      </c>
      <c r="W32" s="115">
        <f>'N7'!W32+'K7'!W32</f>
        <v>0</v>
      </c>
      <c r="X32" s="116">
        <f>'N7'!X32+'K7'!X32</f>
        <v>0</v>
      </c>
      <c r="Y32" s="115">
        <f>'N7'!Y32+'K7'!Y32</f>
        <v>0</v>
      </c>
      <c r="Z32" s="116">
        <f>'N7'!Z32+'K7'!Z32</f>
        <v>63</v>
      </c>
      <c r="AA32" s="121">
        <f>'N7'!AA32+'K7'!AA32</f>
        <v>4</v>
      </c>
      <c r="AB32" s="121">
        <f>'N7'!AB32+'K7'!AB32</f>
        <v>6</v>
      </c>
      <c r="AC32" s="33">
        <f>'N7'!AC32+'K7'!AC32</f>
        <v>346</v>
      </c>
      <c r="AD32" s="12">
        <f>'N7'!AD32+'K7'!AD32</f>
        <v>4309</v>
      </c>
      <c r="AE32" s="39"/>
      <c r="AF32" s="39"/>
      <c r="AG32" s="39"/>
      <c r="AH32" s="39"/>
      <c r="AI32" s="39"/>
      <c r="AJ32" s="39"/>
    </row>
    <row r="33" spans="1:36" x14ac:dyDescent="0.2">
      <c r="A33" s="5">
        <f>DAY(Kalenteri!A210)</f>
        <v>29</v>
      </c>
      <c r="B33" s="3" t="str">
        <f>IF(Kalenteri!B210=1,"su",IF(Kalenteri!B210=2,"ma",IF(Kalenteri!B210=3,"ti",IF(Kalenteri!B210=4,"ke",IF(Kalenteri!B210=5,"to",IF(Kalenteri!B210=6,"pe",IF(Kalenteri!B210=7,"la",)))))))</f>
        <v>ma</v>
      </c>
      <c r="C33" s="114">
        <f>'N7'!C33+'K7'!C33</f>
        <v>1432</v>
      </c>
      <c r="D33" s="115">
        <f>'N7'!D33+'K7'!D33</f>
        <v>447</v>
      </c>
      <c r="E33" s="115">
        <f>'N7'!E33+'K7'!E33</f>
        <v>2</v>
      </c>
      <c r="F33" s="116">
        <f>'N7'!F33+'K7'!F33</f>
        <v>34</v>
      </c>
      <c r="G33" s="114">
        <f>'N7'!G33+'K7'!G33</f>
        <v>59</v>
      </c>
      <c r="H33" s="116">
        <f>'N7'!H33+'K7'!H33</f>
        <v>518</v>
      </c>
      <c r="I33" s="114">
        <f>'N7'!I33+'K7'!I33</f>
        <v>42</v>
      </c>
      <c r="J33" s="116">
        <f>'N7'!J33+'K7'!J33</f>
        <v>63</v>
      </c>
      <c r="K33" s="33">
        <f>'N7'!K33+'K7'!K33</f>
        <v>2597</v>
      </c>
      <c r="L33" s="115">
        <f>'N7'!L33+'K7'!L33</f>
        <v>661</v>
      </c>
      <c r="M33" s="115">
        <f>'N7'!M33+'K7'!M33</f>
        <v>210</v>
      </c>
      <c r="N33" s="115">
        <f>'N7'!N33+'K7'!N33</f>
        <v>0</v>
      </c>
      <c r="O33" s="116">
        <f>'N7'!O33+'K7'!O33</f>
        <v>0</v>
      </c>
      <c r="P33" s="115">
        <f>'N7'!P33+'K7'!P33</f>
        <v>1</v>
      </c>
      <c r="Q33" s="116">
        <f>'N7'!Q33+'K7'!Q33</f>
        <v>136</v>
      </c>
      <c r="R33" s="121">
        <f>'N7'!R33+'K7'!R33</f>
        <v>28</v>
      </c>
      <c r="S33" s="121">
        <f>'N7'!S33+'K7'!S33</f>
        <v>42</v>
      </c>
      <c r="T33" s="33">
        <f>'N7'!T33+'K7'!T33</f>
        <v>1078</v>
      </c>
      <c r="U33" s="115">
        <f>'N7'!U33+'K7'!U33</f>
        <v>153</v>
      </c>
      <c r="V33" s="115">
        <f>'N7'!V33+'K7'!V33</f>
        <v>46</v>
      </c>
      <c r="W33" s="115">
        <f>'N7'!W33+'K7'!W33</f>
        <v>0</v>
      </c>
      <c r="X33" s="116">
        <f>'N7'!X33+'K7'!X33</f>
        <v>0</v>
      </c>
      <c r="Y33" s="115">
        <f>'N7'!Y33+'K7'!Y33</f>
        <v>0</v>
      </c>
      <c r="Z33" s="116">
        <f>'N7'!Z33+'K7'!Z33</f>
        <v>74</v>
      </c>
      <c r="AA33" s="121">
        <f>'N7'!AA33+'K7'!AA33</f>
        <v>8</v>
      </c>
      <c r="AB33" s="121">
        <f>'N7'!AB33+'K7'!AB33</f>
        <v>12</v>
      </c>
      <c r="AC33" s="33">
        <f>'N7'!AC33+'K7'!AC33</f>
        <v>293</v>
      </c>
      <c r="AD33" s="12">
        <f>'N7'!AD33+'K7'!AD33</f>
        <v>3968</v>
      </c>
      <c r="AE33" s="39"/>
      <c r="AF33" s="39"/>
      <c r="AG33" s="39"/>
      <c r="AH33" s="39"/>
      <c r="AI33" s="39"/>
      <c r="AJ33" s="39"/>
    </row>
    <row r="34" spans="1:36" x14ac:dyDescent="0.2">
      <c r="A34" s="5">
        <f>DAY(Kalenteri!A211)</f>
        <v>30</v>
      </c>
      <c r="B34" s="3" t="str">
        <f>IF(Kalenteri!B211=1,"su",IF(Kalenteri!B211=2,"ma",IF(Kalenteri!B211=3,"ti",IF(Kalenteri!B211=4,"ke",IF(Kalenteri!B211=5,"to",IF(Kalenteri!B211=6,"pe",IF(Kalenteri!B211=7,"la",)))))))</f>
        <v>ti</v>
      </c>
      <c r="C34" s="114">
        <f>'N7'!C34+'K7'!C34</f>
        <v>1361</v>
      </c>
      <c r="D34" s="115">
        <f>'N7'!D34+'K7'!D34</f>
        <v>420</v>
      </c>
      <c r="E34" s="115">
        <f>'N7'!E34+'K7'!E34</f>
        <v>2</v>
      </c>
      <c r="F34" s="116">
        <f>'N7'!F34+'K7'!F34</f>
        <v>16</v>
      </c>
      <c r="G34" s="114">
        <f>'N7'!G34+'K7'!G34</f>
        <v>57</v>
      </c>
      <c r="H34" s="116">
        <f>'N7'!H34+'K7'!H34</f>
        <v>566</v>
      </c>
      <c r="I34" s="114">
        <f>'N7'!I34+'K7'!I34</f>
        <v>60</v>
      </c>
      <c r="J34" s="116">
        <f>'N7'!J34+'K7'!J34</f>
        <v>90</v>
      </c>
      <c r="K34" s="33">
        <f>'N7'!K34+'K7'!K34</f>
        <v>2572</v>
      </c>
      <c r="L34" s="115">
        <f>'N7'!L34+'K7'!L34</f>
        <v>541</v>
      </c>
      <c r="M34" s="115">
        <f>'N7'!M34+'K7'!M34</f>
        <v>183</v>
      </c>
      <c r="N34" s="115">
        <f>'N7'!N34+'K7'!N34</f>
        <v>0</v>
      </c>
      <c r="O34" s="116">
        <f>'N7'!O34+'K7'!O34</f>
        <v>0</v>
      </c>
      <c r="P34" s="115">
        <f>'N7'!P34+'K7'!P34</f>
        <v>3</v>
      </c>
      <c r="Q34" s="116">
        <f>'N7'!Q34+'K7'!Q34</f>
        <v>162</v>
      </c>
      <c r="R34" s="121">
        <f>'N7'!R34+'K7'!R34</f>
        <v>72</v>
      </c>
      <c r="S34" s="121">
        <f>'N7'!S34+'K7'!S34</f>
        <v>108</v>
      </c>
      <c r="T34" s="33">
        <f>'N7'!T34+'K7'!T34</f>
        <v>1069</v>
      </c>
      <c r="U34" s="115">
        <f>'N7'!U34+'K7'!U34</f>
        <v>158</v>
      </c>
      <c r="V34" s="115">
        <f>'N7'!V34+'K7'!V34</f>
        <v>54</v>
      </c>
      <c r="W34" s="115">
        <f>'N7'!W34+'K7'!W34</f>
        <v>0</v>
      </c>
      <c r="X34" s="116">
        <f>'N7'!X34+'K7'!X34</f>
        <v>0</v>
      </c>
      <c r="Y34" s="115">
        <f>'N7'!Y34+'K7'!Y34</f>
        <v>0</v>
      </c>
      <c r="Z34" s="116">
        <f>'N7'!Z34+'K7'!Z34</f>
        <v>69</v>
      </c>
      <c r="AA34" s="121">
        <f>'N7'!AA34+'K7'!AA34</f>
        <v>8</v>
      </c>
      <c r="AB34" s="121">
        <f>'N7'!AB34+'K7'!AB34</f>
        <v>12</v>
      </c>
      <c r="AC34" s="33">
        <f>'N7'!AC34+'K7'!AC34</f>
        <v>301</v>
      </c>
      <c r="AD34" s="12">
        <f>'N7'!AD34+'K7'!AD34</f>
        <v>3942</v>
      </c>
      <c r="AE34" s="39"/>
      <c r="AF34" s="39"/>
      <c r="AG34" s="39"/>
      <c r="AH34" s="39"/>
      <c r="AI34" s="39"/>
      <c r="AJ34" s="39"/>
    </row>
    <row r="35" spans="1:36" x14ac:dyDescent="0.2">
      <c r="A35" s="5">
        <f>DAY(Kalenteri!A212)</f>
        <v>31</v>
      </c>
      <c r="B35" s="3" t="str">
        <f>IF(Kalenteri!B212=1,"su",IF(Kalenteri!B212=2,"ma",IF(Kalenteri!B212=3,"ti",IF(Kalenteri!B212=4,"ke",IF(Kalenteri!B212=5,"to",IF(Kalenteri!B212=6,"pe",IF(Kalenteri!B212=7,"la",)))))))</f>
        <v>ke</v>
      </c>
      <c r="C35" s="117">
        <f>'N7'!C35+'K7'!C35</f>
        <v>1462</v>
      </c>
      <c r="D35" s="118">
        <f>'N7'!D35+'K7'!D35</f>
        <v>528</v>
      </c>
      <c r="E35" s="118">
        <f>'N7'!E35+'K7'!E35</f>
        <v>0</v>
      </c>
      <c r="F35" s="119">
        <f>'N7'!F35+'K7'!F35</f>
        <v>10</v>
      </c>
      <c r="G35" s="117">
        <f>'N7'!G35+'K7'!G35</f>
        <v>78</v>
      </c>
      <c r="H35" s="119">
        <f>'N7'!H35+'K7'!H35</f>
        <v>656</v>
      </c>
      <c r="I35" s="117">
        <f>'N7'!I35+'K7'!I35</f>
        <v>66</v>
      </c>
      <c r="J35" s="119">
        <f>'N7'!J35+'K7'!J35</f>
        <v>99</v>
      </c>
      <c r="K35" s="34">
        <f>'N7'!K35+'K7'!K35</f>
        <v>2899</v>
      </c>
      <c r="L35" s="122">
        <f>'N7'!L35+'K7'!L35</f>
        <v>585</v>
      </c>
      <c r="M35" s="122">
        <f>'N7'!M35+'K7'!M35</f>
        <v>211</v>
      </c>
      <c r="N35" s="122">
        <f>'N7'!N35+'K7'!N35</f>
        <v>0</v>
      </c>
      <c r="O35" s="123">
        <f>'N7'!O35+'K7'!O35</f>
        <v>0</v>
      </c>
      <c r="P35" s="122">
        <f>'N7'!P35+'K7'!P35</f>
        <v>0</v>
      </c>
      <c r="Q35" s="123">
        <f>'N7'!Q35+'K7'!Q35</f>
        <v>137</v>
      </c>
      <c r="R35" s="124">
        <f>'N7'!R35+'K7'!R35</f>
        <v>50</v>
      </c>
      <c r="S35" s="124">
        <f>'N7'!S35+'K7'!S35</f>
        <v>75</v>
      </c>
      <c r="T35" s="34">
        <f>'N7'!T35+'K7'!T35</f>
        <v>1058</v>
      </c>
      <c r="U35" s="122">
        <f>'N7'!U35+'K7'!U35</f>
        <v>168</v>
      </c>
      <c r="V35" s="122">
        <f>'N7'!V35+'K7'!V35</f>
        <v>80</v>
      </c>
      <c r="W35" s="122">
        <f>'N7'!W35+'K7'!W35</f>
        <v>0</v>
      </c>
      <c r="X35" s="123">
        <f>'N7'!X35+'K7'!X35</f>
        <v>0</v>
      </c>
      <c r="Y35" s="122">
        <f>'N7'!Y35+'K7'!Y35</f>
        <v>0</v>
      </c>
      <c r="Z35" s="123">
        <f>'N7'!Z35+'K7'!Z35</f>
        <v>76</v>
      </c>
      <c r="AA35" s="124">
        <f>'N7'!AA35+'K7'!AA35</f>
        <v>18</v>
      </c>
      <c r="AB35" s="124">
        <f>'N7'!AB35+'K7'!AB35</f>
        <v>27</v>
      </c>
      <c r="AC35" s="34">
        <f>'N7'!AC35+'K7'!AC35</f>
        <v>369</v>
      </c>
      <c r="AD35" s="19">
        <f>'N7'!AD35+'K7'!AD35</f>
        <v>4326</v>
      </c>
      <c r="AE35" s="39"/>
      <c r="AF35" s="39"/>
      <c r="AG35" s="39"/>
      <c r="AH35" s="39"/>
      <c r="AI35" s="39"/>
      <c r="AJ35" s="39"/>
    </row>
    <row r="36" spans="1:36" x14ac:dyDescent="0.2">
      <c r="A36" s="6"/>
      <c r="B36"/>
      <c r="C36" s="82">
        <f>'N7'!C36+'K7'!C36</f>
        <v>54354</v>
      </c>
      <c r="D36" s="83">
        <f>'N7'!D36+'K7'!D36</f>
        <v>16279</v>
      </c>
      <c r="E36" s="83">
        <f>'N7'!E36+'K7'!E36</f>
        <v>145</v>
      </c>
      <c r="F36" s="84">
        <f>'N7'!F36+'K7'!F36</f>
        <v>632</v>
      </c>
      <c r="G36" s="83">
        <f>'N7'!G36+'K7'!G36</f>
        <v>1951</v>
      </c>
      <c r="H36" s="84">
        <f>'N7'!H36+'K7'!H36</f>
        <v>20719</v>
      </c>
      <c r="I36" s="83">
        <f>'N7'!I36+'K7'!I36</f>
        <v>2460</v>
      </c>
      <c r="J36" s="84">
        <f>'N7'!J36+'K7'!J36</f>
        <v>3595</v>
      </c>
      <c r="K36" s="85">
        <f>'N7'!K36+'K7'!K36</f>
        <v>100135</v>
      </c>
      <c r="L36" s="83">
        <f>'N7'!L36+'K7'!L36</f>
        <v>23711</v>
      </c>
      <c r="M36" s="83">
        <f>'N7'!M36+'K7'!M36</f>
        <v>6915</v>
      </c>
      <c r="N36" s="83">
        <f>'N7'!N36+'K7'!N36</f>
        <v>0</v>
      </c>
      <c r="O36" s="84">
        <f>'N7'!O36+'K7'!O36</f>
        <v>13</v>
      </c>
      <c r="P36" s="83">
        <f>'N7'!P36+'K7'!P36</f>
        <v>76</v>
      </c>
      <c r="Q36" s="84">
        <f>'N7'!Q36+'K7'!Q36</f>
        <v>6168</v>
      </c>
      <c r="R36" s="86">
        <f>'N7'!R36+'K7'!R36</f>
        <v>1954</v>
      </c>
      <c r="S36" s="86">
        <f>'N7'!S36+'K7'!S36</f>
        <v>2931</v>
      </c>
      <c r="T36" s="85">
        <f>'N7'!T36+'K7'!T36</f>
        <v>41768</v>
      </c>
      <c r="U36" s="83">
        <f>'N7'!U36+'K7'!U36</f>
        <v>6552</v>
      </c>
      <c r="V36" s="83">
        <f>'N7'!V36+'K7'!V36</f>
        <v>1830</v>
      </c>
      <c r="W36" s="83">
        <f>'N7'!W36+'K7'!W36</f>
        <v>0</v>
      </c>
      <c r="X36" s="84">
        <f>'N7'!X36+'K7'!X36</f>
        <v>0</v>
      </c>
      <c r="Y36" s="83">
        <f>'N7'!Y36+'K7'!Y36</f>
        <v>17</v>
      </c>
      <c r="Z36" s="84">
        <f>'N7'!Z36+'K7'!Z36</f>
        <v>2488</v>
      </c>
      <c r="AA36" s="86">
        <f>'N7'!AA36+'K7'!AA36</f>
        <v>302</v>
      </c>
      <c r="AB36" s="86">
        <f>'N7'!AB36+'K7'!AB36</f>
        <v>453</v>
      </c>
      <c r="AC36" s="85">
        <f>'N7'!AC36+'K7'!AC36</f>
        <v>11642</v>
      </c>
      <c r="AD36" s="87">
        <f>'N7'!AD36+'K7'!AD36</f>
        <v>153545</v>
      </c>
      <c r="AE36" s="66"/>
      <c r="AF36" s="66"/>
      <c r="AG36" s="66"/>
      <c r="AH36" s="66"/>
      <c r="AI36" s="66"/>
      <c r="AJ36" s="66"/>
    </row>
    <row r="37" spans="1:36" ht="8.1" customHeight="1" thickBot="1" x14ac:dyDescent="0.25">
      <c r="A37" s="6"/>
      <c r="B37"/>
      <c r="C37" s="2"/>
      <c r="D37" s="5"/>
      <c r="E37" s="5"/>
      <c r="F37" s="2"/>
      <c r="G37" s="2"/>
      <c r="H37" s="2"/>
      <c r="I37" s="5"/>
      <c r="J37" s="2"/>
      <c r="K37" s="2"/>
      <c r="L37" s="5"/>
      <c r="M37" s="2"/>
      <c r="N37" s="5"/>
      <c r="O37" s="5"/>
      <c r="P37" s="2"/>
      <c r="Q37" s="5"/>
      <c r="R37" s="42"/>
      <c r="S37" s="42"/>
      <c r="T37" s="2"/>
      <c r="U37" s="2"/>
      <c r="V37" s="2"/>
      <c r="W37" s="2"/>
      <c r="X37" s="5"/>
      <c r="Y37" s="2"/>
      <c r="Z37" s="2"/>
      <c r="AA37" s="39"/>
      <c r="AB37" s="39"/>
      <c r="AC37" s="5"/>
      <c r="AD37" s="40"/>
      <c r="AE37" s="40"/>
      <c r="AF37" s="40"/>
      <c r="AG37" s="40"/>
      <c r="AH37" s="40"/>
      <c r="AI37" s="40"/>
      <c r="AJ37" s="40"/>
    </row>
    <row r="38" spans="1:36" ht="24.95" customHeight="1" thickTop="1" x14ac:dyDescent="0.3">
      <c r="A38" s="6"/>
      <c r="B38"/>
      <c r="C38" s="171" t="str">
        <f>Kalenteri!E38</f>
        <v>Lippujen hinnat:</v>
      </c>
      <c r="D38" s="5"/>
      <c r="E38" s="5"/>
      <c r="F38" s="2"/>
      <c r="G38" s="2"/>
      <c r="H38" s="2"/>
      <c r="I38" s="5"/>
      <c r="J38" s="2"/>
      <c r="K38" s="2"/>
      <c r="L38" s="5"/>
      <c r="M38" s="2"/>
      <c r="N38" s="5"/>
      <c r="O38" s="5"/>
      <c r="P38" s="2"/>
      <c r="Q38"/>
      <c r="R38"/>
      <c r="S38"/>
      <c r="T38"/>
      <c r="U38" s="49" t="s">
        <v>12</v>
      </c>
      <c r="V38" s="50"/>
      <c r="W38" s="43"/>
      <c r="X38" s="44"/>
      <c r="Y38" s="43"/>
      <c r="Z38" s="43"/>
      <c r="AA38" s="44"/>
      <c r="AB38" s="44"/>
      <c r="AC38" s="47"/>
      <c r="AD38" s="45">
        <f>'N7'!AD38+'K7'!AD38</f>
        <v>153545</v>
      </c>
      <c r="AE38" s="41"/>
      <c r="AF38" s="41"/>
      <c r="AG38" s="41"/>
      <c r="AH38" s="41"/>
      <c r="AI38" s="41"/>
      <c r="AJ38" s="41"/>
    </row>
    <row r="39" spans="1:36" ht="24.95" customHeight="1" x14ac:dyDescent="0.3">
      <c r="A39" s="6"/>
      <c r="B39"/>
      <c r="C39" s="193" t="str">
        <f>Kalenteri!E39</f>
        <v>Mustikkamaan kautta: 1.9.-30.4. aik. 10 €, lapset 5 €, kimppalippu 30 €    1.5.-30.8. aik. 12 €, lapset 6 €, kimppalippu 36 €</v>
      </c>
      <c r="D39" s="89"/>
      <c r="E39" s="89"/>
      <c r="F39" s="90"/>
      <c r="G39" s="102"/>
      <c r="H39" s="174"/>
      <c r="I39" s="89"/>
      <c r="J39" s="90"/>
      <c r="K39" s="90"/>
      <c r="L39" s="89"/>
      <c r="M39" s="90"/>
      <c r="N39" s="89"/>
      <c r="O39" s="89"/>
      <c r="P39" s="89"/>
      <c r="Q39" s="104"/>
      <c r="R39" s="103"/>
      <c r="S39"/>
      <c r="T39"/>
      <c r="U39" s="62" t="s">
        <v>13</v>
      </c>
      <c r="V39" s="52"/>
      <c r="W39" s="53"/>
      <c r="X39" s="54"/>
      <c r="Y39" s="53"/>
      <c r="Z39" s="53"/>
      <c r="AA39" s="54"/>
      <c r="AB39" s="54"/>
      <c r="AC39" s="55"/>
      <c r="AD39" s="56">
        <f>'N7'!AD39+'K7'!AD39</f>
        <v>-7655</v>
      </c>
      <c r="AE39" s="67"/>
      <c r="AF39" s="67"/>
      <c r="AG39" s="67"/>
      <c r="AH39" s="67"/>
      <c r="AI39" s="67"/>
      <c r="AJ39" s="67"/>
    </row>
    <row r="40" spans="1:36" ht="24.95" customHeight="1" x14ac:dyDescent="0.3">
      <c r="A40" s="6"/>
      <c r="B40" s="6"/>
      <c r="C40" s="194" t="str">
        <f>Kalenteri!E40</f>
        <v xml:space="preserve">                                    Vuosikortti:     aik. 50 €, lapset 20 €, perhekortti 100 €</v>
      </c>
      <c r="D40" s="39"/>
      <c r="E40" s="39"/>
      <c r="F40" s="42"/>
      <c r="G40" s="65"/>
      <c r="H40" s="176"/>
      <c r="I40" s="39"/>
      <c r="J40" s="42"/>
      <c r="K40" s="42"/>
      <c r="L40" s="39"/>
      <c r="M40" s="42"/>
      <c r="N40" s="39"/>
      <c r="O40" s="39"/>
      <c r="P40" s="39"/>
      <c r="Q40" s="23"/>
      <c r="R40" s="97"/>
      <c r="S40"/>
      <c r="T40"/>
      <c r="U40" s="63" t="s">
        <v>14</v>
      </c>
      <c r="V40" s="37"/>
      <c r="W40" s="51"/>
      <c r="X40" s="41"/>
      <c r="Y40" s="51"/>
      <c r="Z40" s="41"/>
      <c r="AA40" s="41"/>
      <c r="AB40" s="41"/>
      <c r="AC40" s="48"/>
      <c r="AD40" s="46">
        <f>'N7'!AD40+'K7'!AD40</f>
        <v>355955</v>
      </c>
      <c r="AE40" s="41"/>
      <c r="AF40" s="41"/>
      <c r="AG40" s="41"/>
      <c r="AH40" s="41"/>
      <c r="AI40" s="41"/>
      <c r="AJ40" s="41"/>
    </row>
    <row r="41" spans="1:36" ht="24.95" customHeight="1" thickBot="1" x14ac:dyDescent="0.35">
      <c r="A41" s="4"/>
      <c r="B41" s="4"/>
      <c r="C41" s="195" t="str">
        <f>Kalenteri!E41</f>
        <v>Vesibusseilla:             1.9.-30.4. aik. 16 €, lapset 8 €, kimppalippu 47 €    1.5.-31.8. aik. 18 €, lapset 9 €, kimppalippu 53 €</v>
      </c>
      <c r="D41" s="93"/>
      <c r="E41" s="93"/>
      <c r="F41" s="94"/>
      <c r="G41" s="94"/>
      <c r="H41" s="175"/>
      <c r="I41" s="93"/>
      <c r="J41" s="96"/>
      <c r="K41" s="96"/>
      <c r="L41" s="93"/>
      <c r="M41" s="95"/>
      <c r="N41" s="95"/>
      <c r="O41" s="93"/>
      <c r="P41" s="93"/>
      <c r="Q41" s="95"/>
      <c r="R41" s="98"/>
      <c r="S41"/>
      <c r="T41"/>
      <c r="U41" s="64" t="s">
        <v>13</v>
      </c>
      <c r="V41" s="57"/>
      <c r="W41" s="58"/>
      <c r="X41" s="59"/>
      <c r="Y41" s="59"/>
      <c r="Z41" s="59"/>
      <c r="AA41" s="59"/>
      <c r="AB41" s="59"/>
      <c r="AC41" s="60"/>
      <c r="AD41" s="61">
        <f>'N7'!AD41+'K7'!AD41</f>
        <v>-2057</v>
      </c>
      <c r="AE41" s="68"/>
      <c r="AF41" s="68"/>
      <c r="AG41" s="68"/>
      <c r="AH41" s="68"/>
      <c r="AI41" s="68"/>
      <c r="AJ41" s="68"/>
    </row>
    <row r="42" spans="1:36" ht="13.5" thickTop="1" x14ac:dyDescent="0.2"/>
  </sheetData>
  <sheetProtection password="C4AC" sheet="1" objects="1" scenarios="1"/>
  <phoneticPr fontId="4" type="noConversion"/>
  <pageMargins left="0" right="0" top="0.27559055118110237" bottom="0" header="0" footer="0"/>
  <pageSetup paperSize="9" scale="75" fitToHeight="0" orientation="landscape" horizontalDpi="4294967292" verticalDpi="4294967292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8545" r:id="rId4" name="Button 1">
              <controlPr defaultSize="0" print="0" autoFill="0" autoLine="0" autoPict="0" macro="[1]!TAMMI">
                <anchor moveWithCells="1" sizeWithCells="1">
                  <from>
                    <xdr:col>35</xdr:col>
                    <xdr:colOff>0</xdr:colOff>
                    <xdr:row>3</xdr:row>
                    <xdr:rowOff>9525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546" r:id="rId5" name="Button 2">
              <controlPr defaultSize="0" print="0" autoFill="0" autoLine="0" autoPict="0" macro="[1]KTMAKRO!$A$1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547" r:id="rId6" name="Button 3">
              <controlPr defaultSize="0" print="0" autoFill="0" autoLine="0" autoPict="0" macro="[1]!MAALIS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548" r:id="rId7" name="Button 4">
              <controlPr defaultSize="0" print="0" autoFill="0" autoLine="0" autoPict="0" macro="[1]KTMAKRO!$D$1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549" r:id="rId8" name="Button 5">
              <controlPr defaultSize="0" print="0" autoFill="0" autoLine="0" autoPict="0" macro="[1]KTMAKRO!$E$1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550" r:id="rId9" name="Button 6">
              <controlPr defaultSize="0" print="0" autoFill="0" autoLine="0" autoPict="0" macro="[1]!KESÄ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551" r:id="rId10" name="Button 7">
              <controlPr defaultSize="0" print="0" autoFill="0" autoLine="0" autoPict="0" macro="[1]!HELMI">
                <anchor moveWithCells="1" sizeWithCells="1">
                  <from>
                    <xdr:col>35</xdr:col>
                    <xdr:colOff>0</xdr:colOff>
                    <xdr:row>3</xdr:row>
                    <xdr:rowOff>9525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552" r:id="rId11" name="Button 8">
              <controlPr defaultSize="0" print="0" autoFill="0" autoLine="0" autoPict="0" macro="[1]KTMAKRO!$G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553" r:id="rId12" name="Button 9">
              <controlPr defaultSize="0" print="0" autoFill="0" autoLine="0" autoPict="0" macro="[1]KTMAKRO!$I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554" r:id="rId13" name="Button 10">
              <controlPr defaultSize="0" print="0" autoFill="0" autoLine="0" autoPict="0" macro="[1]KTMAKRO!$J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555" r:id="rId14" name="Button 11">
              <controlPr defaultSize="0" print="0" autoFill="0" autoLine="0" autoPict="0" macro="[1]KTMAKRO!$K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556" r:id="rId15" name="Button 12">
              <controlPr defaultSize="0" print="0" autoFill="0" autoLine="0" autoPict="0" macro="[1]KTMAKRO!$L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557" r:id="rId16" name="Button 13">
              <controlPr defaultSize="0" print="0" autoFill="0" autoLine="0" autoPict="0" macro="[1]KTMAKRO!$H$1">
                <anchor moveWithCells="1" sizeWithCells="1">
                  <from>
                    <xdr:col>35</xdr:col>
                    <xdr:colOff>0</xdr:colOff>
                    <xdr:row>5</xdr:row>
                    <xdr:rowOff>0</xdr:rowOff>
                  </from>
                  <to>
                    <xdr:col>35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558" r:id="rId17" name="Button 14">
              <controlPr defaultSize="0" print="0" autoFill="0" autoLine="0" autoPict="0" macro="[1]!Yhteenveto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5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559" r:id="rId18" name="Button 15">
              <controlPr defaultSize="0" print="0" autoFill="0" autoLine="0" autoPict="0" macro="[1]!GRAFIIKKA1">
                <anchor moveWithCells="1" sizeWithCells="1">
                  <from>
                    <xdr:col>35</xdr:col>
                    <xdr:colOff>0</xdr:colOff>
                    <xdr:row>8</xdr:row>
                    <xdr:rowOff>142875</xdr:rowOff>
                  </from>
                  <to>
                    <xdr:col>35</xdr:col>
                    <xdr:colOff>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560" r:id="rId19" name="Button 16">
              <controlPr defaultSize="0" print="0" autoFill="0" autoLine="0" autoPict="0" macro="[1]!Grafiikka2">
                <anchor moveWithCells="1" sizeWithCells="1">
                  <from>
                    <xdr:col>35</xdr:col>
                    <xdr:colOff>0</xdr:colOff>
                    <xdr:row>8</xdr:row>
                    <xdr:rowOff>152400</xdr:rowOff>
                  </from>
                  <to>
                    <xdr:col>35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561" r:id="rId20" name="Button 17">
              <controlPr defaultSize="0" print="0" autoFill="0" autoLine="0" autoPict="0" macro="[1]!Grafiikka4">
                <anchor moveWithCells="1" sizeWithCells="1">
                  <from>
                    <xdr:col>35</xdr:col>
                    <xdr:colOff>0</xdr:colOff>
                    <xdr:row>8</xdr:row>
                    <xdr:rowOff>142875</xdr:rowOff>
                  </from>
                  <to>
                    <xdr:col>35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562" r:id="rId21" name="Button 18">
              <controlPr defaultSize="0" print="0" autoFill="0" autoLine="0" autoPict="0" macro="[1]!Grafiikka4">
                <anchor moveWithCells="1" sizeWithCells="1">
                  <from>
                    <xdr:col>35</xdr:col>
                    <xdr:colOff>0</xdr:colOff>
                    <xdr:row>8</xdr:row>
                    <xdr:rowOff>152400</xdr:rowOff>
                  </from>
                  <to>
                    <xdr:col>35</xdr:col>
                    <xdr:colOff>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563" r:id="rId22" name="Button 19">
              <controlPr defaultSize="0" print="0" autoFill="0" autoLine="0" autoPict="0" macro="[1]!Grafiikka5">
                <anchor moveWithCells="1" sizeWithCells="1">
                  <from>
                    <xdr:col>35</xdr:col>
                    <xdr:colOff>0</xdr:colOff>
                    <xdr:row>8</xdr:row>
                    <xdr:rowOff>152400</xdr:rowOff>
                  </from>
                  <to>
                    <xdr:col>35</xdr:col>
                    <xdr:colOff>0</xdr:colOff>
                    <xdr:row>12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564" r:id="rId23" name="Button 20">
              <controlPr defaultSize="0" print="0" autoFill="0" autoLine="0" autoPict="0" macro="[1]!Perusikkuna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12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/>
  <dimension ref="A1:AJ42"/>
  <sheetViews>
    <sheetView showGridLines="0" zoomScale="75" workbookViewId="0"/>
  </sheetViews>
  <sheetFormatPr defaultColWidth="9.75" defaultRowHeight="12.75" x14ac:dyDescent="0.2"/>
  <cols>
    <col min="1" max="1" width="3.75" style="1" customWidth="1"/>
    <col min="2" max="2" width="2.75" style="1" customWidth="1"/>
    <col min="3" max="4" width="6.125" style="1" customWidth="1"/>
    <col min="5" max="5" width="4" style="1" customWidth="1"/>
    <col min="6" max="6" width="4.5" style="1" customWidth="1"/>
    <col min="7" max="10" width="6.125" style="1" customWidth="1"/>
    <col min="11" max="11" width="5.875" style="1" customWidth="1"/>
    <col min="12" max="13" width="6.125" style="1" customWidth="1"/>
    <col min="14" max="14" width="5.25" style="1" customWidth="1"/>
    <col min="15" max="15" width="4.5" style="1" customWidth="1"/>
    <col min="16" max="16" width="6.125" style="1" customWidth="1"/>
    <col min="17" max="17" width="5.5" style="1" customWidth="1"/>
    <col min="18" max="19" width="6.125" style="1" customWidth="1"/>
    <col min="20" max="20" width="5.875" style="1" customWidth="1"/>
    <col min="21" max="22" width="6.125" style="1" customWidth="1"/>
    <col min="23" max="23" width="4.375" style="1" customWidth="1"/>
    <col min="24" max="24" width="4.25" style="1" customWidth="1"/>
    <col min="25" max="29" width="6.125" style="1" customWidth="1"/>
    <col min="30" max="36" width="15.625" style="1" customWidth="1"/>
  </cols>
  <sheetData>
    <row r="1" spans="1:36" ht="30" customHeight="1" x14ac:dyDescent="0.35">
      <c r="A1" s="22"/>
      <c r="B1" s="4"/>
      <c r="C1" s="105" t="s">
        <v>15</v>
      </c>
      <c r="D1" s="106"/>
      <c r="E1" s="106"/>
      <c r="F1" s="106"/>
      <c r="G1" s="106"/>
      <c r="H1" s="106"/>
      <c r="I1" s="106"/>
      <c r="J1" s="106"/>
      <c r="K1" s="106"/>
      <c r="L1" s="105" t="str">
        <f>Kalenteri!$H$1</f>
        <v>KÄVIJÄTILASTO 2013</v>
      </c>
      <c r="M1" s="107"/>
      <c r="N1" s="107"/>
      <c r="O1" s="107"/>
      <c r="P1" s="106"/>
      <c r="Q1" s="106"/>
      <c r="R1" s="105" t="s">
        <v>77</v>
      </c>
      <c r="S1" s="108"/>
      <c r="T1" s="106"/>
      <c r="U1" s="109"/>
      <c r="V1" s="105" t="s">
        <v>42</v>
      </c>
      <c r="W1" s="109"/>
      <c r="X1" s="106"/>
      <c r="Y1" s="106"/>
      <c r="Z1" s="106"/>
      <c r="AA1" s="106"/>
      <c r="AB1" s="106"/>
      <c r="AC1" s="106"/>
      <c r="AD1" s="110"/>
      <c r="AE1" s="4"/>
      <c r="AF1" s="4"/>
      <c r="AG1" s="4"/>
      <c r="AH1" s="4"/>
      <c r="AI1" s="4"/>
      <c r="AJ1" s="4"/>
    </row>
    <row r="2" spans="1:36" ht="30" customHeight="1" x14ac:dyDescent="0.3">
      <c r="A2" s="3"/>
      <c r="B2" s="4"/>
      <c r="C2" s="72"/>
      <c r="D2" s="73"/>
      <c r="E2" s="74" t="s">
        <v>1</v>
      </c>
      <c r="F2" s="75"/>
      <c r="G2" s="75"/>
      <c r="H2" s="75"/>
      <c r="I2" s="75"/>
      <c r="J2" s="75"/>
      <c r="K2" s="76"/>
      <c r="L2" s="72"/>
      <c r="M2" s="77"/>
      <c r="N2" s="73"/>
      <c r="O2" s="74" t="s">
        <v>2</v>
      </c>
      <c r="P2" s="75"/>
      <c r="Q2" s="75"/>
      <c r="R2" s="75"/>
      <c r="S2" s="75"/>
      <c r="T2" s="76"/>
      <c r="U2" s="72"/>
      <c r="V2" s="75"/>
      <c r="W2" s="73"/>
      <c r="X2" s="74" t="s">
        <v>3</v>
      </c>
      <c r="Y2" s="75"/>
      <c r="Z2" s="75"/>
      <c r="AA2" s="75"/>
      <c r="AB2" s="75"/>
      <c r="AC2" s="76"/>
      <c r="AD2" s="13"/>
      <c r="AE2" s="35"/>
      <c r="AF2" s="69"/>
      <c r="AG2" s="69"/>
      <c r="AH2" s="69"/>
      <c r="AI2" s="69"/>
      <c r="AJ2" s="69"/>
    </row>
    <row r="3" spans="1:36" x14ac:dyDescent="0.2">
      <c r="A3" s="4"/>
      <c r="B3" s="4"/>
      <c r="C3" s="24" t="s">
        <v>4</v>
      </c>
      <c r="D3" s="25"/>
      <c r="E3" s="25"/>
      <c r="F3" s="26"/>
      <c r="G3" s="24" t="s">
        <v>5</v>
      </c>
      <c r="H3" s="26"/>
      <c r="I3" s="25" t="s">
        <v>6</v>
      </c>
      <c r="J3" s="25"/>
      <c r="K3" s="27"/>
      <c r="L3" s="24" t="s">
        <v>4</v>
      </c>
      <c r="M3" s="25"/>
      <c r="N3" s="25"/>
      <c r="O3" s="26"/>
      <c r="P3" s="24" t="s">
        <v>5</v>
      </c>
      <c r="Q3" s="26"/>
      <c r="R3" s="25" t="s">
        <v>6</v>
      </c>
      <c r="S3" s="25"/>
      <c r="T3" s="27"/>
      <c r="U3" s="24" t="s">
        <v>4</v>
      </c>
      <c r="V3" s="25"/>
      <c r="W3" s="25"/>
      <c r="X3" s="26"/>
      <c r="Y3" s="24" t="s">
        <v>5</v>
      </c>
      <c r="Z3" s="26"/>
      <c r="AA3" s="25" t="s">
        <v>6</v>
      </c>
      <c r="AB3" s="25"/>
      <c r="AC3" s="27"/>
      <c r="AD3" s="36" t="s">
        <v>7</v>
      </c>
      <c r="AE3" s="38"/>
      <c r="AF3" s="70"/>
      <c r="AG3" s="70"/>
      <c r="AH3" s="70"/>
      <c r="AI3" s="70"/>
      <c r="AJ3"/>
    </row>
    <row r="4" spans="1:36" x14ac:dyDescent="0.2">
      <c r="A4" s="6"/>
      <c r="B4" s="4"/>
      <c r="C4" s="7" t="s">
        <v>8</v>
      </c>
      <c r="D4" s="8" t="s">
        <v>9</v>
      </c>
      <c r="E4" s="8" t="s">
        <v>10</v>
      </c>
      <c r="F4" s="9" t="s">
        <v>11</v>
      </c>
      <c r="G4" s="7" t="s">
        <v>8</v>
      </c>
      <c r="H4" s="9" t="s">
        <v>9</v>
      </c>
      <c r="I4" s="8" t="s">
        <v>8</v>
      </c>
      <c r="J4" s="8" t="s">
        <v>9</v>
      </c>
      <c r="K4" s="14" t="s">
        <v>0</v>
      </c>
      <c r="L4" s="7" t="s">
        <v>8</v>
      </c>
      <c r="M4" s="8" t="s">
        <v>9</v>
      </c>
      <c r="N4" s="8" t="s">
        <v>10</v>
      </c>
      <c r="O4" s="9" t="s">
        <v>11</v>
      </c>
      <c r="P4" s="7" t="s">
        <v>8</v>
      </c>
      <c r="Q4" s="9" t="s">
        <v>9</v>
      </c>
      <c r="R4" s="8" t="s">
        <v>8</v>
      </c>
      <c r="S4" s="8" t="s">
        <v>9</v>
      </c>
      <c r="T4" s="14" t="s">
        <v>0</v>
      </c>
      <c r="U4" s="7" t="s">
        <v>8</v>
      </c>
      <c r="V4" s="8" t="s">
        <v>9</v>
      </c>
      <c r="W4" s="8" t="s">
        <v>10</v>
      </c>
      <c r="X4" s="9" t="s">
        <v>11</v>
      </c>
      <c r="Y4" s="7" t="s">
        <v>8</v>
      </c>
      <c r="Z4" s="9" t="s">
        <v>9</v>
      </c>
      <c r="AA4" s="8" t="s">
        <v>8</v>
      </c>
      <c r="AB4" s="8" t="s">
        <v>9</v>
      </c>
      <c r="AC4" s="14" t="s">
        <v>0</v>
      </c>
      <c r="AD4" s="28"/>
      <c r="AE4" s="23"/>
      <c r="AF4" s="23"/>
      <c r="AG4" s="23"/>
      <c r="AH4" s="23"/>
      <c r="AI4" s="23"/>
      <c r="AJ4"/>
    </row>
    <row r="5" spans="1:36" x14ac:dyDescent="0.2">
      <c r="A5" s="5">
        <f>DAY(Kalenteri!A213)</f>
        <v>1</v>
      </c>
      <c r="B5" s="3" t="str">
        <f>IF(Kalenteri!B213=1,"su",IF(Kalenteri!B213=2,"ma",IF(Kalenteri!B213=3,"ti",IF(Kalenteri!B213=4,"ke",IF(Kalenteri!B213=5,"to",IF(Kalenteri!B213=6,"pe",IF(Kalenteri!B213=7,"la",)))))))</f>
        <v>to</v>
      </c>
      <c r="C5" s="111">
        <f>'N8'!C5+'K8'!C5</f>
        <v>882</v>
      </c>
      <c r="D5" s="112">
        <f>'N8'!D5+'K8'!D5</f>
        <v>321</v>
      </c>
      <c r="E5" s="112">
        <f>'N8'!E5+'K8'!E5</f>
        <v>0</v>
      </c>
      <c r="F5" s="113">
        <f>'N8'!F5+'K8'!F5</f>
        <v>3</v>
      </c>
      <c r="G5" s="111">
        <f>'N8'!G5+'K8'!G5</f>
        <v>31</v>
      </c>
      <c r="H5" s="113">
        <f>'N8'!H5+'K8'!H5</f>
        <v>334</v>
      </c>
      <c r="I5" s="111">
        <f>'N8'!I5+'K8'!I5</f>
        <v>44</v>
      </c>
      <c r="J5" s="113">
        <f>'N8'!J5+'K8'!J5</f>
        <v>66</v>
      </c>
      <c r="K5" s="32">
        <f>'N8'!K5+'K8'!K5</f>
        <v>1681</v>
      </c>
      <c r="L5" s="112">
        <f>'N8'!L5+'K8'!L5</f>
        <v>343</v>
      </c>
      <c r="M5" s="112">
        <f>'N8'!M5+'K8'!M5</f>
        <v>120</v>
      </c>
      <c r="N5" s="112">
        <f>'N8'!N5+'K8'!N5</f>
        <v>0</v>
      </c>
      <c r="O5" s="113">
        <f>'N8'!O5+'K8'!O5</f>
        <v>0</v>
      </c>
      <c r="P5" s="112">
        <f>'N8'!P5+'K8'!P5</f>
        <v>2</v>
      </c>
      <c r="Q5" s="113">
        <f>'N8'!Q5+'K8'!Q5</f>
        <v>94</v>
      </c>
      <c r="R5" s="120">
        <f>'N8'!R5+'K8'!R5</f>
        <v>48</v>
      </c>
      <c r="S5" s="120">
        <f>'N8'!S5+'K8'!S5</f>
        <v>72</v>
      </c>
      <c r="T5" s="32">
        <f>'N8'!T5+'K8'!T5</f>
        <v>679</v>
      </c>
      <c r="U5" s="112">
        <f>'N8'!U5+'K8'!U5</f>
        <v>96</v>
      </c>
      <c r="V5" s="112">
        <f>'N8'!V5+'K8'!V5</f>
        <v>27</v>
      </c>
      <c r="W5" s="112">
        <f>'N8'!W5+'K8'!W5</f>
        <v>0</v>
      </c>
      <c r="X5" s="113">
        <f>'N8'!X5+'K8'!X5</f>
        <v>0</v>
      </c>
      <c r="Y5" s="112">
        <f>'N8'!Y5+'K8'!Y5</f>
        <v>0</v>
      </c>
      <c r="Z5" s="113">
        <f>'N8'!Z5+'K8'!Z5</f>
        <v>39</v>
      </c>
      <c r="AA5" s="120">
        <f>'N8'!AA5+'K8'!AA5</f>
        <v>8</v>
      </c>
      <c r="AB5" s="120">
        <f>'N8'!AB5+'K8'!AB5</f>
        <v>12</v>
      </c>
      <c r="AC5" s="32">
        <f>'N8'!AC5+'K8'!AC5</f>
        <v>182</v>
      </c>
      <c r="AD5" s="17">
        <f>'N8'!AD5+'K8'!AD5</f>
        <v>2542</v>
      </c>
      <c r="AE5" s="39"/>
      <c r="AF5" s="39"/>
      <c r="AG5" s="39"/>
      <c r="AH5" s="39"/>
      <c r="AI5" s="39"/>
      <c r="AJ5"/>
    </row>
    <row r="6" spans="1:36" x14ac:dyDescent="0.2">
      <c r="A6" s="5">
        <f>DAY(Kalenteri!A214)</f>
        <v>2</v>
      </c>
      <c r="B6" s="3" t="str">
        <f>IF(Kalenteri!B214=1,"su",IF(Kalenteri!B214=2,"ma",IF(Kalenteri!B214=3,"ti",IF(Kalenteri!B214=4,"ke",IF(Kalenteri!B214=5,"to",IF(Kalenteri!B214=6,"pe",IF(Kalenteri!B214=7,"la",)))))))</f>
        <v>pe</v>
      </c>
      <c r="C6" s="114">
        <f>'N8'!C6+'K8'!C6</f>
        <v>1344</v>
      </c>
      <c r="D6" s="115">
        <f>'N8'!D6+'K8'!D6</f>
        <v>396</v>
      </c>
      <c r="E6" s="115">
        <f>'N8'!E6+'K8'!E6</f>
        <v>6</v>
      </c>
      <c r="F6" s="116">
        <f>'N8'!F6+'K8'!F6</f>
        <v>11</v>
      </c>
      <c r="G6" s="114">
        <f>'N8'!G6+'K8'!G6</f>
        <v>62</v>
      </c>
      <c r="H6" s="116">
        <f>'N8'!H6+'K8'!H6</f>
        <v>535</v>
      </c>
      <c r="I6" s="114">
        <f>'N8'!I6+'K8'!I6</f>
        <v>82</v>
      </c>
      <c r="J6" s="116">
        <f>'N8'!J6+'K8'!J6</f>
        <v>119</v>
      </c>
      <c r="K6" s="33">
        <f>'N8'!K6+'K8'!K6</f>
        <v>2555</v>
      </c>
      <c r="L6" s="115">
        <f>'N8'!L6+'K8'!L6</f>
        <v>572</v>
      </c>
      <c r="M6" s="115">
        <f>'N8'!M6+'K8'!M6</f>
        <v>198</v>
      </c>
      <c r="N6" s="115">
        <f>'N8'!N6+'K8'!N6</f>
        <v>0</v>
      </c>
      <c r="O6" s="116">
        <f>'N8'!O6+'K8'!O6</f>
        <v>1</v>
      </c>
      <c r="P6" s="115">
        <f>'N8'!P6+'K8'!P6</f>
        <v>4</v>
      </c>
      <c r="Q6" s="116">
        <f>'N8'!Q6+'K8'!Q6</f>
        <v>156</v>
      </c>
      <c r="R6" s="121">
        <f>'N8'!R6+'K8'!R6</f>
        <v>60</v>
      </c>
      <c r="S6" s="121">
        <f>'N8'!S6+'K8'!S6</f>
        <v>90</v>
      </c>
      <c r="T6" s="33">
        <f>'N8'!T6+'K8'!T6</f>
        <v>1081</v>
      </c>
      <c r="U6" s="115">
        <f>'N8'!U6+'K8'!U6</f>
        <v>151</v>
      </c>
      <c r="V6" s="115">
        <f>'N8'!V6+'K8'!V6</f>
        <v>59</v>
      </c>
      <c r="W6" s="115">
        <f>'N8'!W6+'K8'!W6</f>
        <v>0</v>
      </c>
      <c r="X6" s="116">
        <f>'N8'!X6+'K8'!X6</f>
        <v>0</v>
      </c>
      <c r="Y6" s="115">
        <f>'N8'!Y6+'K8'!Y6</f>
        <v>0</v>
      </c>
      <c r="Z6" s="116">
        <f>'N8'!Z6+'K8'!Z6</f>
        <v>78</v>
      </c>
      <c r="AA6" s="121">
        <f>'N8'!AA6+'K8'!AA6</f>
        <v>2</v>
      </c>
      <c r="AB6" s="121">
        <f>'N8'!AB6+'K8'!AB6</f>
        <v>3</v>
      </c>
      <c r="AC6" s="33">
        <f>'N8'!AC6+'K8'!AC6</f>
        <v>293</v>
      </c>
      <c r="AD6" s="12">
        <f>'N8'!AD6+'K8'!AD6</f>
        <v>3929</v>
      </c>
      <c r="AE6" s="39"/>
      <c r="AF6" s="39"/>
      <c r="AG6" s="39"/>
      <c r="AH6" s="39"/>
      <c r="AI6" s="39"/>
      <c r="AJ6"/>
    </row>
    <row r="7" spans="1:36" x14ac:dyDescent="0.2">
      <c r="A7" s="5">
        <f>DAY(Kalenteri!A215)</f>
        <v>3</v>
      </c>
      <c r="B7" s="3" t="str">
        <f>IF(Kalenteri!B215=1,"su",IF(Kalenteri!B215=2,"ma",IF(Kalenteri!B215=3,"ti",IF(Kalenteri!B215=4,"ke",IF(Kalenteri!B215=5,"to",IF(Kalenteri!B215=6,"pe",IF(Kalenteri!B215=7,"la",)))))))</f>
        <v>la</v>
      </c>
      <c r="C7" s="114">
        <f>'N8'!C7+'K8'!C7</f>
        <v>2298</v>
      </c>
      <c r="D7" s="115">
        <f>'N8'!D7+'K8'!D7</f>
        <v>571</v>
      </c>
      <c r="E7" s="115">
        <f>'N8'!E7+'K8'!E7</f>
        <v>0</v>
      </c>
      <c r="F7" s="116">
        <f>'N8'!F7+'K8'!F7</f>
        <v>53</v>
      </c>
      <c r="G7" s="114">
        <f>'N8'!G7+'K8'!G7</f>
        <v>33</v>
      </c>
      <c r="H7" s="116">
        <f>'N8'!H7+'K8'!H7</f>
        <v>769</v>
      </c>
      <c r="I7" s="114">
        <f>'N8'!I7+'K8'!I7</f>
        <v>87</v>
      </c>
      <c r="J7" s="116">
        <f>'N8'!J7+'K8'!J7</f>
        <v>129</v>
      </c>
      <c r="K7" s="33">
        <f>'N8'!K7+'K8'!K7</f>
        <v>3940</v>
      </c>
      <c r="L7" s="115">
        <f>'N8'!L7+'K8'!L7</f>
        <v>1023</v>
      </c>
      <c r="M7" s="115">
        <f>'N8'!M7+'K8'!M7</f>
        <v>217</v>
      </c>
      <c r="N7" s="115">
        <f>'N8'!N7+'K8'!N7</f>
        <v>0</v>
      </c>
      <c r="O7" s="116">
        <f>'N8'!O7+'K8'!O7</f>
        <v>2</v>
      </c>
      <c r="P7" s="115">
        <f>'N8'!P7+'K8'!P7</f>
        <v>0</v>
      </c>
      <c r="Q7" s="116">
        <f>'N8'!Q7+'K8'!Q7</f>
        <v>204</v>
      </c>
      <c r="R7" s="121">
        <f>'N8'!R7+'K8'!R7</f>
        <v>48</v>
      </c>
      <c r="S7" s="121">
        <f>'N8'!S7+'K8'!S7</f>
        <v>72</v>
      </c>
      <c r="T7" s="33">
        <f>'N8'!T7+'K8'!T7</f>
        <v>1566</v>
      </c>
      <c r="U7" s="115">
        <f>'N8'!U7+'K8'!U7</f>
        <v>324</v>
      </c>
      <c r="V7" s="115">
        <f>'N8'!V7+'K8'!V7</f>
        <v>75</v>
      </c>
      <c r="W7" s="115">
        <f>'N8'!W7+'K8'!W7</f>
        <v>0</v>
      </c>
      <c r="X7" s="116">
        <f>'N8'!X7+'K8'!X7</f>
        <v>0</v>
      </c>
      <c r="Y7" s="115">
        <f>'N8'!Y7+'K8'!Y7</f>
        <v>0</v>
      </c>
      <c r="Z7" s="116">
        <f>'N8'!Z7+'K8'!Z7</f>
        <v>108</v>
      </c>
      <c r="AA7" s="121">
        <f>'N8'!AA7+'K8'!AA7</f>
        <v>6</v>
      </c>
      <c r="AB7" s="121">
        <f>'N8'!AB7+'K8'!AB7</f>
        <v>9</v>
      </c>
      <c r="AC7" s="33">
        <f>'N8'!AC7+'K8'!AC7</f>
        <v>522</v>
      </c>
      <c r="AD7" s="12">
        <f>'N8'!AD7+'K8'!AD7</f>
        <v>6028</v>
      </c>
      <c r="AE7" s="39"/>
      <c r="AF7" s="39"/>
      <c r="AG7" s="39"/>
      <c r="AH7" s="39"/>
      <c r="AI7" s="39"/>
      <c r="AJ7"/>
    </row>
    <row r="8" spans="1:36" x14ac:dyDescent="0.2">
      <c r="A8" s="5">
        <f>DAY(Kalenteri!A216)</f>
        <v>4</v>
      </c>
      <c r="B8" s="3" t="str">
        <f>IF(Kalenteri!B216=1,"su",IF(Kalenteri!B216=2,"ma",IF(Kalenteri!B216=3,"ti",IF(Kalenteri!B216=4,"ke",IF(Kalenteri!B216=5,"to",IF(Kalenteri!B216=6,"pe",IF(Kalenteri!B216=7,"la",)))))))</f>
        <v>su</v>
      </c>
      <c r="C8" s="114">
        <f>'N8'!C8+'K8'!C8</f>
        <v>1762</v>
      </c>
      <c r="D8" s="115">
        <f>'N8'!D8+'K8'!D8</f>
        <v>451</v>
      </c>
      <c r="E8" s="115">
        <f>'N8'!E8+'K8'!E8</f>
        <v>2</v>
      </c>
      <c r="F8" s="116">
        <f>'N8'!F8+'K8'!F8</f>
        <v>30</v>
      </c>
      <c r="G8" s="114">
        <f>'N8'!G8+'K8'!G8</f>
        <v>46</v>
      </c>
      <c r="H8" s="116">
        <f>'N8'!H8+'K8'!H8</f>
        <v>572</v>
      </c>
      <c r="I8" s="114">
        <f>'N8'!I8+'K8'!I8</f>
        <v>75</v>
      </c>
      <c r="J8" s="116">
        <f>'N8'!J8+'K8'!J8</f>
        <v>111</v>
      </c>
      <c r="K8" s="33">
        <f>'N8'!K8+'K8'!K8</f>
        <v>3049</v>
      </c>
      <c r="L8" s="115">
        <f>'N8'!L8+'K8'!L8</f>
        <v>730</v>
      </c>
      <c r="M8" s="115">
        <f>'N8'!M8+'K8'!M8</f>
        <v>194</v>
      </c>
      <c r="N8" s="115">
        <f>'N8'!N8+'K8'!N8</f>
        <v>0</v>
      </c>
      <c r="O8" s="116">
        <f>'N8'!O8+'K8'!O8</f>
        <v>0</v>
      </c>
      <c r="P8" s="115">
        <f>'N8'!P8+'K8'!P8</f>
        <v>0</v>
      </c>
      <c r="Q8" s="116">
        <f>'N8'!Q8+'K8'!Q8</f>
        <v>148</v>
      </c>
      <c r="R8" s="121">
        <f>'N8'!R8+'K8'!R8</f>
        <v>34</v>
      </c>
      <c r="S8" s="121">
        <f>'N8'!S8+'K8'!S8</f>
        <v>51</v>
      </c>
      <c r="T8" s="33">
        <f>'N8'!T8+'K8'!T8</f>
        <v>1157</v>
      </c>
      <c r="U8" s="115">
        <f>'N8'!U8+'K8'!U8</f>
        <v>255</v>
      </c>
      <c r="V8" s="115">
        <f>'N8'!V8+'K8'!V8</f>
        <v>43</v>
      </c>
      <c r="W8" s="115">
        <f>'N8'!W8+'K8'!W8</f>
        <v>0</v>
      </c>
      <c r="X8" s="116">
        <f>'N8'!X8+'K8'!X8</f>
        <v>0</v>
      </c>
      <c r="Y8" s="115">
        <f>'N8'!Y8+'K8'!Y8</f>
        <v>0</v>
      </c>
      <c r="Z8" s="116">
        <f>'N8'!Z8+'K8'!Z8</f>
        <v>82</v>
      </c>
      <c r="AA8" s="121">
        <f>'N8'!AA8+'K8'!AA8</f>
        <v>4</v>
      </c>
      <c r="AB8" s="121">
        <f>'N8'!AB8+'K8'!AB8</f>
        <v>6</v>
      </c>
      <c r="AC8" s="33">
        <f>'N8'!AC8+'K8'!AC8</f>
        <v>390</v>
      </c>
      <c r="AD8" s="12">
        <f>'N8'!AD8+'K8'!AD8</f>
        <v>4596</v>
      </c>
      <c r="AE8" s="39"/>
      <c r="AF8" s="39"/>
      <c r="AG8" s="39"/>
      <c r="AH8" s="39"/>
      <c r="AI8" s="39"/>
      <c r="AJ8"/>
    </row>
    <row r="9" spans="1:36" x14ac:dyDescent="0.2">
      <c r="A9" s="5">
        <f>DAY(Kalenteri!A217)</f>
        <v>5</v>
      </c>
      <c r="B9" s="3" t="str">
        <f>IF(Kalenteri!B217=1,"su",IF(Kalenteri!B217=2,"ma",IF(Kalenteri!B217=3,"ti",IF(Kalenteri!B217=4,"ke",IF(Kalenteri!B217=5,"to",IF(Kalenteri!B217=6,"pe",IF(Kalenteri!B217=7,"la",)))))))</f>
        <v>ma</v>
      </c>
      <c r="C9" s="114">
        <f>'N8'!C9+'K8'!C9</f>
        <v>1225</v>
      </c>
      <c r="D9" s="115">
        <f>'N8'!D9+'K8'!D9</f>
        <v>434</v>
      </c>
      <c r="E9" s="115">
        <f>'N8'!E9+'K8'!E9</f>
        <v>5</v>
      </c>
      <c r="F9" s="116">
        <f>'N8'!F9+'K8'!F9</f>
        <v>17</v>
      </c>
      <c r="G9" s="114">
        <f>'N8'!G9+'K8'!G9</f>
        <v>63</v>
      </c>
      <c r="H9" s="116">
        <f>'N8'!H9+'K8'!H9</f>
        <v>421</v>
      </c>
      <c r="I9" s="114">
        <f>'N8'!I9+'K8'!I9</f>
        <v>48</v>
      </c>
      <c r="J9" s="116">
        <f>'N8'!J9+'K8'!J9</f>
        <v>72</v>
      </c>
      <c r="K9" s="33">
        <f>'N8'!K9+'K8'!K9</f>
        <v>2285</v>
      </c>
      <c r="L9" s="115">
        <f>'N8'!L9+'K8'!L9</f>
        <v>99</v>
      </c>
      <c r="M9" s="115">
        <f>'N8'!M9+'K8'!M9</f>
        <v>205</v>
      </c>
      <c r="N9" s="115">
        <f>'N8'!N9+'K8'!N9</f>
        <v>0</v>
      </c>
      <c r="O9" s="116">
        <f>'N8'!O9+'K8'!O9</f>
        <v>0</v>
      </c>
      <c r="P9" s="115">
        <f>'N8'!P9+'K8'!P9</f>
        <v>0</v>
      </c>
      <c r="Q9" s="116">
        <f>'N8'!Q9+'K8'!Q9</f>
        <v>115</v>
      </c>
      <c r="R9" s="121">
        <f>'N8'!R9+'K8'!R9</f>
        <v>46</v>
      </c>
      <c r="S9" s="121">
        <f>'N8'!S9+'K8'!S9</f>
        <v>69</v>
      </c>
      <c r="T9" s="33">
        <f>'N8'!T9+'K8'!T9</f>
        <v>534</v>
      </c>
      <c r="U9" s="115">
        <f>'N8'!U9+'K8'!U9</f>
        <v>134</v>
      </c>
      <c r="V9" s="115">
        <f>'N8'!V9+'K8'!V9</f>
        <v>52</v>
      </c>
      <c r="W9" s="115">
        <f>'N8'!W9+'K8'!W9</f>
        <v>0</v>
      </c>
      <c r="X9" s="116">
        <f>'N8'!X9+'K8'!X9</f>
        <v>0</v>
      </c>
      <c r="Y9" s="115">
        <f>'N8'!Y9+'K8'!Y9</f>
        <v>0</v>
      </c>
      <c r="Z9" s="116">
        <f>'N8'!Z9+'K8'!Z9</f>
        <v>49</v>
      </c>
      <c r="AA9" s="121">
        <f>'N8'!AA9+'K8'!AA9</f>
        <v>4</v>
      </c>
      <c r="AB9" s="121">
        <f>'N8'!AB9+'K8'!AB9</f>
        <v>6</v>
      </c>
      <c r="AC9" s="33">
        <f>'N8'!AC9+'K8'!AC9</f>
        <v>245</v>
      </c>
      <c r="AD9" s="12">
        <f>'N8'!AD9+'K8'!AD9</f>
        <v>3064</v>
      </c>
      <c r="AE9" s="39"/>
      <c r="AF9" s="39"/>
      <c r="AG9" s="39"/>
      <c r="AH9" s="39"/>
      <c r="AI9" s="39"/>
      <c r="AJ9"/>
    </row>
    <row r="10" spans="1:36" x14ac:dyDescent="0.2">
      <c r="A10" s="5">
        <f>DAY(Kalenteri!A218)</f>
        <v>6</v>
      </c>
      <c r="B10" s="3" t="str">
        <f>IF(Kalenteri!B218=1,"su",IF(Kalenteri!B218=2,"ma",IF(Kalenteri!B218=3,"ti",IF(Kalenteri!B218=4,"ke",IF(Kalenteri!B218=5,"to",IF(Kalenteri!B218=6,"pe",IF(Kalenteri!B218=7,"la",)))))))</f>
        <v>ti</v>
      </c>
      <c r="C10" s="114">
        <f>'N8'!C10+'K8'!C10</f>
        <v>1458</v>
      </c>
      <c r="D10" s="115">
        <f>'N8'!D10+'K8'!D10</f>
        <v>551</v>
      </c>
      <c r="E10" s="115">
        <f>'N8'!E10+'K8'!E10</f>
        <v>14</v>
      </c>
      <c r="F10" s="116">
        <f>'N8'!F10+'K8'!F10</f>
        <v>21</v>
      </c>
      <c r="G10" s="114">
        <f>'N8'!G10+'K8'!G10</f>
        <v>67</v>
      </c>
      <c r="H10" s="116">
        <f>'N8'!H10+'K8'!H10</f>
        <v>504</v>
      </c>
      <c r="I10" s="114">
        <f>'N8'!I10+'K8'!I10</f>
        <v>70</v>
      </c>
      <c r="J10" s="116">
        <f>'N8'!J10+'K8'!J10</f>
        <v>105</v>
      </c>
      <c r="K10" s="33">
        <f>'N8'!K10+'K8'!K10</f>
        <v>2790</v>
      </c>
      <c r="L10" s="115">
        <f>'N8'!L10+'K8'!L10</f>
        <v>747</v>
      </c>
      <c r="M10" s="115">
        <f>'N8'!M10+'K8'!M10</f>
        <v>246</v>
      </c>
      <c r="N10" s="115">
        <f>'N8'!N10+'K8'!N10</f>
        <v>0</v>
      </c>
      <c r="O10" s="116">
        <f>'N8'!O10+'K8'!O10</f>
        <v>0</v>
      </c>
      <c r="P10" s="115">
        <f>'N8'!P10+'K8'!P10</f>
        <v>2</v>
      </c>
      <c r="Q10" s="116">
        <f>'N8'!Q10+'K8'!Q10</f>
        <v>124</v>
      </c>
      <c r="R10" s="121">
        <f>'N8'!R10+'K8'!R10</f>
        <v>50</v>
      </c>
      <c r="S10" s="121">
        <f>'N8'!S10+'K8'!S10</f>
        <v>75</v>
      </c>
      <c r="T10" s="33">
        <f>'N8'!T10+'K8'!T10</f>
        <v>1244</v>
      </c>
      <c r="U10" s="115">
        <f>'N8'!U10+'K8'!U10</f>
        <v>206</v>
      </c>
      <c r="V10" s="115">
        <f>'N8'!V10+'K8'!V10</f>
        <v>53</v>
      </c>
      <c r="W10" s="115">
        <f>'N8'!W10+'K8'!W10</f>
        <v>0</v>
      </c>
      <c r="X10" s="116">
        <f>'N8'!X10+'K8'!X10</f>
        <v>0</v>
      </c>
      <c r="Y10" s="115">
        <f>'N8'!Y10+'K8'!Y10</f>
        <v>0</v>
      </c>
      <c r="Z10" s="116">
        <f>'N8'!Z10+'K8'!Z10</f>
        <v>74</v>
      </c>
      <c r="AA10" s="121">
        <f>'N8'!AA10+'K8'!AA10</f>
        <v>4</v>
      </c>
      <c r="AB10" s="121">
        <f>'N8'!AB10+'K8'!AB10</f>
        <v>6</v>
      </c>
      <c r="AC10" s="33">
        <f>'N8'!AC10+'K8'!AC10</f>
        <v>343</v>
      </c>
      <c r="AD10" s="12">
        <f>'N8'!AD10+'K8'!AD10</f>
        <v>4377</v>
      </c>
      <c r="AE10" s="39"/>
      <c r="AF10" s="39"/>
      <c r="AG10" s="39"/>
      <c r="AH10" s="39"/>
      <c r="AI10" s="39"/>
      <c r="AJ10"/>
    </row>
    <row r="11" spans="1:36" x14ac:dyDescent="0.2">
      <c r="A11" s="5">
        <f>DAY(Kalenteri!A219)</f>
        <v>7</v>
      </c>
      <c r="B11" s="3" t="str">
        <f>IF(Kalenteri!B219=1,"su",IF(Kalenteri!B219=2,"ma",IF(Kalenteri!B219=3,"ti",IF(Kalenteri!B219=4,"ke",IF(Kalenteri!B219=5,"to",IF(Kalenteri!B219=6,"pe",IF(Kalenteri!B219=7,"la",)))))))</f>
        <v>ke</v>
      </c>
      <c r="C11" s="114">
        <f>'N8'!C11+'K8'!C11</f>
        <v>1099</v>
      </c>
      <c r="D11" s="115">
        <f>'N8'!D11+'K8'!D11</f>
        <v>423</v>
      </c>
      <c r="E11" s="115">
        <f>'N8'!E11+'K8'!E11</f>
        <v>5</v>
      </c>
      <c r="F11" s="116">
        <f>'N8'!F11+'K8'!F11</f>
        <v>10</v>
      </c>
      <c r="G11" s="114">
        <f>'N8'!G11+'K8'!G11</f>
        <v>56</v>
      </c>
      <c r="H11" s="116">
        <f>'N8'!H11+'K8'!H11</f>
        <v>378</v>
      </c>
      <c r="I11" s="114">
        <f>'N8'!I11+'K8'!I11</f>
        <v>54</v>
      </c>
      <c r="J11" s="116">
        <f>'N8'!J11+'K8'!J11</f>
        <v>81</v>
      </c>
      <c r="K11" s="33">
        <f>'N8'!K11+'K8'!K11</f>
        <v>2106</v>
      </c>
      <c r="L11" s="115">
        <f>'N8'!L11+'K8'!L11</f>
        <v>538</v>
      </c>
      <c r="M11" s="115">
        <f>'N8'!M11+'K8'!M11</f>
        <v>210</v>
      </c>
      <c r="N11" s="115">
        <f>'N8'!N11+'K8'!N11</f>
        <v>0</v>
      </c>
      <c r="O11" s="116">
        <f>'N8'!O11+'K8'!O11</f>
        <v>0</v>
      </c>
      <c r="P11" s="115">
        <f>'N8'!P11+'K8'!P11</f>
        <v>6</v>
      </c>
      <c r="Q11" s="116">
        <f>'N8'!Q11+'K8'!Q11</f>
        <v>125</v>
      </c>
      <c r="R11" s="121">
        <f>'N8'!R11+'K8'!R11</f>
        <v>52</v>
      </c>
      <c r="S11" s="121">
        <f>'N8'!S11+'K8'!S11</f>
        <v>78</v>
      </c>
      <c r="T11" s="33">
        <f>'N8'!T11+'K8'!T11</f>
        <v>1009</v>
      </c>
      <c r="U11" s="115">
        <f>'N8'!U11+'K8'!U11</f>
        <v>140</v>
      </c>
      <c r="V11" s="115">
        <f>'N8'!V11+'K8'!V11</f>
        <v>49</v>
      </c>
      <c r="W11" s="115">
        <f>'N8'!W11+'K8'!W11</f>
        <v>0</v>
      </c>
      <c r="X11" s="116">
        <f>'N8'!X11+'K8'!X11</f>
        <v>0</v>
      </c>
      <c r="Y11" s="115">
        <f>'N8'!Y11+'K8'!Y11</f>
        <v>0</v>
      </c>
      <c r="Z11" s="116">
        <f>'N8'!Z11+'K8'!Z11</f>
        <v>38</v>
      </c>
      <c r="AA11" s="121">
        <f>'N8'!AA11+'K8'!AA11</f>
        <v>8</v>
      </c>
      <c r="AB11" s="121">
        <f>'N8'!AB11+'K8'!AB11</f>
        <v>12</v>
      </c>
      <c r="AC11" s="33">
        <f>'N8'!AC11+'K8'!AC11</f>
        <v>247</v>
      </c>
      <c r="AD11" s="12">
        <f>'N8'!AD11+'K8'!AD11</f>
        <v>3362</v>
      </c>
      <c r="AE11" s="39"/>
      <c r="AF11" s="39"/>
      <c r="AG11" s="39"/>
      <c r="AH11" s="39"/>
      <c r="AI11" s="39"/>
      <c r="AJ11"/>
    </row>
    <row r="12" spans="1:36" x14ac:dyDescent="0.2">
      <c r="A12" s="5">
        <f>DAY(Kalenteri!A220)</f>
        <v>8</v>
      </c>
      <c r="B12" s="3" t="str">
        <f>IF(Kalenteri!B220=1,"su",IF(Kalenteri!B220=2,"ma",IF(Kalenteri!B220=3,"ti",IF(Kalenteri!B220=4,"ke",IF(Kalenteri!B220=5,"to",IF(Kalenteri!B220=6,"pe",IF(Kalenteri!B220=7,"la",)))))))</f>
        <v>to</v>
      </c>
      <c r="C12" s="114">
        <f>'N8'!C12+'K8'!C12</f>
        <v>1018</v>
      </c>
      <c r="D12" s="115">
        <f>'N8'!D12+'K8'!D12</f>
        <v>344</v>
      </c>
      <c r="E12" s="115">
        <f>'N8'!E12+'K8'!E12</f>
        <v>0</v>
      </c>
      <c r="F12" s="116">
        <f>'N8'!F12+'K8'!F12</f>
        <v>28</v>
      </c>
      <c r="G12" s="114">
        <f>'N8'!G12+'K8'!G12</f>
        <v>43</v>
      </c>
      <c r="H12" s="116">
        <f>'N8'!H12+'K8'!H12</f>
        <v>341</v>
      </c>
      <c r="I12" s="114">
        <f>'N8'!I12+'K8'!I12</f>
        <v>30</v>
      </c>
      <c r="J12" s="116">
        <f>'N8'!J12+'K8'!J12</f>
        <v>45</v>
      </c>
      <c r="K12" s="33">
        <f>'N8'!K12+'K8'!K12</f>
        <v>1849</v>
      </c>
      <c r="L12" s="115">
        <f>'N8'!L12+'K8'!L12</f>
        <v>475</v>
      </c>
      <c r="M12" s="115">
        <f>'N8'!M12+'K8'!M12</f>
        <v>141</v>
      </c>
      <c r="N12" s="115">
        <f>'N8'!N12+'K8'!N12</f>
        <v>0</v>
      </c>
      <c r="O12" s="116">
        <f>'N8'!O12+'K8'!O12</f>
        <v>0</v>
      </c>
      <c r="P12" s="115">
        <f>'N8'!P12+'K8'!P12</f>
        <v>0</v>
      </c>
      <c r="Q12" s="116">
        <f>'N8'!Q12+'K8'!Q12</f>
        <v>95</v>
      </c>
      <c r="R12" s="121">
        <f>'N8'!R12+'K8'!R12</f>
        <v>40</v>
      </c>
      <c r="S12" s="121">
        <f>'N8'!S12+'K8'!S12</f>
        <v>60</v>
      </c>
      <c r="T12" s="33">
        <f>'N8'!T12+'K8'!T12</f>
        <v>811</v>
      </c>
      <c r="U12" s="115">
        <f>'N8'!U12+'K8'!U12</f>
        <v>75</v>
      </c>
      <c r="V12" s="115">
        <f>'N8'!V12+'K8'!V12</f>
        <v>20</v>
      </c>
      <c r="W12" s="115">
        <f>'N8'!W12+'K8'!W12</f>
        <v>0</v>
      </c>
      <c r="X12" s="116">
        <f>'N8'!X12+'K8'!X12</f>
        <v>0</v>
      </c>
      <c r="Y12" s="115">
        <f>'N8'!Y12+'K8'!Y12</f>
        <v>0</v>
      </c>
      <c r="Z12" s="116">
        <f>'N8'!Z12+'K8'!Z12</f>
        <v>35</v>
      </c>
      <c r="AA12" s="121">
        <f>'N8'!AA12+'K8'!AA12</f>
        <v>4</v>
      </c>
      <c r="AB12" s="121">
        <f>'N8'!AB12+'K8'!AB12</f>
        <v>6</v>
      </c>
      <c r="AC12" s="33">
        <f>'N8'!AC12+'K8'!AC12</f>
        <v>140</v>
      </c>
      <c r="AD12" s="12">
        <f>'N8'!AD12+'K8'!AD12</f>
        <v>2800</v>
      </c>
      <c r="AE12" s="39"/>
      <c r="AF12" s="39"/>
      <c r="AG12" s="39"/>
      <c r="AH12" s="39"/>
      <c r="AI12" s="39"/>
      <c r="AJ12"/>
    </row>
    <row r="13" spans="1:36" x14ac:dyDescent="0.2">
      <c r="A13" s="5">
        <f>DAY(Kalenteri!A221)</f>
        <v>9</v>
      </c>
      <c r="B13" s="3" t="str">
        <f>IF(Kalenteri!B221=1,"su",IF(Kalenteri!B221=2,"ma",IF(Kalenteri!B221=3,"ti",IF(Kalenteri!B221=4,"ke",IF(Kalenteri!B221=5,"to",IF(Kalenteri!B221=6,"pe",IF(Kalenteri!B221=7,"la",)))))))</f>
        <v>pe</v>
      </c>
      <c r="C13" s="114">
        <f>'N8'!C13+'K8'!C13</f>
        <v>143</v>
      </c>
      <c r="D13" s="115">
        <f>'N8'!D13+'K8'!D13</f>
        <v>268</v>
      </c>
      <c r="E13" s="115">
        <f>'N8'!E13+'K8'!E13</f>
        <v>3</v>
      </c>
      <c r="F13" s="116">
        <f>'N8'!F13+'K8'!F13</f>
        <v>13</v>
      </c>
      <c r="G13" s="114">
        <f>'N8'!G13+'K8'!G13</f>
        <v>42</v>
      </c>
      <c r="H13" s="116">
        <f>'N8'!H13+'K8'!H13</f>
        <v>257</v>
      </c>
      <c r="I13" s="114">
        <f>'N8'!I13+'K8'!I13</f>
        <v>20</v>
      </c>
      <c r="J13" s="116">
        <f>'N8'!J13+'K8'!J13</f>
        <v>30</v>
      </c>
      <c r="K13" s="33">
        <f>'N8'!K13+'K8'!K13</f>
        <v>776</v>
      </c>
      <c r="L13" s="115">
        <f>'N8'!L13+'K8'!L13</f>
        <v>312</v>
      </c>
      <c r="M13" s="115">
        <f>'N8'!M13+'K8'!M13</f>
        <v>87</v>
      </c>
      <c r="N13" s="115">
        <f>'N8'!N13+'K8'!N13</f>
        <v>0</v>
      </c>
      <c r="O13" s="116">
        <f>'N8'!O13+'K8'!O13</f>
        <v>0</v>
      </c>
      <c r="P13" s="115">
        <f>'N8'!P13+'K8'!P13</f>
        <v>4</v>
      </c>
      <c r="Q13" s="116">
        <f>'N8'!Q13+'K8'!Q13</f>
        <v>66</v>
      </c>
      <c r="R13" s="121">
        <f>'N8'!R13+'K8'!R13</f>
        <v>22</v>
      </c>
      <c r="S13" s="121">
        <f>'N8'!S13+'K8'!S13</f>
        <v>33</v>
      </c>
      <c r="T13" s="33">
        <f>'N8'!T13+'K8'!T13</f>
        <v>524</v>
      </c>
      <c r="U13" s="115">
        <f>'N8'!U13+'K8'!U13</f>
        <v>69</v>
      </c>
      <c r="V13" s="115">
        <f>'N8'!V13+'K8'!V13</f>
        <v>18</v>
      </c>
      <c r="W13" s="115">
        <f>'N8'!W13+'K8'!W13</f>
        <v>0</v>
      </c>
      <c r="X13" s="116">
        <f>'N8'!X13+'K8'!X13</f>
        <v>0</v>
      </c>
      <c r="Y13" s="115">
        <f>'N8'!Y13+'K8'!Y13</f>
        <v>0</v>
      </c>
      <c r="Z13" s="116">
        <f>'N8'!Z13+'K8'!Z13</f>
        <v>25</v>
      </c>
      <c r="AA13" s="121">
        <f>'N8'!AA13+'K8'!AA13</f>
        <v>6</v>
      </c>
      <c r="AB13" s="121">
        <f>'N8'!AB13+'K8'!AB13</f>
        <v>9</v>
      </c>
      <c r="AC13" s="33">
        <f>'N8'!AC13+'K8'!AC13</f>
        <v>127</v>
      </c>
      <c r="AD13" s="12">
        <f>'N8'!AD13+'K8'!AD13</f>
        <v>1427</v>
      </c>
      <c r="AE13" s="39"/>
      <c r="AF13" s="39"/>
      <c r="AG13" s="39"/>
      <c r="AH13" s="39"/>
      <c r="AI13" s="39"/>
      <c r="AJ13"/>
    </row>
    <row r="14" spans="1:36" x14ac:dyDescent="0.2">
      <c r="A14" s="5">
        <f>DAY(Kalenteri!A222)</f>
        <v>10</v>
      </c>
      <c r="B14" s="3" t="str">
        <f>IF(Kalenteri!B222=1,"su",IF(Kalenteri!B222=2,"ma",IF(Kalenteri!B222=3,"ti",IF(Kalenteri!B222=4,"ke",IF(Kalenteri!B222=5,"to",IF(Kalenteri!B222=6,"pe",IF(Kalenteri!B222=7,"la",)))))))</f>
        <v>la</v>
      </c>
      <c r="C14" s="114">
        <f>'N8'!C14+'K8'!C14</f>
        <v>1787</v>
      </c>
      <c r="D14" s="115">
        <f>'N8'!D14+'K8'!D14</f>
        <v>432</v>
      </c>
      <c r="E14" s="115">
        <f>'N8'!E14+'K8'!E14</f>
        <v>0</v>
      </c>
      <c r="F14" s="116">
        <f>'N8'!F14+'K8'!F14</f>
        <v>18</v>
      </c>
      <c r="G14" s="114">
        <f>'N8'!G14+'K8'!G14</f>
        <v>48</v>
      </c>
      <c r="H14" s="116">
        <f>'N8'!H14+'K8'!H14</f>
        <v>565</v>
      </c>
      <c r="I14" s="114">
        <f>'N8'!I14+'K8'!I14</f>
        <v>44</v>
      </c>
      <c r="J14" s="116">
        <f>'N8'!J14+'K8'!J14</f>
        <v>66</v>
      </c>
      <c r="K14" s="33">
        <f>'N8'!K14+'K8'!K14</f>
        <v>2960</v>
      </c>
      <c r="L14" s="115">
        <f>'N8'!L14+'K8'!L14</f>
        <v>601</v>
      </c>
      <c r="M14" s="115">
        <f>'N8'!M14+'K8'!M14</f>
        <v>140</v>
      </c>
      <c r="N14" s="115">
        <f>'N8'!N14+'K8'!N14</f>
        <v>0</v>
      </c>
      <c r="O14" s="116">
        <f>'N8'!O14+'K8'!O14</f>
        <v>0</v>
      </c>
      <c r="P14" s="115">
        <f>'N8'!P14+'K8'!P14</f>
        <v>112</v>
      </c>
      <c r="Q14" s="116">
        <f>'N8'!Q14+'K8'!R14</f>
        <v>91</v>
      </c>
      <c r="R14" s="121" t="e">
        <f>'N8'!R14+'K8'!#REF!</f>
        <v>#REF!</v>
      </c>
      <c r="S14" s="121">
        <f>'N8'!S14+'K8'!S14</f>
        <v>57</v>
      </c>
      <c r="T14" s="33">
        <f>'N8'!T14+'K8'!T14</f>
        <v>1039</v>
      </c>
      <c r="U14" s="115">
        <f>'N8'!U14+'K8'!U14</f>
        <v>191</v>
      </c>
      <c r="V14" s="115">
        <f>'N8'!V14+'K8'!V14</f>
        <v>52</v>
      </c>
      <c r="W14" s="115">
        <f>'N8'!W14+'K8'!W14</f>
        <v>0</v>
      </c>
      <c r="X14" s="116">
        <f>'N8'!X14+'K8'!X14</f>
        <v>0</v>
      </c>
      <c r="Y14" s="115">
        <f>'N8'!Y14+'K8'!Y14</f>
        <v>0</v>
      </c>
      <c r="Z14" s="116">
        <f>'N8'!Z14+'K8'!Z14</f>
        <v>81</v>
      </c>
      <c r="AA14" s="121">
        <f>'N8'!AA14+'K8'!AA14</f>
        <v>6</v>
      </c>
      <c r="AB14" s="121">
        <f>'N8'!AB14+'K8'!AB14</f>
        <v>9</v>
      </c>
      <c r="AC14" s="33">
        <f>'N8'!AC14+'K8'!AC14</f>
        <v>339</v>
      </c>
      <c r="AD14" s="12">
        <f>'N8'!AD14+'K8'!AD14</f>
        <v>4338</v>
      </c>
      <c r="AE14" s="39"/>
      <c r="AF14" s="39"/>
      <c r="AG14" s="39"/>
      <c r="AH14" s="39"/>
      <c r="AI14" s="39"/>
      <c r="AJ14"/>
    </row>
    <row r="15" spans="1:36" x14ac:dyDescent="0.2">
      <c r="A15" s="5">
        <f>DAY(Kalenteri!A223)</f>
        <v>11</v>
      </c>
      <c r="B15" s="3" t="str">
        <f>IF(Kalenteri!B223=1,"su",IF(Kalenteri!B223=2,"ma",IF(Kalenteri!B223=3,"ti",IF(Kalenteri!B223=4,"ke",IF(Kalenteri!B223=5,"to",IF(Kalenteri!B223=6,"pe",IF(Kalenteri!B223=7,"la",)))))))</f>
        <v>su</v>
      </c>
      <c r="C15" s="114">
        <f>'N8'!C15+'K8'!C15</f>
        <v>1517</v>
      </c>
      <c r="D15" s="115">
        <f>'N8'!D15+'K8'!D15</f>
        <v>343</v>
      </c>
      <c r="E15" s="115">
        <f>'N8'!E15+'K8'!E15</f>
        <v>2</v>
      </c>
      <c r="F15" s="116">
        <f>'N8'!F15+'K8'!F15</f>
        <v>28</v>
      </c>
      <c r="G15" s="114">
        <f>'N8'!G15+'K8'!G15</f>
        <v>34</v>
      </c>
      <c r="H15" s="116">
        <f>'N8'!H15+'K8'!H15</f>
        <v>486</v>
      </c>
      <c r="I15" s="114">
        <f>'N8'!I15+'K8'!I15</f>
        <v>56</v>
      </c>
      <c r="J15" s="116">
        <f>'N8'!J15+'K8'!J15</f>
        <v>84</v>
      </c>
      <c r="K15" s="33">
        <f>'N8'!K15+'K8'!K15</f>
        <v>2550</v>
      </c>
      <c r="L15" s="115">
        <f>'N8'!L15+'K8'!L15</f>
        <v>483</v>
      </c>
      <c r="M15" s="115">
        <f>'N8'!M15+'K8'!M15</f>
        <v>120</v>
      </c>
      <c r="N15" s="115">
        <f>'N8'!N15+'K8'!N15</f>
        <v>0</v>
      </c>
      <c r="O15" s="116">
        <f>'N8'!O15+'K8'!O15</f>
        <v>0</v>
      </c>
      <c r="P15" s="115">
        <f>'N8'!P15+'K8'!P15</f>
        <v>0</v>
      </c>
      <c r="Q15" s="116">
        <f>'N8'!Q15+'K8'!Q15</f>
        <v>124</v>
      </c>
      <c r="R15" s="121">
        <f>'N8'!R15+'K8'!R15</f>
        <v>34</v>
      </c>
      <c r="S15" s="121">
        <f>'N8'!S15+'K8'!S15</f>
        <v>51</v>
      </c>
      <c r="T15" s="33">
        <f>'N8'!T15+'K8'!T15</f>
        <v>812</v>
      </c>
      <c r="U15" s="115">
        <f>'N8'!U15+'K8'!U15</f>
        <v>158</v>
      </c>
      <c r="V15" s="115">
        <f>'N8'!V15+'K8'!V15</f>
        <v>44</v>
      </c>
      <c r="W15" s="115">
        <f>'N8'!W15+'K8'!W15</f>
        <v>0</v>
      </c>
      <c r="X15" s="116">
        <f>'N8'!X15+'K8'!X15</f>
        <v>0</v>
      </c>
      <c r="Y15" s="115">
        <f>'N8'!Y15+'K8'!Y15</f>
        <v>0</v>
      </c>
      <c r="Z15" s="116">
        <f>'N8'!Z15+'K8'!Z15</f>
        <v>54</v>
      </c>
      <c r="AA15" s="121">
        <f>'N8'!AA15+'K8'!AA15</f>
        <v>8</v>
      </c>
      <c r="AB15" s="121">
        <f>'N8'!AB15+'K8'!AB15</f>
        <v>12</v>
      </c>
      <c r="AC15" s="33">
        <f>'N8'!AC15+'K8'!AC15</f>
        <v>276</v>
      </c>
      <c r="AD15" s="12">
        <f>'N8'!AD15+'K8'!AD15</f>
        <v>3638</v>
      </c>
      <c r="AE15" s="39"/>
      <c r="AF15" s="39"/>
      <c r="AG15" s="39"/>
      <c r="AH15" s="39"/>
      <c r="AI15" s="39"/>
      <c r="AJ15"/>
    </row>
    <row r="16" spans="1:36" x14ac:dyDescent="0.2">
      <c r="A16" s="5">
        <f>DAY(Kalenteri!A224)</f>
        <v>12</v>
      </c>
      <c r="B16" s="3" t="str">
        <f>IF(Kalenteri!B224=1,"su",IF(Kalenteri!B224=2,"ma",IF(Kalenteri!B224=3,"ti",IF(Kalenteri!B224=4,"ke",IF(Kalenteri!B224=5,"to",IF(Kalenteri!B224=6,"pe",IF(Kalenteri!B224=7,"la",)))))))</f>
        <v>ma</v>
      </c>
      <c r="C16" s="114">
        <f>'N8'!C16+'K8'!C16</f>
        <v>312</v>
      </c>
      <c r="D16" s="115">
        <f>'N8'!D16+'K8'!D16</f>
        <v>81</v>
      </c>
      <c r="E16" s="115">
        <f>'N8'!E16+'K8'!E16</f>
        <v>0</v>
      </c>
      <c r="F16" s="116">
        <f>'N8'!F16+'K8'!F16</f>
        <v>13</v>
      </c>
      <c r="G16" s="114">
        <f>'N8'!G16+'K8'!G16</f>
        <v>9</v>
      </c>
      <c r="H16" s="116">
        <f>'N8'!H16+'K8'!H16</f>
        <v>100</v>
      </c>
      <c r="I16" s="114">
        <f>'N8'!I16+'K8'!I16</f>
        <v>9</v>
      </c>
      <c r="J16" s="116">
        <f>'N8'!J16+'K8'!J16</f>
        <v>12</v>
      </c>
      <c r="K16" s="33">
        <f>'N8'!K16+'K8'!K16</f>
        <v>536</v>
      </c>
      <c r="L16" s="115">
        <f>'N8'!L16+'K8'!L16</f>
        <v>158</v>
      </c>
      <c r="M16" s="115">
        <f>'N8'!M16+'K8'!M16</f>
        <v>46</v>
      </c>
      <c r="N16" s="115">
        <f>'N8'!N16+'K8'!N16</f>
        <v>0</v>
      </c>
      <c r="O16" s="116">
        <f>'N8'!O16+'K8'!O16</f>
        <v>0</v>
      </c>
      <c r="P16" s="115">
        <f>'N8'!P16+'K8'!P16</f>
        <v>0</v>
      </c>
      <c r="Q16" s="116">
        <f>'N8'!Q16+'K8'!Q16</f>
        <v>38</v>
      </c>
      <c r="R16" s="121">
        <f>'N8'!R16+'K8'!R16</f>
        <v>10</v>
      </c>
      <c r="S16" s="121">
        <f>'N8'!S16+'K8'!S16</f>
        <v>15</v>
      </c>
      <c r="T16" s="33">
        <f>'N8'!T16+'K8'!T16</f>
        <v>267</v>
      </c>
      <c r="U16" s="115">
        <f>'N8'!U16+'K8'!U16</f>
        <v>20</v>
      </c>
      <c r="V16" s="115">
        <f>'N8'!V16+'K8'!V16</f>
        <v>7</v>
      </c>
      <c r="W16" s="115">
        <f>'N8'!W16+'K8'!W16</f>
        <v>0</v>
      </c>
      <c r="X16" s="116">
        <f>'N8'!X16+'K8'!X16</f>
        <v>0</v>
      </c>
      <c r="Y16" s="115">
        <f>'N8'!Y16+'K8'!Y16</f>
        <v>0</v>
      </c>
      <c r="Z16" s="116">
        <f>'N8'!Z16+'K8'!Z16</f>
        <v>8</v>
      </c>
      <c r="AA16" s="121">
        <f>'N8'!AA16+'K8'!AA16</f>
        <v>0</v>
      </c>
      <c r="AB16" s="121">
        <f>'N8'!AB16+'K8'!AB16</f>
        <v>0</v>
      </c>
      <c r="AC16" s="33">
        <f>'N8'!AC16+'K8'!AC16</f>
        <v>35</v>
      </c>
      <c r="AD16" s="12">
        <f>'N8'!AD16+'K8'!AD16</f>
        <v>838</v>
      </c>
      <c r="AE16" s="39"/>
      <c r="AF16" s="39"/>
      <c r="AG16" s="39"/>
      <c r="AH16" s="39"/>
      <c r="AI16" s="39"/>
      <c r="AJ16"/>
    </row>
    <row r="17" spans="1:36" x14ac:dyDescent="0.2">
      <c r="A17" s="5">
        <f>DAY(Kalenteri!A225)</f>
        <v>13</v>
      </c>
      <c r="B17" s="3" t="str">
        <f>IF(Kalenteri!B225=1,"su",IF(Kalenteri!B225=2,"ma",IF(Kalenteri!B225=3,"ti",IF(Kalenteri!B225=4,"ke",IF(Kalenteri!B225=5,"to",IF(Kalenteri!B225=6,"pe",IF(Kalenteri!B225=7,"la",)))))))</f>
        <v>ti</v>
      </c>
      <c r="C17" s="114">
        <f>'N8'!C17+'K8'!C17</f>
        <v>310</v>
      </c>
      <c r="D17" s="115">
        <f>'N8'!D17+'K8'!D17</f>
        <v>21</v>
      </c>
      <c r="E17" s="115">
        <f>'N8'!E17+'K8'!E17</f>
        <v>2</v>
      </c>
      <c r="F17" s="116">
        <f>'N8'!F17+'K8'!F17</f>
        <v>4</v>
      </c>
      <c r="G17" s="114">
        <f>'N8'!G17+'K8'!G17</f>
        <v>14</v>
      </c>
      <c r="H17" s="116">
        <f>'N8'!H17+'K8'!H17</f>
        <v>214</v>
      </c>
      <c r="I17" s="114">
        <f>'N8'!I17+'K8'!I17</f>
        <v>6</v>
      </c>
      <c r="J17" s="116">
        <f>'N8'!J17+'K8'!J17</f>
        <v>9</v>
      </c>
      <c r="K17" s="33">
        <f>'N8'!K17+'K8'!K17</f>
        <v>580</v>
      </c>
      <c r="L17" s="115">
        <f>'N8'!L17+'K8'!L17</f>
        <v>109</v>
      </c>
      <c r="M17" s="115">
        <f>'N8'!M17+'K8'!M17</f>
        <v>23</v>
      </c>
      <c r="N17" s="115">
        <f>'N8'!N17+'K8'!N17</f>
        <v>0</v>
      </c>
      <c r="O17" s="116">
        <f>'N8'!O17+'K8'!O17</f>
        <v>0</v>
      </c>
      <c r="P17" s="115">
        <f>'N8'!P17+'K8'!P17</f>
        <v>0</v>
      </c>
      <c r="Q17" s="116">
        <f>'N8'!Q17+'K8'!Q17</f>
        <v>18</v>
      </c>
      <c r="R17" s="121">
        <f>'N8'!R17+'K8'!R17</f>
        <v>0</v>
      </c>
      <c r="S17" s="121">
        <f>'N8'!S17+'K8'!S17</f>
        <v>0</v>
      </c>
      <c r="T17" s="33">
        <f>'N8'!T17+'K8'!T17</f>
        <v>150</v>
      </c>
      <c r="U17" s="115">
        <f>'N8'!U17+'K8'!U17</f>
        <v>15</v>
      </c>
      <c r="V17" s="115">
        <f>'N8'!V17+'K8'!V17</f>
        <v>1</v>
      </c>
      <c r="W17" s="115">
        <f>'N8'!W17+'K8'!W17</f>
        <v>0</v>
      </c>
      <c r="X17" s="116">
        <f>'N8'!X17+'K8'!X17</f>
        <v>0</v>
      </c>
      <c r="Y17" s="115">
        <f>'N8'!Y17+'K8'!Y17</f>
        <v>0</v>
      </c>
      <c r="Z17" s="116">
        <f>'N8'!Z17+'K8'!Z17</f>
        <v>4</v>
      </c>
      <c r="AA17" s="121">
        <f>'N8'!AA17+'K8'!AA17</f>
        <v>0</v>
      </c>
      <c r="AB17" s="121">
        <f>'N8'!AB17+'K8'!AB17</f>
        <v>0</v>
      </c>
      <c r="AC17" s="33">
        <f>'N8'!AC17+'K8'!AC17</f>
        <v>20</v>
      </c>
      <c r="AD17" s="12">
        <f>'N8'!AD17+'K8'!AD17</f>
        <v>750</v>
      </c>
      <c r="AE17" s="39"/>
      <c r="AF17" s="39"/>
      <c r="AG17" s="39"/>
      <c r="AH17" s="39"/>
      <c r="AI17" s="39"/>
      <c r="AJ17"/>
    </row>
    <row r="18" spans="1:36" x14ac:dyDescent="0.2">
      <c r="A18" s="5">
        <f>DAY(Kalenteri!A226)</f>
        <v>14</v>
      </c>
      <c r="B18" s="3" t="str">
        <f>IF(Kalenteri!B226=1,"su",IF(Kalenteri!B226=2,"ma",IF(Kalenteri!B226=3,"ti",IF(Kalenteri!B226=4,"ke",IF(Kalenteri!B226=5,"to",IF(Kalenteri!B226=6,"pe",IF(Kalenteri!B226=7,"la",)))))))</f>
        <v>ke</v>
      </c>
      <c r="C18" s="114">
        <f>'N8'!C18+'K8'!C18</f>
        <v>65</v>
      </c>
      <c r="D18" s="115">
        <f>'N8'!D18+'K8'!D18</f>
        <v>9</v>
      </c>
      <c r="E18" s="115">
        <f>'N8'!E18+'K8'!E18</f>
        <v>0</v>
      </c>
      <c r="F18" s="116">
        <f>'N8'!F18+'K8'!F18</f>
        <v>2</v>
      </c>
      <c r="G18" s="114">
        <f>'N8'!G18+'K8'!G18</f>
        <v>1</v>
      </c>
      <c r="H18" s="116">
        <f>'N8'!H18+'K8'!H18</f>
        <v>18</v>
      </c>
      <c r="I18" s="114">
        <f>'N8'!I18+'K8'!I18</f>
        <v>0</v>
      </c>
      <c r="J18" s="116">
        <f>'N8'!J18+'K8'!J18</f>
        <v>0</v>
      </c>
      <c r="K18" s="33">
        <f>'N8'!K18+'K8'!K18</f>
        <v>95</v>
      </c>
      <c r="L18" s="115">
        <f>'N8'!L18+'K8'!L18</f>
        <v>40</v>
      </c>
      <c r="M18" s="115">
        <f>'N8'!M18+'K8'!M18</f>
        <v>5</v>
      </c>
      <c r="N18" s="115">
        <f>'N8'!N18+'K8'!N18</f>
        <v>0</v>
      </c>
      <c r="O18" s="116">
        <f>'N8'!O18+'K8'!O18</f>
        <v>0</v>
      </c>
      <c r="P18" s="115">
        <f>'N8'!P18+'K8'!P18</f>
        <v>0</v>
      </c>
      <c r="Q18" s="116">
        <f>'N8'!Q18+'K8'!Q18</f>
        <v>8</v>
      </c>
      <c r="R18" s="121">
        <f>'N8'!R18+'K8'!R18</f>
        <v>0</v>
      </c>
      <c r="S18" s="121">
        <f>'N8'!S18+'K8'!S18</f>
        <v>0</v>
      </c>
      <c r="T18" s="33">
        <f>'N8'!T18+'K8'!T18</f>
        <v>53</v>
      </c>
      <c r="U18" s="115">
        <f>'N8'!U18+'K8'!U18</f>
        <v>0</v>
      </c>
      <c r="V18" s="115">
        <f>'N8'!V18+'K8'!V18</f>
        <v>0</v>
      </c>
      <c r="W18" s="115">
        <f>'N8'!W18+'K8'!W18</f>
        <v>0</v>
      </c>
      <c r="X18" s="116">
        <f>'N8'!X18+'K8'!X18</f>
        <v>0</v>
      </c>
      <c r="Y18" s="115">
        <f>'N8'!Y18+'K8'!Y18</f>
        <v>0</v>
      </c>
      <c r="Z18" s="116">
        <f>'N8'!Z18+'K8'!Z18</f>
        <v>0</v>
      </c>
      <c r="AA18" s="121">
        <f>'N8'!AA18+'K8'!AA18</f>
        <v>0</v>
      </c>
      <c r="AB18" s="121">
        <f>'N8'!AB18+'K8'!AB18</f>
        <v>0</v>
      </c>
      <c r="AC18" s="33">
        <f>'N8'!AC18+'K8'!AC18</f>
        <v>0</v>
      </c>
      <c r="AD18" s="12">
        <f>'N8'!AD18+'K8'!AD18</f>
        <v>148</v>
      </c>
      <c r="AE18" s="39"/>
      <c r="AF18" s="39"/>
      <c r="AG18" s="39"/>
      <c r="AH18" s="39"/>
      <c r="AI18" s="39"/>
      <c r="AJ18"/>
    </row>
    <row r="19" spans="1:36" x14ac:dyDescent="0.2">
      <c r="A19" s="5">
        <f>DAY(Kalenteri!A227)</f>
        <v>15</v>
      </c>
      <c r="B19" s="3" t="str">
        <f>IF(Kalenteri!B227=1,"su",IF(Kalenteri!B227=2,"ma",IF(Kalenteri!B227=3,"ti",IF(Kalenteri!B227=4,"ke",IF(Kalenteri!B227=5,"to",IF(Kalenteri!B227=6,"pe",IF(Kalenteri!B227=7,"la",)))))))</f>
        <v>to</v>
      </c>
      <c r="C19" s="114">
        <f>'N8'!C19+'K8'!C19</f>
        <v>376</v>
      </c>
      <c r="D19" s="115">
        <f>'N8'!D19+'K8'!D19</f>
        <v>47</v>
      </c>
      <c r="E19" s="115">
        <f>'N8'!E19+'K8'!E19</f>
        <v>5</v>
      </c>
      <c r="F19" s="116">
        <f>'N8'!F19+'K8'!F19</f>
        <v>5</v>
      </c>
      <c r="G19" s="114">
        <f>'N8'!G19+'K8'!G19</f>
        <v>11</v>
      </c>
      <c r="H19" s="116">
        <f>'N8'!H19+'K8'!H19</f>
        <v>126</v>
      </c>
      <c r="I19" s="114">
        <f>'N8'!I19+'K8'!I19</f>
        <v>4</v>
      </c>
      <c r="J19" s="116">
        <f>'N8'!J19+'K8'!J19</f>
        <v>6</v>
      </c>
      <c r="K19" s="33">
        <f>'N8'!K19+'K8'!K19</f>
        <v>580</v>
      </c>
      <c r="L19" s="115">
        <f>'N8'!L19+'K8'!L19</f>
        <v>188</v>
      </c>
      <c r="M19" s="115">
        <f>'N8'!M19+'K8'!M19</f>
        <v>18</v>
      </c>
      <c r="N19" s="115">
        <f>'N8'!N19+'K8'!N19</f>
        <v>0</v>
      </c>
      <c r="O19" s="116">
        <f>'N8'!O19+'K8'!O19</f>
        <v>0</v>
      </c>
      <c r="P19" s="115">
        <f>'N8'!P19+'K8'!P19</f>
        <v>0</v>
      </c>
      <c r="Q19" s="116">
        <f>'N8'!Q19+'K8'!Q19</f>
        <v>54</v>
      </c>
      <c r="R19" s="121">
        <f>'N8'!R19+'K8'!R19</f>
        <v>4</v>
      </c>
      <c r="S19" s="121">
        <f>'N8'!S19+'K8'!S19</f>
        <v>6</v>
      </c>
      <c r="T19" s="33">
        <f>'N8'!T19+'K8'!T19</f>
        <v>270</v>
      </c>
      <c r="U19" s="115">
        <f>'N8'!U19+'K8'!U19</f>
        <v>29</v>
      </c>
      <c r="V19" s="115">
        <f>'N8'!V19+'K8'!V19</f>
        <v>1</v>
      </c>
      <c r="W19" s="115">
        <f>'N8'!W19+'K8'!W19</f>
        <v>0</v>
      </c>
      <c r="X19" s="116">
        <f>'N8'!X19+'K8'!X19</f>
        <v>0</v>
      </c>
      <c r="Y19" s="115">
        <f>'N8'!Y19+'K8'!Y19</f>
        <v>0</v>
      </c>
      <c r="Z19" s="116">
        <f>'N8'!Z19+'K8'!Z19</f>
        <v>5</v>
      </c>
      <c r="AA19" s="121">
        <f>'N8'!AA19+'K8'!AA19</f>
        <v>0</v>
      </c>
      <c r="AB19" s="121">
        <f>'N8'!AB19+'K8'!AB19</f>
        <v>0</v>
      </c>
      <c r="AC19" s="33">
        <f>'N8'!AC19+'K8'!AC19</f>
        <v>35</v>
      </c>
      <c r="AD19" s="12">
        <f>'N8'!AD19+'K8'!AD19</f>
        <v>885</v>
      </c>
      <c r="AE19" s="39"/>
      <c r="AF19" s="39"/>
      <c r="AG19" s="39"/>
      <c r="AH19" s="39"/>
      <c r="AI19" s="39"/>
      <c r="AJ19"/>
    </row>
    <row r="20" spans="1:36" x14ac:dyDescent="0.2">
      <c r="A20" s="5">
        <f>DAY(Kalenteri!A228)</f>
        <v>16</v>
      </c>
      <c r="B20" s="3" t="str">
        <f>IF(Kalenteri!B228=1,"su",IF(Kalenteri!B228=2,"ma",IF(Kalenteri!B228=3,"ti",IF(Kalenteri!B228=4,"ke",IF(Kalenteri!B228=5,"to",IF(Kalenteri!B228=6,"pe",IF(Kalenteri!B228=7,"la",)))))))</f>
        <v>pe</v>
      </c>
      <c r="C20" s="114">
        <f>'N8'!C20+'K8'!C20</f>
        <v>885</v>
      </c>
      <c r="D20" s="115">
        <f>'N8'!D20+'K8'!D20</f>
        <v>194</v>
      </c>
      <c r="E20" s="115">
        <f>'N8'!E20+'K8'!E20</f>
        <v>4</v>
      </c>
      <c r="F20" s="116">
        <f>'N8'!F20+'K8'!F20</f>
        <v>16</v>
      </c>
      <c r="G20" s="114">
        <f>'N8'!G20+'K8'!G20</f>
        <v>20</v>
      </c>
      <c r="H20" s="116">
        <f>'N8'!H20+'K8'!H20</f>
        <v>362</v>
      </c>
      <c r="I20" s="114">
        <f>'N8'!I20+'K8'!I20</f>
        <v>8</v>
      </c>
      <c r="J20" s="116">
        <f>'N8'!J20+'K8'!J20</f>
        <v>12</v>
      </c>
      <c r="K20" s="33">
        <f>'N8'!K20+'K8'!K20</f>
        <v>1501</v>
      </c>
      <c r="L20" s="115">
        <f>'N8'!L20+'K8'!L20</f>
        <v>406</v>
      </c>
      <c r="M20" s="115">
        <f>'N8'!M20+'K8'!M20</f>
        <v>41</v>
      </c>
      <c r="N20" s="115">
        <f>'N8'!N20+'K8'!N20</f>
        <v>0</v>
      </c>
      <c r="O20" s="116">
        <f>'N8'!O20+'K8'!O20</f>
        <v>0</v>
      </c>
      <c r="P20" s="115">
        <f>'N8'!P20+'K8'!P20</f>
        <v>2</v>
      </c>
      <c r="Q20" s="116">
        <f>'N8'!Q20+'K8'!Q20</f>
        <v>119</v>
      </c>
      <c r="R20" s="121">
        <f>'N8'!R20+'K8'!R20</f>
        <v>8</v>
      </c>
      <c r="S20" s="121">
        <f>'N8'!S20+'K8'!S20</f>
        <v>12</v>
      </c>
      <c r="T20" s="33">
        <f>'N8'!T20+'K8'!T20</f>
        <v>588</v>
      </c>
      <c r="U20" s="115">
        <f>'N8'!U20+'K8'!U20</f>
        <v>85</v>
      </c>
      <c r="V20" s="115">
        <f>'N8'!V20+'K8'!V20</f>
        <v>6</v>
      </c>
      <c r="W20" s="115">
        <f>'N8'!W20+'K8'!W20</f>
        <v>0</v>
      </c>
      <c r="X20" s="116">
        <f>'N8'!X20+'K8'!X20</f>
        <v>1</v>
      </c>
      <c r="Y20" s="115">
        <f>'N8'!Y20+'K8'!Y20</f>
        <v>0</v>
      </c>
      <c r="Z20" s="116">
        <f>'N8'!Z20+'K8'!Z20</f>
        <v>38</v>
      </c>
      <c r="AA20" s="121">
        <f>'N8'!AA20+'K8'!AA20</f>
        <v>2</v>
      </c>
      <c r="AB20" s="121">
        <f>'N8'!AB20+'K8'!AB20</f>
        <v>3</v>
      </c>
      <c r="AC20" s="33">
        <f>'N8'!AC20+'K8'!AC20</f>
        <v>135</v>
      </c>
      <c r="AD20" s="12">
        <f>'N8'!AD20+'K8'!AD20</f>
        <v>2224</v>
      </c>
      <c r="AE20" s="39"/>
      <c r="AF20" s="39"/>
      <c r="AG20" s="39"/>
      <c r="AH20" s="39"/>
      <c r="AI20" s="39"/>
      <c r="AJ20"/>
    </row>
    <row r="21" spans="1:36" x14ac:dyDescent="0.2">
      <c r="A21" s="5">
        <f>DAY(Kalenteri!A229)</f>
        <v>17</v>
      </c>
      <c r="B21" s="3" t="str">
        <f>IF(Kalenteri!B229=1,"su",IF(Kalenteri!B229=2,"ma",IF(Kalenteri!B229=3,"ti",IF(Kalenteri!B229=4,"ke",IF(Kalenteri!B229=5,"to",IF(Kalenteri!B229=6,"pe",IF(Kalenteri!B229=7,"la",)))))))</f>
        <v>la</v>
      </c>
      <c r="C21" s="114">
        <f>'N8'!C21+'K8'!C21</f>
        <v>1637</v>
      </c>
      <c r="D21" s="115">
        <f>'N8'!D21+'K8'!D21</f>
        <v>769</v>
      </c>
      <c r="E21" s="115">
        <f>'N8'!E21+'K8'!E21</f>
        <v>436</v>
      </c>
      <c r="F21" s="116">
        <f>'N8'!F21+'K8'!F21</f>
        <v>21</v>
      </c>
      <c r="G21" s="114">
        <f>'N8'!G21+'K8'!G21</f>
        <v>14</v>
      </c>
      <c r="H21" s="116">
        <f>'N8'!H21+'K8'!H21</f>
        <v>250</v>
      </c>
      <c r="I21" s="114">
        <f>'N8'!I21+'K8'!I21</f>
        <v>18</v>
      </c>
      <c r="J21" s="116">
        <f>'N8'!J21+'K8'!J21</f>
        <v>27</v>
      </c>
      <c r="K21" s="33">
        <f>'N8'!K21+'K8'!K21</f>
        <v>3172</v>
      </c>
      <c r="L21" s="115">
        <f>'N8'!L21+'K8'!L21</f>
        <v>578</v>
      </c>
      <c r="M21" s="115">
        <f>'N8'!M21+'K8'!M21</f>
        <v>304</v>
      </c>
      <c r="N21" s="115">
        <f>'N8'!N21+'K8'!N21</f>
        <v>0</v>
      </c>
      <c r="O21" s="116">
        <f>'N8'!O21+'K8'!O21</f>
        <v>0</v>
      </c>
      <c r="P21" s="115">
        <f>'N8'!P21+'K8'!P21</f>
        <v>0</v>
      </c>
      <c r="Q21" s="116">
        <f>'N8'!Q21+'K8'!Q21</f>
        <v>210</v>
      </c>
      <c r="R21" s="121">
        <f>'N8'!R21+'K8'!R21</f>
        <v>8</v>
      </c>
      <c r="S21" s="121">
        <f>'N8'!S21+'K8'!S21</f>
        <v>12</v>
      </c>
      <c r="T21" s="33">
        <f>'N8'!T21+'K8'!T21</f>
        <v>1112</v>
      </c>
      <c r="U21" s="115">
        <f>'N8'!U21+'K8'!U21</f>
        <v>277</v>
      </c>
      <c r="V21" s="115">
        <f>'N8'!V21+'K8'!V21</f>
        <v>164</v>
      </c>
      <c r="W21" s="115">
        <f>'N8'!W21+'K8'!W21</f>
        <v>123</v>
      </c>
      <c r="X21" s="116">
        <f>'N8'!X21+'K8'!X21</f>
        <v>0</v>
      </c>
      <c r="Y21" s="115">
        <f>'N8'!Y21+'K8'!Y21</f>
        <v>0</v>
      </c>
      <c r="Z21" s="116">
        <f>'N8'!Z21+'K8'!Z21</f>
        <v>27</v>
      </c>
      <c r="AA21" s="121">
        <f>'N8'!AA21+'K8'!AA21</f>
        <v>2</v>
      </c>
      <c r="AB21" s="121">
        <f>'N8'!AB21+'K8'!AB21</f>
        <v>3</v>
      </c>
      <c r="AC21" s="33">
        <f>'N8'!AC21+'K8'!AC21</f>
        <v>596</v>
      </c>
      <c r="AD21" s="12">
        <f>'N8'!AD21+'K8'!AD21</f>
        <v>4880</v>
      </c>
      <c r="AE21" s="39"/>
      <c r="AF21" s="39"/>
      <c r="AG21" s="39"/>
      <c r="AH21" s="39"/>
      <c r="AI21" s="39"/>
      <c r="AJ21"/>
    </row>
    <row r="22" spans="1:36" x14ac:dyDescent="0.2">
      <c r="A22" s="5">
        <f>DAY(Kalenteri!A230)</f>
        <v>18</v>
      </c>
      <c r="B22" s="3" t="str">
        <f>IF(Kalenteri!B230=1,"su",IF(Kalenteri!B230=2,"ma",IF(Kalenteri!B230=3,"ti",IF(Kalenteri!B230=4,"ke",IF(Kalenteri!B230=5,"to",IF(Kalenteri!B230=6,"pe",IF(Kalenteri!B230=7,"la",)))))))</f>
        <v>su</v>
      </c>
      <c r="C22" s="114">
        <f>'N8'!C22+'K8'!C22</f>
        <v>1579</v>
      </c>
      <c r="D22" s="115">
        <f>'N8'!D22+'K8'!D22</f>
        <v>316</v>
      </c>
      <c r="E22" s="115">
        <f>'N8'!E22+'K8'!E22</f>
        <v>4</v>
      </c>
      <c r="F22" s="116">
        <f>'N8'!F22+'K8'!F22</f>
        <v>41</v>
      </c>
      <c r="G22" s="114">
        <f>'N8'!G22+'K8'!G22</f>
        <v>20</v>
      </c>
      <c r="H22" s="116">
        <f>'N8'!H22+'K8'!H22</f>
        <v>516</v>
      </c>
      <c r="I22" s="114">
        <f>'N8'!I22+'K8'!I22</f>
        <v>38</v>
      </c>
      <c r="J22" s="116">
        <f>'N8'!J22+'K8'!J22</f>
        <v>57</v>
      </c>
      <c r="K22" s="33">
        <f>'N8'!K22+'K8'!K22</f>
        <v>2571</v>
      </c>
      <c r="L22" s="115">
        <f>'N8'!L22+'K8'!L22</f>
        <v>421</v>
      </c>
      <c r="M22" s="115">
        <f>'N8'!M22+'K8'!M22</f>
        <v>79</v>
      </c>
      <c r="N22" s="115">
        <f>'N8'!N22+'K8'!N22</f>
        <v>0</v>
      </c>
      <c r="O22" s="116">
        <f>'N8'!O22+'K8'!O22</f>
        <v>0</v>
      </c>
      <c r="P22" s="115">
        <f>'N8'!P22+'K8'!P22</f>
        <v>0</v>
      </c>
      <c r="Q22" s="116">
        <f>'N8'!Q22+'K8'!Q22</f>
        <v>59</v>
      </c>
      <c r="R22" s="121">
        <f>'N8'!R22+'K8'!R22</f>
        <v>16</v>
      </c>
      <c r="S22" s="121">
        <f>'N8'!S22+'K8'!S22</f>
        <v>24</v>
      </c>
      <c r="T22" s="33">
        <f>'N8'!T22+'K8'!T22</f>
        <v>599</v>
      </c>
      <c r="U22" s="115">
        <f>'N8'!U22+'K8'!U22</f>
        <v>102</v>
      </c>
      <c r="V22" s="115">
        <f>'N8'!V22+'K8'!V22</f>
        <v>26</v>
      </c>
      <c r="W22" s="115">
        <f>'N8'!W22+'K8'!W22</f>
        <v>0</v>
      </c>
      <c r="X22" s="116">
        <f>'N8'!X22+'K8'!X22</f>
        <v>0</v>
      </c>
      <c r="Y22" s="115">
        <f>'N8'!Y22+'K8'!Y22</f>
        <v>0</v>
      </c>
      <c r="Z22" s="116">
        <f>'N8'!Z22+'K8'!Z22</f>
        <v>48</v>
      </c>
      <c r="AA22" s="121">
        <f>'N8'!AA22+'K8'!AA22</f>
        <v>8</v>
      </c>
      <c r="AB22" s="121">
        <f>'N8'!AB22+'K8'!AB22</f>
        <v>12</v>
      </c>
      <c r="AC22" s="33">
        <f>'N8'!AC22+'K8'!AC22</f>
        <v>196</v>
      </c>
      <c r="AD22" s="12">
        <f>'N8'!AD22+'K8'!AD22</f>
        <v>3366</v>
      </c>
      <c r="AE22" s="39"/>
      <c r="AF22" s="39"/>
      <c r="AG22" s="39"/>
      <c r="AH22" s="39"/>
      <c r="AI22" s="39"/>
      <c r="AJ22"/>
    </row>
    <row r="23" spans="1:36" x14ac:dyDescent="0.2">
      <c r="A23" s="5">
        <f>DAY(Kalenteri!A231)</f>
        <v>19</v>
      </c>
      <c r="B23" s="3" t="str">
        <f>IF(Kalenteri!B231=1,"su",IF(Kalenteri!B231=2,"ma",IF(Kalenteri!B231=3,"ti",IF(Kalenteri!B231=4,"ke",IF(Kalenteri!B231=5,"to",IF(Kalenteri!B231=6,"pe",IF(Kalenteri!B231=7,"la",)))))))</f>
        <v>ma</v>
      </c>
      <c r="C23" s="114">
        <f>'N8'!C23+'K8'!C23</f>
        <v>241</v>
      </c>
      <c r="D23" s="115">
        <f>'N8'!D23+'K8'!D23</f>
        <v>28</v>
      </c>
      <c r="E23" s="115">
        <f>'N8'!E23+'K8'!E23</f>
        <v>0</v>
      </c>
      <c r="F23" s="116">
        <f>'N8'!F23+'K8'!F23</f>
        <v>3</v>
      </c>
      <c r="G23" s="114">
        <f>'N8'!G23+'K8'!G23</f>
        <v>21</v>
      </c>
      <c r="H23" s="116">
        <f>'N8'!H23+'K8'!H23</f>
        <v>60</v>
      </c>
      <c r="I23" s="114">
        <f>'N8'!I23+'K8'!I23</f>
        <v>4</v>
      </c>
      <c r="J23" s="116">
        <f>'N8'!J23+'K8'!J23</f>
        <v>6</v>
      </c>
      <c r="K23" s="33">
        <f>'N8'!K23+'K8'!K23</f>
        <v>363</v>
      </c>
      <c r="L23" s="115">
        <f>'N8'!L23+'K8'!L23</f>
        <v>109</v>
      </c>
      <c r="M23" s="115">
        <f>'N8'!M23+'K8'!M23</f>
        <v>20</v>
      </c>
      <c r="N23" s="115">
        <f>'N8'!N23+'K8'!N23</f>
        <v>0</v>
      </c>
      <c r="O23" s="116">
        <f>'N8'!O23+'K8'!O23</f>
        <v>0</v>
      </c>
      <c r="P23" s="115">
        <f>'N8'!P23+'K8'!P23</f>
        <v>0</v>
      </c>
      <c r="Q23" s="116">
        <f>'N8'!Q23+'K8'!Q23</f>
        <v>21</v>
      </c>
      <c r="R23" s="121">
        <f>'N8'!R23+'K8'!R23</f>
        <v>2</v>
      </c>
      <c r="S23" s="121">
        <f>'N8'!S23+'K8'!S23</f>
        <v>3</v>
      </c>
      <c r="T23" s="33">
        <f>'N8'!T23+'K8'!T23</f>
        <v>155</v>
      </c>
      <c r="U23" s="115">
        <f>'N8'!U23+'K8'!U23</f>
        <v>15</v>
      </c>
      <c r="V23" s="115">
        <f>'N8'!V23+'K8'!V23</f>
        <v>2</v>
      </c>
      <c r="W23" s="115">
        <f>'N8'!W23+'K8'!W23</f>
        <v>0</v>
      </c>
      <c r="X23" s="116">
        <f>'N8'!X23+'K8'!X23</f>
        <v>0</v>
      </c>
      <c r="Y23" s="115">
        <f>'N8'!Y23+'K8'!Y23</f>
        <v>0</v>
      </c>
      <c r="Z23" s="116">
        <f>'N8'!Z23+'K8'!Z23</f>
        <v>5</v>
      </c>
      <c r="AA23" s="121">
        <f>'N8'!AA23+'K8'!AA23</f>
        <v>0</v>
      </c>
      <c r="AB23" s="121">
        <f>'N8'!AB23+'K8'!AB23</f>
        <v>0</v>
      </c>
      <c r="AC23" s="33">
        <f>'N8'!AC23+'K8'!AC23</f>
        <v>22</v>
      </c>
      <c r="AD23" s="12">
        <f>'N8'!AD23+'K8'!AD23</f>
        <v>540</v>
      </c>
      <c r="AE23" s="39"/>
      <c r="AF23" s="39"/>
      <c r="AG23" s="39"/>
      <c r="AH23" s="39"/>
      <c r="AI23" s="39"/>
      <c r="AJ23"/>
    </row>
    <row r="24" spans="1:36" x14ac:dyDescent="0.2">
      <c r="A24" s="5">
        <f>DAY(Kalenteri!A232)</f>
        <v>20</v>
      </c>
      <c r="B24" s="3" t="str">
        <f>IF(Kalenteri!B232=1,"su",IF(Kalenteri!B232=2,"ma",IF(Kalenteri!B232=3,"ti",IF(Kalenteri!B232=4,"ke",IF(Kalenteri!B232=5,"to",IF(Kalenteri!B232=6,"pe",IF(Kalenteri!B232=7,"la",)))))))</f>
        <v>ti</v>
      </c>
      <c r="C24" s="114">
        <f>'N8'!C24+'K8'!C24</f>
        <v>622</v>
      </c>
      <c r="D24" s="115">
        <f>'N8'!D24+'K8'!D24</f>
        <v>76</v>
      </c>
      <c r="E24" s="115">
        <f>'N8'!E24+'K8'!E24</f>
        <v>12</v>
      </c>
      <c r="F24" s="116">
        <f>'N8'!F24+'K8'!F24</f>
        <v>12</v>
      </c>
      <c r="G24" s="114">
        <f>'N8'!G24+'K8'!G24</f>
        <v>24</v>
      </c>
      <c r="H24" s="116">
        <f>'N8'!H24+'K8'!H24</f>
        <v>190</v>
      </c>
      <c r="I24" s="114">
        <f>'N8'!I24+'K8'!I24</f>
        <v>8</v>
      </c>
      <c r="J24" s="116">
        <f>'N8'!J24+'K8'!J24</f>
        <v>12</v>
      </c>
      <c r="K24" s="33">
        <f>'N8'!K24+'K8'!K24</f>
        <v>956</v>
      </c>
      <c r="L24" s="115">
        <f>'N8'!L24+'K8'!L24</f>
        <v>320</v>
      </c>
      <c r="M24" s="115">
        <f>'N8'!M24+'K8'!M24</f>
        <v>36</v>
      </c>
      <c r="N24" s="115">
        <f>'N8'!N24+'K8'!N24</f>
        <v>0</v>
      </c>
      <c r="O24" s="116">
        <f>'N8'!O24+'K8'!O24</f>
        <v>0</v>
      </c>
      <c r="P24" s="115">
        <f>'N8'!P24+'K8'!P24</f>
        <v>0</v>
      </c>
      <c r="Q24" s="116">
        <f>'N8'!Q24+'K8'!Q24</f>
        <v>68</v>
      </c>
      <c r="R24" s="121">
        <f>'N8'!R24+'K8'!R24</f>
        <v>14</v>
      </c>
      <c r="S24" s="121">
        <f>'N8'!S24+'K8'!S24</f>
        <v>21</v>
      </c>
      <c r="T24" s="33">
        <f>'N8'!T24+'K8'!T24</f>
        <v>459</v>
      </c>
      <c r="U24" s="115">
        <f>'N8'!U24+'K8'!U24</f>
        <v>72</v>
      </c>
      <c r="V24" s="115">
        <f>'N8'!V24+'K8'!V24</f>
        <v>12</v>
      </c>
      <c r="W24" s="115">
        <f>'N8'!W24+'K8'!W24</f>
        <v>0</v>
      </c>
      <c r="X24" s="116">
        <f>'N8'!X24+'K8'!X24</f>
        <v>0</v>
      </c>
      <c r="Y24" s="115">
        <f>'N8'!Y24+'K8'!Y24</f>
        <v>0</v>
      </c>
      <c r="Z24" s="116">
        <f>'N8'!Z24+'K8'!Z24</f>
        <v>23</v>
      </c>
      <c r="AA24" s="121">
        <f>'N8'!AA24+'K8'!AA24</f>
        <v>0</v>
      </c>
      <c r="AB24" s="121">
        <f>'N8'!AB24+'K8'!AB24</f>
        <v>0</v>
      </c>
      <c r="AC24" s="33">
        <f>'N8'!AC24+'K8'!AC24</f>
        <v>107</v>
      </c>
      <c r="AD24" s="12">
        <f>'N8'!AD24+'K8'!AD24</f>
        <v>1522</v>
      </c>
      <c r="AE24" s="39"/>
      <c r="AF24" s="39"/>
      <c r="AG24" s="39"/>
      <c r="AH24" s="39"/>
      <c r="AI24" s="39"/>
      <c r="AJ24" s="39"/>
    </row>
    <row r="25" spans="1:36" x14ac:dyDescent="0.2">
      <c r="A25" s="5">
        <f>DAY(Kalenteri!A233)</f>
        <v>21</v>
      </c>
      <c r="B25" s="3" t="str">
        <f>IF(Kalenteri!B233=1,"su",IF(Kalenteri!B233=2,"ma",IF(Kalenteri!B233=3,"ti",IF(Kalenteri!B233=4,"ke",IF(Kalenteri!B233=5,"to",IF(Kalenteri!B233=6,"pe",IF(Kalenteri!B233=7,"la",)))))))</f>
        <v>ke</v>
      </c>
      <c r="C25" s="114">
        <f>'N8'!C25+'K8'!C25</f>
        <v>630</v>
      </c>
      <c r="D25" s="115">
        <f>'N8'!D25+'K8'!D25</f>
        <v>89</v>
      </c>
      <c r="E25" s="115">
        <f>'N8'!E25+'K8'!E25</f>
        <v>1</v>
      </c>
      <c r="F25" s="116">
        <f>'N8'!F25+'K8'!F25</f>
        <v>13</v>
      </c>
      <c r="G25" s="114">
        <f>'N8'!G25+'K8'!G25</f>
        <v>23</v>
      </c>
      <c r="H25" s="116">
        <f>'N8'!H25+'K8'!H25</f>
        <v>210</v>
      </c>
      <c r="I25" s="114">
        <f>'N8'!I25+'K8'!I25</f>
        <v>2</v>
      </c>
      <c r="J25" s="116">
        <f>'N8'!J25+'K8'!J25</f>
        <v>3</v>
      </c>
      <c r="K25" s="33">
        <f>'N8'!K25+'K8'!K25</f>
        <v>971</v>
      </c>
      <c r="L25" s="115">
        <f>'N8'!L25+'K8'!L25</f>
        <v>349</v>
      </c>
      <c r="M25" s="115">
        <f>'N8'!M25+'K8'!M25</f>
        <v>64</v>
      </c>
      <c r="N25" s="115">
        <f>'N8'!N25+'K8'!N25</f>
        <v>0</v>
      </c>
      <c r="O25" s="116">
        <f>'N8'!O25+'K8'!O25</f>
        <v>0</v>
      </c>
      <c r="P25" s="115">
        <f>'N8'!P25+'K8'!P25</f>
        <v>0</v>
      </c>
      <c r="Q25" s="116">
        <f>'N8'!Q25+'K8'!Q25</f>
        <v>70</v>
      </c>
      <c r="R25" s="121">
        <f>'N8'!R25+'K8'!R25</f>
        <v>2</v>
      </c>
      <c r="S25" s="121">
        <f>'N8'!S25+'K8'!S25</f>
        <v>3</v>
      </c>
      <c r="T25" s="33">
        <f>'N8'!T25+'K8'!T25</f>
        <v>488</v>
      </c>
      <c r="U25" s="115">
        <f>'N8'!U25+'K8'!U25</f>
        <v>61</v>
      </c>
      <c r="V25" s="115">
        <f>'N8'!V25+'K8'!V25</f>
        <v>8</v>
      </c>
      <c r="W25" s="115">
        <f>'N8'!W25+'K8'!W25</f>
        <v>0</v>
      </c>
      <c r="X25" s="116">
        <f>'N8'!X25+'K8'!X25</f>
        <v>0</v>
      </c>
      <c r="Y25" s="115">
        <f>'N8'!Y25+'K8'!Y25</f>
        <v>0</v>
      </c>
      <c r="Z25" s="116">
        <f>'N8'!Z25+'K8'!Z25</f>
        <v>14</v>
      </c>
      <c r="AA25" s="121">
        <f>'N8'!AA25+'K8'!AA25</f>
        <v>0</v>
      </c>
      <c r="AB25" s="121">
        <f>'N8'!AB25+'K8'!AB25</f>
        <v>0</v>
      </c>
      <c r="AC25" s="33">
        <f>'N8'!AC25+'K8'!AC25</f>
        <v>83</v>
      </c>
      <c r="AD25" s="12">
        <f>'N8'!AD25+'K8'!AD25</f>
        <v>1542</v>
      </c>
      <c r="AE25" s="39"/>
      <c r="AF25" s="39"/>
      <c r="AG25" s="39"/>
      <c r="AH25" s="39"/>
      <c r="AI25" s="39"/>
      <c r="AJ25" s="39"/>
    </row>
    <row r="26" spans="1:36" x14ac:dyDescent="0.2">
      <c r="A26" s="5">
        <f>DAY(Kalenteri!A234)</f>
        <v>22</v>
      </c>
      <c r="B26" s="3" t="str">
        <f>IF(Kalenteri!B234=1,"su",IF(Kalenteri!B234=2,"ma",IF(Kalenteri!B234=3,"ti",IF(Kalenteri!B234=4,"ke",IF(Kalenteri!B234=5,"to",IF(Kalenteri!B234=6,"pe",IF(Kalenteri!B234=7,"la",)))))))</f>
        <v>to</v>
      </c>
      <c r="C26" s="114">
        <f>'N8'!C26+'K8'!C26</f>
        <v>272</v>
      </c>
      <c r="D26" s="115">
        <f>'N8'!D26+'K8'!D26</f>
        <v>19</v>
      </c>
      <c r="E26" s="115">
        <f>'N8'!E26+'K8'!E26</f>
        <v>7</v>
      </c>
      <c r="F26" s="116">
        <f>'N8'!F26+'K8'!F26</f>
        <v>5</v>
      </c>
      <c r="G26" s="114">
        <f>'N8'!G26+'K8'!G26</f>
        <v>28</v>
      </c>
      <c r="H26" s="116">
        <f>'N8'!H26+'K8'!H26</f>
        <v>91</v>
      </c>
      <c r="I26" s="114">
        <f>'N8'!I26+'K8'!I26</f>
        <v>4</v>
      </c>
      <c r="J26" s="116">
        <f>'N8'!J26+'K8'!J26</f>
        <v>6</v>
      </c>
      <c r="K26" s="33">
        <f>'N8'!K26+'K8'!K26</f>
        <v>432</v>
      </c>
      <c r="L26" s="115">
        <f>'N8'!L26+'K8'!L26</f>
        <v>169</v>
      </c>
      <c r="M26" s="115">
        <f>'N8'!M26+'K8'!M26</f>
        <v>26</v>
      </c>
      <c r="N26" s="115">
        <f>'N8'!N26+'K8'!N26</f>
        <v>0</v>
      </c>
      <c r="O26" s="116">
        <f>'N8'!O26+'K8'!O26</f>
        <v>0</v>
      </c>
      <c r="P26" s="115">
        <f>'N8'!P26+'K8'!P26</f>
        <v>0</v>
      </c>
      <c r="Q26" s="116">
        <f>'N8'!Q26+'K8'!Q26</f>
        <v>46</v>
      </c>
      <c r="R26" s="121">
        <f>'N8'!R26+'K8'!R26</f>
        <v>0</v>
      </c>
      <c r="S26" s="121">
        <f>'N8'!S26+'K8'!S26</f>
        <v>0</v>
      </c>
      <c r="T26" s="33">
        <f>'N8'!T26+'K8'!T26</f>
        <v>241</v>
      </c>
      <c r="U26" s="115">
        <f>'N8'!U26+'K8'!U26</f>
        <v>18</v>
      </c>
      <c r="V26" s="115">
        <f>'N8'!V26+'K8'!V26</f>
        <v>3</v>
      </c>
      <c r="W26" s="115">
        <f>'N8'!W26+'K8'!W26</f>
        <v>0</v>
      </c>
      <c r="X26" s="116">
        <f>'N8'!X26+'K8'!X26</f>
        <v>0</v>
      </c>
      <c r="Y26" s="115">
        <f>'N8'!Y26+'K8'!Y26</f>
        <v>0</v>
      </c>
      <c r="Z26" s="116">
        <f>'N8'!Z26+'K8'!Z26</f>
        <v>9</v>
      </c>
      <c r="AA26" s="121">
        <f>'N8'!AA26+'K8'!AA26</f>
        <v>0</v>
      </c>
      <c r="AB26" s="121">
        <f>'N8'!AB26+'K8'!AB26</f>
        <v>0</v>
      </c>
      <c r="AC26" s="33">
        <f>'N8'!AC26+'K8'!AC26</f>
        <v>30</v>
      </c>
      <c r="AD26" s="12">
        <f>'N8'!AD26+'K8'!AD26</f>
        <v>703</v>
      </c>
      <c r="AE26" s="39"/>
      <c r="AF26" s="39"/>
      <c r="AG26" s="39"/>
      <c r="AH26" s="39"/>
      <c r="AI26" s="39"/>
      <c r="AJ26" s="39"/>
    </row>
    <row r="27" spans="1:36" x14ac:dyDescent="0.2">
      <c r="A27" s="5">
        <f>DAY(Kalenteri!A235)</f>
        <v>23</v>
      </c>
      <c r="B27" s="3" t="str">
        <f>IF(Kalenteri!B235=1,"su",IF(Kalenteri!B235=2,"ma",IF(Kalenteri!B235=3,"ti",IF(Kalenteri!B235=4,"ke",IF(Kalenteri!B235=5,"to",IF(Kalenteri!B235=6,"pe",IF(Kalenteri!B235=7,"la",)))))))</f>
        <v>pe</v>
      </c>
      <c r="C27" s="114">
        <f>'N8'!C27+'K8'!C27</f>
        <v>654</v>
      </c>
      <c r="D27" s="115">
        <f>'N8'!D27+'K8'!D27</f>
        <v>78</v>
      </c>
      <c r="E27" s="115">
        <f>'N8'!E27+'K8'!E27</f>
        <v>0</v>
      </c>
      <c r="F27" s="116">
        <f>'N8'!F27+'K8'!F27</f>
        <v>9</v>
      </c>
      <c r="G27" s="114">
        <f>'N8'!G27+'K8'!G27</f>
        <v>48</v>
      </c>
      <c r="H27" s="116">
        <f>'N8'!H27+'K8'!H27</f>
        <v>282</v>
      </c>
      <c r="I27" s="114">
        <f>'N8'!I27+'K8'!I27</f>
        <v>6</v>
      </c>
      <c r="J27" s="116">
        <f>'N8'!J27+'K8'!J27</f>
        <v>9</v>
      </c>
      <c r="K27" s="33">
        <f>'N8'!K27+'K8'!K27</f>
        <v>1086</v>
      </c>
      <c r="L27" s="115">
        <f>'N8'!L27+'K8'!L27</f>
        <v>287</v>
      </c>
      <c r="M27" s="115">
        <f>'N8'!M27+'K8'!M27</f>
        <v>61</v>
      </c>
      <c r="N27" s="115">
        <f>'N8'!N27+'K8'!N27</f>
        <v>0</v>
      </c>
      <c r="O27" s="116">
        <f>'N8'!O27+'K8'!O27</f>
        <v>0</v>
      </c>
      <c r="P27" s="115">
        <f>'N8'!P27+'K8'!P27</f>
        <v>0</v>
      </c>
      <c r="Q27" s="116">
        <f>'N8'!Q27+'K8'!Q27</f>
        <v>82</v>
      </c>
      <c r="R27" s="121">
        <f>'N8'!R27+'K8'!R27</f>
        <v>6</v>
      </c>
      <c r="S27" s="121">
        <f>'N8'!S27+'K8'!S27</f>
        <v>9</v>
      </c>
      <c r="T27" s="33">
        <f>'N8'!T27+'K8'!T27</f>
        <v>445</v>
      </c>
      <c r="U27" s="115">
        <f>'N8'!U27+'K8'!U27</f>
        <v>41</v>
      </c>
      <c r="V27" s="115">
        <f>'N8'!V27+'K8'!V27</f>
        <v>9</v>
      </c>
      <c r="W27" s="115">
        <f>'N8'!W27+'K8'!W27</f>
        <v>0</v>
      </c>
      <c r="X27" s="116">
        <f>'N8'!X27+'K8'!X27</f>
        <v>0</v>
      </c>
      <c r="Y27" s="115">
        <f>'N8'!Y27+'K8'!Y27</f>
        <v>4</v>
      </c>
      <c r="Z27" s="116">
        <f>'N8'!Z27+'K8'!Z27</f>
        <v>40</v>
      </c>
      <c r="AA27" s="121">
        <f>'N8'!AA27+'K8'!AA27</f>
        <v>4</v>
      </c>
      <c r="AB27" s="121">
        <f>'N8'!AB27+'K8'!AB27</f>
        <v>6</v>
      </c>
      <c r="AC27" s="33">
        <f>'N8'!AC27+'K8'!AC27</f>
        <v>104</v>
      </c>
      <c r="AD27" s="12">
        <f>'N8'!AD27+'K8'!AD27</f>
        <v>1635</v>
      </c>
      <c r="AE27" s="39"/>
      <c r="AF27" s="39"/>
      <c r="AG27" s="39"/>
      <c r="AH27" s="39"/>
      <c r="AI27" s="39"/>
      <c r="AJ27" s="39"/>
    </row>
    <row r="28" spans="1:36" x14ac:dyDescent="0.2">
      <c r="A28" s="5">
        <f>DAY(Kalenteri!A236)</f>
        <v>24</v>
      </c>
      <c r="B28" s="3" t="str">
        <f>IF(Kalenteri!B236=1,"su",IF(Kalenteri!B236=2,"ma",IF(Kalenteri!B236=3,"ti",IF(Kalenteri!B236=4,"ke",IF(Kalenteri!B236=5,"to",IF(Kalenteri!B236=6,"pe",IF(Kalenteri!B236=7,"la",)))))))</f>
        <v>la</v>
      </c>
      <c r="C28" s="114">
        <f>'N8'!C28+'K8'!C28</f>
        <v>2240</v>
      </c>
      <c r="D28" s="115">
        <f>'N8'!D28+'K8'!D28</f>
        <v>612</v>
      </c>
      <c r="E28" s="115">
        <f>'N8'!E28+'K8'!E28</f>
        <v>179</v>
      </c>
      <c r="F28" s="116">
        <f>'N8'!F28+'K8'!F28</f>
        <v>37</v>
      </c>
      <c r="G28" s="114">
        <f>'N8'!G28+'K8'!G28</f>
        <v>51</v>
      </c>
      <c r="H28" s="116">
        <f>'N8'!H28+'K8'!H28</f>
        <v>616</v>
      </c>
      <c r="I28" s="114">
        <f>'N8'!I28+'K8'!I28</f>
        <v>64</v>
      </c>
      <c r="J28" s="116">
        <f>'N8'!J28+'K8'!J28</f>
        <v>96</v>
      </c>
      <c r="K28" s="33">
        <f>'N8'!K28+'K8'!K28</f>
        <v>3895</v>
      </c>
      <c r="L28" s="115">
        <f>'N8'!L28+'K8'!L28</f>
        <v>640</v>
      </c>
      <c r="M28" s="115">
        <f>'N8'!M28+'K8'!M28</f>
        <v>120</v>
      </c>
      <c r="N28" s="115">
        <f>'N8'!N28+'K8'!N28</f>
        <v>0</v>
      </c>
      <c r="O28" s="116">
        <f>'N8'!O28+'K8'!O28</f>
        <v>0</v>
      </c>
      <c r="P28" s="115">
        <f>'N8'!P28+'K8'!P28</f>
        <v>4</v>
      </c>
      <c r="Q28" s="116">
        <f>'N8'!Q28+'K8'!Q28</f>
        <v>132</v>
      </c>
      <c r="R28" s="121">
        <f>'N8'!R28+'K8'!R28</f>
        <v>26</v>
      </c>
      <c r="S28" s="121">
        <f>'N8'!S28+'K8'!S28</f>
        <v>39</v>
      </c>
      <c r="T28" s="33">
        <f>'N8'!T28+'K8'!T28</f>
        <v>961</v>
      </c>
      <c r="U28" s="115">
        <f>'N8'!U28+'K8'!U28</f>
        <v>92</v>
      </c>
      <c r="V28" s="115">
        <f>'N8'!V28+'K8'!V28</f>
        <v>35</v>
      </c>
      <c r="W28" s="115">
        <f>'N8'!W28+'K8'!W28</f>
        <v>0</v>
      </c>
      <c r="X28" s="116">
        <f>'N8'!X28+'K8'!X28</f>
        <v>0</v>
      </c>
      <c r="Y28" s="115">
        <f>'N8'!Y28+'K8'!Y28</f>
        <v>0</v>
      </c>
      <c r="Z28" s="116">
        <f>'N8'!Z28+'K8'!Z28</f>
        <v>32</v>
      </c>
      <c r="AA28" s="121">
        <f>'N8'!AA28+'K8'!AA28</f>
        <v>10</v>
      </c>
      <c r="AB28" s="121">
        <f>'N8'!AB28+'K8'!AB28</f>
        <v>15</v>
      </c>
      <c r="AC28" s="33">
        <f>'N8'!AC28+'K8'!AC28</f>
        <v>184</v>
      </c>
      <c r="AD28" s="12">
        <f>'N8'!AD28+'K8'!AD28</f>
        <v>5040</v>
      </c>
      <c r="AE28" s="39"/>
      <c r="AF28" s="39"/>
      <c r="AG28" s="39"/>
      <c r="AH28" s="39"/>
      <c r="AI28" s="39"/>
      <c r="AJ28" s="39"/>
    </row>
    <row r="29" spans="1:36" x14ac:dyDescent="0.2">
      <c r="A29" s="5">
        <f>DAY(Kalenteri!A237)</f>
        <v>25</v>
      </c>
      <c r="B29" s="3" t="str">
        <f>IF(Kalenteri!B237=1,"su",IF(Kalenteri!B237=2,"ma",IF(Kalenteri!B237=3,"ti",IF(Kalenteri!B237=4,"ke",IF(Kalenteri!B237=5,"to",IF(Kalenteri!B237=6,"pe",IF(Kalenteri!B237=7,"la",)))))))</f>
        <v>su</v>
      </c>
      <c r="C29" s="114">
        <f>'N8'!C29+'K8'!C29</f>
        <v>1545</v>
      </c>
      <c r="D29" s="115">
        <f>'N8'!D29+'K8'!D29</f>
        <v>346</v>
      </c>
      <c r="E29" s="115">
        <f>'N8'!E29+'K8'!E29</f>
        <v>2</v>
      </c>
      <c r="F29" s="116">
        <f>'N8'!F29+'K8'!F29</f>
        <v>47</v>
      </c>
      <c r="G29" s="114">
        <f>'N8'!G29+'K8'!G29</f>
        <v>64</v>
      </c>
      <c r="H29" s="116">
        <f>'N8'!H29+'K8'!H29</f>
        <v>526</v>
      </c>
      <c r="I29" s="114">
        <f>'N8'!I29+'K8'!I29</f>
        <v>60</v>
      </c>
      <c r="J29" s="116">
        <f>'N8'!J29+'K8'!J29</f>
        <v>90</v>
      </c>
      <c r="K29" s="33">
        <f>'N8'!K29+'K8'!K29</f>
        <v>2680</v>
      </c>
      <c r="L29" s="115">
        <f>'N8'!L29+'K8'!L29</f>
        <v>491</v>
      </c>
      <c r="M29" s="115">
        <f>'N8'!M29+'K8'!M29</f>
        <v>110</v>
      </c>
      <c r="N29" s="115">
        <f>'N8'!N29+'K8'!N29</f>
        <v>0</v>
      </c>
      <c r="O29" s="116">
        <f>'N8'!O29+'K8'!O29</f>
        <v>0</v>
      </c>
      <c r="P29" s="115">
        <f>'N8'!P29+'K8'!P29</f>
        <v>3</v>
      </c>
      <c r="Q29" s="116">
        <f>'N8'!Q29+'K8'!Q29</f>
        <v>144</v>
      </c>
      <c r="R29" s="121">
        <f>'N8'!R29+'K8'!R29</f>
        <v>12</v>
      </c>
      <c r="S29" s="121">
        <f>'N8'!S29+'K8'!S29</f>
        <v>18</v>
      </c>
      <c r="T29" s="33">
        <f>'N8'!T29+'K8'!T29</f>
        <v>778</v>
      </c>
      <c r="U29" s="115">
        <f>'N8'!U29+'K8'!U29</f>
        <v>92</v>
      </c>
      <c r="V29" s="115">
        <f>'N8'!V29+'K8'!V29</f>
        <v>26</v>
      </c>
      <c r="W29" s="115">
        <f>'N8'!W29+'K8'!W29</f>
        <v>0</v>
      </c>
      <c r="X29" s="116">
        <f>'N8'!X29+'K8'!X29</f>
        <v>0</v>
      </c>
      <c r="Y29" s="115">
        <f>'N8'!Y29+'K8'!Y29</f>
        <v>0</v>
      </c>
      <c r="Z29" s="116">
        <f>'N8'!Z29+'K8'!Z29</f>
        <v>39</v>
      </c>
      <c r="AA29" s="121">
        <f>'N8'!AA29+'K8'!AA29</f>
        <v>2</v>
      </c>
      <c r="AB29" s="121">
        <f>'N8'!AB29+'K8'!AB29</f>
        <v>3</v>
      </c>
      <c r="AC29" s="33">
        <f>'N8'!AC29+'K8'!AC29</f>
        <v>162</v>
      </c>
      <c r="AD29" s="12">
        <f>'N8'!AD29+'K8'!AD29</f>
        <v>3620</v>
      </c>
      <c r="AE29" s="39"/>
      <c r="AF29" s="39"/>
      <c r="AG29" s="39"/>
      <c r="AH29" s="39"/>
      <c r="AI29" s="39"/>
      <c r="AJ29" s="39"/>
    </row>
    <row r="30" spans="1:36" x14ac:dyDescent="0.2">
      <c r="A30" s="5">
        <f>DAY(Kalenteri!A238)</f>
        <v>26</v>
      </c>
      <c r="B30" s="3" t="str">
        <f>IF(Kalenteri!B238=1,"su",IF(Kalenteri!B238=2,"ma",IF(Kalenteri!B238=3,"ti",IF(Kalenteri!B238=4,"ke",IF(Kalenteri!B238=5,"to",IF(Kalenteri!B238=6,"pe",IF(Kalenteri!B238=7,"la",)))))))</f>
        <v>ma</v>
      </c>
      <c r="C30" s="114">
        <f>'N8'!C30+'K8'!C30</f>
        <v>468</v>
      </c>
      <c r="D30" s="115">
        <f>'N8'!D30+'K8'!D30</f>
        <v>65</v>
      </c>
      <c r="E30" s="115">
        <f>'N8'!E30+'K8'!E30</f>
        <v>3</v>
      </c>
      <c r="F30" s="116">
        <f>'N8'!F30+'K8'!F30</f>
        <v>13</v>
      </c>
      <c r="G30" s="114">
        <f>'N8'!G30+'K8'!G30</f>
        <v>16</v>
      </c>
      <c r="H30" s="116">
        <f>'N8'!H30+'K8'!H30</f>
        <v>178</v>
      </c>
      <c r="I30" s="114">
        <f>'N8'!I30+'K8'!I30</f>
        <v>8</v>
      </c>
      <c r="J30" s="116">
        <f>'N8'!J30+'K8'!J30</f>
        <v>12</v>
      </c>
      <c r="K30" s="33">
        <f>'N8'!K30+'K8'!K30</f>
        <v>763</v>
      </c>
      <c r="L30" s="115">
        <f>'N8'!L30+'K8'!L30</f>
        <v>223</v>
      </c>
      <c r="M30" s="115">
        <f>'N8'!M30+'K8'!M30</f>
        <v>48</v>
      </c>
      <c r="N30" s="115">
        <f>'N8'!N30+'K8'!N30</f>
        <v>0</v>
      </c>
      <c r="O30" s="116">
        <f>'N8'!O30+'K8'!O30</f>
        <v>0</v>
      </c>
      <c r="P30" s="115">
        <f>'N8'!P30+'K8'!P30</f>
        <v>0</v>
      </c>
      <c r="Q30" s="116">
        <f>'N8'!Q30+'K8'!Q30</f>
        <v>66</v>
      </c>
      <c r="R30" s="121">
        <f>'N8'!R30+'K8'!R30</f>
        <v>0</v>
      </c>
      <c r="S30" s="121">
        <f>'N8'!S30+'K8'!S30</f>
        <v>0</v>
      </c>
      <c r="T30" s="33">
        <f>'N8'!T30+'K8'!T30</f>
        <v>337</v>
      </c>
      <c r="U30" s="115">
        <f>'N8'!U30+'K8'!U30</f>
        <v>53</v>
      </c>
      <c r="V30" s="115">
        <f>'N8'!V30+'K8'!V30</f>
        <v>2</v>
      </c>
      <c r="W30" s="115">
        <f>'N8'!W30+'K8'!W30</f>
        <v>0</v>
      </c>
      <c r="X30" s="116">
        <f>'N8'!X30+'K8'!X30</f>
        <v>0</v>
      </c>
      <c r="Y30" s="115">
        <f>'N8'!Y30+'K8'!Y30</f>
        <v>0</v>
      </c>
      <c r="Z30" s="116">
        <f>'N8'!Z30+'K8'!Z30</f>
        <v>25</v>
      </c>
      <c r="AA30" s="121">
        <f>'N8'!AA30+'K8'!AA30</f>
        <v>0</v>
      </c>
      <c r="AB30" s="121">
        <f>'N8'!AB30+'K8'!AB30</f>
        <v>0</v>
      </c>
      <c r="AC30" s="33">
        <f>'N8'!AC30+'K8'!AC30</f>
        <v>80</v>
      </c>
      <c r="AD30" s="12">
        <f>'N8'!AD30+'K8'!AD30</f>
        <v>1180</v>
      </c>
      <c r="AE30" s="39"/>
      <c r="AF30" s="39"/>
      <c r="AG30" s="39"/>
      <c r="AH30" s="39"/>
      <c r="AI30" s="39"/>
      <c r="AJ30" s="39"/>
    </row>
    <row r="31" spans="1:36" x14ac:dyDescent="0.2">
      <c r="A31" s="5">
        <f>DAY(Kalenteri!A239)</f>
        <v>27</v>
      </c>
      <c r="B31" s="3" t="str">
        <f>IF(Kalenteri!B239=1,"su",IF(Kalenteri!B239=2,"ma",IF(Kalenteri!B239=3,"ti",IF(Kalenteri!B239=4,"ke",IF(Kalenteri!B239=5,"to",IF(Kalenteri!B239=6,"pe",IF(Kalenteri!B239=7,"la",)))))))</f>
        <v>ti</v>
      </c>
      <c r="C31" s="114">
        <f>'N8'!C31+'K8'!C31</f>
        <v>456</v>
      </c>
      <c r="D31" s="115">
        <f>'N8'!D31+'K8'!D31</f>
        <v>37</v>
      </c>
      <c r="E31" s="115">
        <f>'N8'!E31+'K8'!E31</f>
        <v>1</v>
      </c>
      <c r="F31" s="116">
        <f>'N8'!F31+'K8'!F31</f>
        <v>13</v>
      </c>
      <c r="G31" s="114">
        <f>'N8'!G31+'K8'!G31</f>
        <v>32</v>
      </c>
      <c r="H31" s="116">
        <f>'N8'!H31+'K8'!H31</f>
        <v>185</v>
      </c>
      <c r="I31" s="114">
        <f>'N8'!I31+'K8'!I31</f>
        <v>2</v>
      </c>
      <c r="J31" s="116">
        <f>'N8'!J31+'K8'!J31</f>
        <v>3</v>
      </c>
      <c r="K31" s="33">
        <f>'N8'!K31+'K8'!K31</f>
        <v>729</v>
      </c>
      <c r="L31" s="115">
        <f>'N8'!L31+'K8'!L31</f>
        <v>245</v>
      </c>
      <c r="M31" s="115">
        <f>'N8'!M31+'K8'!M31</f>
        <v>69</v>
      </c>
      <c r="N31" s="115">
        <f>'N8'!N31+'K8'!N31</f>
        <v>0</v>
      </c>
      <c r="O31" s="116">
        <f>'N8'!O31+'K8'!O31</f>
        <v>0</v>
      </c>
      <c r="P31" s="115">
        <f>'N8'!P31+'K8'!P31</f>
        <v>0</v>
      </c>
      <c r="Q31" s="116">
        <f>'N8'!Q31+'K8'!Q31</f>
        <v>50</v>
      </c>
      <c r="R31" s="121">
        <f>'N8'!R31+'K8'!R31</f>
        <v>2</v>
      </c>
      <c r="S31" s="121">
        <f>'N8'!S31+'K8'!S31</f>
        <v>3</v>
      </c>
      <c r="T31" s="33">
        <f>'N8'!T31+'K8'!T31</f>
        <v>369</v>
      </c>
      <c r="U31" s="115">
        <f>'N8'!U31+'K8'!U31</f>
        <v>63</v>
      </c>
      <c r="V31" s="115">
        <f>'N8'!V31+'K8'!V31</f>
        <v>3</v>
      </c>
      <c r="W31" s="115">
        <f>'N8'!W31+'K8'!W31</f>
        <v>0</v>
      </c>
      <c r="X31" s="116">
        <f>'N8'!X31+'K8'!X31</f>
        <v>0</v>
      </c>
      <c r="Y31" s="115">
        <f>'N8'!Y31+'K8'!Y31</f>
        <v>0</v>
      </c>
      <c r="Z31" s="116">
        <f>'N8'!Z31+'K8'!Z31</f>
        <v>10</v>
      </c>
      <c r="AA31" s="121">
        <f>'N8'!AA31+'K8'!AA31</f>
        <v>0</v>
      </c>
      <c r="AB31" s="121">
        <f>'N8'!AB31+'K8'!AB31</f>
        <v>0</v>
      </c>
      <c r="AC31" s="33">
        <f>'N8'!AC31+'K8'!AC31</f>
        <v>76</v>
      </c>
      <c r="AD31" s="12">
        <f>'N8'!AD31+'K8'!AD31</f>
        <v>1174</v>
      </c>
      <c r="AE31" s="39"/>
      <c r="AF31" s="39"/>
      <c r="AG31" s="39"/>
      <c r="AH31" s="39"/>
      <c r="AI31" s="39"/>
      <c r="AJ31" s="39"/>
    </row>
    <row r="32" spans="1:36" x14ac:dyDescent="0.2">
      <c r="A32" s="5">
        <f>DAY(Kalenteri!A240)</f>
        <v>28</v>
      </c>
      <c r="B32" s="3" t="str">
        <f>IF(Kalenteri!B240=1,"su",IF(Kalenteri!B240=2,"ma",IF(Kalenteri!B240=3,"ti",IF(Kalenteri!B240=4,"ke",IF(Kalenteri!B240=5,"to",IF(Kalenteri!B240=6,"pe",IF(Kalenteri!B240=7,"la",)))))))</f>
        <v>ke</v>
      </c>
      <c r="C32" s="114">
        <f>'N8'!C32+'K8'!C32</f>
        <v>447</v>
      </c>
      <c r="D32" s="115">
        <f>'N8'!D32+'K8'!D32</f>
        <v>56</v>
      </c>
      <c r="E32" s="115">
        <f>'N8'!E32+'K8'!E32</f>
        <v>1</v>
      </c>
      <c r="F32" s="116">
        <f>'N8'!F32+'K8'!F32</f>
        <v>22</v>
      </c>
      <c r="G32" s="114">
        <f>'N8'!G32+'K8'!G32</f>
        <v>36</v>
      </c>
      <c r="H32" s="116">
        <f>'N8'!H32+'K8'!H32</f>
        <v>206</v>
      </c>
      <c r="I32" s="114">
        <f>'N8'!I32+'K8'!I32</f>
        <v>4</v>
      </c>
      <c r="J32" s="116">
        <f>'N8'!J32+'K8'!J32</f>
        <v>6</v>
      </c>
      <c r="K32" s="33">
        <f>'N8'!K32+'K8'!K32</f>
        <v>778</v>
      </c>
      <c r="L32" s="115">
        <f>'N8'!L32+'K8'!L32</f>
        <v>274</v>
      </c>
      <c r="M32" s="115">
        <f>'N8'!M32+'K8'!M32</f>
        <v>37</v>
      </c>
      <c r="N32" s="115">
        <f>'N8'!N32+'K8'!N32</f>
        <v>0</v>
      </c>
      <c r="O32" s="116">
        <f>'N8'!O32+'K8'!O32</f>
        <v>0</v>
      </c>
      <c r="P32" s="115">
        <f>'N8'!P32+'K8'!P32</f>
        <v>0</v>
      </c>
      <c r="Q32" s="116">
        <f>'N8'!Q32+'K8'!Q32</f>
        <v>48</v>
      </c>
      <c r="R32" s="121">
        <f>'N8'!R32+'K8'!R32</f>
        <v>6</v>
      </c>
      <c r="S32" s="121">
        <f>'N8'!S32+'K8'!S32</f>
        <v>9</v>
      </c>
      <c r="T32" s="33">
        <f>'N8'!T32+'K8'!T32</f>
        <v>374</v>
      </c>
      <c r="U32" s="115">
        <f>'N8'!U32+'K8'!U32</f>
        <v>42</v>
      </c>
      <c r="V32" s="115">
        <f>'N8'!V32+'K8'!V32</f>
        <v>5</v>
      </c>
      <c r="W32" s="115">
        <f>'N8'!W32+'K8'!W32</f>
        <v>0</v>
      </c>
      <c r="X32" s="116">
        <f>'N8'!X32+'K8'!X32</f>
        <v>0</v>
      </c>
      <c r="Y32" s="115">
        <f>'N8'!Y32+'K8'!Y32</f>
        <v>0</v>
      </c>
      <c r="Z32" s="116">
        <f>'N8'!Z32+'K8'!Z32</f>
        <v>12</v>
      </c>
      <c r="AA32" s="121">
        <f>'N8'!AA32+'K8'!AA32</f>
        <v>0</v>
      </c>
      <c r="AB32" s="121">
        <f>'N8'!AB32+'K8'!AB32</f>
        <v>0</v>
      </c>
      <c r="AC32" s="33">
        <f>'N8'!AC32+'K8'!AC32</f>
        <v>59</v>
      </c>
      <c r="AD32" s="12">
        <f>'N8'!AD32+'K8'!AD32</f>
        <v>1211</v>
      </c>
      <c r="AE32" s="39"/>
      <c r="AF32" s="39"/>
      <c r="AG32" s="39"/>
      <c r="AH32" s="39"/>
      <c r="AI32" s="39"/>
      <c r="AJ32" s="39"/>
    </row>
    <row r="33" spans="1:36" x14ac:dyDescent="0.2">
      <c r="A33" s="5">
        <f>DAY(Kalenteri!A241)</f>
        <v>29</v>
      </c>
      <c r="B33" s="3" t="str">
        <f>IF(Kalenteri!B241=1,"su",IF(Kalenteri!B241=2,"ma",IF(Kalenteri!B241=3,"ti",IF(Kalenteri!B241=4,"ke",IF(Kalenteri!B241=5,"to",IF(Kalenteri!B241=6,"pe",IF(Kalenteri!B241=7,"la",)))))))</f>
        <v>to</v>
      </c>
      <c r="C33" s="114">
        <f>'N8'!C33+'K8'!C33</f>
        <v>350</v>
      </c>
      <c r="D33" s="115">
        <f>'N8'!D33+'K8'!D33</f>
        <v>21</v>
      </c>
      <c r="E33" s="115">
        <f>'N8'!E33+'K8'!E33</f>
        <v>4</v>
      </c>
      <c r="F33" s="116">
        <f>'N8'!F33+'K8'!F33</f>
        <v>8</v>
      </c>
      <c r="G33" s="114">
        <f>'N8'!G33+'K8'!G33</f>
        <v>54</v>
      </c>
      <c r="H33" s="116">
        <f>'N8'!H33+'K8'!H33</f>
        <v>131</v>
      </c>
      <c r="I33" s="114">
        <f>'N8'!I33+'K8'!I33</f>
        <v>2</v>
      </c>
      <c r="J33" s="116">
        <f>'N8'!J33+'K8'!J33</f>
        <v>3</v>
      </c>
      <c r="K33" s="33">
        <f>'N8'!K33+'K8'!K33</f>
        <v>573</v>
      </c>
      <c r="L33" s="115">
        <f>'N8'!L33+'K8'!L33</f>
        <v>165</v>
      </c>
      <c r="M33" s="115">
        <f>'N8'!M33+'K8'!M33</f>
        <v>19</v>
      </c>
      <c r="N33" s="115">
        <f>'N8'!N33+'K8'!N33</f>
        <v>0</v>
      </c>
      <c r="O33" s="116">
        <f>'N8'!O33+'K8'!O33</f>
        <v>0</v>
      </c>
      <c r="P33" s="115">
        <f>'N8'!P33+'K8'!P33</f>
        <v>0</v>
      </c>
      <c r="Q33" s="116">
        <f>'N8'!Q33+'K8'!Q33</f>
        <v>33</v>
      </c>
      <c r="R33" s="121">
        <f>'N8'!R33+'K8'!R33</f>
        <v>0</v>
      </c>
      <c r="S33" s="121">
        <f>'N8'!S33+'K8'!S33</f>
        <v>0</v>
      </c>
      <c r="T33" s="33">
        <f>'N8'!T33+'K8'!T33</f>
        <v>217</v>
      </c>
      <c r="U33" s="115">
        <f>'N8'!U33+'K8'!U33</f>
        <v>49</v>
      </c>
      <c r="V33" s="115">
        <f>'N8'!V33+'K8'!V33</f>
        <v>0</v>
      </c>
      <c r="W33" s="115">
        <f>'N8'!W33+'K8'!W33</f>
        <v>0</v>
      </c>
      <c r="X33" s="116">
        <f>'N8'!X33+'K8'!X33</f>
        <v>0</v>
      </c>
      <c r="Y33" s="115">
        <f>'N8'!Y33+'K8'!Y33</f>
        <v>0</v>
      </c>
      <c r="Z33" s="116">
        <f>'N8'!Z33+'K8'!Z33</f>
        <v>8</v>
      </c>
      <c r="AA33" s="121">
        <f>'N8'!AA33+'K8'!AA33</f>
        <v>0</v>
      </c>
      <c r="AB33" s="121">
        <f>'N8'!AB33+'K8'!AB33</f>
        <v>0</v>
      </c>
      <c r="AC33" s="33">
        <f>'N8'!AC33+'K8'!AC33</f>
        <v>57</v>
      </c>
      <c r="AD33" s="12">
        <f>'N8'!AD33+'K8'!AD33</f>
        <v>847</v>
      </c>
      <c r="AE33" s="39"/>
      <c r="AF33" s="39"/>
      <c r="AG33" s="39"/>
      <c r="AH33" s="39"/>
      <c r="AI33" s="39"/>
      <c r="AJ33" s="39"/>
    </row>
    <row r="34" spans="1:36" x14ac:dyDescent="0.2">
      <c r="A34" s="5">
        <f>DAY(Kalenteri!A242)</f>
        <v>30</v>
      </c>
      <c r="B34" s="3" t="str">
        <f>IF(Kalenteri!B242=1,"su",IF(Kalenteri!B242=2,"ma",IF(Kalenteri!B242=3,"ti",IF(Kalenteri!B242=4,"ke",IF(Kalenteri!B242=5,"to",IF(Kalenteri!B242=6,"pe",IF(Kalenteri!B242=7,"la",)))))))</f>
        <v>pe</v>
      </c>
      <c r="C34" s="114">
        <f>'N8'!C34+'K8'!C34</f>
        <v>328</v>
      </c>
      <c r="D34" s="115">
        <f>'N8'!D34+'K8'!D34</f>
        <v>38</v>
      </c>
      <c r="E34" s="115">
        <f>'N8'!E34+'K8'!E34</f>
        <v>4</v>
      </c>
      <c r="F34" s="116">
        <f>'N8'!F34+'K8'!F34</f>
        <v>12</v>
      </c>
      <c r="G34" s="114">
        <f>'N8'!G34+'K8'!G34</f>
        <v>55</v>
      </c>
      <c r="H34" s="116">
        <f>'N8'!H34+'K8'!H34</f>
        <v>291</v>
      </c>
      <c r="I34" s="114">
        <f>'N8'!I34+'K8'!I34</f>
        <v>4</v>
      </c>
      <c r="J34" s="116">
        <f>'N8'!J34+'K8'!J34</f>
        <v>6</v>
      </c>
      <c r="K34" s="33">
        <f>'N8'!K34+'K8'!K34</f>
        <v>738</v>
      </c>
      <c r="L34" s="115">
        <f>'N8'!L34+'K8'!L34</f>
        <v>172</v>
      </c>
      <c r="M34" s="115">
        <f>'N8'!M34+'K8'!M34</f>
        <v>38</v>
      </c>
      <c r="N34" s="115">
        <f>'N8'!N34+'K8'!N34</f>
        <v>0</v>
      </c>
      <c r="O34" s="116">
        <f>'N8'!O34+'K8'!O34</f>
        <v>0</v>
      </c>
      <c r="P34" s="115">
        <f>'N8'!P34+'K8'!P34</f>
        <v>0</v>
      </c>
      <c r="Q34" s="116">
        <f>'N8'!Q34+'K8'!Q34</f>
        <v>53</v>
      </c>
      <c r="R34" s="121">
        <f>'N8'!R34+'K8'!R34</f>
        <v>10</v>
      </c>
      <c r="S34" s="121">
        <f>'N8'!S34+'K8'!S34</f>
        <v>15</v>
      </c>
      <c r="T34" s="33">
        <f>'N8'!T34+'K8'!T34</f>
        <v>288</v>
      </c>
      <c r="U34" s="115">
        <f>'N8'!U34+'K8'!U34</f>
        <v>49</v>
      </c>
      <c r="V34" s="115">
        <f>'N8'!V34+'K8'!V34</f>
        <v>0</v>
      </c>
      <c r="W34" s="115">
        <f>'N8'!W34+'K8'!W34</f>
        <v>0</v>
      </c>
      <c r="X34" s="116">
        <f>'N8'!X34+'K8'!X34</f>
        <v>0</v>
      </c>
      <c r="Y34" s="115">
        <f>'N8'!Y34+'K8'!Y34</f>
        <v>0</v>
      </c>
      <c r="Z34" s="116">
        <f>'N8'!Z34+'K8'!Z34</f>
        <v>8</v>
      </c>
      <c r="AA34" s="121">
        <f>'N8'!AA34+'K8'!AA34</f>
        <v>0</v>
      </c>
      <c r="AB34" s="121">
        <f>'N8'!AB34+'K8'!AB34</f>
        <v>0</v>
      </c>
      <c r="AC34" s="33">
        <f>'N8'!AC34+'K8'!AC34</f>
        <v>57</v>
      </c>
      <c r="AD34" s="12">
        <f>'N8'!AD34+'K8'!AD34</f>
        <v>1083</v>
      </c>
      <c r="AE34" s="39"/>
      <c r="AF34" s="39"/>
      <c r="AG34" s="39"/>
      <c r="AH34" s="39"/>
      <c r="AI34" s="39"/>
      <c r="AJ34" s="39"/>
    </row>
    <row r="35" spans="1:36" x14ac:dyDescent="0.2">
      <c r="A35" s="5">
        <f>DAY(Kalenteri!A243)</f>
        <v>31</v>
      </c>
      <c r="B35" s="3" t="str">
        <f>IF(Kalenteri!B243=1,"su",IF(Kalenteri!B243=2,"ma",IF(Kalenteri!B243=3,"ti",IF(Kalenteri!B243=4,"ke",IF(Kalenteri!B243=5,"to",IF(Kalenteri!B243=6,"pe",IF(Kalenteri!B243=7,"la",)))))))</f>
        <v>la</v>
      </c>
      <c r="C35" s="117">
        <f>'N8'!C35+'K8'!C35</f>
        <v>1031</v>
      </c>
      <c r="D35" s="118">
        <f>'N8'!D35+'K8'!D35</f>
        <v>253</v>
      </c>
      <c r="E35" s="118">
        <f>'N8'!E35+'K8'!E35</f>
        <v>4</v>
      </c>
      <c r="F35" s="119">
        <f>'N8'!F35+'K8'!F35</f>
        <v>16</v>
      </c>
      <c r="G35" s="117">
        <f>'N8'!G35+'K8'!G35</f>
        <v>29</v>
      </c>
      <c r="H35" s="119">
        <f>'N8'!H35+'K8'!H35</f>
        <v>353</v>
      </c>
      <c r="I35" s="117">
        <f>'N8'!I35+'K8'!I35</f>
        <v>28</v>
      </c>
      <c r="J35" s="119">
        <f>'N8'!J35+'K8'!J35</f>
        <v>42</v>
      </c>
      <c r="K35" s="34">
        <f>'N8'!K35+'K8'!K35</f>
        <v>1756</v>
      </c>
      <c r="L35" s="122">
        <f>'N8'!L35+'K8'!L35</f>
        <v>331</v>
      </c>
      <c r="M35" s="122">
        <f>'N8'!M35+'K8'!M35</f>
        <v>58</v>
      </c>
      <c r="N35" s="122">
        <f>'N8'!N35+'K8'!N35</f>
        <v>0</v>
      </c>
      <c r="O35" s="123">
        <f>'N8'!O35+'K8'!O35</f>
        <v>0</v>
      </c>
      <c r="P35" s="122">
        <f>'N8'!P35+'K8'!P35</f>
        <v>0</v>
      </c>
      <c r="Q35" s="123">
        <f>'N8'!Q35+'K8'!Q35</f>
        <v>65</v>
      </c>
      <c r="R35" s="124">
        <f>'N8'!R35+'K8'!R35</f>
        <v>8</v>
      </c>
      <c r="S35" s="124">
        <f>'N8'!S35+'K8'!S35</f>
        <v>12</v>
      </c>
      <c r="T35" s="34">
        <f>'N8'!T35+'K8'!T35</f>
        <v>474</v>
      </c>
      <c r="U35" s="122">
        <f>'N8'!U35+'K8'!U35</f>
        <v>59</v>
      </c>
      <c r="V35" s="122">
        <f>'N8'!V35+'K8'!V35</f>
        <v>10</v>
      </c>
      <c r="W35" s="122">
        <f>'N8'!W35+'K8'!W35</f>
        <v>0</v>
      </c>
      <c r="X35" s="123">
        <f>'N8'!X35+'K8'!X35</f>
        <v>0</v>
      </c>
      <c r="Y35" s="122">
        <f>'N8'!Y35+'K8'!Y35</f>
        <v>0</v>
      </c>
      <c r="Z35" s="123">
        <f>'N8'!Z35+'K8'!Z35</f>
        <v>21</v>
      </c>
      <c r="AA35" s="124">
        <f>'N8'!AA35+'K8'!AA35</f>
        <v>2</v>
      </c>
      <c r="AB35" s="124">
        <f>'N8'!AB35+'K8'!AB35</f>
        <v>3</v>
      </c>
      <c r="AC35" s="34">
        <f>'N8'!AC35+'K8'!AC35</f>
        <v>95</v>
      </c>
      <c r="AD35" s="19">
        <f>'N8'!AD35+'K8'!AD35</f>
        <v>2325</v>
      </c>
      <c r="AE35" s="39"/>
      <c r="AF35" s="39"/>
      <c r="AG35" s="39"/>
      <c r="AH35" s="39"/>
      <c r="AI35" s="39"/>
      <c r="AJ35" s="39"/>
    </row>
    <row r="36" spans="1:36" x14ac:dyDescent="0.2">
      <c r="A36" s="6"/>
      <c r="B36"/>
      <c r="C36" s="82">
        <f>'N8'!C36+'K8'!C36</f>
        <v>28981</v>
      </c>
      <c r="D36" s="83">
        <f>'N8'!D36+'K8'!D36</f>
        <v>7689</v>
      </c>
      <c r="E36" s="83">
        <f>'N8'!E36+'K8'!E36</f>
        <v>706</v>
      </c>
      <c r="F36" s="84">
        <f>'N8'!F36+'K8'!F36</f>
        <v>544</v>
      </c>
      <c r="G36" s="83">
        <f>'N8'!G36+'K8'!G36</f>
        <v>1095</v>
      </c>
      <c r="H36" s="84">
        <f>'N8'!H36+'K8'!H36</f>
        <v>10067</v>
      </c>
      <c r="I36" s="83">
        <f>'N8'!I36+'K8'!I36</f>
        <v>889</v>
      </c>
      <c r="J36" s="84">
        <f>'N8'!J36+'K8'!J36</f>
        <v>1325</v>
      </c>
      <c r="K36" s="85">
        <f>'N8'!K36+'K8'!K36</f>
        <v>51296</v>
      </c>
      <c r="L36" s="83">
        <f>'N8'!L36+'K8'!L36</f>
        <v>11598</v>
      </c>
      <c r="M36" s="83">
        <f>'N8'!M36+'K8'!M36</f>
        <v>3100</v>
      </c>
      <c r="N36" s="83">
        <f>'N8'!N36+'K8'!N36</f>
        <v>0</v>
      </c>
      <c r="O36" s="84">
        <f>'N8'!O36+'K8'!O36</f>
        <v>3</v>
      </c>
      <c r="P36" s="83">
        <f>'N8'!P36+'K8'!P36</f>
        <v>139</v>
      </c>
      <c r="Q36" s="84">
        <f>'N8'!Q36+'K8'!Q36</f>
        <v>2726</v>
      </c>
      <c r="R36" s="86">
        <f>'N8'!R36+'K8'!R36</f>
        <v>606</v>
      </c>
      <c r="S36" s="86">
        <f>'N8'!S36+'K8'!S36</f>
        <v>909</v>
      </c>
      <c r="T36" s="85">
        <f>'N8'!T36+'K8'!T36</f>
        <v>19081</v>
      </c>
      <c r="U36" s="83">
        <f>'N8'!U36+'K8'!U36</f>
        <v>3033</v>
      </c>
      <c r="V36" s="83">
        <f>'N8'!V36+'K8'!V36</f>
        <v>812</v>
      </c>
      <c r="W36" s="83">
        <f>'N8'!W36+'K8'!W36</f>
        <v>123</v>
      </c>
      <c r="X36" s="84">
        <f>'N8'!X36+'K8'!X36</f>
        <v>1</v>
      </c>
      <c r="Y36" s="83">
        <f>'N8'!Y36+'K8'!Y36</f>
        <v>4</v>
      </c>
      <c r="Z36" s="84">
        <f>'N8'!Z36+'K8'!Z36</f>
        <v>1039</v>
      </c>
      <c r="AA36" s="86">
        <f>'N8'!AA36+'K8'!AA36</f>
        <v>90</v>
      </c>
      <c r="AB36" s="86">
        <f>'N8'!AB36+'K8'!AB36</f>
        <v>135</v>
      </c>
      <c r="AC36" s="85">
        <f>'N8'!AC36+'K8'!AC36</f>
        <v>5237</v>
      </c>
      <c r="AD36" s="87">
        <f>'N8'!AD36+'K8'!AD36</f>
        <v>75614</v>
      </c>
      <c r="AE36" s="66"/>
      <c r="AF36" s="66"/>
      <c r="AG36" s="66"/>
      <c r="AH36" s="66"/>
      <c r="AI36" s="66"/>
      <c r="AJ36" s="66"/>
    </row>
    <row r="37" spans="1:36" ht="8.1" customHeight="1" thickBot="1" x14ac:dyDescent="0.25">
      <c r="A37" s="6"/>
      <c r="B37"/>
      <c r="C37" s="2"/>
      <c r="D37" s="5"/>
      <c r="E37" s="5"/>
      <c r="F37" s="2"/>
      <c r="G37" s="2"/>
      <c r="H37" s="2"/>
      <c r="I37" s="5"/>
      <c r="J37" s="2"/>
      <c r="K37" s="2"/>
      <c r="L37" s="5"/>
      <c r="M37" s="2"/>
      <c r="N37" s="5"/>
      <c r="O37" s="5"/>
      <c r="P37" s="2"/>
      <c r="Q37" s="5"/>
      <c r="R37" s="42"/>
      <c r="S37" s="42"/>
      <c r="T37" s="2"/>
      <c r="U37" s="2"/>
      <c r="V37" s="2"/>
      <c r="W37" s="2"/>
      <c r="X37" s="5"/>
      <c r="Y37" s="2"/>
      <c r="Z37" s="2"/>
      <c r="AA37" s="39"/>
      <c r="AB37" s="39"/>
      <c r="AC37" s="5"/>
      <c r="AD37" s="40"/>
      <c r="AE37" s="40"/>
      <c r="AF37" s="40"/>
      <c r="AG37" s="40"/>
      <c r="AH37" s="40"/>
      <c r="AI37" s="40"/>
      <c r="AJ37" s="40"/>
    </row>
    <row r="38" spans="1:36" ht="24.95" customHeight="1" thickTop="1" x14ac:dyDescent="0.3">
      <c r="A38" s="6"/>
      <c r="B38"/>
      <c r="C38" s="171" t="str">
        <f>Kalenteri!E38</f>
        <v>Lippujen hinnat:</v>
      </c>
      <c r="D38" s="5"/>
      <c r="E38" s="5"/>
      <c r="F38" s="2"/>
      <c r="G38" s="2"/>
      <c r="H38" s="2"/>
      <c r="I38" s="5"/>
      <c r="J38" s="2"/>
      <c r="K38" s="2"/>
      <c r="L38" s="5"/>
      <c r="M38" s="2"/>
      <c r="N38" s="5"/>
      <c r="O38" s="5"/>
      <c r="P38" s="2"/>
      <c r="Q38"/>
      <c r="R38"/>
      <c r="S38"/>
      <c r="T38"/>
      <c r="U38" s="49" t="s">
        <v>12</v>
      </c>
      <c r="V38" s="50"/>
      <c r="W38" s="43"/>
      <c r="X38" s="44"/>
      <c r="Y38" s="43"/>
      <c r="Z38" s="43"/>
      <c r="AA38" s="44"/>
      <c r="AB38" s="44"/>
      <c r="AC38" s="47"/>
      <c r="AD38" s="45">
        <f>'N8'!AD38+'K8'!AD38</f>
        <v>75614</v>
      </c>
      <c r="AE38" s="41"/>
      <c r="AF38" s="41"/>
      <c r="AG38" s="41"/>
      <c r="AH38" s="41"/>
      <c r="AI38" s="41"/>
      <c r="AJ38" s="41"/>
    </row>
    <row r="39" spans="1:36" ht="24.95" customHeight="1" x14ac:dyDescent="0.3">
      <c r="A39" s="6"/>
      <c r="B39"/>
      <c r="C39" s="193" t="str">
        <f>Kalenteri!E39</f>
        <v>Mustikkamaan kautta: 1.9.-30.4. aik. 10 €, lapset 5 €, kimppalippu 30 €    1.5.-30.8. aik. 12 €, lapset 6 €, kimppalippu 36 €</v>
      </c>
      <c r="D39" s="89"/>
      <c r="E39" s="89"/>
      <c r="F39" s="90"/>
      <c r="G39" s="102"/>
      <c r="H39" s="174"/>
      <c r="I39" s="89"/>
      <c r="J39" s="90"/>
      <c r="K39" s="90"/>
      <c r="L39" s="89"/>
      <c r="M39" s="90"/>
      <c r="N39" s="89"/>
      <c r="O39" s="89"/>
      <c r="P39" s="89"/>
      <c r="Q39" s="104"/>
      <c r="R39" s="103"/>
      <c r="S39"/>
      <c r="T39"/>
      <c r="U39" s="62" t="s">
        <v>13</v>
      </c>
      <c r="V39" s="52"/>
      <c r="W39" s="53"/>
      <c r="X39" s="54"/>
      <c r="Y39" s="53"/>
      <c r="Z39" s="53"/>
      <c r="AA39" s="54"/>
      <c r="AB39" s="54"/>
      <c r="AC39" s="55"/>
      <c r="AD39" s="56">
        <f>'N8'!AD39+'K8'!AD39</f>
        <v>-4549</v>
      </c>
      <c r="AE39" s="67"/>
      <c r="AF39" s="67"/>
      <c r="AG39" s="67"/>
      <c r="AH39" s="67"/>
      <c r="AI39" s="67"/>
      <c r="AJ39" s="67"/>
    </row>
    <row r="40" spans="1:36" ht="24.95" customHeight="1" x14ac:dyDescent="0.3">
      <c r="A40" s="6"/>
      <c r="B40" s="6"/>
      <c r="C40" s="194" t="str">
        <f>Kalenteri!E40</f>
        <v xml:space="preserve">                                    Vuosikortti:     aik. 50 €, lapset 20 €, perhekortti 100 €</v>
      </c>
      <c r="D40" s="39"/>
      <c r="E40" s="39"/>
      <c r="F40" s="42"/>
      <c r="G40" s="65"/>
      <c r="H40" s="176"/>
      <c r="I40" s="39"/>
      <c r="J40" s="42"/>
      <c r="K40" s="42"/>
      <c r="L40" s="39"/>
      <c r="M40" s="42"/>
      <c r="N40" s="39"/>
      <c r="O40" s="39"/>
      <c r="P40" s="39"/>
      <c r="Q40" s="23"/>
      <c r="R40" s="97"/>
      <c r="S40"/>
      <c r="T40"/>
      <c r="U40" s="63" t="s">
        <v>14</v>
      </c>
      <c r="V40" s="37"/>
      <c r="W40" s="51"/>
      <c r="X40" s="41"/>
      <c r="Y40" s="51"/>
      <c r="Z40" s="41"/>
      <c r="AA40" s="41"/>
      <c r="AB40" s="41"/>
      <c r="AC40" s="48"/>
      <c r="AD40" s="46">
        <f>'N8'!AD40+'K8'!AD40</f>
        <v>431569</v>
      </c>
      <c r="AE40" s="41"/>
      <c r="AF40" s="41"/>
      <c r="AG40" s="41"/>
      <c r="AH40" s="41"/>
      <c r="AI40" s="41"/>
      <c r="AJ40" s="41"/>
    </row>
    <row r="41" spans="1:36" ht="24.95" customHeight="1" thickBot="1" x14ac:dyDescent="0.35">
      <c r="A41" s="4"/>
      <c r="B41" s="4"/>
      <c r="C41" s="195" t="str">
        <f>Kalenteri!E41</f>
        <v>Vesibusseilla:             1.9.-30.4. aik. 16 €, lapset 8 €, kimppalippu 47 €    1.5.-31.8. aik. 18 €, lapset 9 €, kimppalippu 53 €</v>
      </c>
      <c r="D41" s="93"/>
      <c r="E41" s="93"/>
      <c r="F41" s="94"/>
      <c r="G41" s="94"/>
      <c r="H41" s="175"/>
      <c r="I41" s="93"/>
      <c r="J41" s="96"/>
      <c r="K41" s="96"/>
      <c r="L41" s="93"/>
      <c r="M41" s="95"/>
      <c r="N41" s="95"/>
      <c r="O41" s="93"/>
      <c r="P41" s="93"/>
      <c r="Q41" s="95"/>
      <c r="R41" s="98"/>
      <c r="S41"/>
      <c r="T41"/>
      <c r="U41" s="64" t="s">
        <v>13</v>
      </c>
      <c r="V41" s="57"/>
      <c r="W41" s="58"/>
      <c r="X41" s="59"/>
      <c r="Y41" s="59"/>
      <c r="Z41" s="59"/>
      <c r="AA41" s="59"/>
      <c r="AB41" s="59"/>
      <c r="AC41" s="60"/>
      <c r="AD41" s="61">
        <f>'N8'!AD41+'K8'!AD41</f>
        <v>-6606</v>
      </c>
      <c r="AE41" s="68"/>
      <c r="AF41" s="68"/>
      <c r="AG41" s="68"/>
      <c r="AH41" s="68"/>
      <c r="AI41" s="68"/>
      <c r="AJ41" s="68"/>
    </row>
    <row r="42" spans="1:36" ht="13.5" thickTop="1" x14ac:dyDescent="0.2"/>
  </sheetData>
  <sheetProtection password="C4AC" sheet="1" objects="1" scenarios="1"/>
  <phoneticPr fontId="4" type="noConversion"/>
  <pageMargins left="0" right="0" top="0.27559055118110237" bottom="0" header="0" footer="0"/>
  <pageSetup paperSize="9" scale="75" fitToHeight="0" orientation="landscape" horizontalDpi="4294967292" verticalDpi="4294967292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617" r:id="rId4" name="Button 1">
              <controlPr defaultSize="0" print="0" autoFill="0" autoLine="0" autoPict="0" macro="[1]!TAMMI">
                <anchor moveWithCells="1" sizeWithCells="1">
                  <from>
                    <xdr:col>35</xdr:col>
                    <xdr:colOff>0</xdr:colOff>
                    <xdr:row>3</xdr:row>
                    <xdr:rowOff>9525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18" r:id="rId5" name="Button 2">
              <controlPr defaultSize="0" print="0" autoFill="0" autoLine="0" autoPict="0" macro="[1]KTMAKRO!$A$1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19" r:id="rId6" name="Button 3">
              <controlPr defaultSize="0" print="0" autoFill="0" autoLine="0" autoPict="0" macro="[1]!MAALIS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20" r:id="rId7" name="Button 4">
              <controlPr defaultSize="0" print="0" autoFill="0" autoLine="0" autoPict="0" macro="[1]KTMAKRO!$D$1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21" r:id="rId8" name="Button 5">
              <controlPr defaultSize="0" print="0" autoFill="0" autoLine="0" autoPict="0" macro="[1]KTMAKRO!$E$1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22" r:id="rId9" name="Button 6">
              <controlPr defaultSize="0" print="0" autoFill="0" autoLine="0" autoPict="0" macro="[1]!KESÄ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23" r:id="rId10" name="Button 7">
              <controlPr defaultSize="0" print="0" autoFill="0" autoLine="0" autoPict="0" macro="[1]!HELMI">
                <anchor moveWithCells="1" sizeWithCells="1">
                  <from>
                    <xdr:col>35</xdr:col>
                    <xdr:colOff>0</xdr:colOff>
                    <xdr:row>3</xdr:row>
                    <xdr:rowOff>9525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24" r:id="rId11" name="Button 8">
              <controlPr defaultSize="0" print="0" autoFill="0" autoLine="0" autoPict="0" macro="[1]KTMAKRO!$G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25" r:id="rId12" name="Button 9">
              <controlPr defaultSize="0" print="0" autoFill="0" autoLine="0" autoPict="0" macro="[1]KTMAKRO!$I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26" r:id="rId13" name="Button 10">
              <controlPr defaultSize="0" print="0" autoFill="0" autoLine="0" autoPict="0" macro="[1]KTMAKRO!$J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27" r:id="rId14" name="Button 11">
              <controlPr defaultSize="0" print="0" autoFill="0" autoLine="0" autoPict="0" macro="[1]KTMAKRO!$K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28" r:id="rId15" name="Button 12">
              <controlPr defaultSize="0" print="0" autoFill="0" autoLine="0" autoPict="0" macro="[1]KTMAKRO!$L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29" r:id="rId16" name="Button 13">
              <controlPr defaultSize="0" print="0" autoFill="0" autoLine="0" autoPict="0" macro="[1]KTMAKRO!$H$1">
                <anchor moveWithCells="1" sizeWithCells="1">
                  <from>
                    <xdr:col>35</xdr:col>
                    <xdr:colOff>0</xdr:colOff>
                    <xdr:row>5</xdr:row>
                    <xdr:rowOff>0</xdr:rowOff>
                  </from>
                  <to>
                    <xdr:col>35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30" r:id="rId17" name="Button 14">
              <controlPr defaultSize="0" print="0" autoFill="0" autoLine="0" autoPict="0" macro="[1]!Yhteenveto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5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31" r:id="rId18" name="Button 15">
              <controlPr defaultSize="0" print="0" autoFill="0" autoLine="0" autoPict="0" macro="[1]!GRAFIIKKA1">
                <anchor moveWithCells="1" sizeWithCells="1">
                  <from>
                    <xdr:col>35</xdr:col>
                    <xdr:colOff>0</xdr:colOff>
                    <xdr:row>8</xdr:row>
                    <xdr:rowOff>142875</xdr:rowOff>
                  </from>
                  <to>
                    <xdr:col>35</xdr:col>
                    <xdr:colOff>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32" r:id="rId19" name="Button 16">
              <controlPr defaultSize="0" print="0" autoFill="0" autoLine="0" autoPict="0" macro="[1]!Grafiikka2">
                <anchor moveWithCells="1" sizeWithCells="1">
                  <from>
                    <xdr:col>35</xdr:col>
                    <xdr:colOff>0</xdr:colOff>
                    <xdr:row>8</xdr:row>
                    <xdr:rowOff>152400</xdr:rowOff>
                  </from>
                  <to>
                    <xdr:col>35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33" r:id="rId20" name="Button 17">
              <controlPr defaultSize="0" print="0" autoFill="0" autoLine="0" autoPict="0" macro="[1]!Grafiikka4">
                <anchor moveWithCells="1" sizeWithCells="1">
                  <from>
                    <xdr:col>35</xdr:col>
                    <xdr:colOff>0</xdr:colOff>
                    <xdr:row>8</xdr:row>
                    <xdr:rowOff>142875</xdr:rowOff>
                  </from>
                  <to>
                    <xdr:col>35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34" r:id="rId21" name="Button 18">
              <controlPr defaultSize="0" print="0" autoFill="0" autoLine="0" autoPict="0" macro="[1]!Grafiikka4">
                <anchor moveWithCells="1" sizeWithCells="1">
                  <from>
                    <xdr:col>35</xdr:col>
                    <xdr:colOff>0</xdr:colOff>
                    <xdr:row>8</xdr:row>
                    <xdr:rowOff>152400</xdr:rowOff>
                  </from>
                  <to>
                    <xdr:col>35</xdr:col>
                    <xdr:colOff>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35" r:id="rId22" name="Button 19">
              <controlPr defaultSize="0" print="0" autoFill="0" autoLine="0" autoPict="0" macro="[1]!Grafiikka5">
                <anchor moveWithCells="1" sizeWithCells="1">
                  <from>
                    <xdr:col>35</xdr:col>
                    <xdr:colOff>0</xdr:colOff>
                    <xdr:row>8</xdr:row>
                    <xdr:rowOff>152400</xdr:rowOff>
                  </from>
                  <to>
                    <xdr:col>35</xdr:col>
                    <xdr:colOff>0</xdr:colOff>
                    <xdr:row>12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36" r:id="rId23" name="Button 20">
              <controlPr defaultSize="0" print="0" autoFill="0" autoLine="0" autoPict="0" macro="[1]!Perusikkuna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12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/>
  <dimension ref="A1:AJ42"/>
  <sheetViews>
    <sheetView showGridLines="0" zoomScale="80" zoomScaleNormal="80" workbookViewId="0"/>
  </sheetViews>
  <sheetFormatPr defaultColWidth="9.75" defaultRowHeight="12.75" x14ac:dyDescent="0.2"/>
  <cols>
    <col min="1" max="1" width="3.75" style="1" customWidth="1"/>
    <col min="2" max="2" width="2.75" style="1" customWidth="1"/>
    <col min="3" max="4" width="6.125" style="1" customWidth="1"/>
    <col min="5" max="5" width="4" style="1" customWidth="1"/>
    <col min="6" max="6" width="4.5" style="1" customWidth="1"/>
    <col min="7" max="10" width="6.125" style="1" customWidth="1"/>
    <col min="11" max="11" width="5.875" style="1" customWidth="1"/>
    <col min="12" max="13" width="6.125" style="1" customWidth="1"/>
    <col min="14" max="14" width="5.25" style="1" customWidth="1"/>
    <col min="15" max="15" width="4.5" style="1" customWidth="1"/>
    <col min="16" max="16" width="6.125" style="1" customWidth="1"/>
    <col min="17" max="17" width="5.5" style="1" customWidth="1"/>
    <col min="18" max="19" width="6.125" style="1" customWidth="1"/>
    <col min="20" max="20" width="5.875" style="1" customWidth="1"/>
    <col min="21" max="22" width="6.125" style="1" customWidth="1"/>
    <col min="23" max="23" width="4.375" style="1" customWidth="1"/>
    <col min="24" max="24" width="4.25" style="1" customWidth="1"/>
    <col min="25" max="29" width="6.125" style="1" customWidth="1"/>
    <col min="30" max="36" width="15.625" style="1" customWidth="1"/>
  </cols>
  <sheetData>
    <row r="1" spans="1:36" ht="30" customHeight="1" x14ac:dyDescent="0.35">
      <c r="A1" s="22"/>
      <c r="B1" s="4"/>
      <c r="C1" s="105" t="s">
        <v>15</v>
      </c>
      <c r="D1" s="106"/>
      <c r="E1" s="106"/>
      <c r="F1" s="106"/>
      <c r="G1" s="106"/>
      <c r="H1" s="106"/>
      <c r="I1" s="106"/>
      <c r="J1" s="106"/>
      <c r="K1" s="106"/>
      <c r="L1" s="105" t="str">
        <f>Kalenteri!$H$1</f>
        <v>KÄVIJÄTILASTO 2013</v>
      </c>
      <c r="M1" s="107"/>
      <c r="N1" s="107"/>
      <c r="O1" s="107"/>
      <c r="P1" s="106"/>
      <c r="Q1" s="106"/>
      <c r="R1" s="105" t="s">
        <v>78</v>
      </c>
      <c r="S1" s="108"/>
      <c r="T1" s="106"/>
      <c r="U1" s="109"/>
      <c r="V1" s="105" t="s">
        <v>42</v>
      </c>
      <c r="W1" s="109"/>
      <c r="X1" s="106"/>
      <c r="Y1" s="106"/>
      <c r="Z1" s="106"/>
      <c r="AA1" s="106"/>
      <c r="AB1" s="106"/>
      <c r="AC1" s="106"/>
      <c r="AD1" s="110"/>
      <c r="AE1" s="4"/>
      <c r="AF1" s="4"/>
      <c r="AG1" s="4"/>
      <c r="AH1" s="4"/>
      <c r="AI1" s="4"/>
      <c r="AJ1" s="4"/>
    </row>
    <row r="2" spans="1:36" ht="30" customHeight="1" x14ac:dyDescent="0.3">
      <c r="A2" s="3"/>
      <c r="B2" s="4"/>
      <c r="C2" s="72"/>
      <c r="D2" s="73"/>
      <c r="E2" s="74" t="s">
        <v>1</v>
      </c>
      <c r="F2" s="75"/>
      <c r="G2" s="75"/>
      <c r="H2" s="75"/>
      <c r="I2" s="75"/>
      <c r="J2" s="75"/>
      <c r="K2" s="76"/>
      <c r="L2" s="72"/>
      <c r="M2" s="77"/>
      <c r="N2" s="73"/>
      <c r="O2" s="74" t="s">
        <v>2</v>
      </c>
      <c r="P2" s="75"/>
      <c r="Q2" s="75"/>
      <c r="R2" s="75"/>
      <c r="S2" s="75"/>
      <c r="T2" s="76"/>
      <c r="U2" s="72"/>
      <c r="V2" s="75"/>
      <c r="W2" s="73"/>
      <c r="X2" s="74" t="s">
        <v>3</v>
      </c>
      <c r="Y2" s="75"/>
      <c r="Z2" s="75"/>
      <c r="AA2" s="75"/>
      <c r="AB2" s="75"/>
      <c r="AC2" s="76"/>
      <c r="AD2" s="13"/>
      <c r="AE2" s="35"/>
      <c r="AF2" s="69"/>
      <c r="AG2" s="69"/>
      <c r="AH2" s="69"/>
      <c r="AI2" s="69"/>
      <c r="AJ2" s="69"/>
    </row>
    <row r="3" spans="1:36" x14ac:dyDescent="0.2">
      <c r="A3" s="4"/>
      <c r="B3" s="4"/>
      <c r="C3" s="24" t="s">
        <v>4</v>
      </c>
      <c r="D3" s="25"/>
      <c r="E3" s="25"/>
      <c r="F3" s="26"/>
      <c r="G3" s="24" t="s">
        <v>5</v>
      </c>
      <c r="H3" s="26"/>
      <c r="I3" s="25" t="s">
        <v>6</v>
      </c>
      <c r="J3" s="25"/>
      <c r="K3" s="27"/>
      <c r="L3" s="24" t="s">
        <v>4</v>
      </c>
      <c r="M3" s="25"/>
      <c r="N3" s="25"/>
      <c r="O3" s="26"/>
      <c r="P3" s="24" t="s">
        <v>5</v>
      </c>
      <c r="Q3" s="26"/>
      <c r="R3" s="25" t="s">
        <v>6</v>
      </c>
      <c r="S3" s="25"/>
      <c r="T3" s="27"/>
      <c r="U3" s="24" t="s">
        <v>4</v>
      </c>
      <c r="V3" s="25"/>
      <c r="W3" s="25"/>
      <c r="X3" s="26"/>
      <c r="Y3" s="24" t="s">
        <v>5</v>
      </c>
      <c r="Z3" s="26"/>
      <c r="AA3" s="25" t="s">
        <v>6</v>
      </c>
      <c r="AB3" s="25"/>
      <c r="AC3" s="27"/>
      <c r="AD3" s="36" t="s">
        <v>7</v>
      </c>
      <c r="AE3" s="38"/>
      <c r="AF3" s="70"/>
      <c r="AG3" s="70"/>
      <c r="AH3" s="70"/>
      <c r="AI3" s="70"/>
      <c r="AJ3"/>
    </row>
    <row r="4" spans="1:36" x14ac:dyDescent="0.2">
      <c r="A4" s="6"/>
      <c r="B4" s="4"/>
      <c r="C4" s="7" t="s">
        <v>8</v>
      </c>
      <c r="D4" s="8" t="s">
        <v>9</v>
      </c>
      <c r="E4" s="8" t="s">
        <v>10</v>
      </c>
      <c r="F4" s="9" t="s">
        <v>11</v>
      </c>
      <c r="G4" s="7" t="s">
        <v>8</v>
      </c>
      <c r="H4" s="9" t="s">
        <v>9</v>
      </c>
      <c r="I4" s="8" t="s">
        <v>8</v>
      </c>
      <c r="J4" s="8" t="s">
        <v>9</v>
      </c>
      <c r="K4" s="14" t="s">
        <v>0</v>
      </c>
      <c r="L4" s="7" t="s">
        <v>8</v>
      </c>
      <c r="M4" s="8" t="s">
        <v>9</v>
      </c>
      <c r="N4" s="8" t="s">
        <v>10</v>
      </c>
      <c r="O4" s="9" t="s">
        <v>11</v>
      </c>
      <c r="P4" s="7" t="s">
        <v>8</v>
      </c>
      <c r="Q4" s="9" t="s">
        <v>9</v>
      </c>
      <c r="R4" s="8" t="s">
        <v>8</v>
      </c>
      <c r="S4" s="8" t="s">
        <v>9</v>
      </c>
      <c r="T4" s="14" t="s">
        <v>0</v>
      </c>
      <c r="U4" s="7" t="s">
        <v>8</v>
      </c>
      <c r="V4" s="8" t="s">
        <v>9</v>
      </c>
      <c r="W4" s="8" t="s">
        <v>10</v>
      </c>
      <c r="X4" s="9" t="s">
        <v>11</v>
      </c>
      <c r="Y4" s="7" t="s">
        <v>8</v>
      </c>
      <c r="Z4" s="9" t="s">
        <v>9</v>
      </c>
      <c r="AA4" s="8" t="s">
        <v>8</v>
      </c>
      <c r="AB4" s="8" t="s">
        <v>9</v>
      </c>
      <c r="AC4" s="14" t="s">
        <v>0</v>
      </c>
      <c r="AD4" s="28"/>
      <c r="AE4" s="23"/>
      <c r="AF4" s="23"/>
      <c r="AG4" s="23"/>
      <c r="AH4" s="23"/>
      <c r="AI4" s="23"/>
      <c r="AJ4"/>
    </row>
    <row r="5" spans="1:36" x14ac:dyDescent="0.2">
      <c r="A5" s="5">
        <f>DAY(Kalenteri!A244)</f>
        <v>1</v>
      </c>
      <c r="B5" s="3" t="str">
        <f>IF(Kalenteri!B244=1,"su",IF(Kalenteri!B244=2,"ma",IF(Kalenteri!B244=3,"ti",IF(Kalenteri!B244=4,"ke",IF(Kalenteri!B244=5,"to",IF(Kalenteri!B244=6,"pe",IF(Kalenteri!B244=7,"la",)))))))</f>
        <v>su</v>
      </c>
      <c r="C5" s="111">
        <f>'N9'!C5+'K9'!C5</f>
        <v>568</v>
      </c>
      <c r="D5" s="112">
        <f>'N9'!D5+'K9'!D5</f>
        <v>235</v>
      </c>
      <c r="E5" s="112">
        <f>'N9'!E5+'K9'!E5</f>
        <v>1</v>
      </c>
      <c r="F5" s="113">
        <f>'N9'!F5+'K9'!F5</f>
        <v>14</v>
      </c>
      <c r="G5" s="111">
        <f>'N9'!G5+'K9'!G5</f>
        <v>3</v>
      </c>
      <c r="H5" s="113">
        <f>'N9'!H5+'K9'!H5</f>
        <v>179</v>
      </c>
      <c r="I5" s="111">
        <f>'N9'!I5+'K9'!I5</f>
        <v>4</v>
      </c>
      <c r="J5" s="113">
        <f>'N9'!J5+'K9'!J5</f>
        <v>6</v>
      </c>
      <c r="K5" s="32">
        <f>'N9'!K5+'K9'!K5</f>
        <v>1010</v>
      </c>
      <c r="L5" s="112">
        <f>'N9'!L5+'K9'!L5</f>
        <v>98</v>
      </c>
      <c r="M5" s="112">
        <f>'N9'!M5+'K9'!M5</f>
        <v>18</v>
      </c>
      <c r="N5" s="112">
        <f>'N9'!N5+'K9'!N5</f>
        <v>0</v>
      </c>
      <c r="O5" s="113">
        <f>'N9'!O5+'K9'!O5</f>
        <v>0</v>
      </c>
      <c r="P5" s="112">
        <f>'N9'!P5+'K9'!P5</f>
        <v>0</v>
      </c>
      <c r="Q5" s="113">
        <f>'N9'!Q5+'K9'!Q5</f>
        <v>18</v>
      </c>
      <c r="R5" s="120">
        <f>'N9'!R5+'K9'!R5</f>
        <v>4</v>
      </c>
      <c r="S5" s="120">
        <f>'N9'!S5+'K9'!S5</f>
        <v>6</v>
      </c>
      <c r="T5" s="32">
        <f>'N9'!T5+'K9'!T5</f>
        <v>144</v>
      </c>
      <c r="U5" s="112">
        <f>'N9'!U5+'K9'!U5</f>
        <v>0</v>
      </c>
      <c r="V5" s="112">
        <f>'N9'!V5+'K9'!V5</f>
        <v>0</v>
      </c>
      <c r="W5" s="112">
        <f>'N9'!W5+'K9'!W5</f>
        <v>0</v>
      </c>
      <c r="X5" s="113">
        <f>'N9'!X5+'K9'!X5</f>
        <v>0</v>
      </c>
      <c r="Y5" s="112">
        <f>'N9'!Y5+'K9'!Y5</f>
        <v>0</v>
      </c>
      <c r="Z5" s="113">
        <f>'N9'!Z5+'K9'!Z5</f>
        <v>0</v>
      </c>
      <c r="AA5" s="120">
        <f>'N9'!AA5+'K9'!AA5</f>
        <v>0</v>
      </c>
      <c r="AB5" s="120">
        <f>'N9'!AB5+'K9'!AB5</f>
        <v>0</v>
      </c>
      <c r="AC5" s="32">
        <f>'N9'!AC5+'K9'!AC5</f>
        <v>0</v>
      </c>
      <c r="AD5" s="17">
        <f>'N9'!AD5+'K9'!AD5</f>
        <v>1154</v>
      </c>
      <c r="AE5" s="39"/>
      <c r="AF5" s="39"/>
      <c r="AG5" s="39"/>
      <c r="AH5" s="39"/>
      <c r="AI5" s="39"/>
      <c r="AJ5"/>
    </row>
    <row r="6" spans="1:36" x14ac:dyDescent="0.2">
      <c r="A6" s="5">
        <f>DAY(Kalenteri!A245)</f>
        <v>2</v>
      </c>
      <c r="B6" s="3" t="str">
        <f>IF(Kalenteri!B245=1,"su",IF(Kalenteri!B245=2,"ma",IF(Kalenteri!B245=3,"ti",IF(Kalenteri!B245=4,"ke",IF(Kalenteri!B245=5,"to",IF(Kalenteri!B245=6,"pe",IF(Kalenteri!B245=7,"la",)))))))</f>
        <v>ma</v>
      </c>
      <c r="C6" s="114">
        <f>'N9'!C6+'K9'!C6</f>
        <v>126</v>
      </c>
      <c r="D6" s="115">
        <f>'N9'!D6+'K9'!D6</f>
        <v>6</v>
      </c>
      <c r="E6" s="115">
        <f>'N9'!E6+'K9'!E6</f>
        <v>0</v>
      </c>
      <c r="F6" s="116">
        <f>'N9'!F6+'K9'!F6</f>
        <v>1</v>
      </c>
      <c r="G6" s="114">
        <f>'N9'!G6+'K9'!G6</f>
        <v>3</v>
      </c>
      <c r="H6" s="116">
        <f>'N9'!H6+'K9'!H6</f>
        <v>49</v>
      </c>
      <c r="I6" s="114">
        <f>'N9'!I6+'K9'!I6</f>
        <v>0</v>
      </c>
      <c r="J6" s="116">
        <f>'N9'!J6+'K9'!J6</f>
        <v>0</v>
      </c>
      <c r="K6" s="33">
        <f>'N9'!K6+'K9'!K6</f>
        <v>185</v>
      </c>
      <c r="L6" s="115">
        <f>'N9'!L6+'K9'!L6</f>
        <v>44</v>
      </c>
      <c r="M6" s="115">
        <f>'N9'!M6+'K9'!M6</f>
        <v>2</v>
      </c>
      <c r="N6" s="115">
        <f>'N9'!N6+'K9'!N6</f>
        <v>0</v>
      </c>
      <c r="O6" s="116">
        <f>'N9'!O6+'K9'!O6</f>
        <v>0</v>
      </c>
      <c r="P6" s="115">
        <f>'N9'!P6+'K9'!P6</f>
        <v>0</v>
      </c>
      <c r="Q6" s="116">
        <f>'N9'!Q6+'K9'!Q6</f>
        <v>7</v>
      </c>
      <c r="R6" s="121">
        <f>'N9'!R6+'K9'!R6</f>
        <v>0</v>
      </c>
      <c r="S6" s="121">
        <f>'N9'!S6+'K9'!S6</f>
        <v>0</v>
      </c>
      <c r="T6" s="33">
        <f>'N9'!T6+'K9'!T6</f>
        <v>53</v>
      </c>
      <c r="U6" s="115">
        <f>'N9'!U6+'K9'!U6</f>
        <v>0</v>
      </c>
      <c r="V6" s="115">
        <f>'N9'!V6+'K9'!V6</f>
        <v>0</v>
      </c>
      <c r="W6" s="115">
        <f>'N9'!W6+'K9'!W6</f>
        <v>0</v>
      </c>
      <c r="X6" s="116">
        <f>'N9'!X6+'K9'!X6</f>
        <v>0</v>
      </c>
      <c r="Y6" s="115">
        <f>'N9'!Y6+'K9'!Y6</f>
        <v>0</v>
      </c>
      <c r="Z6" s="116">
        <f>'N9'!Z6+'K9'!Z6</f>
        <v>0</v>
      </c>
      <c r="AA6" s="121">
        <f>'N9'!AA6+'K9'!AA6</f>
        <v>0</v>
      </c>
      <c r="AB6" s="121">
        <f>'N9'!AB6+'K9'!AB6</f>
        <v>0</v>
      </c>
      <c r="AC6" s="33">
        <f>'N9'!AC6+'K9'!AC6</f>
        <v>0</v>
      </c>
      <c r="AD6" s="12">
        <f>'N9'!AD6+'K9'!AD6</f>
        <v>238</v>
      </c>
      <c r="AE6" s="39"/>
      <c r="AF6" s="39"/>
      <c r="AG6" s="39"/>
      <c r="AH6" s="39"/>
      <c r="AI6" s="39"/>
      <c r="AJ6"/>
    </row>
    <row r="7" spans="1:36" x14ac:dyDescent="0.2">
      <c r="A7" s="5">
        <f>DAY(Kalenteri!A246)</f>
        <v>3</v>
      </c>
      <c r="B7" s="3" t="str">
        <f>IF(Kalenteri!B246=1,"su",IF(Kalenteri!B246=2,"ma",IF(Kalenteri!B246=3,"ti",IF(Kalenteri!B246=4,"ke",IF(Kalenteri!B246=5,"to",IF(Kalenteri!B246=6,"pe",IF(Kalenteri!B246=7,"la",)))))))</f>
        <v>ti</v>
      </c>
      <c r="C7" s="114">
        <f>'N9'!C7+'K9'!C7</f>
        <v>277</v>
      </c>
      <c r="D7" s="115">
        <f>'N9'!D7+'K9'!D7</f>
        <v>14</v>
      </c>
      <c r="E7" s="115">
        <f>'N9'!E7+'K9'!E7</f>
        <v>0</v>
      </c>
      <c r="F7" s="116">
        <f>'N9'!F7+'K9'!F7</f>
        <v>10</v>
      </c>
      <c r="G7" s="114">
        <f>'N9'!G7+'K9'!G7</f>
        <v>2</v>
      </c>
      <c r="H7" s="116">
        <f>'N9'!H7+'K9'!H7</f>
        <v>98</v>
      </c>
      <c r="I7" s="114">
        <f>'N9'!I7+'K9'!I7</f>
        <v>0</v>
      </c>
      <c r="J7" s="116">
        <f>'N9'!J7+'K9'!J7</f>
        <v>0</v>
      </c>
      <c r="K7" s="33">
        <f>'N9'!K7+'K9'!K7</f>
        <v>401</v>
      </c>
      <c r="L7" s="115">
        <f>'N9'!L7+'K9'!L7</f>
        <v>101</v>
      </c>
      <c r="M7" s="115">
        <f>'N9'!M7+'K9'!M7</f>
        <v>5</v>
      </c>
      <c r="N7" s="115">
        <f>'N9'!N7+'K9'!N7</f>
        <v>0</v>
      </c>
      <c r="O7" s="116">
        <f>'N9'!O7+'K9'!O7</f>
        <v>0</v>
      </c>
      <c r="P7" s="115">
        <f>'N9'!P7+'K9'!P7</f>
        <v>0</v>
      </c>
      <c r="Q7" s="116">
        <f>'N9'!Q7+'K9'!Q7</f>
        <v>22</v>
      </c>
      <c r="R7" s="121">
        <f>'N9'!R7+'K9'!R7</f>
        <v>4</v>
      </c>
      <c r="S7" s="121">
        <f>'N9'!S7+'K9'!S7</f>
        <v>6</v>
      </c>
      <c r="T7" s="33">
        <f>'N9'!T7+'K9'!T7</f>
        <v>138</v>
      </c>
      <c r="U7" s="115">
        <f>'N9'!U7+'K9'!U7</f>
        <v>0</v>
      </c>
      <c r="V7" s="115">
        <f>'N9'!V7+'K9'!V7</f>
        <v>0</v>
      </c>
      <c r="W7" s="115">
        <f>'N9'!W7+'K9'!W7</f>
        <v>0</v>
      </c>
      <c r="X7" s="116">
        <f>'N9'!X7+'K9'!X7</f>
        <v>0</v>
      </c>
      <c r="Y7" s="115">
        <f>'N9'!Y7+'K9'!Y7</f>
        <v>0</v>
      </c>
      <c r="Z7" s="116">
        <f>'N9'!Z7+'K9'!Z7</f>
        <v>0</v>
      </c>
      <c r="AA7" s="121">
        <f>'N9'!AA7+'K9'!AA7</f>
        <v>0</v>
      </c>
      <c r="AB7" s="121">
        <f>'N9'!AB7+'K9'!AB7</f>
        <v>0</v>
      </c>
      <c r="AC7" s="33">
        <f>'N9'!AC7+'K9'!AC7</f>
        <v>0</v>
      </c>
      <c r="AD7" s="12">
        <f>'N9'!AD7+'K9'!AD7</f>
        <v>539</v>
      </c>
      <c r="AE7" s="39"/>
      <c r="AF7" s="39"/>
      <c r="AG7" s="39"/>
      <c r="AH7" s="39"/>
      <c r="AI7" s="39"/>
      <c r="AJ7"/>
    </row>
    <row r="8" spans="1:36" x14ac:dyDescent="0.2">
      <c r="A8" s="5">
        <f>DAY(Kalenteri!A247)</f>
        <v>4</v>
      </c>
      <c r="B8" s="3" t="str">
        <f>IF(Kalenteri!B247=1,"su",IF(Kalenteri!B247=2,"ma",IF(Kalenteri!B247=3,"ti",IF(Kalenteri!B247=4,"ke",IF(Kalenteri!B247=5,"to",IF(Kalenteri!B247=6,"pe",IF(Kalenteri!B247=7,"la",)))))))</f>
        <v>ke</v>
      </c>
      <c r="C8" s="114">
        <f>'N9'!C8+'K9'!C8</f>
        <v>199</v>
      </c>
      <c r="D8" s="115">
        <f>'N9'!D8+'K9'!D8</f>
        <v>16</v>
      </c>
      <c r="E8" s="115">
        <f>'N9'!E8+'K9'!E8</f>
        <v>0</v>
      </c>
      <c r="F8" s="116">
        <f>'N9'!F8+'K9'!F8</f>
        <v>4</v>
      </c>
      <c r="G8" s="114">
        <f>'N9'!G8+'K9'!G8</f>
        <v>2</v>
      </c>
      <c r="H8" s="116">
        <f>'N9'!H8+'K9'!H8</f>
        <v>60</v>
      </c>
      <c r="I8" s="114">
        <f>'N9'!I8+'K9'!I8</f>
        <v>0</v>
      </c>
      <c r="J8" s="116">
        <f>'N9'!J8+'K9'!J8</f>
        <v>0</v>
      </c>
      <c r="K8" s="33">
        <f>'N9'!K8+'K9'!K8</f>
        <v>281</v>
      </c>
      <c r="L8" s="115">
        <f>'N9'!L8+'K9'!L8</f>
        <v>101</v>
      </c>
      <c r="M8" s="115">
        <f>'N9'!M8+'K9'!M8</f>
        <v>11</v>
      </c>
      <c r="N8" s="115">
        <f>'N9'!N8+'K9'!N8</f>
        <v>0</v>
      </c>
      <c r="O8" s="116">
        <f>'N9'!O8+'K9'!O8</f>
        <v>0</v>
      </c>
      <c r="P8" s="115">
        <f>'N9'!P8+'K9'!P8</f>
        <v>0</v>
      </c>
      <c r="Q8" s="116">
        <f>'N9'!Q8+'K9'!Q8</f>
        <v>18</v>
      </c>
      <c r="R8" s="121">
        <f>'N9'!R8+'K9'!R8</f>
        <v>0</v>
      </c>
      <c r="S8" s="121">
        <f>'N9'!S8+'K9'!S8</f>
        <v>0</v>
      </c>
      <c r="T8" s="33">
        <f>'N9'!T8+'K9'!T8</f>
        <v>130</v>
      </c>
      <c r="U8" s="115">
        <f>'N9'!U8+'K9'!U8</f>
        <v>0</v>
      </c>
      <c r="V8" s="115">
        <f>'N9'!V8+'K9'!V8</f>
        <v>0</v>
      </c>
      <c r="W8" s="115">
        <f>'N9'!W8+'K9'!W8</f>
        <v>0</v>
      </c>
      <c r="X8" s="116">
        <f>'N9'!X8+'K9'!X8</f>
        <v>0</v>
      </c>
      <c r="Y8" s="115">
        <f>'N9'!Y8+'K9'!Y8</f>
        <v>0</v>
      </c>
      <c r="Z8" s="116">
        <f>'N9'!Z8+'K9'!Z8</f>
        <v>0</v>
      </c>
      <c r="AA8" s="121">
        <f>'N9'!AA8+'K9'!AA8</f>
        <v>0</v>
      </c>
      <c r="AB8" s="121">
        <f>'N9'!AB8+'K9'!AB8</f>
        <v>0</v>
      </c>
      <c r="AC8" s="33">
        <f>'N9'!AC8+'K9'!AC8</f>
        <v>0</v>
      </c>
      <c r="AD8" s="12">
        <f>'N9'!AD8+'K9'!AD8</f>
        <v>411</v>
      </c>
      <c r="AE8" s="39"/>
      <c r="AF8" s="39"/>
      <c r="AG8" s="39"/>
      <c r="AH8" s="39"/>
      <c r="AI8" s="39"/>
      <c r="AJ8"/>
    </row>
    <row r="9" spans="1:36" x14ac:dyDescent="0.2">
      <c r="A9" s="5">
        <f>DAY(Kalenteri!A248)</f>
        <v>5</v>
      </c>
      <c r="B9" s="3" t="str">
        <f>IF(Kalenteri!B248=1,"su",IF(Kalenteri!B248=2,"ma",IF(Kalenteri!B248=3,"ti",IF(Kalenteri!B248=4,"ke",IF(Kalenteri!B248=5,"to",IF(Kalenteri!B248=6,"pe",IF(Kalenteri!B248=7,"la",)))))))</f>
        <v>to</v>
      </c>
      <c r="C9" s="114">
        <f>'N9'!C9+'K9'!C9</f>
        <v>257</v>
      </c>
      <c r="D9" s="115">
        <f>'N9'!D9+'K9'!D9</f>
        <v>19</v>
      </c>
      <c r="E9" s="115">
        <f>'N9'!E9+'K9'!E9</f>
        <v>4</v>
      </c>
      <c r="F9" s="116">
        <f>'N9'!F9+'K9'!F9</f>
        <v>10</v>
      </c>
      <c r="G9" s="114">
        <f>'N9'!G9+'K9'!G9</f>
        <v>17</v>
      </c>
      <c r="H9" s="116">
        <f>'N9'!H9+'K9'!H9</f>
        <v>87</v>
      </c>
      <c r="I9" s="114">
        <f>'N9'!I9+'K9'!I9</f>
        <v>0</v>
      </c>
      <c r="J9" s="116">
        <f>'N9'!J9+'K9'!J9</f>
        <v>0</v>
      </c>
      <c r="K9" s="33">
        <f>'N9'!K9+'K9'!K9</f>
        <v>394</v>
      </c>
      <c r="L9" s="115">
        <f>'N9'!L9+'K9'!L9</f>
        <v>107</v>
      </c>
      <c r="M9" s="115">
        <f>'N9'!M9+'K9'!M9</f>
        <v>4</v>
      </c>
      <c r="N9" s="115">
        <f>'N9'!N9+'K9'!N9</f>
        <v>0</v>
      </c>
      <c r="O9" s="116">
        <f>'N9'!O9+'K9'!O9</f>
        <v>0</v>
      </c>
      <c r="P9" s="115">
        <f>'N9'!P9+'K9'!P9</f>
        <v>6</v>
      </c>
      <c r="Q9" s="116">
        <f>'N9'!Q9+'K9'!Q9</f>
        <v>82</v>
      </c>
      <c r="R9" s="121">
        <f>'N9'!R9+'K9'!R9</f>
        <v>0</v>
      </c>
      <c r="S9" s="121">
        <f>'N9'!S9+'K9'!S9</f>
        <v>0</v>
      </c>
      <c r="T9" s="33">
        <f>'N9'!T9+'K9'!T9</f>
        <v>199</v>
      </c>
      <c r="U9" s="115">
        <f>'N9'!U9+'K9'!U9</f>
        <v>0</v>
      </c>
      <c r="V9" s="115">
        <f>'N9'!V9+'K9'!V9</f>
        <v>0</v>
      </c>
      <c r="W9" s="115">
        <f>'N9'!W9+'K9'!W9</f>
        <v>0</v>
      </c>
      <c r="X9" s="116">
        <f>'N9'!X9+'K9'!X9</f>
        <v>0</v>
      </c>
      <c r="Y9" s="115">
        <f>'N9'!Y9+'K9'!Y9</f>
        <v>0</v>
      </c>
      <c r="Z9" s="116">
        <f>'N9'!Z9+'K9'!Z9</f>
        <v>0</v>
      </c>
      <c r="AA9" s="121">
        <f>'N9'!AA9+'K9'!AA9</f>
        <v>0</v>
      </c>
      <c r="AB9" s="121">
        <f>'N9'!AB9+'K9'!AB9</f>
        <v>0</v>
      </c>
      <c r="AC9" s="33">
        <f>'N9'!AC9+'K9'!AC9</f>
        <v>0</v>
      </c>
      <c r="AD9" s="12">
        <f>'N9'!AD9+'K9'!AD9</f>
        <v>593</v>
      </c>
      <c r="AE9" s="39"/>
      <c r="AF9" s="39"/>
      <c r="AG9" s="39"/>
      <c r="AH9" s="39"/>
      <c r="AI9" s="39"/>
      <c r="AJ9"/>
    </row>
    <row r="10" spans="1:36" x14ac:dyDescent="0.2">
      <c r="A10" s="5">
        <f>DAY(Kalenteri!A249)</f>
        <v>6</v>
      </c>
      <c r="B10" s="3" t="str">
        <f>IF(Kalenteri!B249=1,"su",IF(Kalenteri!B249=2,"ma",IF(Kalenteri!B249=3,"ti",IF(Kalenteri!B249=4,"ke",IF(Kalenteri!B249=5,"to",IF(Kalenteri!B249=6,"pe",IF(Kalenteri!B249=7,"la",)))))))</f>
        <v>pe</v>
      </c>
      <c r="C10" s="114">
        <f>'N9'!C10+'K9'!C10</f>
        <v>2749</v>
      </c>
      <c r="D10" s="115">
        <f>'N9'!D10+'K9'!D10</f>
        <v>800</v>
      </c>
      <c r="E10" s="115">
        <f>'N9'!E10+'K9'!E10</f>
        <v>0</v>
      </c>
      <c r="F10" s="116">
        <f>'N9'!F10+'K9'!F10</f>
        <v>142</v>
      </c>
      <c r="G10" s="114">
        <f>'N9'!G10+'K9'!G10</f>
        <v>274</v>
      </c>
      <c r="H10" s="116">
        <f>'N9'!H10+'K9'!H10</f>
        <v>472</v>
      </c>
      <c r="I10" s="114">
        <f>'N9'!I10+'K9'!I10</f>
        <v>0</v>
      </c>
      <c r="J10" s="116">
        <f>'N9'!J10+'K9'!J10</f>
        <v>0</v>
      </c>
      <c r="K10" s="33">
        <f>'N9'!K10+'K9'!K10</f>
        <v>4437</v>
      </c>
      <c r="L10" s="115">
        <f>'N9'!L10+'K9'!L10</f>
        <v>525</v>
      </c>
      <c r="M10" s="115">
        <f>'N9'!M10+'K9'!M10</f>
        <v>124</v>
      </c>
      <c r="N10" s="115">
        <f>'N9'!N10+'K9'!N10</f>
        <v>0</v>
      </c>
      <c r="O10" s="116">
        <f>'N9'!O10+'K9'!O10</f>
        <v>0</v>
      </c>
      <c r="P10" s="115">
        <f>'N9'!P10+'K9'!P10</f>
        <v>0</v>
      </c>
      <c r="Q10" s="116">
        <f>'N9'!Q10+'K9'!Q10</f>
        <v>81</v>
      </c>
      <c r="R10" s="121">
        <f>'N9'!R10+'K9'!R10</f>
        <v>0</v>
      </c>
      <c r="S10" s="121">
        <f>'N9'!S10+'K9'!S10</f>
        <v>0</v>
      </c>
      <c r="T10" s="33">
        <f>'N9'!T10+'K9'!T10</f>
        <v>730</v>
      </c>
      <c r="U10" s="115">
        <f>'N9'!U10+'K9'!U10</f>
        <v>214</v>
      </c>
      <c r="V10" s="115">
        <f>'N9'!V10+'K9'!V10</f>
        <v>64</v>
      </c>
      <c r="W10" s="115">
        <f>'N9'!W10+'K9'!W10</f>
        <v>0</v>
      </c>
      <c r="X10" s="116">
        <f>'N9'!X10+'K9'!X10</f>
        <v>0</v>
      </c>
      <c r="Y10" s="115">
        <f>'N9'!Y10+'K9'!Y10</f>
        <v>0</v>
      </c>
      <c r="Z10" s="116">
        <f>'N9'!Z10+'K9'!Z10</f>
        <v>50</v>
      </c>
      <c r="AA10" s="121">
        <f>'N9'!AA10+'K9'!AA10</f>
        <v>0</v>
      </c>
      <c r="AB10" s="121">
        <f>'N9'!AB10+'K9'!AB10</f>
        <v>0</v>
      </c>
      <c r="AC10" s="33">
        <f>'N9'!AC10+'K9'!AC10</f>
        <v>328</v>
      </c>
      <c r="AD10" s="12">
        <f>'N9'!AD10+'K9'!AD10</f>
        <v>5495</v>
      </c>
      <c r="AE10" s="39"/>
      <c r="AF10" s="39"/>
      <c r="AG10" s="39"/>
      <c r="AH10" s="39"/>
      <c r="AI10" s="39"/>
      <c r="AJ10"/>
    </row>
    <row r="11" spans="1:36" x14ac:dyDescent="0.2">
      <c r="A11" s="5">
        <f>DAY(Kalenteri!A250)</f>
        <v>7</v>
      </c>
      <c r="B11" s="3" t="str">
        <f>IF(Kalenteri!B250=1,"su",IF(Kalenteri!B250=2,"ma",IF(Kalenteri!B250=3,"ti",IF(Kalenteri!B250=4,"ke",IF(Kalenteri!B250=5,"to",IF(Kalenteri!B250=6,"pe",IF(Kalenteri!B250=7,"la",)))))))</f>
        <v>la</v>
      </c>
      <c r="C11" s="114">
        <f>'N9'!C11+'K9'!C11</f>
        <v>1968</v>
      </c>
      <c r="D11" s="115">
        <f>'N9'!D11+'K9'!D11</f>
        <v>661</v>
      </c>
      <c r="E11" s="115">
        <f>'N9'!E11+'K9'!E11</f>
        <v>3</v>
      </c>
      <c r="F11" s="116">
        <f>'N9'!F11+'K9'!F11</f>
        <v>26</v>
      </c>
      <c r="G11" s="114">
        <f>'N9'!G11+'K9'!G11</f>
        <v>13</v>
      </c>
      <c r="H11" s="116">
        <f>'N9'!H11+'K9'!H11</f>
        <v>565</v>
      </c>
      <c r="I11" s="114">
        <f>'N9'!I11+'K9'!I11</f>
        <v>54</v>
      </c>
      <c r="J11" s="116">
        <f>'N9'!J11+'K9'!J11</f>
        <v>81</v>
      </c>
      <c r="K11" s="33">
        <f>'N9'!K11+'K9'!K11</f>
        <v>3371</v>
      </c>
      <c r="L11" s="115">
        <f>'N9'!L11+'K9'!L11</f>
        <v>470</v>
      </c>
      <c r="M11" s="115">
        <f>'N9'!M11+'K9'!M11</f>
        <v>78</v>
      </c>
      <c r="N11" s="115">
        <f>'N9'!N11+'K9'!N11</f>
        <v>0</v>
      </c>
      <c r="O11" s="116">
        <f>'N9'!O11+'K9'!O11</f>
        <v>0</v>
      </c>
      <c r="P11" s="115">
        <f>'N9'!P11+'K9'!P11</f>
        <v>7</v>
      </c>
      <c r="Q11" s="116">
        <f>'N9'!Q11+'K9'!Q11</f>
        <v>144</v>
      </c>
      <c r="R11" s="121">
        <f>'N9'!R11+'K9'!R11</f>
        <v>24</v>
      </c>
      <c r="S11" s="121">
        <f>'N9'!S11+'K9'!S11</f>
        <v>36</v>
      </c>
      <c r="T11" s="33">
        <f>'N9'!T11+'K9'!T11</f>
        <v>759</v>
      </c>
      <c r="U11" s="115">
        <f>'N9'!U11+'K9'!U11</f>
        <v>0</v>
      </c>
      <c r="V11" s="115">
        <f>'N9'!V11+'K9'!V11</f>
        <v>0</v>
      </c>
      <c r="W11" s="115">
        <f>'N9'!W11+'K9'!W11</f>
        <v>0</v>
      </c>
      <c r="X11" s="116">
        <f>'N9'!X11+'K9'!X11</f>
        <v>0</v>
      </c>
      <c r="Y11" s="115">
        <f>'N9'!Y11+'K9'!Y11</f>
        <v>0</v>
      </c>
      <c r="Z11" s="116">
        <f>'N9'!Z11+'K9'!Z11</f>
        <v>0</v>
      </c>
      <c r="AA11" s="121">
        <f>'N9'!AA11+'K9'!AA11</f>
        <v>0</v>
      </c>
      <c r="AB11" s="121">
        <f>'N9'!AB11+'K9'!AB11</f>
        <v>0</v>
      </c>
      <c r="AC11" s="33">
        <f>'N9'!AC11+'K9'!AC11</f>
        <v>0</v>
      </c>
      <c r="AD11" s="12">
        <f>'N9'!AD11+'K9'!AD11</f>
        <v>4130</v>
      </c>
      <c r="AE11" s="39"/>
      <c r="AF11" s="39"/>
      <c r="AG11" s="39"/>
      <c r="AH11" s="39"/>
      <c r="AI11" s="39"/>
      <c r="AJ11"/>
    </row>
    <row r="12" spans="1:36" x14ac:dyDescent="0.2">
      <c r="A12" s="5">
        <f>DAY(Kalenteri!A251)</f>
        <v>8</v>
      </c>
      <c r="B12" s="3" t="str">
        <f>IF(Kalenteri!B251=1,"su",IF(Kalenteri!B251=2,"ma",IF(Kalenteri!B251=3,"ti",IF(Kalenteri!B251=4,"ke",IF(Kalenteri!B251=5,"to",IF(Kalenteri!B251=6,"pe",IF(Kalenteri!B251=7,"la",)))))))</f>
        <v>su</v>
      </c>
      <c r="C12" s="114">
        <f>'N9'!C12+'K9'!C12</f>
        <v>1355</v>
      </c>
      <c r="D12" s="115">
        <f>'N9'!D12+'K9'!D12</f>
        <v>300</v>
      </c>
      <c r="E12" s="115">
        <f>'N9'!E12+'K9'!E12</f>
        <v>0</v>
      </c>
      <c r="F12" s="116">
        <f>'N9'!F12+'K9'!F12</f>
        <v>25</v>
      </c>
      <c r="G12" s="114">
        <f>'N9'!G12+'K9'!G12</f>
        <v>8</v>
      </c>
      <c r="H12" s="116">
        <f>'N9'!H12+'K9'!H12</f>
        <v>454</v>
      </c>
      <c r="I12" s="114">
        <f>'N9'!I12+'K9'!I12</f>
        <v>42</v>
      </c>
      <c r="J12" s="116">
        <f>'N9'!J12+'K9'!J12</f>
        <v>63</v>
      </c>
      <c r="K12" s="33">
        <f>'N9'!K12+'K9'!K12</f>
        <v>2247</v>
      </c>
      <c r="L12" s="115">
        <f>'N9'!L12+'K9'!L12</f>
        <v>344</v>
      </c>
      <c r="M12" s="115">
        <f>'N9'!M12+'K9'!M12</f>
        <v>60</v>
      </c>
      <c r="N12" s="115">
        <f>'N9'!N12+'K9'!N12</f>
        <v>0</v>
      </c>
      <c r="O12" s="116">
        <f>'N9'!O12+'K9'!O12</f>
        <v>2</v>
      </c>
      <c r="P12" s="115">
        <f>'N9'!P12+'K9'!P12</f>
        <v>0</v>
      </c>
      <c r="Q12" s="116">
        <f>'N9'!Q12+'K9'!Q12</f>
        <v>110</v>
      </c>
      <c r="R12" s="121">
        <f>'N9'!R12+'K9'!R12</f>
        <v>12</v>
      </c>
      <c r="S12" s="121">
        <f>'N9'!S12+'K9'!S12</f>
        <v>18</v>
      </c>
      <c r="T12" s="33">
        <f>'N9'!T12+'K9'!T12</f>
        <v>546</v>
      </c>
      <c r="U12" s="115">
        <f>'N9'!U12+'K9'!U12</f>
        <v>0</v>
      </c>
      <c r="V12" s="115">
        <f>'N9'!V12+'K9'!V12</f>
        <v>0</v>
      </c>
      <c r="W12" s="115">
        <f>'N9'!W12+'K9'!W12</f>
        <v>0</v>
      </c>
      <c r="X12" s="116">
        <f>'N9'!X12+'K9'!X12</f>
        <v>0</v>
      </c>
      <c r="Y12" s="115">
        <f>'N9'!Y12+'K9'!Y12</f>
        <v>0</v>
      </c>
      <c r="Z12" s="116">
        <f>'N9'!Z12+'K9'!Z12</f>
        <v>0</v>
      </c>
      <c r="AA12" s="121">
        <f>'N9'!AA12+'K9'!AA12</f>
        <v>0</v>
      </c>
      <c r="AB12" s="121">
        <f>'N9'!AB12+'K9'!AB12</f>
        <v>0</v>
      </c>
      <c r="AC12" s="33">
        <f>'N9'!AC12+'K9'!AC12</f>
        <v>0</v>
      </c>
      <c r="AD12" s="12">
        <f>'N9'!AD12+'K9'!AD12</f>
        <v>2793</v>
      </c>
      <c r="AE12" s="39"/>
      <c r="AF12" s="39"/>
      <c r="AG12" s="39"/>
      <c r="AH12" s="39"/>
      <c r="AI12" s="39"/>
      <c r="AJ12"/>
    </row>
    <row r="13" spans="1:36" x14ac:dyDescent="0.2">
      <c r="A13" s="5">
        <f>DAY(Kalenteri!A252)</f>
        <v>9</v>
      </c>
      <c r="B13" s="3" t="str">
        <f>IF(Kalenteri!B252=1,"su",IF(Kalenteri!B252=2,"ma",IF(Kalenteri!B252=3,"ti",IF(Kalenteri!B252=4,"ke",IF(Kalenteri!B252=5,"to",IF(Kalenteri!B252=6,"pe",IF(Kalenteri!B252=7,"la",)))))))</f>
        <v>ma</v>
      </c>
      <c r="C13" s="114">
        <f>'N9'!C13+'K9'!C13</f>
        <v>237</v>
      </c>
      <c r="D13" s="115">
        <f>'N9'!D13+'K9'!D13</f>
        <v>25</v>
      </c>
      <c r="E13" s="115">
        <f>'N9'!E13+'K9'!E13</f>
        <v>0</v>
      </c>
      <c r="F13" s="116">
        <f>'N9'!F13+'K9'!F13</f>
        <v>3</v>
      </c>
      <c r="G13" s="114">
        <f>'N9'!G13+'K9'!G13</f>
        <v>9</v>
      </c>
      <c r="H13" s="116">
        <f>'N9'!H13+'K9'!H13</f>
        <v>122</v>
      </c>
      <c r="I13" s="114">
        <f>'N9'!I13+'K9'!I13</f>
        <v>2</v>
      </c>
      <c r="J13" s="116">
        <f>'N9'!J13+'K9'!J13</f>
        <v>3</v>
      </c>
      <c r="K13" s="33">
        <f>'N9'!K13+'K9'!K13</f>
        <v>401</v>
      </c>
      <c r="L13" s="115">
        <f>'N9'!L13+'K9'!L13</f>
        <v>74</v>
      </c>
      <c r="M13" s="115">
        <f>'N9'!M13+'K9'!M13</f>
        <v>5</v>
      </c>
      <c r="N13" s="115">
        <f>'N9'!N13+'K9'!N13</f>
        <v>0</v>
      </c>
      <c r="O13" s="116">
        <f>'N9'!O13+'K9'!O13</f>
        <v>0</v>
      </c>
      <c r="P13" s="115">
        <f>'N9'!P13+'K9'!P13</f>
        <v>0</v>
      </c>
      <c r="Q13" s="116">
        <f>'N9'!Q13+'K9'!Q13</f>
        <v>18</v>
      </c>
      <c r="R13" s="121">
        <f>'N9'!R13+'K9'!R13</f>
        <v>2</v>
      </c>
      <c r="S13" s="121">
        <f>'N9'!S13+'K9'!S13</f>
        <v>3</v>
      </c>
      <c r="T13" s="33">
        <f>'N9'!T13+'K9'!T13</f>
        <v>102</v>
      </c>
      <c r="U13" s="115">
        <f>'N9'!U13+'K9'!U13</f>
        <v>0</v>
      </c>
      <c r="V13" s="115">
        <f>'N9'!V13+'K9'!V13</f>
        <v>0</v>
      </c>
      <c r="W13" s="115">
        <f>'N9'!W13+'K9'!W13</f>
        <v>0</v>
      </c>
      <c r="X13" s="116">
        <f>'N9'!X13+'K9'!X13</f>
        <v>0</v>
      </c>
      <c r="Y13" s="115">
        <f>'N9'!Y13+'K9'!Y13</f>
        <v>0</v>
      </c>
      <c r="Z13" s="116">
        <f>'N9'!Z13+'K9'!Z13</f>
        <v>0</v>
      </c>
      <c r="AA13" s="121">
        <f>'N9'!AA13+'K9'!AA13</f>
        <v>0</v>
      </c>
      <c r="AB13" s="121">
        <f>'N9'!AB13+'K9'!AB13</f>
        <v>0</v>
      </c>
      <c r="AC13" s="33">
        <f>'N9'!AC13+'K9'!AC13</f>
        <v>0</v>
      </c>
      <c r="AD13" s="12">
        <f>'N9'!AD13+'K9'!AD13</f>
        <v>503</v>
      </c>
      <c r="AE13" s="39"/>
      <c r="AF13" s="39"/>
      <c r="AG13" s="39"/>
      <c r="AH13" s="39"/>
      <c r="AI13" s="39"/>
      <c r="AJ13"/>
    </row>
    <row r="14" spans="1:36" x14ac:dyDescent="0.2">
      <c r="A14" s="5">
        <f>DAY(Kalenteri!A253)</f>
        <v>10</v>
      </c>
      <c r="B14" s="3" t="str">
        <f>IF(Kalenteri!B253=1,"su",IF(Kalenteri!B253=2,"ma",IF(Kalenteri!B253=3,"ti",IF(Kalenteri!B253=4,"ke",IF(Kalenteri!B253=5,"to",IF(Kalenteri!B253=6,"pe",IF(Kalenteri!B253=7,"la",)))))))</f>
        <v>ti</v>
      </c>
      <c r="C14" s="114">
        <f>'N9'!C14+'K9'!C14</f>
        <v>124</v>
      </c>
      <c r="D14" s="115">
        <f>'N9'!D14+'K9'!D14</f>
        <v>9</v>
      </c>
      <c r="E14" s="115">
        <f>'N9'!E14+'K9'!E14</f>
        <v>0</v>
      </c>
      <c r="F14" s="116">
        <f>'N9'!F14+'K9'!F14</f>
        <v>0</v>
      </c>
      <c r="G14" s="114">
        <f>'N9'!G14+'K9'!G14</f>
        <v>2</v>
      </c>
      <c r="H14" s="116">
        <f>'N9'!H14+'K9'!H14</f>
        <v>48</v>
      </c>
      <c r="I14" s="114">
        <f>'N9'!I14+'K9'!I14</f>
        <v>0</v>
      </c>
      <c r="J14" s="116">
        <f>'N9'!J14+'K9'!J14</f>
        <v>0</v>
      </c>
      <c r="K14" s="33">
        <f>'N9'!K14+'K9'!K14</f>
        <v>183</v>
      </c>
      <c r="L14" s="115">
        <f>'N9'!L14+'K9'!L14</f>
        <v>36</v>
      </c>
      <c r="M14" s="115">
        <f>'N9'!M14+'K9'!M14</f>
        <v>6</v>
      </c>
      <c r="N14" s="115">
        <f>'N9'!N14+'K9'!N14</f>
        <v>0</v>
      </c>
      <c r="O14" s="116">
        <f>'N9'!O14+'K9'!O14</f>
        <v>0</v>
      </c>
      <c r="P14" s="115">
        <f>'N9'!P14+'K9'!P14</f>
        <v>0</v>
      </c>
      <c r="Q14" s="116">
        <f>'N9'!Q14+'K9'!Q14</f>
        <v>7</v>
      </c>
      <c r="R14" s="121">
        <f>'N9'!R14+'K9'!R14</f>
        <v>0</v>
      </c>
      <c r="S14" s="121">
        <f>'N9'!S14+'K9'!S14</f>
        <v>0</v>
      </c>
      <c r="T14" s="33">
        <f>'N9'!T14+'K9'!T14</f>
        <v>49</v>
      </c>
      <c r="U14" s="115">
        <f>'N9'!U14+'K9'!U14</f>
        <v>0</v>
      </c>
      <c r="V14" s="115">
        <f>'N9'!V14+'K9'!V14</f>
        <v>0</v>
      </c>
      <c r="W14" s="115">
        <f>'N9'!W14+'K9'!W14</f>
        <v>0</v>
      </c>
      <c r="X14" s="116">
        <f>'N9'!X14+'K9'!X14</f>
        <v>0</v>
      </c>
      <c r="Y14" s="115">
        <f>'N9'!Y14+'K9'!Y14</f>
        <v>0</v>
      </c>
      <c r="Z14" s="116">
        <f>'N9'!Z14+'K9'!Z14</f>
        <v>0</v>
      </c>
      <c r="AA14" s="121">
        <f>'N9'!AA14+'K9'!AA14</f>
        <v>0</v>
      </c>
      <c r="AB14" s="121">
        <f>'N9'!AB14+'K9'!AB14</f>
        <v>0</v>
      </c>
      <c r="AC14" s="33">
        <f>'N9'!AC14+'K9'!AC14</f>
        <v>0</v>
      </c>
      <c r="AD14" s="12">
        <f>'N9'!AD14+'K9'!AD14</f>
        <v>232</v>
      </c>
      <c r="AE14" s="39"/>
      <c r="AF14" s="39"/>
      <c r="AG14" s="39"/>
      <c r="AH14" s="39"/>
      <c r="AI14" s="39"/>
      <c r="AJ14"/>
    </row>
    <row r="15" spans="1:36" x14ac:dyDescent="0.2">
      <c r="A15" s="5">
        <f>DAY(Kalenteri!A254)</f>
        <v>11</v>
      </c>
      <c r="B15" s="3" t="str">
        <f>IF(Kalenteri!B254=1,"su",IF(Kalenteri!B254=2,"ma",IF(Kalenteri!B254=3,"ti",IF(Kalenteri!B254=4,"ke",IF(Kalenteri!B254=5,"to",IF(Kalenteri!B254=6,"pe",IF(Kalenteri!B254=7,"la",)))))))</f>
        <v>ke</v>
      </c>
      <c r="C15" s="114">
        <f>'N9'!C15+'K9'!C15</f>
        <v>115</v>
      </c>
      <c r="D15" s="115">
        <f>'N9'!D15+'K9'!D15</f>
        <v>18</v>
      </c>
      <c r="E15" s="115">
        <f>'N9'!E15+'K9'!E15</f>
        <v>1</v>
      </c>
      <c r="F15" s="116">
        <f>'N9'!F15+'K9'!F15</f>
        <v>5</v>
      </c>
      <c r="G15" s="114">
        <f>'N9'!G15+'K9'!G15</f>
        <v>28</v>
      </c>
      <c r="H15" s="116">
        <f>'N9'!H15+'K9'!H15</f>
        <v>60</v>
      </c>
      <c r="I15" s="114">
        <f>'N9'!I15+'K9'!I15</f>
        <v>2</v>
      </c>
      <c r="J15" s="116">
        <f>'N9'!J15+'K9'!J15</f>
        <v>3</v>
      </c>
      <c r="K15" s="33">
        <f>'N9'!K15+'K9'!K15</f>
        <v>232</v>
      </c>
      <c r="L15" s="115">
        <f>'N9'!L15+'K9'!L15</f>
        <v>51</v>
      </c>
      <c r="M15" s="115">
        <f>'N9'!M15+'K9'!M15</f>
        <v>1</v>
      </c>
      <c r="N15" s="115">
        <f>'N9'!N15+'K9'!N15</f>
        <v>0</v>
      </c>
      <c r="O15" s="116">
        <f>'N9'!O15+'K9'!O15</f>
        <v>0</v>
      </c>
      <c r="P15" s="115">
        <f>'N9'!P15+'K9'!P15</f>
        <v>0</v>
      </c>
      <c r="Q15" s="116">
        <f>'N9'!Q15+'K9'!Q15</f>
        <v>19</v>
      </c>
      <c r="R15" s="121">
        <f>'N9'!R15+'K9'!R15</f>
        <v>0</v>
      </c>
      <c r="S15" s="121">
        <f>'N9'!S15+'K9'!S15</f>
        <v>0</v>
      </c>
      <c r="T15" s="33">
        <f>'N9'!T15+'K9'!T15</f>
        <v>71</v>
      </c>
      <c r="U15" s="115">
        <f>'N9'!U15+'K9'!U15</f>
        <v>0</v>
      </c>
      <c r="V15" s="115">
        <f>'N9'!V15+'K9'!V15</f>
        <v>0</v>
      </c>
      <c r="W15" s="115">
        <f>'N9'!W15+'K9'!W15</f>
        <v>0</v>
      </c>
      <c r="X15" s="116">
        <f>'N9'!X15+'K9'!X15</f>
        <v>0</v>
      </c>
      <c r="Y15" s="115">
        <f>'N9'!Y15+'K9'!Y15</f>
        <v>0</v>
      </c>
      <c r="Z15" s="116">
        <f>'N9'!Z15+'K9'!Z15</f>
        <v>0</v>
      </c>
      <c r="AA15" s="121">
        <f>'N9'!AA15+'K9'!AA15</f>
        <v>0</v>
      </c>
      <c r="AB15" s="121">
        <f>'N9'!AB15+'K9'!AB15</f>
        <v>0</v>
      </c>
      <c r="AC15" s="33">
        <f>'N9'!AC15+'K9'!AC15</f>
        <v>0</v>
      </c>
      <c r="AD15" s="12">
        <f>'N9'!AD15+'K9'!AD15</f>
        <v>303</v>
      </c>
      <c r="AE15" s="39"/>
      <c r="AF15" s="39"/>
      <c r="AG15" s="39"/>
      <c r="AH15" s="39"/>
      <c r="AI15" s="39"/>
      <c r="AJ15"/>
    </row>
    <row r="16" spans="1:36" x14ac:dyDescent="0.2">
      <c r="A16" s="5">
        <f>DAY(Kalenteri!A255)</f>
        <v>12</v>
      </c>
      <c r="B16" s="3" t="str">
        <f>IF(Kalenteri!B255=1,"su",IF(Kalenteri!B255=2,"ma",IF(Kalenteri!B255=3,"ti",IF(Kalenteri!B255=4,"ke",IF(Kalenteri!B255=5,"to",IF(Kalenteri!B255=6,"pe",IF(Kalenteri!B255=7,"la",)))))))</f>
        <v>to</v>
      </c>
      <c r="C16" s="114">
        <f>'N9'!C16+'K9'!C16</f>
        <v>128</v>
      </c>
      <c r="D16" s="115">
        <f>'N9'!D16+'K9'!D16</f>
        <v>7</v>
      </c>
      <c r="E16" s="115">
        <f>'N9'!E16+'K9'!E16</f>
        <v>2</v>
      </c>
      <c r="F16" s="116">
        <f>'N9'!F16+'K9'!F16</f>
        <v>3</v>
      </c>
      <c r="G16" s="114">
        <f>'N9'!G16+'K9'!G16</f>
        <v>28</v>
      </c>
      <c r="H16" s="116">
        <f>'N9'!H16+'K9'!H16</f>
        <v>157</v>
      </c>
      <c r="I16" s="114">
        <f>'N9'!I16+'K9'!I16</f>
        <v>0</v>
      </c>
      <c r="J16" s="116">
        <f>'N9'!J16+'K9'!J16</f>
        <v>0</v>
      </c>
      <c r="K16" s="33">
        <f>'N9'!K16+'K9'!K16</f>
        <v>325</v>
      </c>
      <c r="L16" s="115">
        <f>'N9'!L16+'K9'!L16</f>
        <v>143</v>
      </c>
      <c r="M16" s="115">
        <f>'N9'!M16+'K9'!M16</f>
        <v>11</v>
      </c>
      <c r="N16" s="115">
        <f>'N9'!N16+'K9'!N16</f>
        <v>0</v>
      </c>
      <c r="O16" s="116">
        <f>'N9'!O16+'K9'!O16</f>
        <v>0</v>
      </c>
      <c r="P16" s="115">
        <f>'N9'!P16+'K9'!P16</f>
        <v>3</v>
      </c>
      <c r="Q16" s="116">
        <f>'N9'!Q16+'K9'!Q16</f>
        <v>35</v>
      </c>
      <c r="R16" s="121">
        <f>'N9'!R16+'K9'!R16</f>
        <v>0</v>
      </c>
      <c r="S16" s="121">
        <f>'N9'!S16+'K9'!S16</f>
        <v>0</v>
      </c>
      <c r="T16" s="33">
        <f>'N9'!T16+'K9'!T16</f>
        <v>192</v>
      </c>
      <c r="U16" s="115">
        <f>'N9'!U16+'K9'!U16</f>
        <v>0</v>
      </c>
      <c r="V16" s="115">
        <f>'N9'!V16+'K9'!V16</f>
        <v>0</v>
      </c>
      <c r="W16" s="115">
        <f>'N9'!W16+'K9'!W16</f>
        <v>0</v>
      </c>
      <c r="X16" s="116">
        <f>'N9'!X16+'K9'!X16</f>
        <v>0</v>
      </c>
      <c r="Y16" s="115">
        <f>'N9'!Y16+'K9'!Y16</f>
        <v>0</v>
      </c>
      <c r="Z16" s="116">
        <f>'N9'!Z16+'K9'!Z16</f>
        <v>0</v>
      </c>
      <c r="AA16" s="121">
        <f>'N9'!AA16+'K9'!AA16</f>
        <v>0</v>
      </c>
      <c r="AB16" s="121">
        <f>'N9'!AB16+'K9'!AB16</f>
        <v>0</v>
      </c>
      <c r="AC16" s="33">
        <f>'N9'!AC16+'K9'!AC16</f>
        <v>0</v>
      </c>
      <c r="AD16" s="12">
        <f>'N9'!AD16+'K9'!AD16</f>
        <v>517</v>
      </c>
      <c r="AE16" s="39"/>
      <c r="AF16" s="39"/>
      <c r="AG16" s="39"/>
      <c r="AH16" s="39"/>
      <c r="AI16" s="39"/>
      <c r="AJ16"/>
    </row>
    <row r="17" spans="1:36" x14ac:dyDescent="0.2">
      <c r="A17" s="5">
        <f>DAY(Kalenteri!A256)</f>
        <v>13</v>
      </c>
      <c r="B17" s="3" t="str">
        <f>IF(Kalenteri!B256=1,"su",IF(Kalenteri!B256=2,"ma",IF(Kalenteri!B256=3,"ti",IF(Kalenteri!B256=4,"ke",IF(Kalenteri!B256=5,"to",IF(Kalenteri!B256=6,"pe",IF(Kalenteri!B256=7,"la",)))))))</f>
        <v>pe</v>
      </c>
      <c r="C17" s="114">
        <f>'N9'!C17+'K9'!C17</f>
        <v>3743</v>
      </c>
      <c r="D17" s="115">
        <f>'N9'!D17+'K9'!D17</f>
        <v>1280</v>
      </c>
      <c r="E17" s="115">
        <f>'N9'!E17+'K9'!E17</f>
        <v>0</v>
      </c>
      <c r="F17" s="116">
        <f>'N9'!F17+'K9'!F17</f>
        <v>143</v>
      </c>
      <c r="G17" s="114">
        <f>'N9'!G17+'K9'!G17</f>
        <v>389</v>
      </c>
      <c r="H17" s="116">
        <f>'N9'!H17+'K9'!H17</f>
        <v>561</v>
      </c>
      <c r="I17" s="114">
        <f>'N9'!I17+'K9'!I17</f>
        <v>0</v>
      </c>
      <c r="J17" s="116">
        <f>'N9'!J17+'K9'!J17</f>
        <v>0</v>
      </c>
      <c r="K17" s="33">
        <f>'N9'!K17+'K9'!K17</f>
        <v>6116</v>
      </c>
      <c r="L17" s="115">
        <f>'N9'!L17+'K9'!L17</f>
        <v>640</v>
      </c>
      <c r="M17" s="115">
        <f>'N9'!M17+'K9'!M17</f>
        <v>180</v>
      </c>
      <c r="N17" s="115">
        <f>'N9'!N17+'K9'!N17</f>
        <v>0</v>
      </c>
      <c r="O17" s="116">
        <f>'N9'!O17+'K9'!O17</f>
        <v>4</v>
      </c>
      <c r="P17" s="115">
        <f>'N9'!P17+'K9'!P17</f>
        <v>32</v>
      </c>
      <c r="Q17" s="116">
        <f>'N9'!Q17+'K9'!Q17</f>
        <v>142</v>
      </c>
      <c r="R17" s="121">
        <f>'N9'!R17+'K9'!R17</f>
        <v>0</v>
      </c>
      <c r="S17" s="121">
        <f>'N9'!S17+'K9'!S17</f>
        <v>0</v>
      </c>
      <c r="T17" s="33">
        <f>'N9'!T17+'K9'!T17</f>
        <v>998</v>
      </c>
      <c r="U17" s="115">
        <f>'N9'!U17+'K9'!U17</f>
        <v>264</v>
      </c>
      <c r="V17" s="115">
        <f>'N9'!V17+'K9'!V17</f>
        <v>108</v>
      </c>
      <c r="W17" s="115">
        <f>'N9'!W17+'K9'!W17</f>
        <v>0</v>
      </c>
      <c r="X17" s="116">
        <f>'N9'!X17+'K9'!X17</f>
        <v>0</v>
      </c>
      <c r="Y17" s="115">
        <f>'N9'!Y17+'K9'!Y17</f>
        <v>0</v>
      </c>
      <c r="Z17" s="116">
        <f>'N9'!Z17+'K9'!Z17</f>
        <v>92</v>
      </c>
      <c r="AA17" s="121">
        <f>'N9'!AA17+'K9'!AA17</f>
        <v>0</v>
      </c>
      <c r="AB17" s="121">
        <f>'N9'!AB17+'K9'!AB17</f>
        <v>0</v>
      </c>
      <c r="AC17" s="33">
        <f>'N9'!AC17+'K9'!AC17</f>
        <v>464</v>
      </c>
      <c r="AD17" s="12">
        <f>'N9'!AD17+'K9'!AD17</f>
        <v>7578</v>
      </c>
      <c r="AE17" s="39"/>
      <c r="AF17" s="39"/>
      <c r="AG17" s="39"/>
      <c r="AH17" s="39"/>
      <c r="AI17" s="39"/>
      <c r="AJ17"/>
    </row>
    <row r="18" spans="1:36" x14ac:dyDescent="0.2">
      <c r="A18" s="5">
        <f>DAY(Kalenteri!A257)</f>
        <v>14</v>
      </c>
      <c r="B18" s="3" t="str">
        <f>IF(Kalenteri!B257=1,"su",IF(Kalenteri!B257=2,"ma",IF(Kalenteri!B257=3,"ti",IF(Kalenteri!B257=4,"ke",IF(Kalenteri!B257=5,"to",IF(Kalenteri!B257=6,"pe",IF(Kalenteri!B257=7,"la",)))))))</f>
        <v>la</v>
      </c>
      <c r="C18" s="114">
        <f>'N9'!C18+'K9'!C18</f>
        <v>1267</v>
      </c>
      <c r="D18" s="115">
        <f>'N9'!D18+'K9'!D18</f>
        <v>296</v>
      </c>
      <c r="E18" s="115">
        <f>'N9'!E18+'K9'!E18</f>
        <v>0</v>
      </c>
      <c r="F18" s="116">
        <f>'N9'!F18+'K9'!F18</f>
        <v>25</v>
      </c>
      <c r="G18" s="114">
        <f>'N9'!G18+'K9'!G18</f>
        <v>28</v>
      </c>
      <c r="H18" s="116">
        <f>'N9'!H18+'K9'!H18</f>
        <v>457</v>
      </c>
      <c r="I18" s="114">
        <f>'N9'!I18+'K9'!I18</f>
        <v>50</v>
      </c>
      <c r="J18" s="116">
        <f>'N9'!J18+'K9'!J18</f>
        <v>75</v>
      </c>
      <c r="K18" s="33">
        <f>'N9'!K18+'K9'!K18</f>
        <v>2198</v>
      </c>
      <c r="L18" s="115">
        <f>'N9'!L18+'K9'!L18</f>
        <v>327</v>
      </c>
      <c r="M18" s="115">
        <f>'N9'!M18+'K9'!M18</f>
        <v>66</v>
      </c>
      <c r="N18" s="115">
        <f>'N9'!N18+'K9'!N18</f>
        <v>0</v>
      </c>
      <c r="O18" s="116">
        <f>'N9'!O18+'K9'!O18</f>
        <v>0</v>
      </c>
      <c r="P18" s="115">
        <f>'N9'!P18+'K9'!P18</f>
        <v>0</v>
      </c>
      <c r="Q18" s="116">
        <f>'N9'!Q18+'K9'!Q18</f>
        <v>80</v>
      </c>
      <c r="R18" s="121">
        <f>'N9'!R18+'K9'!R18</f>
        <v>10</v>
      </c>
      <c r="S18" s="121">
        <f>'N9'!S18+'K9'!S18</f>
        <v>15</v>
      </c>
      <c r="T18" s="33">
        <f>'N9'!T18+'K9'!T18</f>
        <v>498</v>
      </c>
      <c r="U18" s="115">
        <f>'N9'!U18+'K9'!U18</f>
        <v>0</v>
      </c>
      <c r="V18" s="115">
        <f>'N9'!V18+'K9'!V18</f>
        <v>0</v>
      </c>
      <c r="W18" s="115">
        <f>'N9'!W18+'K9'!W18</f>
        <v>0</v>
      </c>
      <c r="X18" s="116">
        <f>'N9'!X18+'K9'!X18</f>
        <v>0</v>
      </c>
      <c r="Y18" s="115">
        <f>'N9'!Y18+'K9'!Y18</f>
        <v>0</v>
      </c>
      <c r="Z18" s="116">
        <f>'N9'!Z18+'K9'!Z18</f>
        <v>0</v>
      </c>
      <c r="AA18" s="121">
        <f>'N9'!AA18+'K9'!AA18</f>
        <v>0</v>
      </c>
      <c r="AB18" s="121">
        <f>'N9'!AB18+'K9'!AB18</f>
        <v>0</v>
      </c>
      <c r="AC18" s="33">
        <f>'N9'!AC18+'K9'!AC18</f>
        <v>0</v>
      </c>
      <c r="AD18" s="12">
        <f>'N9'!AD18+'K9'!AD18</f>
        <v>2696</v>
      </c>
      <c r="AE18" s="39"/>
      <c r="AF18" s="39"/>
      <c r="AG18" s="39"/>
      <c r="AH18" s="39"/>
      <c r="AI18" s="39"/>
      <c r="AJ18"/>
    </row>
    <row r="19" spans="1:36" x14ac:dyDescent="0.2">
      <c r="A19" s="5">
        <f>DAY(Kalenteri!A258)</f>
        <v>15</v>
      </c>
      <c r="B19" s="3" t="str">
        <f>IF(Kalenteri!B258=1,"su",IF(Kalenteri!B258=2,"ma",IF(Kalenteri!B258=3,"ti",IF(Kalenteri!B258=4,"ke",IF(Kalenteri!B258=5,"to",IF(Kalenteri!B258=6,"pe",IF(Kalenteri!B258=7,"la",)))))))</f>
        <v>su</v>
      </c>
      <c r="C19" s="114">
        <f>'N9'!C19+'K9'!C19</f>
        <v>725</v>
      </c>
      <c r="D19" s="115">
        <f>'N9'!D19+'K9'!D19</f>
        <v>164</v>
      </c>
      <c r="E19" s="115">
        <f>'N9'!E19+'K9'!E19</f>
        <v>0</v>
      </c>
      <c r="F19" s="116">
        <f>'N9'!F19+'K9'!F19</f>
        <v>16</v>
      </c>
      <c r="G19" s="114">
        <f>'N9'!G19+'K9'!G19</f>
        <v>13</v>
      </c>
      <c r="H19" s="116">
        <f>'N9'!H19+'K9'!H19</f>
        <v>222</v>
      </c>
      <c r="I19" s="114">
        <f>'N9'!I19+'K9'!I19</f>
        <v>22</v>
      </c>
      <c r="J19" s="116">
        <f>'N9'!J19+'K9'!J19</f>
        <v>33</v>
      </c>
      <c r="K19" s="33">
        <f>'N9'!K19+'K9'!K19</f>
        <v>1195</v>
      </c>
      <c r="L19" s="115">
        <f>'N9'!L19+'K9'!L19</f>
        <v>178</v>
      </c>
      <c r="M19" s="115">
        <f>'N9'!M19+'K9'!M19</f>
        <v>27</v>
      </c>
      <c r="N19" s="115">
        <f>'N9'!N19+'K9'!N19</f>
        <v>0</v>
      </c>
      <c r="O19" s="116">
        <f>'N9'!O19+'K9'!O19</f>
        <v>0</v>
      </c>
      <c r="P19" s="115">
        <f>'N9'!P19+'K9'!P19</f>
        <v>0</v>
      </c>
      <c r="Q19" s="116">
        <f>'N9'!Q19+'K9'!Q19</f>
        <v>31</v>
      </c>
      <c r="R19" s="121">
        <f>'N9'!R19+'K9'!R19</f>
        <v>2</v>
      </c>
      <c r="S19" s="121">
        <f>'N9'!S19+'K9'!S19</f>
        <v>3</v>
      </c>
      <c r="T19" s="33">
        <f>'N9'!T19+'K9'!T19</f>
        <v>241</v>
      </c>
      <c r="U19" s="115">
        <f>'N9'!U19+'K9'!U19</f>
        <v>0</v>
      </c>
      <c r="V19" s="115">
        <f>'N9'!V19+'K9'!V19</f>
        <v>0</v>
      </c>
      <c r="W19" s="115">
        <f>'N9'!W19+'K9'!W19</f>
        <v>0</v>
      </c>
      <c r="X19" s="116">
        <f>'N9'!X19+'K9'!X19</f>
        <v>0</v>
      </c>
      <c r="Y19" s="115">
        <f>'N9'!Y19+'K9'!Y19</f>
        <v>0</v>
      </c>
      <c r="Z19" s="116">
        <f>'N9'!Z19+'K9'!Z19</f>
        <v>0</v>
      </c>
      <c r="AA19" s="121">
        <f>'N9'!AA19+'K9'!AA19</f>
        <v>0</v>
      </c>
      <c r="AB19" s="121">
        <f>'N9'!AB19+'K9'!AB19</f>
        <v>0</v>
      </c>
      <c r="AC19" s="33">
        <f>'N9'!AC19+'K9'!AC19</f>
        <v>0</v>
      </c>
      <c r="AD19" s="12">
        <f>'N9'!AD19+'K9'!AD19</f>
        <v>1436</v>
      </c>
      <c r="AE19" s="39"/>
      <c r="AF19" s="39"/>
      <c r="AG19" s="39"/>
      <c r="AH19" s="39"/>
      <c r="AI19" s="39"/>
      <c r="AJ19"/>
    </row>
    <row r="20" spans="1:36" x14ac:dyDescent="0.2">
      <c r="A20" s="5">
        <f>DAY(Kalenteri!A259)</f>
        <v>16</v>
      </c>
      <c r="B20" s="3" t="str">
        <f>IF(Kalenteri!B259=1,"su",IF(Kalenteri!B259=2,"ma",IF(Kalenteri!B259=3,"ti",IF(Kalenteri!B259=4,"ke",IF(Kalenteri!B259=5,"to",IF(Kalenteri!B259=6,"pe",IF(Kalenteri!B259=7,"la",)))))))</f>
        <v>ma</v>
      </c>
      <c r="C20" s="114">
        <f>'N9'!C20+'K9'!C20</f>
        <v>142</v>
      </c>
      <c r="D20" s="115">
        <f>'N9'!D20+'K9'!D20</f>
        <v>14</v>
      </c>
      <c r="E20" s="115">
        <f>'N9'!E20+'K9'!E20</f>
        <v>1</v>
      </c>
      <c r="F20" s="116">
        <f>'N9'!F20+'K9'!F20</f>
        <v>6</v>
      </c>
      <c r="G20" s="114">
        <f>'N9'!G20+'K9'!G20</f>
        <v>4</v>
      </c>
      <c r="H20" s="116">
        <f>'N9'!H20+'K9'!H20</f>
        <v>43</v>
      </c>
      <c r="I20" s="114">
        <f>'N9'!I20+'K9'!I20</f>
        <v>0</v>
      </c>
      <c r="J20" s="116">
        <f>'N9'!J20+'K9'!J20</f>
        <v>0</v>
      </c>
      <c r="K20" s="33">
        <f>'N9'!K20+'K9'!K20</f>
        <v>210</v>
      </c>
      <c r="L20" s="115">
        <f>'N9'!L20+'K9'!L20</f>
        <v>66</v>
      </c>
      <c r="M20" s="115">
        <f>'N9'!M20+'K9'!M20</f>
        <v>20</v>
      </c>
      <c r="N20" s="115">
        <f>'N9'!N20+'K9'!N20</f>
        <v>0</v>
      </c>
      <c r="O20" s="116">
        <f>'N9'!O20+'K9'!O20</f>
        <v>0</v>
      </c>
      <c r="P20" s="115">
        <f>'N9'!P20+'K9'!P20</f>
        <v>0</v>
      </c>
      <c r="Q20" s="116">
        <f>'N9'!Q20+'K9'!Q20</f>
        <v>16</v>
      </c>
      <c r="R20" s="121">
        <f>'N9'!R20+'K9'!R20</f>
        <v>0</v>
      </c>
      <c r="S20" s="121">
        <f>'N9'!S20+'K9'!S20</f>
        <v>0</v>
      </c>
      <c r="T20" s="33">
        <f>'N9'!T20+'K9'!T20</f>
        <v>102</v>
      </c>
      <c r="U20" s="115">
        <f>'N9'!U20+'K9'!U20</f>
        <v>0</v>
      </c>
      <c r="V20" s="115">
        <f>'N9'!V20+'K9'!V20</f>
        <v>0</v>
      </c>
      <c r="W20" s="115">
        <f>'N9'!W20+'K9'!W20</f>
        <v>0</v>
      </c>
      <c r="X20" s="116">
        <f>'N9'!X20+'K9'!X20</f>
        <v>0</v>
      </c>
      <c r="Y20" s="115">
        <f>'N9'!Y20+'K9'!Y20</f>
        <v>0</v>
      </c>
      <c r="Z20" s="116">
        <f>'N9'!Z20+'K9'!Z20</f>
        <v>0</v>
      </c>
      <c r="AA20" s="121">
        <f>'N9'!AA20+'K9'!AA20</f>
        <v>0</v>
      </c>
      <c r="AB20" s="121">
        <f>'N9'!AB20+'K9'!AB20</f>
        <v>0</v>
      </c>
      <c r="AC20" s="33">
        <f>'N9'!AC20+'K9'!AC20</f>
        <v>0</v>
      </c>
      <c r="AD20" s="12">
        <f>'N9'!AD20+'K9'!AD20</f>
        <v>312</v>
      </c>
      <c r="AE20" s="39"/>
      <c r="AF20" s="39"/>
      <c r="AG20" s="39"/>
      <c r="AH20" s="39"/>
      <c r="AI20" s="39"/>
      <c r="AJ20"/>
    </row>
    <row r="21" spans="1:36" x14ac:dyDescent="0.2">
      <c r="A21" s="5">
        <f>DAY(Kalenteri!A260)</f>
        <v>17</v>
      </c>
      <c r="B21" s="3" t="str">
        <f>IF(Kalenteri!B260=1,"su",IF(Kalenteri!B260=2,"ma",IF(Kalenteri!B260=3,"ti",IF(Kalenteri!B260=4,"ke",IF(Kalenteri!B260=5,"to",IF(Kalenteri!B260=6,"pe",IF(Kalenteri!B260=7,"la",)))))))</f>
        <v>ti</v>
      </c>
      <c r="C21" s="114">
        <f>'N9'!C21+'K9'!C21</f>
        <v>146</v>
      </c>
      <c r="D21" s="115">
        <f>'N9'!D21+'K9'!D21</f>
        <v>9</v>
      </c>
      <c r="E21" s="115">
        <f>'N9'!E21+'K9'!E21</f>
        <v>0</v>
      </c>
      <c r="F21" s="116">
        <f>'N9'!F21+'K9'!F21</f>
        <v>5</v>
      </c>
      <c r="G21" s="114">
        <f>'N9'!G21+'K9'!G21</f>
        <v>12</v>
      </c>
      <c r="H21" s="116">
        <f>'N9'!H21+'K9'!H21</f>
        <v>49</v>
      </c>
      <c r="I21" s="114">
        <f>'N9'!I21+'K9'!I21</f>
        <v>0</v>
      </c>
      <c r="J21" s="116">
        <f>'N9'!J21+'K9'!J21</f>
        <v>0</v>
      </c>
      <c r="K21" s="33">
        <f>'N9'!K21+'K9'!K21</f>
        <v>221</v>
      </c>
      <c r="L21" s="115">
        <f>'N9'!L21+'K9'!L21</f>
        <v>78</v>
      </c>
      <c r="M21" s="115">
        <f>'N9'!M21+'K9'!M21</f>
        <v>5</v>
      </c>
      <c r="N21" s="115">
        <f>'N9'!N21+'K9'!N21</f>
        <v>0</v>
      </c>
      <c r="O21" s="116">
        <f>'N9'!O21+'K9'!O21</f>
        <v>0</v>
      </c>
      <c r="P21" s="115">
        <f>'N9'!P21+'K9'!P21</f>
        <v>4</v>
      </c>
      <c r="Q21" s="116">
        <f>'N9'!Q21+'K9'!Q21</f>
        <v>54</v>
      </c>
      <c r="R21" s="121">
        <f>'N9'!R21+'K9'!R21</f>
        <v>0</v>
      </c>
      <c r="S21" s="121">
        <f>'N9'!S21+'K9'!S21</f>
        <v>0</v>
      </c>
      <c r="T21" s="33">
        <f>'N9'!T21+'K9'!T21</f>
        <v>141</v>
      </c>
      <c r="U21" s="115">
        <f>'N9'!U21+'K9'!U21</f>
        <v>0</v>
      </c>
      <c r="V21" s="115">
        <f>'N9'!V21+'K9'!V21</f>
        <v>0</v>
      </c>
      <c r="W21" s="115">
        <f>'N9'!W21+'K9'!W21</f>
        <v>0</v>
      </c>
      <c r="X21" s="116">
        <f>'N9'!X21+'K9'!X21</f>
        <v>0</v>
      </c>
      <c r="Y21" s="115">
        <f>'N9'!Y21+'K9'!Y21</f>
        <v>0</v>
      </c>
      <c r="Z21" s="116">
        <f>'N9'!Z21+'K9'!Z21</f>
        <v>0</v>
      </c>
      <c r="AA21" s="121">
        <f>'N9'!AA21+'K9'!AA21</f>
        <v>0</v>
      </c>
      <c r="AB21" s="121">
        <f>'N9'!AB21+'K9'!AB21</f>
        <v>0</v>
      </c>
      <c r="AC21" s="33">
        <f>'N9'!AC21+'K9'!AC21</f>
        <v>0</v>
      </c>
      <c r="AD21" s="12">
        <f>'N9'!AD21+'K9'!AD21</f>
        <v>362</v>
      </c>
      <c r="AE21" s="39"/>
      <c r="AF21" s="39"/>
      <c r="AG21" s="39"/>
      <c r="AH21" s="39"/>
      <c r="AI21" s="39"/>
      <c r="AJ21"/>
    </row>
    <row r="22" spans="1:36" x14ac:dyDescent="0.2">
      <c r="A22" s="5">
        <f>DAY(Kalenteri!A261)</f>
        <v>18</v>
      </c>
      <c r="B22" s="3" t="str">
        <f>IF(Kalenteri!B261=1,"su",IF(Kalenteri!B261=2,"ma",IF(Kalenteri!B261=3,"ti",IF(Kalenteri!B261=4,"ke",IF(Kalenteri!B261=5,"to",IF(Kalenteri!B261=6,"pe",IF(Kalenteri!B261=7,"la",)))))))</f>
        <v>ke</v>
      </c>
      <c r="C22" s="114">
        <f>'N9'!C22+'K9'!C22</f>
        <v>73</v>
      </c>
      <c r="D22" s="115">
        <f>'N9'!D22+'K9'!D22</f>
        <v>17</v>
      </c>
      <c r="E22" s="115">
        <f>'N9'!E22+'K9'!E22</f>
        <v>0</v>
      </c>
      <c r="F22" s="116">
        <f>'N9'!F22+'K9'!F22</f>
        <v>0</v>
      </c>
      <c r="G22" s="114">
        <f>'N9'!G22+'K9'!G22</f>
        <v>19</v>
      </c>
      <c r="H22" s="116">
        <f>'N9'!H22+'K9'!H22</f>
        <v>250</v>
      </c>
      <c r="I22" s="114">
        <f>'N9'!I22+'K9'!I22</f>
        <v>0</v>
      </c>
      <c r="J22" s="116">
        <f>'N9'!J22+'K9'!J22</f>
        <v>0</v>
      </c>
      <c r="K22" s="33">
        <f>'N9'!K22+'K9'!K22</f>
        <v>359</v>
      </c>
      <c r="L22" s="115">
        <f>'N9'!L22+'K9'!L22</f>
        <v>13</v>
      </c>
      <c r="M22" s="115">
        <f>'N9'!M22+'K9'!M22</f>
        <v>2</v>
      </c>
      <c r="N22" s="115">
        <f>'N9'!N22+'K9'!N22</f>
        <v>0</v>
      </c>
      <c r="O22" s="116">
        <f>'N9'!O22+'K9'!O22</f>
        <v>1</v>
      </c>
      <c r="P22" s="115">
        <f>'N9'!P22+'K9'!P22</f>
        <v>0</v>
      </c>
      <c r="Q22" s="116">
        <f>'N9'!Q22+'K9'!Q22</f>
        <v>0</v>
      </c>
      <c r="R22" s="121">
        <f>'N9'!R22+'K9'!R22</f>
        <v>0</v>
      </c>
      <c r="S22" s="121">
        <f>'N9'!S22+'K9'!S22</f>
        <v>0</v>
      </c>
      <c r="T22" s="33">
        <f>'N9'!T22+'K9'!T22</f>
        <v>16</v>
      </c>
      <c r="U22" s="115">
        <f>'N9'!U22+'K9'!U22</f>
        <v>0</v>
      </c>
      <c r="V22" s="115">
        <f>'N9'!V22+'K9'!V22</f>
        <v>0</v>
      </c>
      <c r="W22" s="115">
        <f>'N9'!W22+'K9'!W22</f>
        <v>0</v>
      </c>
      <c r="X22" s="116">
        <f>'N9'!X22+'K9'!X22</f>
        <v>0</v>
      </c>
      <c r="Y22" s="115">
        <f>'N9'!Y22+'K9'!Y22</f>
        <v>0</v>
      </c>
      <c r="Z22" s="116">
        <f>'N9'!Z22+'K9'!Z22</f>
        <v>0</v>
      </c>
      <c r="AA22" s="121">
        <f>'N9'!AA22+'K9'!AA22</f>
        <v>0</v>
      </c>
      <c r="AB22" s="121">
        <f>'N9'!AB22+'K9'!AB22</f>
        <v>0</v>
      </c>
      <c r="AC22" s="33">
        <f>'N9'!AC22+'K9'!AC22</f>
        <v>0</v>
      </c>
      <c r="AD22" s="12">
        <f>'N9'!AD22+'K9'!AD22</f>
        <v>375</v>
      </c>
      <c r="AE22" s="39"/>
      <c r="AF22" s="39"/>
      <c r="AG22" s="39"/>
      <c r="AH22" s="39"/>
      <c r="AI22" s="39"/>
      <c r="AJ22"/>
    </row>
    <row r="23" spans="1:36" x14ac:dyDescent="0.2">
      <c r="A23" s="5">
        <f>DAY(Kalenteri!A262)</f>
        <v>19</v>
      </c>
      <c r="B23" s="3" t="str">
        <f>IF(Kalenteri!B262=1,"su",IF(Kalenteri!B262=2,"ma",IF(Kalenteri!B262=3,"ti",IF(Kalenteri!B262=4,"ke",IF(Kalenteri!B262=5,"to",IF(Kalenteri!B262=6,"pe",IF(Kalenteri!B262=7,"la",)))))))</f>
        <v>to</v>
      </c>
      <c r="C23" s="114">
        <f>'N9'!C23+'K9'!C23</f>
        <v>54</v>
      </c>
      <c r="D23" s="115">
        <f>'N9'!D23+'K9'!D23</f>
        <v>6</v>
      </c>
      <c r="E23" s="115">
        <f>'N9'!E23+'K9'!E23</f>
        <v>2</v>
      </c>
      <c r="F23" s="116">
        <f>'N9'!F23+'K9'!F23</f>
        <v>3</v>
      </c>
      <c r="G23" s="114">
        <f>'N9'!G23+'K9'!G23</f>
        <v>0</v>
      </c>
      <c r="H23" s="116">
        <f>'N9'!H23+'K9'!H23</f>
        <v>12</v>
      </c>
      <c r="I23" s="114">
        <f>'N9'!I23+'K9'!I23</f>
        <v>0</v>
      </c>
      <c r="J23" s="116">
        <f>'N9'!J23+'K9'!J23</f>
        <v>0</v>
      </c>
      <c r="K23" s="33">
        <f>'N9'!K23+'K9'!K23</f>
        <v>77</v>
      </c>
      <c r="L23" s="115">
        <f>'N9'!L23+'K9'!L23</f>
        <v>19</v>
      </c>
      <c r="M23" s="115">
        <f>'N9'!M23+'K9'!M23</f>
        <v>0</v>
      </c>
      <c r="N23" s="115">
        <f>'N9'!N23+'K9'!N23</f>
        <v>0</v>
      </c>
      <c r="O23" s="116">
        <f>'N9'!O23+'K9'!O23</f>
        <v>0</v>
      </c>
      <c r="P23" s="115">
        <f>'N9'!P23+'K9'!P23</f>
        <v>2</v>
      </c>
      <c r="Q23" s="116">
        <f>'N9'!Q23+'K9'!Q23</f>
        <v>18</v>
      </c>
      <c r="R23" s="121">
        <f>'N9'!R23+'K9'!R23</f>
        <v>0</v>
      </c>
      <c r="S23" s="121">
        <f>'N9'!S23+'K9'!S23</f>
        <v>0</v>
      </c>
      <c r="T23" s="33">
        <f>'N9'!T23+'K9'!T23</f>
        <v>39</v>
      </c>
      <c r="U23" s="115">
        <f>'N9'!U23+'K9'!U23</f>
        <v>0</v>
      </c>
      <c r="V23" s="115">
        <f>'N9'!V23+'K9'!V23</f>
        <v>0</v>
      </c>
      <c r="W23" s="115">
        <f>'N9'!W23+'K9'!W23</f>
        <v>0</v>
      </c>
      <c r="X23" s="116">
        <f>'N9'!X23+'K9'!X23</f>
        <v>0</v>
      </c>
      <c r="Y23" s="115">
        <f>'N9'!Y23+'K9'!Y23</f>
        <v>0</v>
      </c>
      <c r="Z23" s="116">
        <f>'N9'!Z23+'K9'!Z23</f>
        <v>0</v>
      </c>
      <c r="AA23" s="121">
        <f>'N9'!AA23+'K9'!AA23</f>
        <v>0</v>
      </c>
      <c r="AB23" s="121">
        <f>'N9'!AB23+'K9'!AB23</f>
        <v>0</v>
      </c>
      <c r="AC23" s="33">
        <f>'N9'!AC23+'K9'!AC23</f>
        <v>0</v>
      </c>
      <c r="AD23" s="12">
        <f>'N9'!AD23+'K9'!AD23</f>
        <v>116</v>
      </c>
      <c r="AE23" s="39"/>
      <c r="AF23" s="39"/>
      <c r="AG23" s="39"/>
      <c r="AH23" s="39"/>
      <c r="AI23" s="39"/>
      <c r="AJ23"/>
    </row>
    <row r="24" spans="1:36" x14ac:dyDescent="0.2">
      <c r="A24" s="5">
        <f>DAY(Kalenteri!A263)</f>
        <v>20</v>
      </c>
      <c r="B24" s="3" t="str">
        <f>IF(Kalenteri!B263=1,"su",IF(Kalenteri!B263=2,"ma",IF(Kalenteri!B263=3,"ti",IF(Kalenteri!B263=4,"ke",IF(Kalenteri!B263=5,"to",IF(Kalenteri!B263=6,"pe",IF(Kalenteri!B263=7,"la",)))))))</f>
        <v>pe</v>
      </c>
      <c r="C24" s="114">
        <f>'N9'!C24+'K9'!C24</f>
        <v>164</v>
      </c>
      <c r="D24" s="115">
        <f>'N9'!D24+'K9'!D24</f>
        <v>27</v>
      </c>
      <c r="E24" s="115">
        <f>'N9'!E24+'K9'!E24</f>
        <v>0</v>
      </c>
      <c r="F24" s="116">
        <f>'N9'!F24+'K9'!F24</f>
        <v>7</v>
      </c>
      <c r="G24" s="114">
        <f>'N9'!G24+'K9'!G24</f>
        <v>34</v>
      </c>
      <c r="H24" s="116">
        <f>'N9'!H24+'K9'!H24</f>
        <v>54</v>
      </c>
      <c r="I24" s="114">
        <f>'N9'!I24+'K9'!I24</f>
        <v>0</v>
      </c>
      <c r="J24" s="116">
        <f>'N9'!J24+'K9'!J24</f>
        <v>0</v>
      </c>
      <c r="K24" s="33">
        <f>'N9'!K24+'K9'!K24</f>
        <v>286</v>
      </c>
      <c r="L24" s="115">
        <f>'N9'!L24+'K9'!L24</f>
        <v>90</v>
      </c>
      <c r="M24" s="115">
        <f>'N9'!M24+'K9'!M24</f>
        <v>2</v>
      </c>
      <c r="N24" s="115">
        <f>'N9'!N24+'K9'!N24</f>
        <v>0</v>
      </c>
      <c r="O24" s="116">
        <f>'N9'!O24+'K9'!O24</f>
        <v>0</v>
      </c>
      <c r="P24" s="115">
        <f>'N9'!P24+'K9'!P24</f>
        <v>0</v>
      </c>
      <c r="Q24" s="116">
        <f>'N9'!Q24+'K9'!Q24</f>
        <v>24</v>
      </c>
      <c r="R24" s="121">
        <f>'N9'!R24+'K9'!R24</f>
        <v>2</v>
      </c>
      <c r="S24" s="121">
        <f>'N9'!S24+'K9'!S24</f>
        <v>3</v>
      </c>
      <c r="T24" s="33">
        <f>'N9'!T24+'K9'!T24</f>
        <v>121</v>
      </c>
      <c r="U24" s="115">
        <f>'N9'!U24+'K9'!U24</f>
        <v>0</v>
      </c>
      <c r="V24" s="115">
        <f>'N9'!V24+'K9'!V24</f>
        <v>0</v>
      </c>
      <c r="W24" s="115">
        <f>'N9'!W24+'K9'!W24</f>
        <v>0</v>
      </c>
      <c r="X24" s="116">
        <f>'N9'!X24+'K9'!X24</f>
        <v>0</v>
      </c>
      <c r="Y24" s="115">
        <f>'N9'!Y24+'K9'!Y24</f>
        <v>0</v>
      </c>
      <c r="Z24" s="116">
        <f>'N9'!Z24+'K9'!Z24</f>
        <v>0</v>
      </c>
      <c r="AA24" s="121">
        <f>'N9'!AA24+'K9'!AA24</f>
        <v>0</v>
      </c>
      <c r="AB24" s="121">
        <f>'N9'!AB24+'K9'!AB24</f>
        <v>0</v>
      </c>
      <c r="AC24" s="33">
        <f>'N9'!AC24+'K9'!AC24</f>
        <v>0</v>
      </c>
      <c r="AD24" s="12">
        <f>'N9'!AD24+'K9'!AD24</f>
        <v>407</v>
      </c>
      <c r="AE24" s="39"/>
      <c r="AF24" s="39"/>
      <c r="AG24" s="39"/>
      <c r="AH24" s="39"/>
      <c r="AI24" s="39"/>
      <c r="AJ24" s="39"/>
    </row>
    <row r="25" spans="1:36" x14ac:dyDescent="0.2">
      <c r="A25" s="5">
        <f>DAY(Kalenteri!A264)</f>
        <v>21</v>
      </c>
      <c r="B25" s="3" t="str">
        <f>IF(Kalenteri!B264=1,"su",IF(Kalenteri!B264=2,"ma",IF(Kalenteri!B264=3,"ti",IF(Kalenteri!B264=4,"ke",IF(Kalenteri!B264=5,"to",IF(Kalenteri!B264=6,"pe",IF(Kalenteri!B264=7,"la",)))))))</f>
        <v>la</v>
      </c>
      <c r="C25" s="114">
        <f>'N9'!C25+'K9'!C25</f>
        <v>615</v>
      </c>
      <c r="D25" s="115">
        <f>'N9'!D25+'K9'!D25</f>
        <v>140</v>
      </c>
      <c r="E25" s="115">
        <f>'N9'!E25+'K9'!E25</f>
        <v>0</v>
      </c>
      <c r="F25" s="116">
        <f>'N9'!F25+'K9'!F25</f>
        <v>33</v>
      </c>
      <c r="G25" s="114">
        <f>'N9'!G25+'K9'!G25</f>
        <v>15</v>
      </c>
      <c r="H25" s="116">
        <f>'N9'!H25+'K9'!H25</f>
        <v>231</v>
      </c>
      <c r="I25" s="114">
        <f>'N9'!I25+'K9'!I25</f>
        <v>24</v>
      </c>
      <c r="J25" s="116">
        <f>'N9'!J25+'K9'!J25</f>
        <v>36</v>
      </c>
      <c r="K25" s="33">
        <f>'N9'!K25+'K9'!K25</f>
        <v>1094</v>
      </c>
      <c r="L25" s="115">
        <f>'N9'!L25+'K9'!L25</f>
        <v>260</v>
      </c>
      <c r="M25" s="115">
        <f>'N9'!M25+'K9'!M25</f>
        <v>45</v>
      </c>
      <c r="N25" s="115">
        <f>'N9'!N25+'K9'!N25</f>
        <v>0</v>
      </c>
      <c r="O25" s="116">
        <f>'N9'!O25+'K9'!O25</f>
        <v>0</v>
      </c>
      <c r="P25" s="115">
        <f>'N9'!P25+'K9'!P25</f>
        <v>0</v>
      </c>
      <c r="Q25" s="116">
        <f>'N9'!Q25+'K9'!Q25</f>
        <v>55</v>
      </c>
      <c r="R25" s="121">
        <f>'N9'!R25+'K9'!R25</f>
        <v>4</v>
      </c>
      <c r="S25" s="121">
        <f>'N9'!S25+'K9'!S25</f>
        <v>6</v>
      </c>
      <c r="T25" s="33">
        <f>'N9'!T25+'K9'!T25</f>
        <v>370</v>
      </c>
      <c r="U25" s="115">
        <f>'N9'!U25+'K9'!U25</f>
        <v>0</v>
      </c>
      <c r="V25" s="115">
        <f>'N9'!V25+'K9'!V25</f>
        <v>0</v>
      </c>
      <c r="W25" s="115">
        <f>'N9'!W25+'K9'!W25</f>
        <v>0</v>
      </c>
      <c r="X25" s="116">
        <f>'N9'!X25+'K9'!X25</f>
        <v>0</v>
      </c>
      <c r="Y25" s="115">
        <f>'N9'!Y25+'K9'!Y25</f>
        <v>0</v>
      </c>
      <c r="Z25" s="116">
        <f>'N9'!Z25+'K9'!Z25</f>
        <v>0</v>
      </c>
      <c r="AA25" s="121">
        <f>'N9'!AA25+'K9'!AA25</f>
        <v>0</v>
      </c>
      <c r="AB25" s="121">
        <f>'N9'!AB25+'K9'!AB25</f>
        <v>0</v>
      </c>
      <c r="AC25" s="33">
        <f>'N9'!AC25+'K9'!AC25</f>
        <v>0</v>
      </c>
      <c r="AD25" s="12">
        <f>'N9'!AD25+'K9'!AD25</f>
        <v>1464</v>
      </c>
      <c r="AE25" s="39"/>
      <c r="AF25" s="39"/>
      <c r="AG25" s="39"/>
      <c r="AH25" s="39"/>
      <c r="AI25" s="39"/>
      <c r="AJ25" s="39"/>
    </row>
    <row r="26" spans="1:36" x14ac:dyDescent="0.2">
      <c r="A26" s="5">
        <f>DAY(Kalenteri!A265)</f>
        <v>22</v>
      </c>
      <c r="B26" s="3" t="str">
        <f>IF(Kalenteri!B265=1,"su",IF(Kalenteri!B265=2,"ma",IF(Kalenteri!B265=3,"ti",IF(Kalenteri!B265=4,"ke",IF(Kalenteri!B265=5,"to",IF(Kalenteri!B265=6,"pe",IF(Kalenteri!B265=7,"la",)))))))</f>
        <v>su</v>
      </c>
      <c r="C26" s="114">
        <f>'N9'!C26+'K9'!C26</f>
        <v>671</v>
      </c>
      <c r="D26" s="115">
        <f>'N9'!D26+'K9'!D26</f>
        <v>156</v>
      </c>
      <c r="E26" s="115">
        <f>'N9'!E26+'K9'!E26</f>
        <v>0</v>
      </c>
      <c r="F26" s="116">
        <f>'N9'!F26+'K9'!F26</f>
        <v>22</v>
      </c>
      <c r="G26" s="114">
        <f>'N9'!G26+'K9'!G26</f>
        <v>7</v>
      </c>
      <c r="H26" s="116">
        <f>'N9'!H26+'K9'!H26</f>
        <v>182</v>
      </c>
      <c r="I26" s="114">
        <f>'N9'!I26+'K9'!I26</f>
        <v>14</v>
      </c>
      <c r="J26" s="116">
        <f>'N9'!J26+'K9'!J26</f>
        <v>21</v>
      </c>
      <c r="K26" s="33">
        <f>'N9'!K26+'K9'!K26</f>
        <v>1073</v>
      </c>
      <c r="L26" s="115">
        <f>'N9'!L26+'K9'!L26</f>
        <v>148</v>
      </c>
      <c r="M26" s="115">
        <f>'N9'!M26+'K9'!M26</f>
        <v>24</v>
      </c>
      <c r="N26" s="115">
        <f>'N9'!N26+'K9'!N26</f>
        <v>0</v>
      </c>
      <c r="O26" s="116">
        <f>'N9'!O26+'K9'!O26</f>
        <v>5</v>
      </c>
      <c r="P26" s="115">
        <f>'N9'!P26+'K9'!P26</f>
        <v>4</v>
      </c>
      <c r="Q26" s="116">
        <f>'N9'!Q26+'K9'!Q26</f>
        <v>34</v>
      </c>
      <c r="R26" s="121">
        <f>'N9'!R26+'K9'!R26</f>
        <v>0</v>
      </c>
      <c r="S26" s="121">
        <f>'N9'!S26+'K9'!S26</f>
        <v>0</v>
      </c>
      <c r="T26" s="33">
        <f>'N9'!T26+'K9'!T26</f>
        <v>215</v>
      </c>
      <c r="U26" s="115">
        <f>'N9'!U26+'K9'!U26</f>
        <v>0</v>
      </c>
      <c r="V26" s="115">
        <f>'N9'!V26+'K9'!V26</f>
        <v>0</v>
      </c>
      <c r="W26" s="115">
        <f>'N9'!W26+'K9'!W26</f>
        <v>0</v>
      </c>
      <c r="X26" s="116">
        <f>'N9'!X26+'K9'!X26</f>
        <v>0</v>
      </c>
      <c r="Y26" s="115">
        <f>'N9'!Y26+'K9'!Y26</f>
        <v>0</v>
      </c>
      <c r="Z26" s="116">
        <f>'N9'!Z26+'K9'!Z26</f>
        <v>0</v>
      </c>
      <c r="AA26" s="121">
        <f>'N9'!AA26+'K9'!AA26</f>
        <v>0</v>
      </c>
      <c r="AB26" s="121">
        <f>'N9'!AB26+'K9'!AB26</f>
        <v>0</v>
      </c>
      <c r="AC26" s="33">
        <f>'N9'!AC26+'K9'!AC26</f>
        <v>0</v>
      </c>
      <c r="AD26" s="12">
        <f>'N9'!AD26+'K9'!AD26</f>
        <v>1288</v>
      </c>
      <c r="AE26" s="39"/>
      <c r="AF26" s="39"/>
      <c r="AG26" s="39"/>
      <c r="AH26" s="39"/>
      <c r="AI26" s="39"/>
      <c r="AJ26" s="39"/>
    </row>
    <row r="27" spans="1:36" x14ac:dyDescent="0.2">
      <c r="A27" s="5">
        <f>DAY(Kalenteri!A266)</f>
        <v>23</v>
      </c>
      <c r="B27" s="3" t="str">
        <f>IF(Kalenteri!B266=1,"su",IF(Kalenteri!B266=2,"ma",IF(Kalenteri!B266=3,"ti",IF(Kalenteri!B266=4,"ke",IF(Kalenteri!B266=5,"to",IF(Kalenteri!B266=6,"pe",IF(Kalenteri!B266=7,"la",)))))))</f>
        <v>ma</v>
      </c>
      <c r="C27" s="114">
        <f>'N9'!C27+'K9'!C27</f>
        <v>88</v>
      </c>
      <c r="D27" s="115">
        <f>'N9'!D27+'K9'!D27</f>
        <v>5</v>
      </c>
      <c r="E27" s="115">
        <f>'N9'!E27+'K9'!E27</f>
        <v>0</v>
      </c>
      <c r="F27" s="116">
        <f>'N9'!F27+'K9'!F27</f>
        <v>3</v>
      </c>
      <c r="G27" s="114">
        <f>'N9'!G27+'K9'!G27</f>
        <v>3</v>
      </c>
      <c r="H27" s="116">
        <f>'N9'!H27+'K9'!H27</f>
        <v>35</v>
      </c>
      <c r="I27" s="114">
        <f>'N9'!I27+'K9'!I27</f>
        <v>2</v>
      </c>
      <c r="J27" s="116">
        <f>'N9'!J27+'K9'!J27</f>
        <v>3</v>
      </c>
      <c r="K27" s="33">
        <f>'N9'!K27+'K9'!K27</f>
        <v>139</v>
      </c>
      <c r="L27" s="115">
        <f>'N9'!L27+'K9'!L27</f>
        <v>33</v>
      </c>
      <c r="M27" s="115">
        <f>'N9'!M27+'K9'!M27</f>
        <v>1</v>
      </c>
      <c r="N27" s="115">
        <f>'N9'!N27+'K9'!N27</f>
        <v>0</v>
      </c>
      <c r="O27" s="116">
        <f>'N9'!O27+'K9'!O27</f>
        <v>0</v>
      </c>
      <c r="P27" s="115">
        <f>'N9'!P27+'K9'!P27</f>
        <v>0</v>
      </c>
      <c r="Q27" s="116">
        <f>'N9'!Q27+'K9'!Q27</f>
        <v>10</v>
      </c>
      <c r="R27" s="121">
        <f>'N9'!R27+'K9'!R27</f>
        <v>0</v>
      </c>
      <c r="S27" s="121">
        <f>'N9'!S27+'K9'!S27</f>
        <v>0</v>
      </c>
      <c r="T27" s="33">
        <f>'N9'!T27+'K9'!T27</f>
        <v>44</v>
      </c>
      <c r="U27" s="115">
        <f>'N9'!U27+'K9'!U27</f>
        <v>0</v>
      </c>
      <c r="V27" s="115">
        <f>'N9'!V27+'K9'!V27</f>
        <v>0</v>
      </c>
      <c r="W27" s="115">
        <f>'N9'!W27+'K9'!W27</f>
        <v>0</v>
      </c>
      <c r="X27" s="116">
        <f>'N9'!X27+'K9'!X27</f>
        <v>0</v>
      </c>
      <c r="Y27" s="115">
        <f>'N9'!Y27+'K9'!Y27</f>
        <v>0</v>
      </c>
      <c r="Z27" s="116">
        <f>'N9'!Z27+'K9'!Z27</f>
        <v>0</v>
      </c>
      <c r="AA27" s="121">
        <f>'N9'!AA27+'K9'!AA27</f>
        <v>0</v>
      </c>
      <c r="AB27" s="121">
        <f>'N9'!AB27+'K9'!AB27</f>
        <v>0</v>
      </c>
      <c r="AC27" s="33">
        <f>'N9'!AC27+'K9'!AC27</f>
        <v>0</v>
      </c>
      <c r="AD27" s="12">
        <f>'N9'!AD27+'K9'!AD27</f>
        <v>183</v>
      </c>
      <c r="AE27" s="39"/>
      <c r="AF27" s="39"/>
      <c r="AG27" s="39"/>
      <c r="AH27" s="39"/>
      <c r="AI27" s="39"/>
      <c r="AJ27" s="39"/>
    </row>
    <row r="28" spans="1:36" x14ac:dyDescent="0.2">
      <c r="A28" s="5">
        <f>DAY(Kalenteri!A267)</f>
        <v>24</v>
      </c>
      <c r="B28" s="3" t="str">
        <f>IF(Kalenteri!B267=1,"su",IF(Kalenteri!B267=2,"ma",IF(Kalenteri!B267=3,"ti",IF(Kalenteri!B267=4,"ke",IF(Kalenteri!B267=5,"to",IF(Kalenteri!B267=6,"pe",IF(Kalenteri!B267=7,"la",)))))))</f>
        <v>ti</v>
      </c>
      <c r="C28" s="114">
        <f>'N9'!C28+'K9'!C28</f>
        <v>76</v>
      </c>
      <c r="D28" s="115">
        <f>'N9'!D28+'K9'!D28</f>
        <v>19</v>
      </c>
      <c r="E28" s="115">
        <f>'N9'!E28+'K9'!E28</f>
        <v>0</v>
      </c>
      <c r="F28" s="116">
        <f>'N9'!F28+'K9'!F28</f>
        <v>3</v>
      </c>
      <c r="G28" s="114">
        <f>'N9'!G28+'K9'!G28</f>
        <v>9</v>
      </c>
      <c r="H28" s="116">
        <f>'N9'!H28+'K9'!H28</f>
        <v>44</v>
      </c>
      <c r="I28" s="114">
        <f>'N9'!I28+'K9'!I28</f>
        <v>0</v>
      </c>
      <c r="J28" s="116">
        <f>'N9'!J28+'K9'!J28</f>
        <v>0</v>
      </c>
      <c r="K28" s="33">
        <f>'N9'!K28+'K9'!K28</f>
        <v>151</v>
      </c>
      <c r="L28" s="115">
        <f>'N9'!L28+'K9'!L28</f>
        <v>33</v>
      </c>
      <c r="M28" s="115">
        <f>'N9'!M28+'K9'!M28</f>
        <v>1</v>
      </c>
      <c r="N28" s="115">
        <f>'N9'!N28+'K9'!N28</f>
        <v>0</v>
      </c>
      <c r="O28" s="116">
        <f>'N9'!O28+'K9'!O28</f>
        <v>0</v>
      </c>
      <c r="P28" s="115">
        <f>'N9'!P28+'K9'!P28</f>
        <v>1</v>
      </c>
      <c r="Q28" s="116">
        <f>'N9'!Q28+'K9'!Q28</f>
        <v>21</v>
      </c>
      <c r="R28" s="121">
        <f>'N9'!R28+'K9'!R28</f>
        <v>0</v>
      </c>
      <c r="S28" s="121">
        <f>'N9'!S28+'K9'!S28</f>
        <v>0</v>
      </c>
      <c r="T28" s="33">
        <f>'N9'!T28+'K9'!T28</f>
        <v>56</v>
      </c>
      <c r="U28" s="115">
        <f>'N9'!U28+'K9'!U28</f>
        <v>0</v>
      </c>
      <c r="V28" s="115">
        <f>'N9'!V28+'K9'!V28</f>
        <v>0</v>
      </c>
      <c r="W28" s="115">
        <f>'N9'!W28+'K9'!W28</f>
        <v>0</v>
      </c>
      <c r="X28" s="116">
        <f>'N9'!X28+'K9'!X28</f>
        <v>0</v>
      </c>
      <c r="Y28" s="115">
        <f>'N9'!Y28+'K9'!Y28</f>
        <v>0</v>
      </c>
      <c r="Z28" s="116">
        <f>'N9'!Z28+'K9'!Z28</f>
        <v>0</v>
      </c>
      <c r="AA28" s="121">
        <f>'N9'!AA28+'K9'!AA28</f>
        <v>0</v>
      </c>
      <c r="AB28" s="121">
        <f>'N9'!AB28+'K9'!AB28</f>
        <v>0</v>
      </c>
      <c r="AC28" s="33">
        <f>'N9'!AC28+'K9'!AC28</f>
        <v>0</v>
      </c>
      <c r="AD28" s="12">
        <f>'N9'!AD28+'K9'!AD28</f>
        <v>207</v>
      </c>
      <c r="AE28" s="39"/>
      <c r="AF28" s="39"/>
      <c r="AG28" s="39"/>
      <c r="AH28" s="39"/>
      <c r="AI28" s="39"/>
      <c r="AJ28" s="39"/>
    </row>
    <row r="29" spans="1:36" x14ac:dyDescent="0.2">
      <c r="A29" s="5">
        <f>DAY(Kalenteri!A268)</f>
        <v>25</v>
      </c>
      <c r="B29" s="3" t="str">
        <f>IF(Kalenteri!B268=1,"su",IF(Kalenteri!B268=2,"ma",IF(Kalenteri!B268=3,"ti",IF(Kalenteri!B268=4,"ke",IF(Kalenteri!B268=5,"to",IF(Kalenteri!B268=6,"pe",IF(Kalenteri!B268=7,"la",)))))))</f>
        <v>ke</v>
      </c>
      <c r="C29" s="114">
        <f>'N9'!C29+'K9'!C29</f>
        <v>84</v>
      </c>
      <c r="D29" s="115">
        <f>'N9'!D29+'K9'!D29</f>
        <v>6</v>
      </c>
      <c r="E29" s="115">
        <f>'N9'!E29+'K9'!E29</f>
        <v>4</v>
      </c>
      <c r="F29" s="116">
        <f>'N9'!F29+'K9'!F29</f>
        <v>3</v>
      </c>
      <c r="G29" s="114">
        <f>'N9'!G29+'K9'!G29</f>
        <v>90</v>
      </c>
      <c r="H29" s="116">
        <f>'N9'!H29+'K9'!H29</f>
        <v>734</v>
      </c>
      <c r="I29" s="114">
        <f>'N9'!I29+'K9'!I29</f>
        <v>0</v>
      </c>
      <c r="J29" s="116">
        <f>'N9'!J29+'K9'!J29</f>
        <v>0</v>
      </c>
      <c r="K29" s="33">
        <f>'N9'!K29+'K9'!K29</f>
        <v>921</v>
      </c>
      <c r="L29" s="115">
        <f>'N9'!L29+'K9'!L29</f>
        <v>34</v>
      </c>
      <c r="M29" s="115">
        <f>'N9'!M29+'K9'!M29</f>
        <v>3</v>
      </c>
      <c r="N29" s="115">
        <f>'N9'!N29+'K9'!N29</f>
        <v>0</v>
      </c>
      <c r="O29" s="116">
        <f>'N9'!O29+'K9'!O29</f>
        <v>0</v>
      </c>
      <c r="P29" s="115">
        <f>'N9'!P29+'K9'!P29</f>
        <v>79</v>
      </c>
      <c r="Q29" s="116">
        <f>'N9'!Q29+'K9'!Q29</f>
        <v>758</v>
      </c>
      <c r="R29" s="121">
        <f>'N9'!R29+'K9'!R29</f>
        <v>0</v>
      </c>
      <c r="S29" s="121">
        <f>'N9'!S29+'K9'!S29</f>
        <v>0</v>
      </c>
      <c r="T29" s="33">
        <f>'N9'!T29+'K9'!T29</f>
        <v>874</v>
      </c>
      <c r="U29" s="115">
        <f>'N9'!U29+'K9'!U29</f>
        <v>0</v>
      </c>
      <c r="V29" s="115">
        <f>'N9'!V29+'K9'!V29</f>
        <v>0</v>
      </c>
      <c r="W29" s="115">
        <f>'N9'!W29+'K9'!W29</f>
        <v>0</v>
      </c>
      <c r="X29" s="116">
        <f>'N9'!X29+'K9'!X29</f>
        <v>0</v>
      </c>
      <c r="Y29" s="115">
        <f>'N9'!Y29+'K9'!Y29</f>
        <v>0</v>
      </c>
      <c r="Z29" s="116">
        <f>'N9'!Z29+'K9'!Z29</f>
        <v>0</v>
      </c>
      <c r="AA29" s="121">
        <f>'N9'!AA29+'K9'!AA29</f>
        <v>0</v>
      </c>
      <c r="AB29" s="121">
        <f>'N9'!AB29+'K9'!AB29</f>
        <v>0</v>
      </c>
      <c r="AC29" s="33">
        <f>'N9'!AC29+'K9'!AC29</f>
        <v>0</v>
      </c>
      <c r="AD29" s="12">
        <f>'N9'!AD29+'K9'!AD29</f>
        <v>1795</v>
      </c>
      <c r="AE29" s="39"/>
      <c r="AF29" s="39"/>
      <c r="AG29" s="39"/>
      <c r="AH29" s="39"/>
      <c r="AI29" s="39"/>
      <c r="AJ29" s="39"/>
    </row>
    <row r="30" spans="1:36" x14ac:dyDescent="0.2">
      <c r="A30" s="5">
        <f>DAY(Kalenteri!A269)</f>
        <v>26</v>
      </c>
      <c r="B30" s="3" t="str">
        <f>IF(Kalenteri!B269=1,"su",IF(Kalenteri!B269=2,"ma",IF(Kalenteri!B269=3,"ti",IF(Kalenteri!B269=4,"ke",IF(Kalenteri!B269=5,"to",IF(Kalenteri!B269=6,"pe",IF(Kalenteri!B269=7,"la",)))))))</f>
        <v>to</v>
      </c>
      <c r="C30" s="114">
        <f>'N9'!C30+'K9'!C30</f>
        <v>93</v>
      </c>
      <c r="D30" s="115">
        <f>'N9'!D30+'K9'!D30</f>
        <v>13</v>
      </c>
      <c r="E30" s="115">
        <f>'N9'!E30+'K9'!E30</f>
        <v>0</v>
      </c>
      <c r="F30" s="116">
        <f>'N9'!F30+'K9'!F30</f>
        <v>8</v>
      </c>
      <c r="G30" s="114">
        <f>'N9'!G30+'K9'!G30</f>
        <v>5</v>
      </c>
      <c r="H30" s="116">
        <f>'N9'!H30+'K9'!H30</f>
        <v>17</v>
      </c>
      <c r="I30" s="114">
        <f>'N9'!I30+'K9'!I30</f>
        <v>2</v>
      </c>
      <c r="J30" s="116">
        <f>'N9'!J30+'K9'!J30</f>
        <v>3</v>
      </c>
      <c r="K30" s="33">
        <f>'N9'!K30+'K9'!K30</f>
        <v>141</v>
      </c>
      <c r="L30" s="115">
        <f>'N9'!L30+'K9'!L30</f>
        <v>27</v>
      </c>
      <c r="M30" s="115">
        <f>'N9'!M30+'K9'!M30</f>
        <v>15</v>
      </c>
      <c r="N30" s="115">
        <f>'N9'!N30+'K9'!N30</f>
        <v>0</v>
      </c>
      <c r="O30" s="116">
        <f>'N9'!O30+'K9'!O30</f>
        <v>0</v>
      </c>
      <c r="P30" s="115">
        <f>'N9'!P30+'K9'!P30</f>
        <v>0</v>
      </c>
      <c r="Q30" s="116">
        <f>'N9'!Q30+'K9'!Q30</f>
        <v>11</v>
      </c>
      <c r="R30" s="121">
        <f>'N9'!R30+'K9'!R30</f>
        <v>0</v>
      </c>
      <c r="S30" s="121">
        <f>'N9'!S30+'K9'!S30</f>
        <v>0</v>
      </c>
      <c r="T30" s="33">
        <f>'N9'!T30+'K9'!T30</f>
        <v>53</v>
      </c>
      <c r="U30" s="115">
        <f>'N9'!U30+'K9'!U30</f>
        <v>0</v>
      </c>
      <c r="V30" s="115">
        <f>'N9'!V30+'K9'!V30</f>
        <v>0</v>
      </c>
      <c r="W30" s="115">
        <f>'N9'!W30+'K9'!W30</f>
        <v>0</v>
      </c>
      <c r="X30" s="116">
        <f>'N9'!X30+'K9'!X30</f>
        <v>0</v>
      </c>
      <c r="Y30" s="115">
        <f>'N9'!Y30+'K9'!Y30</f>
        <v>0</v>
      </c>
      <c r="Z30" s="116">
        <f>'N9'!Z30+'K9'!Z30</f>
        <v>0</v>
      </c>
      <c r="AA30" s="121">
        <f>'N9'!AA30+'K9'!AA30</f>
        <v>0</v>
      </c>
      <c r="AB30" s="121">
        <f>'N9'!AB30+'K9'!AB30</f>
        <v>0</v>
      </c>
      <c r="AC30" s="33">
        <f>'N9'!AC30+'K9'!AC30</f>
        <v>0</v>
      </c>
      <c r="AD30" s="12">
        <f>'N9'!AD30+'K9'!AD30</f>
        <v>194</v>
      </c>
      <c r="AE30" s="39"/>
      <c r="AF30" s="39"/>
      <c r="AG30" s="39"/>
      <c r="AH30" s="39"/>
      <c r="AI30" s="39"/>
      <c r="AJ30" s="39"/>
    </row>
    <row r="31" spans="1:36" x14ac:dyDescent="0.2">
      <c r="A31" s="5">
        <f>DAY(Kalenteri!A270)</f>
        <v>27</v>
      </c>
      <c r="B31" s="3" t="str">
        <f>IF(Kalenteri!B270=1,"su",IF(Kalenteri!B270=2,"ma",IF(Kalenteri!B270=3,"ti",IF(Kalenteri!B270=4,"ke",IF(Kalenteri!B270=5,"to",IF(Kalenteri!B270=6,"pe",IF(Kalenteri!B270=7,"la",)))))))</f>
        <v>pe</v>
      </c>
      <c r="C31" s="114">
        <f>'N9'!C31+'K9'!C31</f>
        <v>96</v>
      </c>
      <c r="D31" s="115">
        <f>'N9'!D31+'K9'!D31</f>
        <v>18</v>
      </c>
      <c r="E31" s="115">
        <f>'N9'!E31+'K9'!E31</f>
        <v>2</v>
      </c>
      <c r="F31" s="116">
        <f>'N9'!F31+'K9'!F31</f>
        <v>4</v>
      </c>
      <c r="G31" s="114">
        <f>'N9'!G31+'K9'!G31</f>
        <v>82</v>
      </c>
      <c r="H31" s="116">
        <f>'N9'!H31+'K9'!H31</f>
        <v>112</v>
      </c>
      <c r="I31" s="114">
        <f>'N9'!I31+'K9'!I31</f>
        <v>2</v>
      </c>
      <c r="J31" s="116">
        <f>'N9'!J31+'K9'!J31</f>
        <v>3</v>
      </c>
      <c r="K31" s="33">
        <f>'N9'!K31+'K9'!K31</f>
        <v>319</v>
      </c>
      <c r="L31" s="115">
        <f>'N9'!L31+'K9'!L31</f>
        <v>51</v>
      </c>
      <c r="M31" s="115">
        <f>'N9'!M31+'K9'!M31</f>
        <v>15</v>
      </c>
      <c r="N31" s="115">
        <f>'N9'!N31+'K9'!N31</f>
        <v>0</v>
      </c>
      <c r="O31" s="116">
        <f>'N9'!O31+'K9'!O31</f>
        <v>0</v>
      </c>
      <c r="P31" s="115">
        <f>'N9'!P31+'K9'!P31</f>
        <v>0</v>
      </c>
      <c r="Q31" s="116">
        <f>'N9'!Q31+'K9'!Q31</f>
        <v>8</v>
      </c>
      <c r="R31" s="121">
        <f>'N9'!R31+'K9'!R31</f>
        <v>2</v>
      </c>
      <c r="S31" s="121">
        <f>'N9'!S31+'K9'!S31</f>
        <v>3</v>
      </c>
      <c r="T31" s="33">
        <f>'N9'!T31+'K9'!T31</f>
        <v>79</v>
      </c>
      <c r="U31" s="115">
        <f>'N9'!U31+'K9'!U31</f>
        <v>0</v>
      </c>
      <c r="V31" s="115">
        <f>'N9'!V31+'K9'!V31</f>
        <v>0</v>
      </c>
      <c r="W31" s="115">
        <f>'N9'!W31+'K9'!W31</f>
        <v>0</v>
      </c>
      <c r="X31" s="116">
        <f>'N9'!X31+'K9'!X31</f>
        <v>0</v>
      </c>
      <c r="Y31" s="115">
        <f>'N9'!Y31+'K9'!Y31</f>
        <v>0</v>
      </c>
      <c r="Z31" s="116">
        <f>'N9'!Z31+'K9'!Z31</f>
        <v>0</v>
      </c>
      <c r="AA31" s="121">
        <f>'N9'!AA31+'K9'!AA31</f>
        <v>0</v>
      </c>
      <c r="AB31" s="121">
        <f>'N9'!AB31+'K9'!AB31</f>
        <v>0</v>
      </c>
      <c r="AC31" s="33">
        <f>'N9'!AC31+'K9'!AC31</f>
        <v>0</v>
      </c>
      <c r="AD31" s="12">
        <f>'N9'!AD31+'K9'!AD31</f>
        <v>398</v>
      </c>
      <c r="AE31" s="39"/>
      <c r="AF31" s="39"/>
      <c r="AG31" s="39"/>
      <c r="AH31" s="39"/>
      <c r="AI31" s="39"/>
      <c r="AJ31" s="39"/>
    </row>
    <row r="32" spans="1:36" x14ac:dyDescent="0.2">
      <c r="A32" s="5">
        <f>DAY(Kalenteri!A271)</f>
        <v>28</v>
      </c>
      <c r="B32" s="3" t="str">
        <f>IF(Kalenteri!B271=1,"su",IF(Kalenteri!B271=2,"ma",IF(Kalenteri!B271=3,"ti",IF(Kalenteri!B271=4,"ke",IF(Kalenteri!B271=5,"to",IF(Kalenteri!B271=6,"pe",IF(Kalenteri!B271=7,"la",)))))))</f>
        <v>la</v>
      </c>
      <c r="C32" s="114">
        <f>'N9'!C32+'K9'!C32</f>
        <v>569</v>
      </c>
      <c r="D32" s="115">
        <f>'N9'!D32+'K9'!D32</f>
        <v>134</v>
      </c>
      <c r="E32" s="115">
        <f>'N9'!E32+'K9'!E32</f>
        <v>0</v>
      </c>
      <c r="F32" s="116">
        <f>'N9'!F32+'K9'!F32</f>
        <v>27</v>
      </c>
      <c r="G32" s="114">
        <f>'N9'!G32+'K9'!G32</f>
        <v>25</v>
      </c>
      <c r="H32" s="116">
        <f>'N9'!H32+'K9'!H32</f>
        <v>155</v>
      </c>
      <c r="I32" s="114">
        <f>'N9'!I32+'K9'!I32</f>
        <v>12</v>
      </c>
      <c r="J32" s="116">
        <f>'N9'!J32+'K9'!J32</f>
        <v>18</v>
      </c>
      <c r="K32" s="33">
        <f>'N9'!K32+'K9'!K32</f>
        <v>940</v>
      </c>
      <c r="L32" s="115">
        <f>'N9'!L32+'K9'!L32</f>
        <v>164</v>
      </c>
      <c r="M32" s="115">
        <f>'N9'!M32+'K9'!M32</f>
        <v>27</v>
      </c>
      <c r="N32" s="115">
        <f>'N9'!N32+'K9'!N32</f>
        <v>0</v>
      </c>
      <c r="O32" s="116">
        <f>'N9'!O32+'K9'!O32</f>
        <v>0</v>
      </c>
      <c r="P32" s="115">
        <f>'N9'!P32+'K9'!P32</f>
        <v>0</v>
      </c>
      <c r="Q32" s="116">
        <f>'N9'!Q32+'K9'!Q32</f>
        <v>21</v>
      </c>
      <c r="R32" s="121">
        <f>'N9'!R32+'K9'!R32</f>
        <v>6</v>
      </c>
      <c r="S32" s="121">
        <f>'N9'!S32+'K9'!S32</f>
        <v>9</v>
      </c>
      <c r="T32" s="33">
        <f>'N9'!T32+'K9'!T32</f>
        <v>227</v>
      </c>
      <c r="U32" s="115">
        <f>'N9'!U32+'K9'!U32</f>
        <v>0</v>
      </c>
      <c r="V32" s="115">
        <f>'N9'!V32+'K9'!V32</f>
        <v>0</v>
      </c>
      <c r="W32" s="115">
        <f>'N9'!W32+'K9'!W32</f>
        <v>0</v>
      </c>
      <c r="X32" s="116">
        <f>'N9'!X32+'K9'!X32</f>
        <v>0</v>
      </c>
      <c r="Y32" s="115">
        <f>'N9'!Y32+'K9'!Y32</f>
        <v>0</v>
      </c>
      <c r="Z32" s="116">
        <f>'N9'!Z32+'K9'!Z32</f>
        <v>0</v>
      </c>
      <c r="AA32" s="121">
        <f>'N9'!AA32+'K9'!AA32</f>
        <v>0</v>
      </c>
      <c r="AB32" s="121">
        <f>'N9'!AB32+'K9'!AB32</f>
        <v>0</v>
      </c>
      <c r="AC32" s="33">
        <f>'N9'!AC32+'K9'!AC32</f>
        <v>0</v>
      </c>
      <c r="AD32" s="12">
        <f>'N9'!AD32+'K9'!AD32</f>
        <v>1167</v>
      </c>
      <c r="AE32" s="39"/>
      <c r="AF32" s="39"/>
      <c r="AG32" s="39"/>
      <c r="AH32" s="39"/>
      <c r="AI32" s="39"/>
      <c r="AJ32" s="39"/>
    </row>
    <row r="33" spans="1:36" x14ac:dyDescent="0.2">
      <c r="A33" s="5">
        <f>DAY(Kalenteri!A272)</f>
        <v>29</v>
      </c>
      <c r="B33" s="3" t="str">
        <f>IF(Kalenteri!B272=1,"su",IF(Kalenteri!B272=2,"ma",IF(Kalenteri!B272=3,"ti",IF(Kalenteri!B272=4,"ke",IF(Kalenteri!B272=5,"to",IF(Kalenteri!B272=6,"pe",IF(Kalenteri!B272=7,"la",)))))))</f>
        <v>su</v>
      </c>
      <c r="C33" s="114">
        <f>'N9'!C33+'K9'!C33</f>
        <v>461</v>
      </c>
      <c r="D33" s="115">
        <f>'N9'!D33+'K9'!D33</f>
        <v>92</v>
      </c>
      <c r="E33" s="115">
        <f>'N9'!E33+'K9'!E33</f>
        <v>4</v>
      </c>
      <c r="F33" s="116">
        <f>'N9'!F33+'K9'!F33</f>
        <v>33</v>
      </c>
      <c r="G33" s="114">
        <f>'N9'!G33+'K9'!G33</f>
        <v>9</v>
      </c>
      <c r="H33" s="116">
        <f>'N9'!H33+'K9'!H33</f>
        <v>133</v>
      </c>
      <c r="I33" s="114">
        <f>'N9'!I33+'K9'!I33</f>
        <v>10</v>
      </c>
      <c r="J33" s="116">
        <f>'N9'!J33+'K9'!J33</f>
        <v>15</v>
      </c>
      <c r="K33" s="33">
        <f>'N9'!K33+'K9'!K33</f>
        <v>757</v>
      </c>
      <c r="L33" s="115">
        <f>'N9'!L33+'K9'!L33</f>
        <v>79</v>
      </c>
      <c r="M33" s="115">
        <f>'N9'!M33+'K9'!M33</f>
        <v>7</v>
      </c>
      <c r="N33" s="115">
        <f>'N9'!N33+'K9'!N33</f>
        <v>0</v>
      </c>
      <c r="O33" s="116">
        <f>'N9'!O33+'K9'!O33</f>
        <v>0</v>
      </c>
      <c r="P33" s="115">
        <f>'N9'!P33+'K9'!P33</f>
        <v>0</v>
      </c>
      <c r="Q33" s="116">
        <f>'N9'!Q33+'K9'!Q33</f>
        <v>8</v>
      </c>
      <c r="R33" s="121">
        <f>'N9'!R33+'K9'!R33</f>
        <v>0</v>
      </c>
      <c r="S33" s="121">
        <f>'N9'!S33+'K9'!S33</f>
        <v>0</v>
      </c>
      <c r="T33" s="33">
        <f>'N9'!T33+'K9'!T33</f>
        <v>94</v>
      </c>
      <c r="U33" s="115">
        <f>'N9'!U33+'K9'!U33</f>
        <v>0</v>
      </c>
      <c r="V33" s="115">
        <f>'N9'!V33+'K9'!V33</f>
        <v>0</v>
      </c>
      <c r="W33" s="115">
        <f>'N9'!W33+'K9'!W33</f>
        <v>0</v>
      </c>
      <c r="X33" s="116">
        <f>'N9'!X33+'K9'!X33</f>
        <v>0</v>
      </c>
      <c r="Y33" s="115">
        <f>'N9'!Y33+'K9'!Y33</f>
        <v>0</v>
      </c>
      <c r="Z33" s="116">
        <f>'N9'!Z33+'K9'!Z33</f>
        <v>0</v>
      </c>
      <c r="AA33" s="121">
        <f>'N9'!AA33+'K9'!AA33</f>
        <v>0</v>
      </c>
      <c r="AB33" s="121">
        <f>'N9'!AB33+'K9'!AB33</f>
        <v>0</v>
      </c>
      <c r="AC33" s="33">
        <f>'N9'!AC33+'K9'!AC33</f>
        <v>0</v>
      </c>
      <c r="AD33" s="12">
        <f>'N9'!AD33+'K9'!AD33</f>
        <v>851</v>
      </c>
      <c r="AE33" s="39"/>
      <c r="AF33" s="39"/>
      <c r="AG33" s="39"/>
      <c r="AH33" s="39"/>
      <c r="AI33" s="39"/>
      <c r="AJ33" s="39"/>
    </row>
    <row r="34" spans="1:36" x14ac:dyDescent="0.2">
      <c r="A34" s="5">
        <f>DAY(Kalenteri!A273)</f>
        <v>30</v>
      </c>
      <c r="B34" s="3" t="str">
        <f>IF(Kalenteri!B273=1,"su",IF(Kalenteri!B273=2,"ma",IF(Kalenteri!B273=3,"ti",IF(Kalenteri!B273=4,"ke",IF(Kalenteri!B273=5,"to",IF(Kalenteri!B273=6,"pe",IF(Kalenteri!B273=7,"la",)))))))</f>
        <v>ma</v>
      </c>
      <c r="C34" s="114">
        <f>'N9'!C34+'K9'!C34</f>
        <v>53</v>
      </c>
      <c r="D34" s="115">
        <f>'N9'!D34+'K9'!D34</f>
        <v>7</v>
      </c>
      <c r="E34" s="115">
        <f>'N9'!E34+'K9'!E34</f>
        <v>0</v>
      </c>
      <c r="F34" s="116">
        <f>'N9'!F34+'K9'!F34</f>
        <v>3</v>
      </c>
      <c r="G34" s="114">
        <f>'N9'!G34+'K9'!G34</f>
        <v>2</v>
      </c>
      <c r="H34" s="116">
        <f>'N9'!H34+'K9'!H34</f>
        <v>16</v>
      </c>
      <c r="I34" s="114">
        <f>'N9'!I34+'K9'!I34</f>
        <v>0</v>
      </c>
      <c r="J34" s="116">
        <f>'N9'!J34+'K9'!J34</f>
        <v>0</v>
      </c>
      <c r="K34" s="33">
        <f>'N9'!K34+'K9'!K34</f>
        <v>81</v>
      </c>
      <c r="L34" s="115">
        <f>'N9'!L34+'K9'!L34</f>
        <v>12</v>
      </c>
      <c r="M34" s="115">
        <f>'N9'!M34+'K9'!M34</f>
        <v>2</v>
      </c>
      <c r="N34" s="115">
        <f>'N9'!N34+'K9'!N34</f>
        <v>0</v>
      </c>
      <c r="O34" s="116">
        <f>'N9'!O34+'K9'!O34</f>
        <v>0</v>
      </c>
      <c r="P34" s="115">
        <f>'N9'!P34+'K9'!P34</f>
        <v>0</v>
      </c>
      <c r="Q34" s="116">
        <f>'N9'!Q34+'K9'!Q34</f>
        <v>4</v>
      </c>
      <c r="R34" s="121">
        <f>'N9'!R34+'K9'!R34</f>
        <v>0</v>
      </c>
      <c r="S34" s="121">
        <f>'N9'!S34+'K9'!S34</f>
        <v>0</v>
      </c>
      <c r="T34" s="33">
        <f>'N9'!T34+'K9'!T34</f>
        <v>18</v>
      </c>
      <c r="U34" s="115">
        <f>'N9'!U34+'K9'!U34</f>
        <v>0</v>
      </c>
      <c r="V34" s="115">
        <f>'N9'!V34+'K9'!V34</f>
        <v>0</v>
      </c>
      <c r="W34" s="115">
        <f>'N9'!W34+'K9'!W34</f>
        <v>0</v>
      </c>
      <c r="X34" s="116">
        <f>'N9'!X34+'K9'!X34</f>
        <v>0</v>
      </c>
      <c r="Y34" s="115">
        <f>'N9'!Y34+'K9'!Y34</f>
        <v>0</v>
      </c>
      <c r="Z34" s="116">
        <f>'N9'!Z34+'K9'!Z34</f>
        <v>0</v>
      </c>
      <c r="AA34" s="121">
        <f>'N9'!AA34+'K9'!AA34</f>
        <v>0</v>
      </c>
      <c r="AB34" s="121">
        <f>'N9'!AB34+'K9'!AB34</f>
        <v>0</v>
      </c>
      <c r="AC34" s="33">
        <f>'N9'!AC34+'K9'!AC34</f>
        <v>0</v>
      </c>
      <c r="AD34" s="12">
        <f>'N9'!AD34+'K9'!AD34</f>
        <v>99</v>
      </c>
      <c r="AE34" s="39"/>
      <c r="AF34" s="39"/>
      <c r="AG34" s="39"/>
      <c r="AH34" s="39"/>
      <c r="AI34" s="39"/>
      <c r="AJ34" s="39"/>
    </row>
    <row r="35" spans="1:36" x14ac:dyDescent="0.2">
      <c r="A35" s="5"/>
      <c r="B35" s="3"/>
      <c r="C35" s="117">
        <f>'N9'!C35+'K9'!C35</f>
        <v>0</v>
      </c>
      <c r="D35" s="118">
        <f>'N9'!D35+'K9'!D35</f>
        <v>0</v>
      </c>
      <c r="E35" s="118">
        <f>'N9'!E35+'K9'!E35</f>
        <v>0</v>
      </c>
      <c r="F35" s="119">
        <f>'N9'!F35+'K9'!F35</f>
        <v>0</v>
      </c>
      <c r="G35" s="117">
        <f>'N9'!G35+'K9'!G35</f>
        <v>0</v>
      </c>
      <c r="H35" s="119">
        <f>'N9'!H35+'K9'!H35</f>
        <v>0</v>
      </c>
      <c r="I35" s="117">
        <f>'N9'!I35+'K9'!I35</f>
        <v>0</v>
      </c>
      <c r="J35" s="119">
        <f>'N9'!J35+'K9'!J35</f>
        <v>0</v>
      </c>
      <c r="K35" s="34">
        <f>'N9'!K35+'K9'!K35</f>
        <v>0</v>
      </c>
      <c r="L35" s="122">
        <f>'N9'!L35+'K9'!L35</f>
        <v>0</v>
      </c>
      <c r="M35" s="122">
        <f>'N9'!M35+'K9'!M35</f>
        <v>0</v>
      </c>
      <c r="N35" s="122">
        <f>'N9'!N35+'K9'!N35</f>
        <v>0</v>
      </c>
      <c r="O35" s="123">
        <f>'N9'!O35+'K9'!O35</f>
        <v>0</v>
      </c>
      <c r="P35" s="122">
        <f>'N9'!P35+'K9'!P35</f>
        <v>0</v>
      </c>
      <c r="Q35" s="123">
        <f>'N9'!Q35+'K9'!Q35</f>
        <v>0</v>
      </c>
      <c r="R35" s="124">
        <f>'N9'!R35+'K9'!R35</f>
        <v>0</v>
      </c>
      <c r="S35" s="124">
        <f>'N9'!S35+'K9'!S35</f>
        <v>0</v>
      </c>
      <c r="T35" s="34">
        <f>'N9'!T35+'K9'!T35</f>
        <v>0</v>
      </c>
      <c r="U35" s="122">
        <f>'N9'!U35+'K9'!U35</f>
        <v>0</v>
      </c>
      <c r="V35" s="122">
        <f>'N9'!V35+'K9'!V35</f>
        <v>0</v>
      </c>
      <c r="W35" s="122">
        <f>'N9'!W35+'K9'!W35</f>
        <v>0</v>
      </c>
      <c r="X35" s="123">
        <f>'N9'!X35+'K9'!X35</f>
        <v>0</v>
      </c>
      <c r="Y35" s="122">
        <f>'N9'!Y35+'K9'!Y35</f>
        <v>0</v>
      </c>
      <c r="Z35" s="123">
        <f>'N9'!Z35+'K9'!Z35</f>
        <v>0</v>
      </c>
      <c r="AA35" s="124">
        <f>'N9'!AA35+'K9'!AA35</f>
        <v>0</v>
      </c>
      <c r="AB35" s="124">
        <f>'N9'!AB35+'K9'!AB35</f>
        <v>0</v>
      </c>
      <c r="AC35" s="34">
        <f>'N9'!AC35+'K9'!AC35</f>
        <v>0</v>
      </c>
      <c r="AD35" s="19">
        <f>'N9'!AD35+'K9'!AD35</f>
        <v>0</v>
      </c>
      <c r="AE35" s="39"/>
      <c r="AF35" s="39"/>
      <c r="AG35" s="39"/>
      <c r="AH35" s="39"/>
      <c r="AI35" s="39"/>
      <c r="AJ35" s="39"/>
    </row>
    <row r="36" spans="1:36" x14ac:dyDescent="0.2">
      <c r="A36" s="6"/>
      <c r="B36"/>
      <c r="C36" s="82">
        <f>'N9'!C36+'K9'!C36</f>
        <v>17223</v>
      </c>
      <c r="D36" s="83">
        <f>'N9'!D36+'K9'!D36</f>
        <v>4513</v>
      </c>
      <c r="E36" s="83">
        <f>'N9'!E36+'K9'!E36</f>
        <v>24</v>
      </c>
      <c r="F36" s="84">
        <f>'N9'!F36+'K9'!F36</f>
        <v>587</v>
      </c>
      <c r="G36" s="83">
        <f>'N9'!G36+'K9'!G36</f>
        <v>1135</v>
      </c>
      <c r="H36" s="84">
        <f>'N9'!H36+'K9'!H36</f>
        <v>5658</v>
      </c>
      <c r="I36" s="83">
        <f>'N9'!I36+'K9'!I36</f>
        <v>242</v>
      </c>
      <c r="J36" s="84">
        <f>'N9'!J36+'K9'!J36</f>
        <v>363</v>
      </c>
      <c r="K36" s="85">
        <f>'N9'!K36+'K9'!K36</f>
        <v>29745</v>
      </c>
      <c r="L36" s="83">
        <f>'N9'!L36+'K9'!L36</f>
        <v>4346</v>
      </c>
      <c r="M36" s="83">
        <f>'N9'!M36+'K9'!M36</f>
        <v>767</v>
      </c>
      <c r="N36" s="83">
        <f>'N9'!N36+'K9'!N36</f>
        <v>0</v>
      </c>
      <c r="O36" s="84">
        <f>'N9'!O36+'K9'!O36</f>
        <v>12</v>
      </c>
      <c r="P36" s="83">
        <f>'N9'!P36+'K9'!P36</f>
        <v>138</v>
      </c>
      <c r="Q36" s="84">
        <f>'N9'!Q36+'K9'!Q36</f>
        <v>1856</v>
      </c>
      <c r="R36" s="86">
        <f>'N9'!R36+'K9'!R36</f>
        <v>72</v>
      </c>
      <c r="S36" s="86">
        <f>'N9'!S36+'K9'!S36</f>
        <v>108</v>
      </c>
      <c r="T36" s="85">
        <f>'N9'!T36+'K9'!T36</f>
        <v>7299</v>
      </c>
      <c r="U36" s="83">
        <f>'N9'!U36+'K9'!U36</f>
        <v>478</v>
      </c>
      <c r="V36" s="83">
        <f>'N9'!V36+'K9'!V36</f>
        <v>172</v>
      </c>
      <c r="W36" s="83">
        <f>'N9'!W36+'K9'!W36</f>
        <v>0</v>
      </c>
      <c r="X36" s="84">
        <f>'N9'!X36+'K9'!X36</f>
        <v>0</v>
      </c>
      <c r="Y36" s="83">
        <f>'N9'!Y36+'K9'!Y36</f>
        <v>0</v>
      </c>
      <c r="Z36" s="84">
        <f>'N9'!Z36+'K9'!Z36</f>
        <v>142</v>
      </c>
      <c r="AA36" s="86">
        <f>'N9'!AA36+'K9'!AA36</f>
        <v>0</v>
      </c>
      <c r="AB36" s="86">
        <f>'N9'!AB36+'K9'!AB36</f>
        <v>0</v>
      </c>
      <c r="AC36" s="85">
        <f>'N9'!AC36+'K9'!AC36</f>
        <v>792</v>
      </c>
      <c r="AD36" s="87">
        <f>'N9'!AD36+'K9'!AD36</f>
        <v>37836</v>
      </c>
      <c r="AE36" s="66"/>
      <c r="AF36" s="66"/>
      <c r="AG36" s="66"/>
      <c r="AH36" s="66"/>
      <c r="AI36" s="66"/>
      <c r="AJ36" s="66"/>
    </row>
    <row r="37" spans="1:36" ht="8.1" customHeight="1" thickBot="1" x14ac:dyDescent="0.25">
      <c r="A37" s="6"/>
      <c r="B37"/>
      <c r="C37" s="2"/>
      <c r="D37" s="5"/>
      <c r="E37" s="5"/>
      <c r="F37" s="2"/>
      <c r="G37" s="2"/>
      <c r="H37" s="2"/>
      <c r="I37" s="5"/>
      <c r="J37" s="2"/>
      <c r="K37" s="2"/>
      <c r="L37" s="5"/>
      <c r="M37" s="2"/>
      <c r="N37" s="5"/>
      <c r="O37" s="5"/>
      <c r="P37" s="2"/>
      <c r="Q37" s="5"/>
      <c r="R37" s="42"/>
      <c r="S37" s="42"/>
      <c r="T37" s="2"/>
      <c r="U37" s="2"/>
      <c r="V37" s="2"/>
      <c r="W37" s="2"/>
      <c r="X37" s="5"/>
      <c r="Y37" s="2"/>
      <c r="Z37" s="2"/>
      <c r="AA37" s="39"/>
      <c r="AB37" s="39"/>
      <c r="AC37" s="5"/>
      <c r="AD37" s="40"/>
      <c r="AE37" s="40"/>
      <c r="AF37" s="40"/>
      <c r="AG37" s="40"/>
      <c r="AH37" s="40"/>
      <c r="AI37" s="40"/>
      <c r="AJ37" s="40"/>
    </row>
    <row r="38" spans="1:36" ht="24.95" customHeight="1" thickTop="1" x14ac:dyDescent="0.3">
      <c r="A38" s="6"/>
      <c r="B38"/>
      <c r="C38" s="171" t="str">
        <f>Kalenteri!E38</f>
        <v>Lippujen hinnat:</v>
      </c>
      <c r="D38" s="5"/>
      <c r="E38" s="5"/>
      <c r="F38" s="2"/>
      <c r="G38" s="2"/>
      <c r="H38" s="2"/>
      <c r="I38" s="5"/>
      <c r="J38" s="2"/>
      <c r="K38" s="2"/>
      <c r="L38" s="5"/>
      <c r="M38" s="2"/>
      <c r="N38" s="5"/>
      <c r="O38" s="5"/>
      <c r="P38" s="2"/>
      <c r="Q38"/>
      <c r="R38"/>
      <c r="S38"/>
      <c r="T38"/>
      <c r="U38" s="49" t="s">
        <v>12</v>
      </c>
      <c r="V38" s="50"/>
      <c r="W38" s="43"/>
      <c r="X38" s="44"/>
      <c r="Y38" s="43"/>
      <c r="Z38" s="43"/>
      <c r="AA38" s="44"/>
      <c r="AB38" s="44"/>
      <c r="AC38" s="47"/>
      <c r="AD38" s="45">
        <f>'N9'!AD38+'K9'!AD38</f>
        <v>37836</v>
      </c>
      <c r="AE38" s="41"/>
      <c r="AF38" s="41"/>
      <c r="AG38" s="41"/>
      <c r="AH38" s="41"/>
      <c r="AI38" s="41"/>
      <c r="AJ38" s="41"/>
    </row>
    <row r="39" spans="1:36" ht="24.95" customHeight="1" x14ac:dyDescent="0.3">
      <c r="A39" s="6"/>
      <c r="B39"/>
      <c r="C39" s="193" t="str">
        <f>Kalenteri!E39</f>
        <v>Mustikkamaan kautta: 1.9.-30.4. aik. 10 €, lapset 5 €, kimppalippu 30 €    1.5.-30.8. aik. 12 €, lapset 6 €, kimppalippu 36 €</v>
      </c>
      <c r="D39" s="89"/>
      <c r="E39" s="89"/>
      <c r="F39" s="90"/>
      <c r="G39" s="102"/>
      <c r="H39" s="174"/>
      <c r="I39" s="89"/>
      <c r="J39" s="90"/>
      <c r="K39" s="90"/>
      <c r="L39" s="89"/>
      <c r="M39" s="90"/>
      <c r="N39" s="89"/>
      <c r="O39" s="89"/>
      <c r="P39" s="89"/>
      <c r="Q39" s="104"/>
      <c r="R39" s="103"/>
      <c r="S39"/>
      <c r="T39"/>
      <c r="U39" s="62" t="s">
        <v>13</v>
      </c>
      <c r="V39" s="52"/>
      <c r="W39" s="53"/>
      <c r="X39" s="54"/>
      <c r="Y39" s="53"/>
      <c r="Z39" s="53"/>
      <c r="AA39" s="54"/>
      <c r="AB39" s="54"/>
      <c r="AC39" s="55"/>
      <c r="AD39" s="56">
        <f>'N9'!AD39+'K9'!AD39</f>
        <v>7987</v>
      </c>
      <c r="AE39" s="67"/>
      <c r="AF39" s="67"/>
      <c r="AG39" s="67"/>
      <c r="AH39" s="67"/>
      <c r="AI39" s="67"/>
      <c r="AJ39" s="67"/>
    </row>
    <row r="40" spans="1:36" ht="24.95" customHeight="1" x14ac:dyDescent="0.3">
      <c r="A40" s="6"/>
      <c r="B40" s="6"/>
      <c r="C40" s="194" t="str">
        <f>Kalenteri!E40</f>
        <v xml:space="preserve">                                    Vuosikortti:     aik. 50 €, lapset 20 €, perhekortti 100 €</v>
      </c>
      <c r="D40" s="39"/>
      <c r="E40" s="39"/>
      <c r="F40" s="42"/>
      <c r="G40" s="65"/>
      <c r="H40" s="176"/>
      <c r="I40" s="39"/>
      <c r="J40" s="42"/>
      <c r="K40" s="42"/>
      <c r="L40" s="39"/>
      <c r="M40" s="42"/>
      <c r="N40" s="39"/>
      <c r="O40" s="39"/>
      <c r="P40" s="39"/>
      <c r="Q40" s="23"/>
      <c r="R40" s="97"/>
      <c r="S40"/>
      <c r="T40"/>
      <c r="U40" s="63" t="s">
        <v>14</v>
      </c>
      <c r="V40" s="37"/>
      <c r="W40" s="51"/>
      <c r="X40" s="41"/>
      <c r="Y40" s="51"/>
      <c r="Z40" s="41"/>
      <c r="AA40" s="41"/>
      <c r="AB40" s="41"/>
      <c r="AC40" s="48"/>
      <c r="AD40" s="46">
        <f>'N9'!AD40+'K9'!AD40</f>
        <v>469405</v>
      </c>
      <c r="AE40" s="41"/>
      <c r="AF40" s="41"/>
      <c r="AG40" s="41"/>
      <c r="AH40" s="41"/>
      <c r="AI40" s="41"/>
      <c r="AJ40" s="41"/>
    </row>
    <row r="41" spans="1:36" ht="24.95" customHeight="1" thickBot="1" x14ac:dyDescent="0.35">
      <c r="A41" s="4"/>
      <c r="B41" s="4"/>
      <c r="C41" s="195" t="str">
        <f>Kalenteri!E41</f>
        <v>Vesibusseilla:             1.9.-30.4. aik. 16 €, lapset 8 €, kimppalippu 47 €    1.5.-31.8. aik. 18 €, lapset 9 €, kimppalippu 53 €</v>
      </c>
      <c r="D41" s="93"/>
      <c r="E41" s="93"/>
      <c r="F41" s="94"/>
      <c r="G41" s="94"/>
      <c r="H41" s="175"/>
      <c r="I41" s="93"/>
      <c r="J41" s="96"/>
      <c r="K41" s="96"/>
      <c r="L41" s="93"/>
      <c r="M41" s="95"/>
      <c r="N41" s="95"/>
      <c r="O41" s="93"/>
      <c r="P41" s="93"/>
      <c r="Q41" s="95"/>
      <c r="R41" s="98"/>
      <c r="S41"/>
      <c r="T41"/>
      <c r="U41" s="64" t="s">
        <v>13</v>
      </c>
      <c r="V41" s="57"/>
      <c r="W41" s="58"/>
      <c r="X41" s="59"/>
      <c r="Y41" s="59"/>
      <c r="Z41" s="59"/>
      <c r="AA41" s="59"/>
      <c r="AB41" s="59"/>
      <c r="AC41" s="60"/>
      <c r="AD41" s="61">
        <f>'N9'!AD41+'K9'!AD41</f>
        <v>1381</v>
      </c>
      <c r="AE41" s="68"/>
      <c r="AF41" s="68"/>
      <c r="AG41" s="68"/>
      <c r="AH41" s="68"/>
      <c r="AI41" s="68"/>
      <c r="AJ41" s="68"/>
    </row>
    <row r="42" spans="1:36" ht="13.5" thickTop="1" x14ac:dyDescent="0.2"/>
  </sheetData>
  <sheetProtection password="C4AC" sheet="1" objects="1" scenarios="1"/>
  <phoneticPr fontId="4" type="noConversion"/>
  <pageMargins left="0" right="0" top="0.27559055118110237" bottom="0" header="0" footer="0"/>
  <pageSetup paperSize="9" scale="75" fitToHeight="0" orientation="landscape" horizontalDpi="4294967292" verticalDpi="4294967292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4689" r:id="rId4" name="Button 1">
              <controlPr defaultSize="0" print="0" autoFill="0" autoLine="0" autoPict="0" macro="[1]!TAMMI">
                <anchor moveWithCells="1" sizeWithCells="1">
                  <from>
                    <xdr:col>35</xdr:col>
                    <xdr:colOff>0</xdr:colOff>
                    <xdr:row>3</xdr:row>
                    <xdr:rowOff>9525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690" r:id="rId5" name="Button 2">
              <controlPr defaultSize="0" print="0" autoFill="0" autoLine="0" autoPict="0" macro="[1]KTMAKRO!$A$1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691" r:id="rId6" name="Button 3">
              <controlPr defaultSize="0" print="0" autoFill="0" autoLine="0" autoPict="0" macro="[1]!MAALIS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692" r:id="rId7" name="Button 4">
              <controlPr defaultSize="0" print="0" autoFill="0" autoLine="0" autoPict="0" macro="[1]KTMAKRO!$D$1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693" r:id="rId8" name="Button 5">
              <controlPr defaultSize="0" print="0" autoFill="0" autoLine="0" autoPict="0" macro="[1]KTMAKRO!$E$1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694" r:id="rId9" name="Button 6">
              <controlPr defaultSize="0" print="0" autoFill="0" autoLine="0" autoPict="0" macro="[1]!KESÄ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695" r:id="rId10" name="Button 7">
              <controlPr defaultSize="0" print="0" autoFill="0" autoLine="0" autoPict="0" macro="[1]!HELMI">
                <anchor moveWithCells="1" sizeWithCells="1">
                  <from>
                    <xdr:col>35</xdr:col>
                    <xdr:colOff>0</xdr:colOff>
                    <xdr:row>3</xdr:row>
                    <xdr:rowOff>9525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696" r:id="rId11" name="Button 8">
              <controlPr defaultSize="0" print="0" autoFill="0" autoLine="0" autoPict="0" macro="[1]KTMAKRO!$G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697" r:id="rId12" name="Button 9">
              <controlPr defaultSize="0" print="0" autoFill="0" autoLine="0" autoPict="0" macro="[1]KTMAKRO!$I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698" r:id="rId13" name="Button 10">
              <controlPr defaultSize="0" print="0" autoFill="0" autoLine="0" autoPict="0" macro="[1]KTMAKRO!$J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699" r:id="rId14" name="Button 11">
              <controlPr defaultSize="0" print="0" autoFill="0" autoLine="0" autoPict="0" macro="[1]KTMAKRO!$K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700" r:id="rId15" name="Button 12">
              <controlPr defaultSize="0" print="0" autoFill="0" autoLine="0" autoPict="0" macro="[1]KTMAKRO!$L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701" r:id="rId16" name="Button 13">
              <controlPr defaultSize="0" print="0" autoFill="0" autoLine="0" autoPict="0" macro="[1]KTMAKRO!$H$1">
                <anchor moveWithCells="1" sizeWithCells="1">
                  <from>
                    <xdr:col>35</xdr:col>
                    <xdr:colOff>0</xdr:colOff>
                    <xdr:row>5</xdr:row>
                    <xdr:rowOff>0</xdr:rowOff>
                  </from>
                  <to>
                    <xdr:col>35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702" r:id="rId17" name="Button 14">
              <controlPr defaultSize="0" print="0" autoFill="0" autoLine="0" autoPict="0" macro="[1]!Yhteenveto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5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703" r:id="rId18" name="Button 15">
              <controlPr defaultSize="0" print="0" autoFill="0" autoLine="0" autoPict="0" macro="[1]!GRAFIIKKA1">
                <anchor moveWithCells="1" sizeWithCells="1">
                  <from>
                    <xdr:col>35</xdr:col>
                    <xdr:colOff>0</xdr:colOff>
                    <xdr:row>8</xdr:row>
                    <xdr:rowOff>142875</xdr:rowOff>
                  </from>
                  <to>
                    <xdr:col>35</xdr:col>
                    <xdr:colOff>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704" r:id="rId19" name="Button 16">
              <controlPr defaultSize="0" print="0" autoFill="0" autoLine="0" autoPict="0" macro="[1]!Grafiikka2">
                <anchor moveWithCells="1" sizeWithCells="1">
                  <from>
                    <xdr:col>35</xdr:col>
                    <xdr:colOff>0</xdr:colOff>
                    <xdr:row>8</xdr:row>
                    <xdr:rowOff>152400</xdr:rowOff>
                  </from>
                  <to>
                    <xdr:col>35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705" r:id="rId20" name="Button 17">
              <controlPr defaultSize="0" print="0" autoFill="0" autoLine="0" autoPict="0" macro="[1]!Grafiikka4">
                <anchor moveWithCells="1" sizeWithCells="1">
                  <from>
                    <xdr:col>35</xdr:col>
                    <xdr:colOff>0</xdr:colOff>
                    <xdr:row>8</xdr:row>
                    <xdr:rowOff>142875</xdr:rowOff>
                  </from>
                  <to>
                    <xdr:col>35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706" r:id="rId21" name="Button 18">
              <controlPr defaultSize="0" print="0" autoFill="0" autoLine="0" autoPict="0" macro="[1]!Grafiikka4">
                <anchor moveWithCells="1" sizeWithCells="1">
                  <from>
                    <xdr:col>35</xdr:col>
                    <xdr:colOff>0</xdr:colOff>
                    <xdr:row>8</xdr:row>
                    <xdr:rowOff>152400</xdr:rowOff>
                  </from>
                  <to>
                    <xdr:col>35</xdr:col>
                    <xdr:colOff>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707" r:id="rId22" name="Button 19">
              <controlPr defaultSize="0" print="0" autoFill="0" autoLine="0" autoPict="0" macro="[1]!Grafiikka5">
                <anchor moveWithCells="1" sizeWithCells="1">
                  <from>
                    <xdr:col>35</xdr:col>
                    <xdr:colOff>0</xdr:colOff>
                    <xdr:row>8</xdr:row>
                    <xdr:rowOff>152400</xdr:rowOff>
                  </from>
                  <to>
                    <xdr:col>35</xdr:col>
                    <xdr:colOff>0</xdr:colOff>
                    <xdr:row>12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708" r:id="rId23" name="Button 20">
              <controlPr defaultSize="0" print="0" autoFill="0" autoLine="0" autoPict="0" macro="[1]!Perusikkuna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12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/>
  <dimension ref="A1:AJ42"/>
  <sheetViews>
    <sheetView showGridLines="0" zoomScale="80" zoomScaleNormal="80" workbookViewId="0"/>
  </sheetViews>
  <sheetFormatPr defaultColWidth="9.75" defaultRowHeight="12.75" x14ac:dyDescent="0.2"/>
  <cols>
    <col min="1" max="1" width="3.75" style="1" customWidth="1"/>
    <col min="2" max="2" width="2.75" style="1" customWidth="1"/>
    <col min="3" max="4" width="6.125" style="1" customWidth="1"/>
    <col min="5" max="5" width="4" style="1" customWidth="1"/>
    <col min="6" max="6" width="4.5" style="1" customWidth="1"/>
    <col min="7" max="10" width="6.125" style="1" customWidth="1"/>
    <col min="11" max="11" width="5.875" style="1" customWidth="1"/>
    <col min="12" max="13" width="6.125" style="1" customWidth="1"/>
    <col min="14" max="14" width="5.25" style="1" customWidth="1"/>
    <col min="15" max="15" width="4.5" style="1" customWidth="1"/>
    <col min="16" max="16" width="6.125" style="1" customWidth="1"/>
    <col min="17" max="17" width="5.5" style="1" customWidth="1"/>
    <col min="18" max="19" width="6.125" style="1" customWidth="1"/>
    <col min="20" max="20" width="5.875" style="1" customWidth="1"/>
    <col min="21" max="22" width="6.125" style="1" customWidth="1"/>
    <col min="23" max="23" width="4.375" style="1" customWidth="1"/>
    <col min="24" max="24" width="4.25" style="1" customWidth="1"/>
    <col min="25" max="29" width="6.125" style="1" customWidth="1"/>
    <col min="30" max="36" width="15.625" style="1" customWidth="1"/>
  </cols>
  <sheetData>
    <row r="1" spans="1:36" ht="30" customHeight="1" x14ac:dyDescent="0.35">
      <c r="A1" s="22"/>
      <c r="B1" s="4"/>
      <c r="C1" s="105" t="s">
        <v>15</v>
      </c>
      <c r="D1" s="106"/>
      <c r="E1" s="106"/>
      <c r="F1" s="106"/>
      <c r="G1" s="106"/>
      <c r="H1" s="106"/>
      <c r="I1" s="106"/>
      <c r="J1" s="106"/>
      <c r="K1" s="106"/>
      <c r="L1" s="105" t="str">
        <f>Kalenteri!$H$1</f>
        <v>KÄVIJÄTILASTO 2013</v>
      </c>
      <c r="M1" s="107"/>
      <c r="N1" s="107"/>
      <c r="O1" s="107"/>
      <c r="P1" s="106"/>
      <c r="Q1" s="106"/>
      <c r="R1" s="105" t="s">
        <v>79</v>
      </c>
      <c r="S1" s="108"/>
      <c r="T1" s="106"/>
      <c r="U1" s="109"/>
      <c r="V1" s="105" t="s">
        <v>42</v>
      </c>
      <c r="W1" s="109"/>
      <c r="X1" s="106"/>
      <c r="Y1" s="106"/>
      <c r="Z1" s="106"/>
      <c r="AA1" s="106"/>
      <c r="AB1" s="106"/>
      <c r="AC1" s="106"/>
      <c r="AD1" s="110"/>
      <c r="AE1" s="4"/>
      <c r="AF1" s="4"/>
      <c r="AG1" s="4"/>
      <c r="AH1" s="4"/>
      <c r="AI1" s="4"/>
      <c r="AJ1" s="4"/>
    </row>
    <row r="2" spans="1:36" ht="30" customHeight="1" x14ac:dyDescent="0.3">
      <c r="A2" s="3"/>
      <c r="B2" s="4"/>
      <c r="C2" s="72"/>
      <c r="D2" s="73"/>
      <c r="E2" s="74" t="s">
        <v>1</v>
      </c>
      <c r="F2" s="75"/>
      <c r="G2" s="75"/>
      <c r="H2" s="75"/>
      <c r="I2" s="75"/>
      <c r="J2" s="75"/>
      <c r="K2" s="76"/>
      <c r="L2" s="72"/>
      <c r="M2" s="77"/>
      <c r="N2" s="73"/>
      <c r="O2" s="74" t="s">
        <v>2</v>
      </c>
      <c r="P2" s="75"/>
      <c r="Q2" s="75"/>
      <c r="R2" s="75"/>
      <c r="S2" s="75"/>
      <c r="T2" s="76"/>
      <c r="U2" s="72"/>
      <c r="V2" s="75"/>
      <c r="W2" s="73"/>
      <c r="X2" s="74" t="s">
        <v>3</v>
      </c>
      <c r="Y2" s="75"/>
      <c r="Z2" s="75"/>
      <c r="AA2" s="75"/>
      <c r="AB2" s="75"/>
      <c r="AC2" s="76"/>
      <c r="AD2" s="13"/>
      <c r="AE2" s="35"/>
      <c r="AF2" s="69"/>
      <c r="AG2" s="69"/>
      <c r="AH2" s="69"/>
      <c r="AI2" s="69"/>
      <c r="AJ2" s="69"/>
    </row>
    <row r="3" spans="1:36" x14ac:dyDescent="0.2">
      <c r="A3" s="4"/>
      <c r="B3" s="4"/>
      <c r="C3" s="24" t="s">
        <v>4</v>
      </c>
      <c r="D3" s="25"/>
      <c r="E3" s="25"/>
      <c r="F3" s="26"/>
      <c r="G3" s="24" t="s">
        <v>5</v>
      </c>
      <c r="H3" s="26"/>
      <c r="I3" s="25" t="s">
        <v>6</v>
      </c>
      <c r="J3" s="25"/>
      <c r="K3" s="27"/>
      <c r="L3" s="24" t="s">
        <v>4</v>
      </c>
      <c r="M3" s="25"/>
      <c r="N3" s="25"/>
      <c r="O3" s="26"/>
      <c r="P3" s="24" t="s">
        <v>5</v>
      </c>
      <c r="Q3" s="26"/>
      <c r="R3" s="25" t="s">
        <v>6</v>
      </c>
      <c r="S3" s="25"/>
      <c r="T3" s="27"/>
      <c r="U3" s="24" t="s">
        <v>4</v>
      </c>
      <c r="V3" s="25"/>
      <c r="W3" s="25"/>
      <c r="X3" s="26"/>
      <c r="Y3" s="24" t="s">
        <v>5</v>
      </c>
      <c r="Z3" s="26"/>
      <c r="AA3" s="25" t="s">
        <v>6</v>
      </c>
      <c r="AB3" s="25"/>
      <c r="AC3" s="27"/>
      <c r="AD3" s="36" t="s">
        <v>7</v>
      </c>
      <c r="AE3" s="38"/>
      <c r="AF3" s="70"/>
      <c r="AG3" s="70"/>
      <c r="AH3" s="70"/>
      <c r="AI3" s="70"/>
      <c r="AJ3"/>
    </row>
    <row r="4" spans="1:36" x14ac:dyDescent="0.2">
      <c r="A4" s="6"/>
      <c r="B4" s="4"/>
      <c r="C4" s="7" t="s">
        <v>8</v>
      </c>
      <c r="D4" s="8" t="s">
        <v>9</v>
      </c>
      <c r="E4" s="8" t="s">
        <v>10</v>
      </c>
      <c r="F4" s="9" t="s">
        <v>11</v>
      </c>
      <c r="G4" s="7" t="s">
        <v>8</v>
      </c>
      <c r="H4" s="9" t="s">
        <v>9</v>
      </c>
      <c r="I4" s="8" t="s">
        <v>8</v>
      </c>
      <c r="J4" s="8" t="s">
        <v>9</v>
      </c>
      <c r="K4" s="14" t="s">
        <v>0</v>
      </c>
      <c r="L4" s="7" t="s">
        <v>8</v>
      </c>
      <c r="M4" s="8" t="s">
        <v>9</v>
      </c>
      <c r="N4" s="8" t="s">
        <v>10</v>
      </c>
      <c r="O4" s="9" t="s">
        <v>11</v>
      </c>
      <c r="P4" s="7" t="s">
        <v>8</v>
      </c>
      <c r="Q4" s="9" t="s">
        <v>9</v>
      </c>
      <c r="R4" s="8" t="s">
        <v>8</v>
      </c>
      <c r="S4" s="8" t="s">
        <v>9</v>
      </c>
      <c r="T4" s="14" t="s">
        <v>0</v>
      </c>
      <c r="U4" s="7" t="s">
        <v>8</v>
      </c>
      <c r="V4" s="8" t="s">
        <v>9</v>
      </c>
      <c r="W4" s="8" t="s">
        <v>10</v>
      </c>
      <c r="X4" s="9" t="s">
        <v>11</v>
      </c>
      <c r="Y4" s="7" t="s">
        <v>8</v>
      </c>
      <c r="Z4" s="9" t="s">
        <v>9</v>
      </c>
      <c r="AA4" s="8" t="s">
        <v>8</v>
      </c>
      <c r="AB4" s="8" t="s">
        <v>9</v>
      </c>
      <c r="AC4" s="14" t="s">
        <v>0</v>
      </c>
      <c r="AD4" s="28"/>
      <c r="AE4" s="23"/>
      <c r="AF4" s="23"/>
      <c r="AG4" s="23"/>
      <c r="AH4" s="23"/>
      <c r="AI4" s="23"/>
      <c r="AJ4"/>
    </row>
    <row r="5" spans="1:36" x14ac:dyDescent="0.2">
      <c r="A5" s="5">
        <f>DAY(Kalenteri!A274)</f>
        <v>1</v>
      </c>
      <c r="B5" s="3" t="str">
        <f>IF(Kalenteri!B274=1,"su",IF(Kalenteri!B274=2,"ma",IF(Kalenteri!B274=3,"ti",IF(Kalenteri!B274=4,"ke",IF(Kalenteri!B274=5,"to",IF(Kalenteri!B274=6,"pe",IF(Kalenteri!B274=7,"la",)))))))</f>
        <v>ti</v>
      </c>
      <c r="C5" s="111">
        <f>'N10'!C5+'K10'!C5</f>
        <v>76</v>
      </c>
      <c r="D5" s="112">
        <f>'N10'!D5+'K10'!D5</f>
        <v>10</v>
      </c>
      <c r="E5" s="112">
        <f>'N10'!E5+'K10'!E5</f>
        <v>0</v>
      </c>
      <c r="F5" s="113">
        <f>'N10'!F5+'K10'!F5</f>
        <v>1</v>
      </c>
      <c r="G5" s="111">
        <f>'N10'!G5+'K10'!G5</f>
        <v>34</v>
      </c>
      <c r="H5" s="113">
        <f>'N10'!H5+'K10'!H5</f>
        <v>68</v>
      </c>
      <c r="I5" s="111">
        <f>'N10'!I5+'K10'!I5</f>
        <v>0</v>
      </c>
      <c r="J5" s="113">
        <f>'N10'!J5+'K10'!J5</f>
        <v>0</v>
      </c>
      <c r="K5" s="32">
        <f>'N10'!K5+'K10'!K5</f>
        <v>189</v>
      </c>
      <c r="L5" s="112">
        <f>'N10'!L5+'K10'!L5</f>
        <v>0</v>
      </c>
      <c r="M5" s="112">
        <f>'N10'!M5+'K10'!M5</f>
        <v>0</v>
      </c>
      <c r="N5" s="112">
        <f>'N10'!N5+'K10'!N5</f>
        <v>0</v>
      </c>
      <c r="O5" s="113">
        <f>'N10'!O5+'K10'!O5</f>
        <v>0</v>
      </c>
      <c r="P5" s="112">
        <f>'N10'!P5+'K10'!P5</f>
        <v>0</v>
      </c>
      <c r="Q5" s="113">
        <f>'N10'!Q5+'K10'!Q5</f>
        <v>0</v>
      </c>
      <c r="R5" s="120">
        <f>'N10'!R5+'K10'!R5</f>
        <v>0</v>
      </c>
      <c r="S5" s="120">
        <f>'N10'!S5+'K10'!S5</f>
        <v>0</v>
      </c>
      <c r="T5" s="32">
        <f>'N10'!T5+'K10'!T5</f>
        <v>0</v>
      </c>
      <c r="U5" s="112">
        <f>'N10'!U5+'K10'!U5</f>
        <v>10</v>
      </c>
      <c r="V5" s="112">
        <f>'N10'!V5+'K10'!V5</f>
        <v>0</v>
      </c>
      <c r="W5" s="112">
        <f>'N10'!W5+'K10'!W5</f>
        <v>0</v>
      </c>
      <c r="X5" s="113">
        <f>'N10'!X5+'K10'!X5</f>
        <v>0</v>
      </c>
      <c r="Y5" s="112">
        <f>'N10'!Y5+'K10'!Y5</f>
        <v>0</v>
      </c>
      <c r="Z5" s="113">
        <f>'N10'!Z5+'K10'!Z5</f>
        <v>0</v>
      </c>
      <c r="AA5" s="120">
        <f>'N10'!AA5+'K10'!AA5</f>
        <v>0</v>
      </c>
      <c r="AB5" s="120">
        <f>'N10'!AB5+'K10'!AB5</f>
        <v>0</v>
      </c>
      <c r="AC5" s="32">
        <f>'N10'!AC5+'K10'!AC5</f>
        <v>10</v>
      </c>
      <c r="AD5" s="17">
        <f>'N10'!AD5+'K10'!AD5</f>
        <v>199</v>
      </c>
      <c r="AE5" s="39"/>
      <c r="AF5" s="39"/>
      <c r="AG5" s="39"/>
      <c r="AH5" s="39"/>
      <c r="AI5" s="39"/>
      <c r="AJ5"/>
    </row>
    <row r="6" spans="1:36" x14ac:dyDescent="0.2">
      <c r="A6" s="5">
        <f>DAY(Kalenteri!A275)</f>
        <v>2</v>
      </c>
      <c r="B6" s="3" t="str">
        <f>IF(Kalenteri!B275=1,"su",IF(Kalenteri!B275=2,"ma",IF(Kalenteri!B275=3,"ti",IF(Kalenteri!B275=4,"ke",IF(Kalenteri!B275=5,"to",IF(Kalenteri!B275=6,"pe",IF(Kalenteri!B275=7,"la",)))))))</f>
        <v>ke</v>
      </c>
      <c r="C6" s="114">
        <f>'N10'!C6+'K10'!C6</f>
        <v>55</v>
      </c>
      <c r="D6" s="115">
        <f>'N10'!D6+'K10'!D6</f>
        <v>2</v>
      </c>
      <c r="E6" s="115">
        <f>'N10'!E6+'K10'!E6</f>
        <v>0</v>
      </c>
      <c r="F6" s="116">
        <f>'N10'!F6+'K10'!F6</f>
        <v>3</v>
      </c>
      <c r="G6" s="114">
        <f>'N10'!G6+'K10'!G6</f>
        <v>8</v>
      </c>
      <c r="H6" s="116">
        <f>'N10'!H6+'K10'!H6</f>
        <v>62</v>
      </c>
      <c r="I6" s="114">
        <f>'N10'!I6+'K10'!I6</f>
        <v>0</v>
      </c>
      <c r="J6" s="116">
        <f>'N10'!J6+'K10'!J6</f>
        <v>0</v>
      </c>
      <c r="K6" s="33">
        <f>'N10'!K6+'K10'!K6</f>
        <v>130</v>
      </c>
      <c r="L6" s="115">
        <f>'N10'!L6+'K10'!L6</f>
        <v>0</v>
      </c>
      <c r="M6" s="115">
        <f>'N10'!M6+'K10'!M6</f>
        <v>0</v>
      </c>
      <c r="N6" s="115">
        <f>'N10'!N6+'K10'!N6</f>
        <v>0</v>
      </c>
      <c r="O6" s="116">
        <f>'N10'!O6+'K10'!O6</f>
        <v>0</v>
      </c>
      <c r="P6" s="115">
        <f>'N10'!P6+'K10'!P6</f>
        <v>0</v>
      </c>
      <c r="Q6" s="116">
        <f>'N10'!Q6+'K10'!Q6</f>
        <v>0</v>
      </c>
      <c r="R6" s="121">
        <f>'N10'!R6+'K10'!R6</f>
        <v>0</v>
      </c>
      <c r="S6" s="121">
        <f>'N10'!S6+'K10'!S6</f>
        <v>0</v>
      </c>
      <c r="T6" s="33">
        <f>'N10'!T6+'K10'!T6</f>
        <v>0</v>
      </c>
      <c r="U6" s="115">
        <f>'N10'!U6+'K10'!U6</f>
        <v>0</v>
      </c>
      <c r="V6" s="115">
        <f>'N10'!V6+'K10'!V6</f>
        <v>0</v>
      </c>
      <c r="W6" s="115">
        <f>'N10'!W6+'K10'!W6</f>
        <v>0</v>
      </c>
      <c r="X6" s="116">
        <f>'N10'!X6+'K10'!X6</f>
        <v>0</v>
      </c>
      <c r="Y6" s="115">
        <f>'N10'!Y6+'K10'!Y6</f>
        <v>0</v>
      </c>
      <c r="Z6" s="116">
        <f>'N10'!Z6+'K10'!Z6</f>
        <v>0</v>
      </c>
      <c r="AA6" s="121">
        <f>'N10'!AA6+'K10'!AA6</f>
        <v>0</v>
      </c>
      <c r="AB6" s="121">
        <f>'N10'!AB6+'K10'!AB6</f>
        <v>0</v>
      </c>
      <c r="AC6" s="33">
        <f>'N10'!AC6+'K10'!AC6</f>
        <v>0</v>
      </c>
      <c r="AD6" s="12">
        <f>'N10'!AD6+'K10'!AD6</f>
        <v>130</v>
      </c>
      <c r="AE6" s="39"/>
      <c r="AF6" s="39"/>
      <c r="AG6" s="39"/>
      <c r="AH6" s="39"/>
      <c r="AI6" s="39"/>
      <c r="AJ6"/>
    </row>
    <row r="7" spans="1:36" x14ac:dyDescent="0.2">
      <c r="A7" s="5">
        <f>DAY(Kalenteri!A276)</f>
        <v>3</v>
      </c>
      <c r="B7" s="3" t="str">
        <f>IF(Kalenteri!B276=1,"su",IF(Kalenteri!B276=2,"ma",IF(Kalenteri!B276=3,"ti",IF(Kalenteri!B276=4,"ke",IF(Kalenteri!B276=5,"to",IF(Kalenteri!B276=6,"pe",IF(Kalenteri!B276=7,"la",)))))))</f>
        <v>to</v>
      </c>
      <c r="C7" s="114">
        <f>'N10'!C7+'K10'!C7</f>
        <v>136</v>
      </c>
      <c r="D7" s="115">
        <f>'N10'!D7+'K10'!D7</f>
        <v>7</v>
      </c>
      <c r="E7" s="115">
        <f>'N10'!E7+'K10'!E7</f>
        <v>2</v>
      </c>
      <c r="F7" s="116">
        <f>'N10'!F7+'K10'!F7</f>
        <v>5</v>
      </c>
      <c r="G7" s="114">
        <f>'N10'!G7+'K10'!G7</f>
        <v>3</v>
      </c>
      <c r="H7" s="116">
        <f>'N10'!H7+'K10'!H7</f>
        <v>59</v>
      </c>
      <c r="I7" s="114">
        <f>'N10'!I7+'K10'!I7</f>
        <v>0</v>
      </c>
      <c r="J7" s="116">
        <f>'N10'!J7+'K10'!J7</f>
        <v>0</v>
      </c>
      <c r="K7" s="33">
        <f>'N10'!K7+'K10'!K7</f>
        <v>212</v>
      </c>
      <c r="L7" s="115">
        <f>'N10'!L7+'K10'!L7</f>
        <v>0</v>
      </c>
      <c r="M7" s="115">
        <f>'N10'!M7+'K10'!M7</f>
        <v>0</v>
      </c>
      <c r="N7" s="115">
        <f>'N10'!N7+'K10'!N7</f>
        <v>0</v>
      </c>
      <c r="O7" s="116">
        <f>'N10'!O7+'K10'!O7</f>
        <v>0</v>
      </c>
      <c r="P7" s="115">
        <f>'N10'!P7+'K10'!P7</f>
        <v>0</v>
      </c>
      <c r="Q7" s="116">
        <f>'N10'!Q7+'K10'!Q7</f>
        <v>0</v>
      </c>
      <c r="R7" s="121">
        <f>'N10'!R7+'K10'!R7</f>
        <v>0</v>
      </c>
      <c r="S7" s="121">
        <f>'N10'!S7+'K10'!S7</f>
        <v>0</v>
      </c>
      <c r="T7" s="33">
        <f>'N10'!T7+'K10'!T7</f>
        <v>0</v>
      </c>
      <c r="U7" s="115">
        <f>'N10'!U7+'K10'!U7</f>
        <v>0</v>
      </c>
      <c r="V7" s="115">
        <f>'N10'!V7+'K10'!V7</f>
        <v>0</v>
      </c>
      <c r="W7" s="115">
        <f>'N10'!W7+'K10'!W7</f>
        <v>0</v>
      </c>
      <c r="X7" s="116">
        <f>'N10'!X7+'K10'!X7</f>
        <v>0</v>
      </c>
      <c r="Y7" s="115">
        <f>'N10'!Y7+'K10'!Y7</f>
        <v>0</v>
      </c>
      <c r="Z7" s="116">
        <f>'N10'!Z7+'K10'!Z7</f>
        <v>0</v>
      </c>
      <c r="AA7" s="121">
        <f>'N10'!AA7+'K10'!AA7</f>
        <v>0</v>
      </c>
      <c r="AB7" s="121">
        <f>'N10'!AB7+'K10'!AB7</f>
        <v>0</v>
      </c>
      <c r="AC7" s="33">
        <f>'N10'!AC7+'K10'!AC7</f>
        <v>0</v>
      </c>
      <c r="AD7" s="12">
        <f>'N10'!AD7+'K10'!AD7</f>
        <v>212</v>
      </c>
      <c r="AE7" s="39"/>
      <c r="AF7" s="39"/>
      <c r="AG7" s="39"/>
      <c r="AH7" s="39"/>
      <c r="AI7" s="39"/>
      <c r="AJ7"/>
    </row>
    <row r="8" spans="1:36" x14ac:dyDescent="0.2">
      <c r="A8" s="5">
        <f>DAY(Kalenteri!A277)</f>
        <v>4</v>
      </c>
      <c r="B8" s="3" t="str">
        <f>IF(Kalenteri!B277=1,"su",IF(Kalenteri!B277=2,"ma",IF(Kalenteri!B277=3,"ti",IF(Kalenteri!B277=4,"ke",IF(Kalenteri!B277=5,"to",IF(Kalenteri!B277=6,"pe",IF(Kalenteri!B277=7,"la",)))))))</f>
        <v>pe</v>
      </c>
      <c r="C8" s="114">
        <f>'N10'!C8+'K10'!C8</f>
        <v>0</v>
      </c>
      <c r="D8" s="115">
        <f>'N10'!D8+'K10'!D8</f>
        <v>0</v>
      </c>
      <c r="E8" s="115">
        <f>'N10'!E8+'K10'!E8</f>
        <v>0</v>
      </c>
      <c r="F8" s="116">
        <f>'N10'!F8+'K10'!F8</f>
        <v>0</v>
      </c>
      <c r="G8" s="114">
        <f>'N10'!G8+'K10'!G8</f>
        <v>4347</v>
      </c>
      <c r="H8" s="116">
        <f>'N10'!H8+'K10'!H8</f>
        <v>2231</v>
      </c>
      <c r="I8" s="114">
        <f>'N10'!I8+'K10'!I8</f>
        <v>0</v>
      </c>
      <c r="J8" s="116">
        <f>'N10'!J8+'K10'!J8</f>
        <v>0</v>
      </c>
      <c r="K8" s="33">
        <f>'N10'!K8+'K10'!K8</f>
        <v>6578</v>
      </c>
      <c r="L8" s="115">
        <f>'N10'!L8+'K10'!L8</f>
        <v>0</v>
      </c>
      <c r="M8" s="115">
        <f>'N10'!M8+'K10'!M8</f>
        <v>0</v>
      </c>
      <c r="N8" s="115">
        <f>'N10'!N8+'K10'!N8</f>
        <v>0</v>
      </c>
      <c r="O8" s="116">
        <f>'N10'!O8+'K10'!O8</f>
        <v>0</v>
      </c>
      <c r="P8" s="115">
        <f>'N10'!P8+'K10'!P8</f>
        <v>0</v>
      </c>
      <c r="Q8" s="116">
        <f>'N10'!Q8+'K10'!Q8</f>
        <v>0</v>
      </c>
      <c r="R8" s="121">
        <f>'N10'!R8+'K10'!R8</f>
        <v>0</v>
      </c>
      <c r="S8" s="121">
        <f>'N10'!S8+'K10'!S8</f>
        <v>0</v>
      </c>
      <c r="T8" s="33">
        <f>'N10'!T8+'K10'!T8</f>
        <v>0</v>
      </c>
      <c r="U8" s="115">
        <f>'N10'!U8+'K10'!U8</f>
        <v>0</v>
      </c>
      <c r="V8" s="115">
        <f>'N10'!V8+'K10'!V8</f>
        <v>0</v>
      </c>
      <c r="W8" s="115">
        <f>'N10'!W8+'K10'!W8</f>
        <v>0</v>
      </c>
      <c r="X8" s="116">
        <f>'N10'!X8+'K10'!X8</f>
        <v>0</v>
      </c>
      <c r="Y8" s="115">
        <f>'N10'!Y8+'K10'!Y8</f>
        <v>0</v>
      </c>
      <c r="Z8" s="116">
        <f>'N10'!Z8+'K10'!Z8</f>
        <v>0</v>
      </c>
      <c r="AA8" s="121">
        <f>'N10'!AA8+'K10'!AA8</f>
        <v>0</v>
      </c>
      <c r="AB8" s="121">
        <f>'N10'!AB8+'K10'!AB8</f>
        <v>0</v>
      </c>
      <c r="AC8" s="33">
        <f>'N10'!AC8+'K10'!AC8</f>
        <v>0</v>
      </c>
      <c r="AD8" s="12">
        <f>'N10'!AD8+'K10'!AD8</f>
        <v>6578</v>
      </c>
      <c r="AE8" s="39"/>
      <c r="AF8" s="39"/>
      <c r="AG8" s="39"/>
      <c r="AH8" s="39"/>
      <c r="AI8" s="39"/>
      <c r="AJ8"/>
    </row>
    <row r="9" spans="1:36" x14ac:dyDescent="0.2">
      <c r="A9" s="5">
        <f>DAY(Kalenteri!A278)</f>
        <v>5</v>
      </c>
      <c r="B9" s="3" t="str">
        <f>IF(Kalenteri!B278=1,"su",IF(Kalenteri!B278=2,"ma",IF(Kalenteri!B278=3,"ti",IF(Kalenteri!B278=4,"ke",IF(Kalenteri!B278=5,"to",IF(Kalenteri!B278=6,"pe",IF(Kalenteri!B278=7,"la",)))))))</f>
        <v>la</v>
      </c>
      <c r="C9" s="114">
        <f>'N10'!C9+'K10'!C9</f>
        <v>507</v>
      </c>
      <c r="D9" s="115">
        <f>'N10'!D9+'K10'!D9</f>
        <v>185</v>
      </c>
      <c r="E9" s="115">
        <f>'N10'!E9+'K10'!E9</f>
        <v>0</v>
      </c>
      <c r="F9" s="116">
        <f>'N10'!F9+'K10'!F9</f>
        <v>21</v>
      </c>
      <c r="G9" s="114">
        <f>'N10'!G9+'K10'!G9</f>
        <v>1</v>
      </c>
      <c r="H9" s="116">
        <f>'N10'!H9+'K10'!H9</f>
        <v>175</v>
      </c>
      <c r="I9" s="114">
        <f>'N10'!I9+'K10'!I9</f>
        <v>14</v>
      </c>
      <c r="J9" s="116">
        <f>'N10'!J9+'K10'!J9</f>
        <v>21</v>
      </c>
      <c r="K9" s="33">
        <f>'N10'!K9+'K10'!K9</f>
        <v>924</v>
      </c>
      <c r="L9" s="115">
        <f>'N10'!L9+'K10'!L9</f>
        <v>0</v>
      </c>
      <c r="M9" s="115">
        <f>'N10'!M9+'K10'!M9</f>
        <v>0</v>
      </c>
      <c r="N9" s="115">
        <f>'N10'!N9+'K10'!N9</f>
        <v>0</v>
      </c>
      <c r="O9" s="116">
        <f>'N10'!O9+'K10'!O9</f>
        <v>0</v>
      </c>
      <c r="P9" s="115">
        <f>'N10'!P9+'K10'!P9</f>
        <v>0</v>
      </c>
      <c r="Q9" s="116">
        <f>'N10'!Q9+'K10'!Q9</f>
        <v>0</v>
      </c>
      <c r="R9" s="121">
        <f>'N10'!R9+'K10'!R9</f>
        <v>0</v>
      </c>
      <c r="S9" s="121">
        <f>'N10'!S9+'K10'!S9</f>
        <v>0</v>
      </c>
      <c r="T9" s="33">
        <f>'N10'!T9+'K10'!T9</f>
        <v>0</v>
      </c>
      <c r="U9" s="115">
        <f>'N10'!U9+'K10'!U9</f>
        <v>0</v>
      </c>
      <c r="V9" s="115">
        <f>'N10'!V9+'K10'!V9</f>
        <v>0</v>
      </c>
      <c r="W9" s="115">
        <f>'N10'!W9+'K10'!W9</f>
        <v>0</v>
      </c>
      <c r="X9" s="116">
        <f>'N10'!X9+'K10'!X9</f>
        <v>0</v>
      </c>
      <c r="Y9" s="115">
        <f>'N10'!Y9+'K10'!Y9</f>
        <v>0</v>
      </c>
      <c r="Z9" s="116">
        <f>'N10'!Z9+'K10'!Z9</f>
        <v>0</v>
      </c>
      <c r="AA9" s="121">
        <f>'N10'!AA9+'K10'!AA9</f>
        <v>0</v>
      </c>
      <c r="AB9" s="121">
        <f>'N10'!AB9+'K10'!AB9</f>
        <v>0</v>
      </c>
      <c r="AC9" s="33">
        <f>'N10'!AC9+'K10'!AC9</f>
        <v>0</v>
      </c>
      <c r="AD9" s="12">
        <f>'N10'!AD9+'K10'!AD9</f>
        <v>924</v>
      </c>
      <c r="AE9" s="39"/>
      <c r="AF9" s="39"/>
      <c r="AG9" s="39"/>
      <c r="AH9" s="39"/>
      <c r="AI9" s="39"/>
      <c r="AJ9"/>
    </row>
    <row r="10" spans="1:36" x14ac:dyDescent="0.2">
      <c r="A10" s="5">
        <f>DAY(Kalenteri!A279)</f>
        <v>6</v>
      </c>
      <c r="B10" s="3" t="str">
        <f>IF(Kalenteri!B279=1,"su",IF(Kalenteri!B279=2,"ma",IF(Kalenteri!B279=3,"ti",IF(Kalenteri!B279=4,"ke",IF(Kalenteri!B279=5,"to",IF(Kalenteri!B279=6,"pe",IF(Kalenteri!B279=7,"la",)))))))</f>
        <v>su</v>
      </c>
      <c r="C10" s="114">
        <f>'N10'!C10+'K10'!C10</f>
        <v>438</v>
      </c>
      <c r="D10" s="115">
        <f>'N10'!D10+'K10'!D10</f>
        <v>133</v>
      </c>
      <c r="E10" s="115">
        <f>'N10'!E10+'K10'!E10</f>
        <v>0</v>
      </c>
      <c r="F10" s="116">
        <f>'N10'!F10+'K10'!F10</f>
        <v>31</v>
      </c>
      <c r="G10" s="114">
        <f>'N10'!G10+'K10'!G10</f>
        <v>7</v>
      </c>
      <c r="H10" s="116">
        <f>'N10'!H10+'K10'!H10</f>
        <v>156</v>
      </c>
      <c r="I10" s="114">
        <f>'N10'!I10+'K10'!I10</f>
        <v>14</v>
      </c>
      <c r="J10" s="116">
        <f>'N10'!J10+'K10'!J10</f>
        <v>21</v>
      </c>
      <c r="K10" s="33">
        <f>'N10'!K10+'K10'!K10</f>
        <v>800</v>
      </c>
      <c r="L10" s="115">
        <f>'N10'!L10+'K10'!L10</f>
        <v>0</v>
      </c>
      <c r="M10" s="115">
        <f>'N10'!M10+'K10'!M10</f>
        <v>0</v>
      </c>
      <c r="N10" s="115">
        <f>'N10'!N10+'K10'!N10</f>
        <v>0</v>
      </c>
      <c r="O10" s="116">
        <f>'N10'!O10+'K10'!O10</f>
        <v>0</v>
      </c>
      <c r="P10" s="115">
        <f>'N10'!P10+'K10'!P10</f>
        <v>0</v>
      </c>
      <c r="Q10" s="116">
        <f>'N10'!Q10+'K10'!Q10</f>
        <v>0</v>
      </c>
      <c r="R10" s="121">
        <f>'N10'!R10+'K10'!R10</f>
        <v>0</v>
      </c>
      <c r="S10" s="121">
        <f>'N10'!S10+'K10'!S10</f>
        <v>0</v>
      </c>
      <c r="T10" s="33">
        <f>'N10'!T10+'K10'!T10</f>
        <v>0</v>
      </c>
      <c r="U10" s="115">
        <f>'N10'!U10+'K10'!U10</f>
        <v>0</v>
      </c>
      <c r="V10" s="115">
        <f>'N10'!V10+'K10'!V10</f>
        <v>0</v>
      </c>
      <c r="W10" s="115">
        <f>'N10'!W10+'K10'!W10</f>
        <v>0</v>
      </c>
      <c r="X10" s="116">
        <f>'N10'!X10+'K10'!X10</f>
        <v>0</v>
      </c>
      <c r="Y10" s="115">
        <f>'N10'!Y10+'K10'!Y10</f>
        <v>0</v>
      </c>
      <c r="Z10" s="116">
        <f>'N10'!Z10+'K10'!Z10</f>
        <v>0</v>
      </c>
      <c r="AA10" s="121">
        <f>'N10'!AA10+'K10'!AA10</f>
        <v>0</v>
      </c>
      <c r="AB10" s="121">
        <f>'N10'!AB10+'K10'!AB10</f>
        <v>0</v>
      </c>
      <c r="AC10" s="33">
        <f>'N10'!AC10+'K10'!AC10</f>
        <v>0</v>
      </c>
      <c r="AD10" s="12">
        <f>'N10'!AD10+'K10'!AD10</f>
        <v>800</v>
      </c>
      <c r="AE10" s="39"/>
      <c r="AF10" s="39"/>
      <c r="AG10" s="39"/>
      <c r="AH10" s="39"/>
      <c r="AI10" s="39"/>
      <c r="AJ10"/>
    </row>
    <row r="11" spans="1:36" x14ac:dyDescent="0.2">
      <c r="A11" s="5">
        <f>DAY(Kalenteri!A280)</f>
        <v>7</v>
      </c>
      <c r="B11" s="3" t="str">
        <f>IF(Kalenteri!B280=1,"su",IF(Kalenteri!B280=2,"ma",IF(Kalenteri!B280=3,"ti",IF(Kalenteri!B280=4,"ke",IF(Kalenteri!B280=5,"to",IF(Kalenteri!B280=6,"pe",IF(Kalenteri!B280=7,"la",)))))))</f>
        <v>ma</v>
      </c>
      <c r="C11" s="114">
        <f>'N10'!C11+'K10'!C11</f>
        <v>122</v>
      </c>
      <c r="D11" s="115">
        <f>'N10'!D11+'K10'!D11</f>
        <v>13</v>
      </c>
      <c r="E11" s="115">
        <f>'N10'!E11+'K10'!E11</f>
        <v>2</v>
      </c>
      <c r="F11" s="116">
        <f>'N10'!F11+'K10'!F11</f>
        <v>6</v>
      </c>
      <c r="G11" s="114">
        <f>'N10'!G11+'K10'!G11</f>
        <v>3</v>
      </c>
      <c r="H11" s="116">
        <f>'N10'!H11+'K10'!H11</f>
        <v>100</v>
      </c>
      <c r="I11" s="114">
        <f>'N10'!I11+'K10'!I11</f>
        <v>0</v>
      </c>
      <c r="J11" s="116">
        <f>'N10'!J11+'K10'!J11</f>
        <v>0</v>
      </c>
      <c r="K11" s="33">
        <f>'N10'!K11+'K10'!K11</f>
        <v>246</v>
      </c>
      <c r="L11" s="115">
        <f>'N10'!L11+'K10'!L11</f>
        <v>0</v>
      </c>
      <c r="M11" s="115">
        <f>'N10'!M11+'K10'!M11</f>
        <v>0</v>
      </c>
      <c r="N11" s="115">
        <f>'N10'!N11+'K10'!N11</f>
        <v>0</v>
      </c>
      <c r="O11" s="116">
        <f>'N10'!O11+'K10'!O11</f>
        <v>0</v>
      </c>
      <c r="P11" s="115">
        <f>'N10'!P11+'K10'!P11</f>
        <v>0</v>
      </c>
      <c r="Q11" s="116">
        <f>'N10'!Q11+'K10'!Q11</f>
        <v>0</v>
      </c>
      <c r="R11" s="121">
        <f>'N10'!R11+'K10'!R11</f>
        <v>0</v>
      </c>
      <c r="S11" s="121">
        <f>'N10'!S11+'K10'!S11</f>
        <v>0</v>
      </c>
      <c r="T11" s="33">
        <f>'N10'!T11+'K10'!T11</f>
        <v>0</v>
      </c>
      <c r="U11" s="115">
        <f>'N10'!U11+'K10'!U11</f>
        <v>0</v>
      </c>
      <c r="V11" s="115">
        <f>'N10'!V11+'K10'!V11</f>
        <v>0</v>
      </c>
      <c r="W11" s="115">
        <f>'N10'!W11+'K10'!W11</f>
        <v>0</v>
      </c>
      <c r="X11" s="116">
        <f>'N10'!X11+'K10'!X11</f>
        <v>0</v>
      </c>
      <c r="Y11" s="115">
        <f>'N10'!Y11+'K10'!Y11</f>
        <v>0</v>
      </c>
      <c r="Z11" s="116">
        <f>'N10'!Z11+'K10'!Z11</f>
        <v>0</v>
      </c>
      <c r="AA11" s="121">
        <f>'N10'!AA11+'K10'!AA11</f>
        <v>0</v>
      </c>
      <c r="AB11" s="121">
        <f>'N10'!AB11+'K10'!AB11</f>
        <v>0</v>
      </c>
      <c r="AC11" s="33">
        <f>'N10'!AC11+'K10'!AC11</f>
        <v>0</v>
      </c>
      <c r="AD11" s="12">
        <f>'N10'!AD11+'K10'!AD11</f>
        <v>246</v>
      </c>
      <c r="AE11" s="39"/>
      <c r="AF11" s="39"/>
      <c r="AG11" s="39"/>
      <c r="AH11" s="39"/>
      <c r="AI11" s="39"/>
      <c r="AJ11"/>
    </row>
    <row r="12" spans="1:36" x14ac:dyDescent="0.2">
      <c r="A12" s="5">
        <f>DAY(Kalenteri!A281)</f>
        <v>8</v>
      </c>
      <c r="B12" s="3" t="str">
        <f>IF(Kalenteri!B281=1,"su",IF(Kalenteri!B281=2,"ma",IF(Kalenteri!B281=3,"ti",IF(Kalenteri!B281=4,"ke",IF(Kalenteri!B281=5,"to",IF(Kalenteri!B281=6,"pe",IF(Kalenteri!B281=7,"la",)))))))</f>
        <v>ti</v>
      </c>
      <c r="C12" s="114">
        <f>'N10'!C12+'K10'!C12</f>
        <v>33</v>
      </c>
      <c r="D12" s="115">
        <f>'N10'!D12+'K10'!D12</f>
        <v>2</v>
      </c>
      <c r="E12" s="115">
        <f>'N10'!E12+'K10'!E12</f>
        <v>1</v>
      </c>
      <c r="F12" s="116">
        <f>'N10'!F12+'K10'!F12</f>
        <v>3</v>
      </c>
      <c r="G12" s="114">
        <f>'N10'!G12+'K10'!G12</f>
        <v>12</v>
      </c>
      <c r="H12" s="116">
        <f>'N10'!H12+'K10'!H12</f>
        <v>113</v>
      </c>
      <c r="I12" s="114">
        <f>'N10'!I12+'K10'!I12</f>
        <v>0</v>
      </c>
      <c r="J12" s="116">
        <f>'N10'!J12+'K10'!J12</f>
        <v>0</v>
      </c>
      <c r="K12" s="33">
        <f>'N10'!K12+'K10'!K12</f>
        <v>164</v>
      </c>
      <c r="L12" s="115">
        <f>'N10'!L12+'K10'!L12</f>
        <v>0</v>
      </c>
      <c r="M12" s="115">
        <f>'N10'!M12+'K10'!M12</f>
        <v>0</v>
      </c>
      <c r="N12" s="115">
        <f>'N10'!N12+'K10'!N12</f>
        <v>0</v>
      </c>
      <c r="O12" s="116">
        <f>'N10'!O12+'K10'!O12</f>
        <v>0</v>
      </c>
      <c r="P12" s="115">
        <f>'N10'!P12+'K10'!P12</f>
        <v>0</v>
      </c>
      <c r="Q12" s="116">
        <f>'N10'!Q12+'K10'!Q12</f>
        <v>0</v>
      </c>
      <c r="R12" s="121">
        <f>'N10'!R12+'K10'!R12</f>
        <v>0</v>
      </c>
      <c r="S12" s="121">
        <f>'N10'!S12+'K10'!S12</f>
        <v>0</v>
      </c>
      <c r="T12" s="33">
        <f>'N10'!T12+'K10'!T12</f>
        <v>0</v>
      </c>
      <c r="U12" s="115">
        <f>'N10'!U12+'K10'!U12</f>
        <v>0</v>
      </c>
      <c r="V12" s="115">
        <f>'N10'!V12+'K10'!V12</f>
        <v>0</v>
      </c>
      <c r="W12" s="115">
        <f>'N10'!W12+'K10'!W12</f>
        <v>0</v>
      </c>
      <c r="X12" s="116">
        <f>'N10'!X12+'K10'!X12</f>
        <v>0</v>
      </c>
      <c r="Y12" s="115">
        <f>'N10'!Y12+'K10'!Y12</f>
        <v>0</v>
      </c>
      <c r="Z12" s="116">
        <f>'N10'!Z12+'K10'!Z12</f>
        <v>0</v>
      </c>
      <c r="AA12" s="121">
        <f>'N10'!AA12+'K10'!AA12</f>
        <v>0</v>
      </c>
      <c r="AB12" s="121">
        <f>'N10'!AB12+'K10'!AB12</f>
        <v>0</v>
      </c>
      <c r="AC12" s="33">
        <f>'N10'!AC12+'K10'!AC12</f>
        <v>0</v>
      </c>
      <c r="AD12" s="12">
        <f>'N10'!AD12+'K10'!AD12</f>
        <v>164</v>
      </c>
      <c r="AE12" s="39"/>
      <c r="AF12" s="39"/>
      <c r="AG12" s="39"/>
      <c r="AH12" s="39"/>
      <c r="AI12" s="39"/>
      <c r="AJ12"/>
    </row>
    <row r="13" spans="1:36" x14ac:dyDescent="0.2">
      <c r="A13" s="5">
        <f>DAY(Kalenteri!A282)</f>
        <v>9</v>
      </c>
      <c r="B13" s="3" t="str">
        <f>IF(Kalenteri!B282=1,"su",IF(Kalenteri!B282=2,"ma",IF(Kalenteri!B282=3,"ti",IF(Kalenteri!B282=4,"ke",IF(Kalenteri!B282=5,"to",IF(Kalenteri!B282=6,"pe",IF(Kalenteri!B282=7,"la",)))))))</f>
        <v>ke</v>
      </c>
      <c r="C13" s="114">
        <f>'N10'!C13+'K10'!C13</f>
        <v>39</v>
      </c>
      <c r="D13" s="115">
        <f>'N10'!D13+'K10'!D13</f>
        <v>5</v>
      </c>
      <c r="E13" s="115">
        <f>'N10'!E13+'K10'!E13</f>
        <v>0</v>
      </c>
      <c r="F13" s="116">
        <f>'N10'!F13+'K10'!F13</f>
        <v>0</v>
      </c>
      <c r="G13" s="114">
        <f>'N10'!G13+'K10'!G13</f>
        <v>4</v>
      </c>
      <c r="H13" s="116">
        <f>'N10'!H13+'K10'!H13</f>
        <v>16</v>
      </c>
      <c r="I13" s="114">
        <f>'N10'!I13+'K10'!I13</f>
        <v>0</v>
      </c>
      <c r="J13" s="116">
        <f>'N10'!J13+'K10'!J13</f>
        <v>0</v>
      </c>
      <c r="K13" s="33">
        <f>'N10'!K13+'K10'!K13</f>
        <v>64</v>
      </c>
      <c r="L13" s="115">
        <f>'N10'!L13+'K10'!L13</f>
        <v>0</v>
      </c>
      <c r="M13" s="115">
        <f>'N10'!M13+'K10'!M13</f>
        <v>0</v>
      </c>
      <c r="N13" s="115">
        <f>'N10'!N13+'K10'!N13</f>
        <v>0</v>
      </c>
      <c r="O13" s="116">
        <f>'N10'!O13+'K10'!O13</f>
        <v>0</v>
      </c>
      <c r="P13" s="115">
        <f>'N10'!P13+'K10'!P13</f>
        <v>0</v>
      </c>
      <c r="Q13" s="116">
        <f>'N10'!Q13+'K10'!Q13</f>
        <v>0</v>
      </c>
      <c r="R13" s="121">
        <f>'N10'!R13+'K10'!R13</f>
        <v>0</v>
      </c>
      <c r="S13" s="121">
        <f>'N10'!S13+'K10'!S13</f>
        <v>0</v>
      </c>
      <c r="T13" s="33">
        <f>'N10'!T13+'K10'!T13</f>
        <v>0</v>
      </c>
      <c r="U13" s="115">
        <f>'N10'!U13+'K10'!U13</f>
        <v>0</v>
      </c>
      <c r="V13" s="115">
        <f>'N10'!V13+'K10'!V13</f>
        <v>0</v>
      </c>
      <c r="W13" s="115">
        <f>'N10'!W13+'K10'!W13</f>
        <v>0</v>
      </c>
      <c r="X13" s="116">
        <f>'N10'!X13+'K10'!X13</f>
        <v>0</v>
      </c>
      <c r="Y13" s="115">
        <f>'N10'!Y13+'K10'!Y13</f>
        <v>0</v>
      </c>
      <c r="Z13" s="116">
        <f>'N10'!Z13+'K10'!Z13</f>
        <v>0</v>
      </c>
      <c r="AA13" s="121">
        <f>'N10'!AA13+'K10'!AA13</f>
        <v>0</v>
      </c>
      <c r="AB13" s="121">
        <f>'N10'!AB13+'K10'!AB13</f>
        <v>0</v>
      </c>
      <c r="AC13" s="33">
        <f>'N10'!AC13+'K10'!AC13</f>
        <v>0</v>
      </c>
      <c r="AD13" s="12">
        <f>'N10'!AD13+'K10'!AD13</f>
        <v>64</v>
      </c>
      <c r="AE13" s="39"/>
      <c r="AF13" s="39"/>
      <c r="AG13" s="39"/>
      <c r="AH13" s="39"/>
      <c r="AI13" s="39"/>
      <c r="AJ13"/>
    </row>
    <row r="14" spans="1:36" x14ac:dyDescent="0.2">
      <c r="A14" s="5">
        <f>DAY(Kalenteri!A283)</f>
        <v>10</v>
      </c>
      <c r="B14" s="3" t="str">
        <f>IF(Kalenteri!B283=1,"su",IF(Kalenteri!B283=2,"ma",IF(Kalenteri!B283=3,"ti",IF(Kalenteri!B283=4,"ke",IF(Kalenteri!B283=5,"to",IF(Kalenteri!B283=6,"pe",IF(Kalenteri!B283=7,"la",)))))))</f>
        <v>to</v>
      </c>
      <c r="C14" s="114">
        <f>'N10'!C14+'K10'!C14</f>
        <v>56</v>
      </c>
      <c r="D14" s="115">
        <f>'N10'!D14+'K10'!D14</f>
        <v>25</v>
      </c>
      <c r="E14" s="115">
        <f>'N10'!E14+'K10'!E14</f>
        <v>0</v>
      </c>
      <c r="F14" s="116">
        <f>'N10'!F14+'K10'!F14</f>
        <v>1</v>
      </c>
      <c r="G14" s="114">
        <f>'N10'!G14+'K10'!G14</f>
        <v>25</v>
      </c>
      <c r="H14" s="116">
        <f>'N10'!H14+'K10'!H14</f>
        <v>169</v>
      </c>
      <c r="I14" s="114">
        <f>'N10'!I14+'K10'!I14</f>
        <v>0</v>
      </c>
      <c r="J14" s="116">
        <f>'N10'!J14+'K10'!J14</f>
        <v>0</v>
      </c>
      <c r="K14" s="33">
        <f>'N10'!K14+'K10'!K14</f>
        <v>276</v>
      </c>
      <c r="L14" s="115">
        <f>'N10'!L14+'K10'!L14</f>
        <v>0</v>
      </c>
      <c r="M14" s="115">
        <f>'N10'!M14+'K10'!M14</f>
        <v>0</v>
      </c>
      <c r="N14" s="115">
        <f>'N10'!N14+'K10'!N14</f>
        <v>0</v>
      </c>
      <c r="O14" s="116">
        <f>'N10'!O14+'K10'!O14</f>
        <v>0</v>
      </c>
      <c r="P14" s="115">
        <f>'N10'!P14+'K10'!P14</f>
        <v>0</v>
      </c>
      <c r="Q14" s="116">
        <f>'N10'!Q14+'K10'!Q14</f>
        <v>0</v>
      </c>
      <c r="R14" s="121">
        <f>'N10'!R14+'K10'!R14</f>
        <v>0</v>
      </c>
      <c r="S14" s="121">
        <f>'N10'!S14+'K10'!S14</f>
        <v>0</v>
      </c>
      <c r="T14" s="33">
        <f>'N10'!T14+'K10'!T14</f>
        <v>0</v>
      </c>
      <c r="U14" s="115">
        <f>'N10'!U14+'K10'!U14</f>
        <v>0</v>
      </c>
      <c r="V14" s="115">
        <f>'N10'!V14+'K10'!V14</f>
        <v>0</v>
      </c>
      <c r="W14" s="115">
        <f>'N10'!W14+'K10'!W14</f>
        <v>0</v>
      </c>
      <c r="X14" s="116">
        <f>'N10'!X14+'K10'!X14</f>
        <v>0</v>
      </c>
      <c r="Y14" s="115">
        <f>'N10'!Y14+'K10'!Y14</f>
        <v>0</v>
      </c>
      <c r="Z14" s="116">
        <f>'N10'!Z14+'K10'!Z14</f>
        <v>0</v>
      </c>
      <c r="AA14" s="121">
        <f>'N10'!AA14+'K10'!AA14</f>
        <v>0</v>
      </c>
      <c r="AB14" s="121">
        <f>'N10'!AB14+'K10'!AB14</f>
        <v>0</v>
      </c>
      <c r="AC14" s="33">
        <f>'N10'!AC14+'K10'!AC14</f>
        <v>0</v>
      </c>
      <c r="AD14" s="12">
        <f>'N10'!AD14+'K10'!AD14</f>
        <v>276</v>
      </c>
      <c r="AE14" s="39"/>
      <c r="AF14" s="39"/>
      <c r="AG14" s="39"/>
      <c r="AH14" s="39"/>
      <c r="AI14" s="39"/>
      <c r="AJ14"/>
    </row>
    <row r="15" spans="1:36" x14ac:dyDescent="0.2">
      <c r="A15" s="5">
        <f>DAY(Kalenteri!A284)</f>
        <v>11</v>
      </c>
      <c r="B15" s="3" t="str">
        <f>IF(Kalenteri!B284=1,"su",IF(Kalenteri!B284=2,"ma",IF(Kalenteri!B284=3,"ti",IF(Kalenteri!B284=4,"ke",IF(Kalenteri!B284=5,"to",IF(Kalenteri!B284=6,"pe",IF(Kalenteri!B284=7,"la",)))))))</f>
        <v>pe</v>
      </c>
      <c r="C15" s="114">
        <f>'N10'!C15+'K10'!C15</f>
        <v>119</v>
      </c>
      <c r="D15" s="115">
        <f>'N10'!D15+'K10'!D15</f>
        <v>18</v>
      </c>
      <c r="E15" s="115">
        <f>'N10'!E15+'K10'!E15</f>
        <v>0</v>
      </c>
      <c r="F15" s="116">
        <f>'N10'!F15+'K10'!F15</f>
        <v>16</v>
      </c>
      <c r="G15" s="114">
        <f>'N10'!G15+'K10'!G15</f>
        <v>16</v>
      </c>
      <c r="H15" s="116">
        <f>'N10'!H15+'K10'!H15</f>
        <v>85</v>
      </c>
      <c r="I15" s="114">
        <f>'N10'!I15+'K10'!I15</f>
        <v>0</v>
      </c>
      <c r="J15" s="116">
        <f>'N10'!J15+'K10'!J15</f>
        <v>0</v>
      </c>
      <c r="K15" s="33">
        <f>'N10'!K15+'K10'!K15</f>
        <v>254</v>
      </c>
      <c r="L15" s="115">
        <f>'N10'!L15+'K10'!L15</f>
        <v>0</v>
      </c>
      <c r="M15" s="115">
        <f>'N10'!M15+'K10'!M15</f>
        <v>0</v>
      </c>
      <c r="N15" s="115">
        <f>'N10'!N15+'K10'!N15</f>
        <v>0</v>
      </c>
      <c r="O15" s="116">
        <f>'N10'!O15+'K10'!O15</f>
        <v>0</v>
      </c>
      <c r="P15" s="115">
        <f>'N10'!P15+'K10'!P15</f>
        <v>0</v>
      </c>
      <c r="Q15" s="116">
        <f>'N10'!Q15+'K10'!Q15</f>
        <v>0</v>
      </c>
      <c r="R15" s="121">
        <f>'N10'!R15+'K10'!R15</f>
        <v>0</v>
      </c>
      <c r="S15" s="121">
        <f>'N10'!S15+'K10'!S15</f>
        <v>0</v>
      </c>
      <c r="T15" s="33">
        <f>'N10'!T15+'K10'!T15</f>
        <v>0</v>
      </c>
      <c r="U15" s="115">
        <f>'N10'!U15+'K10'!U15</f>
        <v>0</v>
      </c>
      <c r="V15" s="115">
        <f>'N10'!V15+'K10'!V15</f>
        <v>0</v>
      </c>
      <c r="W15" s="115">
        <f>'N10'!W15+'K10'!W15</f>
        <v>0</v>
      </c>
      <c r="X15" s="116">
        <f>'N10'!X15+'K10'!X15</f>
        <v>0</v>
      </c>
      <c r="Y15" s="115">
        <f>'N10'!Y15+'K10'!Y15</f>
        <v>0</v>
      </c>
      <c r="Z15" s="116">
        <f>'N10'!Z15+'K10'!Z15</f>
        <v>0</v>
      </c>
      <c r="AA15" s="121">
        <f>'N10'!AA15+'K10'!AA15</f>
        <v>0</v>
      </c>
      <c r="AB15" s="121">
        <f>'N10'!AB15+'K10'!AB15</f>
        <v>0</v>
      </c>
      <c r="AC15" s="33">
        <f>'N10'!AC15+'K10'!AC15</f>
        <v>0</v>
      </c>
      <c r="AD15" s="12">
        <f>'N10'!AD15+'K10'!AD15</f>
        <v>254</v>
      </c>
      <c r="AE15" s="39"/>
      <c r="AF15" s="39"/>
      <c r="AG15" s="39"/>
      <c r="AH15" s="39"/>
      <c r="AI15" s="39"/>
      <c r="AJ15"/>
    </row>
    <row r="16" spans="1:36" x14ac:dyDescent="0.2">
      <c r="A16" s="5">
        <f>DAY(Kalenteri!A285)</f>
        <v>12</v>
      </c>
      <c r="B16" s="3" t="str">
        <f>IF(Kalenteri!B285=1,"su",IF(Kalenteri!B285=2,"ma",IF(Kalenteri!B285=3,"ti",IF(Kalenteri!B285=4,"ke",IF(Kalenteri!B285=5,"to",IF(Kalenteri!B285=6,"pe",IF(Kalenteri!B285=7,"la",)))))))</f>
        <v>la</v>
      </c>
      <c r="C16" s="114">
        <f>'N10'!C16+'K10'!C16</f>
        <v>588</v>
      </c>
      <c r="D16" s="115">
        <f>'N10'!D16+'K10'!D16</f>
        <v>153</v>
      </c>
      <c r="E16" s="115">
        <f>'N10'!E16+'K10'!E16</f>
        <v>2</v>
      </c>
      <c r="F16" s="116">
        <f>'N10'!F16+'K10'!F16</f>
        <v>28</v>
      </c>
      <c r="G16" s="114">
        <f>'N10'!G16+'K10'!G16</f>
        <v>3</v>
      </c>
      <c r="H16" s="116">
        <f>'N10'!H16+'K10'!H16</f>
        <v>175</v>
      </c>
      <c r="I16" s="114">
        <f>'N10'!I16+'K10'!I16</f>
        <v>16</v>
      </c>
      <c r="J16" s="116">
        <f>'N10'!J16+'K10'!J16</f>
        <v>24</v>
      </c>
      <c r="K16" s="33">
        <f>'N10'!K16+'K10'!K16</f>
        <v>989</v>
      </c>
      <c r="L16" s="115">
        <f>'N10'!L16+'K10'!L16</f>
        <v>0</v>
      </c>
      <c r="M16" s="115">
        <f>'N10'!M16+'K10'!M16</f>
        <v>0</v>
      </c>
      <c r="N16" s="115">
        <f>'N10'!N16+'K10'!N16</f>
        <v>0</v>
      </c>
      <c r="O16" s="116">
        <f>'N10'!O16+'K10'!O16</f>
        <v>0</v>
      </c>
      <c r="P16" s="115">
        <f>'N10'!P16+'K10'!P16</f>
        <v>0</v>
      </c>
      <c r="Q16" s="116">
        <f>'N10'!Q16+'K10'!Q16</f>
        <v>0</v>
      </c>
      <c r="R16" s="121">
        <f>'N10'!R16+'K10'!R16</f>
        <v>0</v>
      </c>
      <c r="S16" s="121">
        <f>'N10'!S16+'K10'!S16</f>
        <v>0</v>
      </c>
      <c r="T16" s="33">
        <f>'N10'!T16+'K10'!T16</f>
        <v>0</v>
      </c>
      <c r="U16" s="115">
        <f>'N10'!U16+'K10'!U16</f>
        <v>0</v>
      </c>
      <c r="V16" s="115">
        <f>'N10'!V16+'K10'!V16</f>
        <v>0</v>
      </c>
      <c r="W16" s="115">
        <f>'N10'!W16+'K10'!W16</f>
        <v>0</v>
      </c>
      <c r="X16" s="116">
        <f>'N10'!X16+'K10'!X16</f>
        <v>0</v>
      </c>
      <c r="Y16" s="115">
        <f>'N10'!Y16+'K10'!Y16</f>
        <v>0</v>
      </c>
      <c r="Z16" s="116">
        <f>'N10'!Z16+'K10'!Z16</f>
        <v>0</v>
      </c>
      <c r="AA16" s="121">
        <f>'N10'!AA16+'K10'!AA16</f>
        <v>0</v>
      </c>
      <c r="AB16" s="121">
        <f>'N10'!AB16+'K10'!AB16</f>
        <v>0</v>
      </c>
      <c r="AC16" s="33">
        <f>'N10'!AC16+'K10'!AC16</f>
        <v>0</v>
      </c>
      <c r="AD16" s="12">
        <f>'N10'!AD16+'K10'!AD16</f>
        <v>989</v>
      </c>
      <c r="AE16" s="39"/>
      <c r="AF16" s="39"/>
      <c r="AG16" s="39"/>
      <c r="AH16" s="39"/>
      <c r="AI16" s="39"/>
      <c r="AJ16"/>
    </row>
    <row r="17" spans="1:36" x14ac:dyDescent="0.2">
      <c r="A17" s="5">
        <f>DAY(Kalenteri!A286)</f>
        <v>13</v>
      </c>
      <c r="B17" s="3" t="str">
        <f>IF(Kalenteri!B286=1,"su",IF(Kalenteri!B286=2,"ma",IF(Kalenteri!B286=3,"ti",IF(Kalenteri!B286=4,"ke",IF(Kalenteri!B286=5,"to",IF(Kalenteri!B286=6,"pe",IF(Kalenteri!B286=7,"la",)))))))</f>
        <v>su</v>
      </c>
      <c r="C17" s="114">
        <f>'N10'!C17+'K10'!C17</f>
        <v>523</v>
      </c>
      <c r="D17" s="115">
        <f>'N10'!D17+'K10'!D17</f>
        <v>122</v>
      </c>
      <c r="E17" s="115">
        <f>'N10'!E17+'K10'!E17</f>
        <v>0</v>
      </c>
      <c r="F17" s="116">
        <f>'N10'!F17+'K10'!F17</f>
        <v>26</v>
      </c>
      <c r="G17" s="114">
        <f>'N10'!G17+'K10'!G17</f>
        <v>12</v>
      </c>
      <c r="H17" s="116">
        <f>'N10'!H17+'K10'!H17</f>
        <v>150</v>
      </c>
      <c r="I17" s="114">
        <f>'N10'!I17+'K10'!I17</f>
        <v>42</v>
      </c>
      <c r="J17" s="116">
        <f>'N10'!J17+'K10'!J17</f>
        <v>63</v>
      </c>
      <c r="K17" s="33">
        <f>'N10'!K17+'K10'!K17</f>
        <v>938</v>
      </c>
      <c r="L17" s="115">
        <f>'N10'!L17+'K10'!L17</f>
        <v>0</v>
      </c>
      <c r="M17" s="115">
        <f>'N10'!M17+'K10'!M17</f>
        <v>0</v>
      </c>
      <c r="N17" s="115">
        <f>'N10'!N17+'K10'!N17</f>
        <v>0</v>
      </c>
      <c r="O17" s="116">
        <f>'N10'!O17+'K10'!O17</f>
        <v>0</v>
      </c>
      <c r="P17" s="115">
        <f>'N10'!P17+'K10'!P17</f>
        <v>0</v>
      </c>
      <c r="Q17" s="116">
        <f>'N10'!Q17+'K10'!Q17</f>
        <v>0</v>
      </c>
      <c r="R17" s="121">
        <f>'N10'!R17+'K10'!R17</f>
        <v>0</v>
      </c>
      <c r="S17" s="121">
        <f>'N10'!S17+'K10'!S17</f>
        <v>0</v>
      </c>
      <c r="T17" s="33">
        <f>'N10'!T17+'K10'!T17</f>
        <v>0</v>
      </c>
      <c r="U17" s="115">
        <f>'N10'!U17+'K10'!U17</f>
        <v>0</v>
      </c>
      <c r="V17" s="115">
        <f>'N10'!V17+'K10'!V17</f>
        <v>0</v>
      </c>
      <c r="W17" s="115">
        <f>'N10'!W17+'K10'!W17</f>
        <v>0</v>
      </c>
      <c r="X17" s="116">
        <f>'N10'!X17+'K10'!X17</f>
        <v>0</v>
      </c>
      <c r="Y17" s="115">
        <f>'N10'!Y17+'K10'!Y17</f>
        <v>0</v>
      </c>
      <c r="Z17" s="116">
        <f>'N10'!Z17+'K10'!Z17</f>
        <v>0</v>
      </c>
      <c r="AA17" s="121">
        <f>'N10'!AA17+'K10'!AA17</f>
        <v>0</v>
      </c>
      <c r="AB17" s="121">
        <f>'N10'!AB17+'K10'!AB17</f>
        <v>0</v>
      </c>
      <c r="AC17" s="33">
        <f>'N10'!AC17+'K10'!AC17</f>
        <v>0</v>
      </c>
      <c r="AD17" s="12">
        <f>'N10'!AD17+'K10'!AD17</f>
        <v>938</v>
      </c>
      <c r="AE17" s="39"/>
      <c r="AF17" s="39"/>
      <c r="AG17" s="39"/>
      <c r="AH17" s="39"/>
      <c r="AI17" s="39"/>
      <c r="AJ17"/>
    </row>
    <row r="18" spans="1:36" x14ac:dyDescent="0.2">
      <c r="A18" s="5">
        <f>DAY(Kalenteri!A287)</f>
        <v>14</v>
      </c>
      <c r="B18" s="3" t="str">
        <f>IF(Kalenteri!B287=1,"su",IF(Kalenteri!B287=2,"ma",IF(Kalenteri!B287=3,"ti",IF(Kalenteri!B287=4,"ke",IF(Kalenteri!B287=5,"to",IF(Kalenteri!B287=6,"pe",IF(Kalenteri!B287=7,"la",)))))))</f>
        <v>ma</v>
      </c>
      <c r="C18" s="114">
        <f>'N10'!C18+'K10'!C18</f>
        <v>249</v>
      </c>
      <c r="D18" s="115">
        <f>'N10'!D18+'K10'!D18</f>
        <v>123</v>
      </c>
      <c r="E18" s="115">
        <f>'N10'!E18+'K10'!E18</f>
        <v>1</v>
      </c>
      <c r="F18" s="116">
        <f>'N10'!F18+'K10'!F18</f>
        <v>6</v>
      </c>
      <c r="G18" s="114">
        <f>'N10'!G18+'K10'!G18</f>
        <v>2</v>
      </c>
      <c r="H18" s="116">
        <f>'N10'!H18+'K10'!H18</f>
        <v>110</v>
      </c>
      <c r="I18" s="114">
        <f>'N10'!I18+'K10'!I18</f>
        <v>6</v>
      </c>
      <c r="J18" s="116">
        <f>'N10'!J18+'K10'!J18</f>
        <v>9</v>
      </c>
      <c r="K18" s="33">
        <f>'N10'!K18+'K10'!K18</f>
        <v>506</v>
      </c>
      <c r="L18" s="115">
        <f>'N10'!L18+'K10'!L18</f>
        <v>0</v>
      </c>
      <c r="M18" s="115">
        <f>'N10'!M18+'K10'!M18</f>
        <v>0</v>
      </c>
      <c r="N18" s="115">
        <f>'N10'!N18+'K10'!N18</f>
        <v>0</v>
      </c>
      <c r="O18" s="116">
        <f>'N10'!O18+'K10'!O18</f>
        <v>0</v>
      </c>
      <c r="P18" s="115">
        <f>'N10'!P18+'K10'!P18</f>
        <v>0</v>
      </c>
      <c r="Q18" s="116">
        <f>'N10'!Q18+'K10'!Q18</f>
        <v>0</v>
      </c>
      <c r="R18" s="121">
        <f>'N10'!R18+'K10'!R18</f>
        <v>0</v>
      </c>
      <c r="S18" s="121">
        <f>'N10'!S18+'K10'!S18</f>
        <v>0</v>
      </c>
      <c r="T18" s="33">
        <f>'N10'!T18+'K10'!T18</f>
        <v>0</v>
      </c>
      <c r="U18" s="115">
        <f>'N10'!U18+'K10'!U18</f>
        <v>0</v>
      </c>
      <c r="V18" s="115">
        <f>'N10'!V18+'K10'!V18</f>
        <v>0</v>
      </c>
      <c r="W18" s="115">
        <f>'N10'!W18+'K10'!W18</f>
        <v>0</v>
      </c>
      <c r="X18" s="116">
        <f>'N10'!X18+'K10'!X18</f>
        <v>0</v>
      </c>
      <c r="Y18" s="115">
        <f>'N10'!Y18+'K10'!Y18</f>
        <v>0</v>
      </c>
      <c r="Z18" s="116">
        <f>'N10'!Z18+'K10'!Z18</f>
        <v>0</v>
      </c>
      <c r="AA18" s="121">
        <f>'N10'!AA18+'K10'!AA18</f>
        <v>0</v>
      </c>
      <c r="AB18" s="121">
        <f>'N10'!AB18+'K10'!AB18</f>
        <v>0</v>
      </c>
      <c r="AC18" s="33">
        <f>'N10'!AC18+'K10'!AC18</f>
        <v>0</v>
      </c>
      <c r="AD18" s="12">
        <f>'N10'!AD18+'K10'!AD18</f>
        <v>506</v>
      </c>
      <c r="AE18" s="39"/>
      <c r="AF18" s="39"/>
      <c r="AG18" s="39"/>
      <c r="AH18" s="39"/>
      <c r="AI18" s="39"/>
      <c r="AJ18"/>
    </row>
    <row r="19" spans="1:36" x14ac:dyDescent="0.2">
      <c r="A19" s="5">
        <f>DAY(Kalenteri!A288)</f>
        <v>15</v>
      </c>
      <c r="B19" s="3" t="str">
        <f>IF(Kalenteri!B288=1,"su",IF(Kalenteri!B288=2,"ma",IF(Kalenteri!B288=3,"ti",IF(Kalenteri!B288=4,"ke",IF(Kalenteri!B288=5,"to",IF(Kalenteri!B288=6,"pe",IF(Kalenteri!B288=7,"la",)))))))</f>
        <v>ti</v>
      </c>
      <c r="C19" s="114">
        <f>'N10'!C19+'K10'!C19</f>
        <v>259</v>
      </c>
      <c r="D19" s="115">
        <f>'N10'!D19+'K10'!D19</f>
        <v>173</v>
      </c>
      <c r="E19" s="115">
        <f>'N10'!E19+'K10'!E19</f>
        <v>5</v>
      </c>
      <c r="F19" s="116">
        <f>'N10'!F19+'K10'!F19</f>
        <v>3</v>
      </c>
      <c r="G19" s="114">
        <f>'N10'!G19+'K10'!G19</f>
        <v>3</v>
      </c>
      <c r="H19" s="116">
        <f>'N10'!H19+'K10'!H19</f>
        <v>82</v>
      </c>
      <c r="I19" s="114">
        <f>'N10'!I19+'K10'!I19</f>
        <v>6</v>
      </c>
      <c r="J19" s="116">
        <f>'N10'!J19+'K10'!J19</f>
        <v>9</v>
      </c>
      <c r="K19" s="33">
        <f>'N10'!K19+'K10'!K19</f>
        <v>540</v>
      </c>
      <c r="L19" s="115">
        <f>'N10'!L19+'K10'!L19</f>
        <v>0</v>
      </c>
      <c r="M19" s="115">
        <f>'N10'!M19+'K10'!M19</f>
        <v>0</v>
      </c>
      <c r="N19" s="115">
        <f>'N10'!N19+'K10'!N19</f>
        <v>0</v>
      </c>
      <c r="O19" s="116">
        <f>'N10'!O19+'K10'!O19</f>
        <v>0</v>
      </c>
      <c r="P19" s="115">
        <f>'N10'!P19+'K10'!P19</f>
        <v>0</v>
      </c>
      <c r="Q19" s="116">
        <f>'N10'!Q19+'K10'!Q19</f>
        <v>0</v>
      </c>
      <c r="R19" s="121">
        <f>'N10'!R19+'K10'!R19</f>
        <v>0</v>
      </c>
      <c r="S19" s="121">
        <f>'N10'!S19+'K10'!S19</f>
        <v>0</v>
      </c>
      <c r="T19" s="33">
        <f>'N10'!T19+'K10'!T19</f>
        <v>0</v>
      </c>
      <c r="U19" s="115">
        <f>'N10'!U19+'K10'!U19</f>
        <v>0</v>
      </c>
      <c r="V19" s="115">
        <f>'N10'!V19+'K10'!V19</f>
        <v>0</v>
      </c>
      <c r="W19" s="115">
        <f>'N10'!W19+'K10'!W19</f>
        <v>0</v>
      </c>
      <c r="X19" s="116">
        <f>'N10'!X19+'K10'!X19</f>
        <v>0</v>
      </c>
      <c r="Y19" s="115">
        <f>'N10'!Y19+'K10'!Y19</f>
        <v>0</v>
      </c>
      <c r="Z19" s="116">
        <f>'N10'!Z19+'K10'!Z19</f>
        <v>0</v>
      </c>
      <c r="AA19" s="121">
        <f>'N10'!AA19+'K10'!AA19</f>
        <v>0</v>
      </c>
      <c r="AB19" s="121">
        <f>'N10'!AB19+'K10'!AB19</f>
        <v>0</v>
      </c>
      <c r="AC19" s="33">
        <f>'N10'!AC19+'K10'!AC19</f>
        <v>0</v>
      </c>
      <c r="AD19" s="12">
        <f>'N10'!AD19+'K10'!AD19</f>
        <v>540</v>
      </c>
      <c r="AE19" s="39"/>
      <c r="AF19" s="39"/>
      <c r="AG19" s="39"/>
      <c r="AH19" s="39"/>
      <c r="AI19" s="39"/>
      <c r="AJ19"/>
    </row>
    <row r="20" spans="1:36" x14ac:dyDescent="0.2">
      <c r="A20" s="5">
        <f>DAY(Kalenteri!A289)</f>
        <v>16</v>
      </c>
      <c r="B20" s="3" t="str">
        <f>IF(Kalenteri!B289=1,"su",IF(Kalenteri!B289=2,"ma",IF(Kalenteri!B289=3,"ti",IF(Kalenteri!B289=4,"ke",IF(Kalenteri!B289=5,"to",IF(Kalenteri!B289=6,"pe",IF(Kalenteri!B289=7,"la",)))))))</f>
        <v>ke</v>
      </c>
      <c r="C20" s="114">
        <f>'N10'!C20+'K10'!C20</f>
        <v>316</v>
      </c>
      <c r="D20" s="115">
        <f>'N10'!D20+'K10'!D20</f>
        <v>245</v>
      </c>
      <c r="E20" s="115">
        <f>'N10'!E20+'K10'!E20</f>
        <v>0</v>
      </c>
      <c r="F20" s="116">
        <f>'N10'!F20+'K10'!F20</f>
        <v>7</v>
      </c>
      <c r="G20" s="114">
        <f>'N10'!G20+'K10'!G20</f>
        <v>19</v>
      </c>
      <c r="H20" s="116">
        <f>'N10'!H20+'K10'!H20</f>
        <v>133</v>
      </c>
      <c r="I20" s="114">
        <f>'N10'!I20+'K10'!I20</f>
        <v>16</v>
      </c>
      <c r="J20" s="116">
        <f>'N10'!J20+'K10'!J20</f>
        <v>24</v>
      </c>
      <c r="K20" s="33">
        <f>'N10'!K20+'K10'!K20</f>
        <v>760</v>
      </c>
      <c r="L20" s="115">
        <f>'N10'!L20+'K10'!L20</f>
        <v>0</v>
      </c>
      <c r="M20" s="115">
        <f>'N10'!M20+'K10'!M20</f>
        <v>0</v>
      </c>
      <c r="N20" s="115">
        <f>'N10'!N20+'K10'!N20</f>
        <v>0</v>
      </c>
      <c r="O20" s="116">
        <f>'N10'!O20+'K10'!O20</f>
        <v>0</v>
      </c>
      <c r="P20" s="115">
        <f>'N10'!P20+'K10'!P20</f>
        <v>0</v>
      </c>
      <c r="Q20" s="116">
        <f>'N10'!Q20+'K10'!Q20</f>
        <v>0</v>
      </c>
      <c r="R20" s="121">
        <f>'N10'!R20+'K10'!R20</f>
        <v>0</v>
      </c>
      <c r="S20" s="121">
        <f>'N10'!S20+'K10'!S20</f>
        <v>0</v>
      </c>
      <c r="T20" s="33">
        <f>'N10'!T20+'K10'!T20</f>
        <v>0</v>
      </c>
      <c r="U20" s="115">
        <f>'N10'!U20+'K10'!U20</f>
        <v>0</v>
      </c>
      <c r="V20" s="115">
        <f>'N10'!V20+'K10'!V20</f>
        <v>0</v>
      </c>
      <c r="W20" s="115">
        <f>'N10'!W20+'K10'!W20</f>
        <v>0</v>
      </c>
      <c r="X20" s="116">
        <f>'N10'!X20+'K10'!X20</f>
        <v>0</v>
      </c>
      <c r="Y20" s="115">
        <f>'N10'!Y20+'K10'!Y20</f>
        <v>0</v>
      </c>
      <c r="Z20" s="116">
        <f>'N10'!Z20+'K10'!Z20</f>
        <v>0</v>
      </c>
      <c r="AA20" s="121">
        <f>'N10'!AA20+'K10'!AA20</f>
        <v>0</v>
      </c>
      <c r="AB20" s="121">
        <f>'N10'!AB20+'K10'!AB20</f>
        <v>0</v>
      </c>
      <c r="AC20" s="33">
        <f>'N10'!AC20+'K10'!AC20</f>
        <v>0</v>
      </c>
      <c r="AD20" s="12">
        <f>'N10'!AD20+'K10'!AD20</f>
        <v>760</v>
      </c>
      <c r="AE20" s="39"/>
      <c r="AF20" s="39"/>
      <c r="AG20" s="39"/>
      <c r="AH20" s="39"/>
      <c r="AI20" s="39"/>
      <c r="AJ20"/>
    </row>
    <row r="21" spans="1:36" x14ac:dyDescent="0.2">
      <c r="A21" s="5">
        <f>DAY(Kalenteri!A290)</f>
        <v>17</v>
      </c>
      <c r="B21" s="3" t="str">
        <f>IF(Kalenteri!B290=1,"su",IF(Kalenteri!B290=2,"ma",IF(Kalenteri!B290=3,"ti",IF(Kalenteri!B290=4,"ke",IF(Kalenteri!B290=5,"to",IF(Kalenteri!B290=6,"pe",IF(Kalenteri!B290=7,"la",)))))))</f>
        <v>to</v>
      </c>
      <c r="C21" s="114">
        <f>'N10'!C21+'K10'!C21</f>
        <v>347</v>
      </c>
      <c r="D21" s="115">
        <f>'N10'!D21+'K10'!D21</f>
        <v>259</v>
      </c>
      <c r="E21" s="115">
        <f>'N10'!E21+'K10'!E21</f>
        <v>1</v>
      </c>
      <c r="F21" s="116">
        <f>'N10'!F21+'K10'!F21</f>
        <v>15</v>
      </c>
      <c r="G21" s="114">
        <f>'N10'!G21+'K10'!G21</f>
        <v>9</v>
      </c>
      <c r="H21" s="116">
        <f>'N10'!H21+'K10'!H21</f>
        <v>164</v>
      </c>
      <c r="I21" s="114">
        <f>'N10'!I21+'K10'!I21</f>
        <v>30</v>
      </c>
      <c r="J21" s="116">
        <f>'N10'!J21+'K10'!J21</f>
        <v>45</v>
      </c>
      <c r="K21" s="33">
        <f>'N10'!K21+'K10'!K21</f>
        <v>870</v>
      </c>
      <c r="L21" s="115">
        <f>'N10'!L21+'K10'!L21</f>
        <v>0</v>
      </c>
      <c r="M21" s="115">
        <f>'N10'!M21+'K10'!M21</f>
        <v>0</v>
      </c>
      <c r="N21" s="115">
        <f>'N10'!N21+'K10'!N21</f>
        <v>0</v>
      </c>
      <c r="O21" s="116">
        <f>'N10'!O21+'K10'!O21</f>
        <v>0</v>
      </c>
      <c r="P21" s="115">
        <f>'N10'!P21+'K10'!P21</f>
        <v>0</v>
      </c>
      <c r="Q21" s="116">
        <f>'N10'!Q21+'K10'!Q21</f>
        <v>0</v>
      </c>
      <c r="R21" s="121">
        <f>'N10'!R21+'K10'!R21</f>
        <v>0</v>
      </c>
      <c r="S21" s="121">
        <f>'N10'!S21+'K10'!S21</f>
        <v>0</v>
      </c>
      <c r="T21" s="33">
        <f>'N10'!T21+'K10'!T21</f>
        <v>0</v>
      </c>
      <c r="U21" s="115">
        <f>'N10'!U21+'K10'!U21</f>
        <v>0</v>
      </c>
      <c r="V21" s="115">
        <f>'N10'!V21+'K10'!V21</f>
        <v>0</v>
      </c>
      <c r="W21" s="115">
        <f>'N10'!W21+'K10'!W21</f>
        <v>0</v>
      </c>
      <c r="X21" s="116">
        <f>'N10'!X21+'K10'!X21</f>
        <v>0</v>
      </c>
      <c r="Y21" s="115">
        <f>'N10'!Y21+'K10'!Y21</f>
        <v>0</v>
      </c>
      <c r="Z21" s="116">
        <f>'N10'!Z21+'K10'!Z21</f>
        <v>0</v>
      </c>
      <c r="AA21" s="121">
        <f>'N10'!AA21+'K10'!AA21</f>
        <v>0</v>
      </c>
      <c r="AB21" s="121">
        <f>'N10'!AB21+'K10'!AB21</f>
        <v>0</v>
      </c>
      <c r="AC21" s="33">
        <f>'N10'!AC21+'K10'!AC21</f>
        <v>0</v>
      </c>
      <c r="AD21" s="12">
        <f>'N10'!AD21+'K10'!AD21</f>
        <v>870</v>
      </c>
      <c r="AE21" s="39"/>
      <c r="AF21" s="39"/>
      <c r="AG21" s="39"/>
      <c r="AH21" s="39"/>
      <c r="AI21" s="39"/>
      <c r="AJ21"/>
    </row>
    <row r="22" spans="1:36" x14ac:dyDescent="0.2">
      <c r="A22" s="5">
        <f>DAY(Kalenteri!A291)</f>
        <v>18</v>
      </c>
      <c r="B22" s="3" t="str">
        <f>IF(Kalenteri!B291=1,"su",IF(Kalenteri!B291=2,"ma",IF(Kalenteri!B291=3,"ti",IF(Kalenteri!B291=4,"ke",IF(Kalenteri!B291=5,"to",IF(Kalenteri!B291=6,"pe",IF(Kalenteri!B291=7,"la",)))))))</f>
        <v>pe</v>
      </c>
      <c r="C22" s="114">
        <f>'N10'!C22+'K10'!C22</f>
        <v>47</v>
      </c>
      <c r="D22" s="115">
        <f>'N10'!D22+'K10'!D22</f>
        <v>19</v>
      </c>
      <c r="E22" s="115">
        <f>'N10'!E22+'K10'!E22</f>
        <v>0</v>
      </c>
      <c r="F22" s="116">
        <f>'N10'!F22+'K10'!F22</f>
        <v>1</v>
      </c>
      <c r="G22" s="114">
        <f>'N10'!G22+'K10'!G22</f>
        <v>3</v>
      </c>
      <c r="H22" s="116">
        <f>'N10'!H22+'K10'!H22</f>
        <v>24</v>
      </c>
      <c r="I22" s="114">
        <f>'N10'!I22+'K10'!I22</f>
        <v>4</v>
      </c>
      <c r="J22" s="116">
        <f>'N10'!J22+'K10'!J22</f>
        <v>6</v>
      </c>
      <c r="K22" s="33">
        <f>'N10'!K22+'K10'!K22</f>
        <v>104</v>
      </c>
      <c r="L22" s="115">
        <f>'N10'!L22+'K10'!L22</f>
        <v>0</v>
      </c>
      <c r="M22" s="115">
        <f>'N10'!M22+'K10'!M22</f>
        <v>0</v>
      </c>
      <c r="N22" s="115">
        <f>'N10'!N22+'K10'!N22</f>
        <v>0</v>
      </c>
      <c r="O22" s="116">
        <f>'N10'!O22+'K10'!O22</f>
        <v>0</v>
      </c>
      <c r="P22" s="115">
        <f>'N10'!P22+'K10'!P22</f>
        <v>0</v>
      </c>
      <c r="Q22" s="116">
        <f>'N10'!Q22+'K10'!Q22</f>
        <v>0</v>
      </c>
      <c r="R22" s="121">
        <f>'N10'!R22+'K10'!R22</f>
        <v>0</v>
      </c>
      <c r="S22" s="121">
        <f>'N10'!S22+'K10'!S22</f>
        <v>0</v>
      </c>
      <c r="T22" s="33">
        <f>'N10'!T22+'K10'!T22</f>
        <v>0</v>
      </c>
      <c r="U22" s="115">
        <f>'N10'!U22+'K10'!U22</f>
        <v>0</v>
      </c>
      <c r="V22" s="115">
        <f>'N10'!V22+'K10'!V22</f>
        <v>0</v>
      </c>
      <c r="W22" s="115">
        <f>'N10'!W22+'K10'!W22</f>
        <v>0</v>
      </c>
      <c r="X22" s="116">
        <f>'N10'!X22+'K10'!X22</f>
        <v>0</v>
      </c>
      <c r="Y22" s="115">
        <f>'N10'!Y22+'K10'!Y22</f>
        <v>0</v>
      </c>
      <c r="Z22" s="116">
        <f>'N10'!Z22+'K10'!Z22</f>
        <v>0</v>
      </c>
      <c r="AA22" s="121">
        <f>'N10'!AA22+'K10'!AA22</f>
        <v>0</v>
      </c>
      <c r="AB22" s="121">
        <f>'N10'!AB22+'K10'!AB22</f>
        <v>0</v>
      </c>
      <c r="AC22" s="33">
        <f>'N10'!AC22+'K10'!AC22</f>
        <v>0</v>
      </c>
      <c r="AD22" s="12">
        <f>'N10'!AD22+'K10'!AD22</f>
        <v>104</v>
      </c>
      <c r="AE22" s="39"/>
      <c r="AF22" s="39"/>
      <c r="AG22" s="39"/>
      <c r="AH22" s="39"/>
      <c r="AI22" s="39"/>
      <c r="AJ22"/>
    </row>
    <row r="23" spans="1:36" x14ac:dyDescent="0.2">
      <c r="A23" s="5">
        <f>DAY(Kalenteri!A292)</f>
        <v>19</v>
      </c>
      <c r="B23" s="3" t="str">
        <f>IF(Kalenteri!B292=1,"su",IF(Kalenteri!B292=2,"ma",IF(Kalenteri!B292=3,"ti",IF(Kalenteri!B292=4,"ke",IF(Kalenteri!B292=5,"to",IF(Kalenteri!B292=6,"pe",IF(Kalenteri!B292=7,"la",)))))))</f>
        <v>la</v>
      </c>
      <c r="C23" s="114">
        <f>'N10'!C23+'K10'!C23</f>
        <v>458</v>
      </c>
      <c r="D23" s="115">
        <f>'N10'!D23+'K10'!D23</f>
        <v>161</v>
      </c>
      <c r="E23" s="115">
        <f>'N10'!E23+'K10'!E23</f>
        <v>0</v>
      </c>
      <c r="F23" s="116">
        <f>'N10'!F23+'K10'!F23</f>
        <v>14</v>
      </c>
      <c r="G23" s="114">
        <f>'N10'!G23+'K10'!G23</f>
        <v>8</v>
      </c>
      <c r="H23" s="116">
        <f>'N10'!H23+'K10'!H23</f>
        <v>159</v>
      </c>
      <c r="I23" s="114">
        <f>'N10'!I23+'K10'!I23</f>
        <v>34</v>
      </c>
      <c r="J23" s="116">
        <f>'N10'!J23+'K10'!J23</f>
        <v>51</v>
      </c>
      <c r="K23" s="33">
        <f>'N10'!K23+'K10'!K23</f>
        <v>885</v>
      </c>
      <c r="L23" s="115">
        <f>'N10'!L23+'K10'!L23</f>
        <v>0</v>
      </c>
      <c r="M23" s="115">
        <f>'N10'!M23+'K10'!M23</f>
        <v>0</v>
      </c>
      <c r="N23" s="115">
        <f>'N10'!N23+'K10'!N23</f>
        <v>0</v>
      </c>
      <c r="O23" s="116">
        <f>'N10'!O23+'K10'!O23</f>
        <v>0</v>
      </c>
      <c r="P23" s="115">
        <f>'N10'!P23+'K10'!P23</f>
        <v>0</v>
      </c>
      <c r="Q23" s="116">
        <f>'N10'!Q23+'K10'!Q23</f>
        <v>0</v>
      </c>
      <c r="R23" s="121">
        <f>'N10'!R23+'K10'!R23</f>
        <v>0</v>
      </c>
      <c r="S23" s="121">
        <f>'N10'!S23+'K10'!S23</f>
        <v>0</v>
      </c>
      <c r="T23" s="33">
        <f>'N10'!T23+'K10'!T23</f>
        <v>0</v>
      </c>
      <c r="U23" s="115">
        <f>'N10'!U23+'K10'!U23</f>
        <v>0</v>
      </c>
      <c r="V23" s="115">
        <f>'N10'!V23+'K10'!V23</f>
        <v>0</v>
      </c>
      <c r="W23" s="115">
        <f>'N10'!W23+'K10'!W23</f>
        <v>0</v>
      </c>
      <c r="X23" s="116">
        <f>'N10'!X23+'K10'!X23</f>
        <v>0</v>
      </c>
      <c r="Y23" s="115">
        <f>'N10'!Y23+'K10'!Y23</f>
        <v>0</v>
      </c>
      <c r="Z23" s="116">
        <f>'N10'!Z23+'K10'!Z23</f>
        <v>0</v>
      </c>
      <c r="AA23" s="121">
        <f>'N10'!AA23+'K10'!AA23</f>
        <v>0</v>
      </c>
      <c r="AB23" s="121">
        <f>'N10'!AB23+'K10'!AB23</f>
        <v>0</v>
      </c>
      <c r="AC23" s="33">
        <f>'N10'!AC23+'K10'!AC23</f>
        <v>0</v>
      </c>
      <c r="AD23" s="12">
        <f>'N10'!AD23+'K10'!AD23</f>
        <v>885</v>
      </c>
      <c r="AE23" s="39"/>
      <c r="AF23" s="39"/>
      <c r="AG23" s="39"/>
      <c r="AH23" s="39"/>
      <c r="AI23" s="39"/>
      <c r="AJ23"/>
    </row>
    <row r="24" spans="1:36" x14ac:dyDescent="0.2">
      <c r="A24" s="5">
        <f>DAY(Kalenteri!A293)</f>
        <v>20</v>
      </c>
      <c r="B24" s="3" t="str">
        <f>IF(Kalenteri!B293=1,"su",IF(Kalenteri!B293=2,"ma",IF(Kalenteri!B293=3,"ti",IF(Kalenteri!B293=4,"ke",IF(Kalenteri!B293=5,"to",IF(Kalenteri!B293=6,"pe",IF(Kalenteri!B293=7,"la",)))))))</f>
        <v>su</v>
      </c>
      <c r="C24" s="114">
        <f>'N10'!C24+'K10'!C24</f>
        <v>333</v>
      </c>
      <c r="D24" s="115">
        <f>'N10'!D24+'K10'!D24</f>
        <v>94</v>
      </c>
      <c r="E24" s="115">
        <f>'N10'!E24+'K10'!E24</f>
        <v>1</v>
      </c>
      <c r="F24" s="116">
        <f>'N10'!F24+'K10'!F24</f>
        <v>29</v>
      </c>
      <c r="G24" s="114">
        <f>'N10'!G24+'K10'!G24</f>
        <v>1</v>
      </c>
      <c r="H24" s="116">
        <f>'N10'!H24+'K10'!H24</f>
        <v>66</v>
      </c>
      <c r="I24" s="114">
        <f>'N10'!I24+'K10'!I24</f>
        <v>18</v>
      </c>
      <c r="J24" s="116">
        <f>'N10'!J24+'K10'!J24</f>
        <v>27</v>
      </c>
      <c r="K24" s="33">
        <f>'N10'!K24+'K10'!K24</f>
        <v>569</v>
      </c>
      <c r="L24" s="115">
        <f>'N10'!L24+'K10'!L24</f>
        <v>0</v>
      </c>
      <c r="M24" s="115">
        <f>'N10'!M24+'K10'!M24</f>
        <v>0</v>
      </c>
      <c r="N24" s="115">
        <f>'N10'!N24+'K10'!N24</f>
        <v>0</v>
      </c>
      <c r="O24" s="116">
        <f>'N10'!O24+'K10'!O24</f>
        <v>0</v>
      </c>
      <c r="P24" s="115">
        <f>'N10'!P24+'K10'!P24</f>
        <v>0</v>
      </c>
      <c r="Q24" s="116">
        <f>'N10'!Q24+'K10'!Q24</f>
        <v>0</v>
      </c>
      <c r="R24" s="121">
        <f>'N10'!R24+'K10'!R24</f>
        <v>0</v>
      </c>
      <c r="S24" s="121">
        <f>'N10'!S24+'K10'!S24</f>
        <v>0</v>
      </c>
      <c r="T24" s="33">
        <f>'N10'!T24+'K10'!T24</f>
        <v>0</v>
      </c>
      <c r="U24" s="115">
        <f>'N10'!U24+'K10'!U24</f>
        <v>0</v>
      </c>
      <c r="V24" s="115">
        <f>'N10'!V24+'K10'!V24</f>
        <v>0</v>
      </c>
      <c r="W24" s="115">
        <f>'N10'!W24+'K10'!W24</f>
        <v>0</v>
      </c>
      <c r="X24" s="116">
        <f>'N10'!X24+'K10'!X24</f>
        <v>0</v>
      </c>
      <c r="Y24" s="115">
        <f>'N10'!Y24+'K10'!Y24</f>
        <v>0</v>
      </c>
      <c r="Z24" s="116">
        <f>'N10'!Z24+'K10'!Z24</f>
        <v>0</v>
      </c>
      <c r="AA24" s="121">
        <f>'N10'!AA24+'K10'!AA24</f>
        <v>0</v>
      </c>
      <c r="AB24" s="121">
        <f>'N10'!AB24+'K10'!AB24</f>
        <v>0</v>
      </c>
      <c r="AC24" s="33">
        <f>'N10'!AC24+'K10'!AC24</f>
        <v>0</v>
      </c>
      <c r="AD24" s="12">
        <f>'N10'!AD24+'K10'!AD24</f>
        <v>569</v>
      </c>
      <c r="AE24" s="39"/>
      <c r="AF24" s="39"/>
      <c r="AG24" s="39"/>
      <c r="AH24" s="39"/>
      <c r="AI24" s="39"/>
      <c r="AJ24" s="39"/>
    </row>
    <row r="25" spans="1:36" x14ac:dyDescent="0.2">
      <c r="A25" s="5">
        <f>DAY(Kalenteri!A294)</f>
        <v>21</v>
      </c>
      <c r="B25" s="3" t="str">
        <f>IF(Kalenteri!B294=1,"su",IF(Kalenteri!B294=2,"ma",IF(Kalenteri!B294=3,"ti",IF(Kalenteri!B294=4,"ke",IF(Kalenteri!B294=5,"to",IF(Kalenteri!B294=6,"pe",IF(Kalenteri!B294=7,"la",)))))))</f>
        <v>ma</v>
      </c>
      <c r="C25" s="114">
        <f>'N10'!C25+'K10'!C25</f>
        <v>146</v>
      </c>
      <c r="D25" s="115">
        <f>'N10'!D25+'K10'!D25</f>
        <v>45</v>
      </c>
      <c r="E25" s="115">
        <f>'N10'!E25+'K10'!E25</f>
        <v>0</v>
      </c>
      <c r="F25" s="116">
        <f>'N10'!F25+'K10'!F25</f>
        <v>2</v>
      </c>
      <c r="G25" s="114">
        <f>'N10'!G25+'K10'!G25</f>
        <v>3</v>
      </c>
      <c r="H25" s="116">
        <f>'N10'!H25+'K10'!H25</f>
        <v>55</v>
      </c>
      <c r="I25" s="114">
        <f>'N10'!I25+'K10'!I25</f>
        <v>6</v>
      </c>
      <c r="J25" s="116">
        <f>'N10'!J25+'K10'!J25</f>
        <v>9</v>
      </c>
      <c r="K25" s="33">
        <f>'N10'!K25+'K10'!K25</f>
        <v>266</v>
      </c>
      <c r="L25" s="115">
        <f>'N10'!L25+'K10'!L25</f>
        <v>0</v>
      </c>
      <c r="M25" s="115">
        <f>'N10'!M25+'K10'!M25</f>
        <v>0</v>
      </c>
      <c r="N25" s="115">
        <f>'N10'!N25+'K10'!N25</f>
        <v>0</v>
      </c>
      <c r="O25" s="116">
        <f>'N10'!O25+'K10'!O25</f>
        <v>0</v>
      </c>
      <c r="P25" s="115">
        <f>'N10'!P25+'K10'!P25</f>
        <v>0</v>
      </c>
      <c r="Q25" s="116">
        <f>'N10'!Q25+'K10'!Q25</f>
        <v>0</v>
      </c>
      <c r="R25" s="121">
        <f>'N10'!R25+'K10'!R25</f>
        <v>0</v>
      </c>
      <c r="S25" s="121">
        <f>'N10'!S25+'K10'!S25</f>
        <v>0</v>
      </c>
      <c r="T25" s="33">
        <f>'N10'!T25+'K10'!T25</f>
        <v>0</v>
      </c>
      <c r="U25" s="115">
        <f>'N10'!U25+'K10'!U25</f>
        <v>0</v>
      </c>
      <c r="V25" s="115">
        <f>'N10'!V25+'K10'!V25</f>
        <v>0</v>
      </c>
      <c r="W25" s="115">
        <f>'N10'!W25+'K10'!W25</f>
        <v>0</v>
      </c>
      <c r="X25" s="116">
        <f>'N10'!X25+'K10'!X25</f>
        <v>0</v>
      </c>
      <c r="Y25" s="115">
        <f>'N10'!Y25+'K10'!Y25</f>
        <v>0</v>
      </c>
      <c r="Z25" s="116">
        <f>'N10'!Z25+'K10'!Z25</f>
        <v>0</v>
      </c>
      <c r="AA25" s="121">
        <f>'N10'!AA25+'K10'!AA25</f>
        <v>0</v>
      </c>
      <c r="AB25" s="121">
        <f>'N10'!AB25+'K10'!AB25</f>
        <v>0</v>
      </c>
      <c r="AC25" s="33">
        <f>'N10'!AC25+'K10'!AC25</f>
        <v>0</v>
      </c>
      <c r="AD25" s="12">
        <f>'N10'!AD25+'K10'!AD25</f>
        <v>266</v>
      </c>
      <c r="AE25" s="39"/>
      <c r="AF25" s="39"/>
      <c r="AG25" s="39"/>
      <c r="AH25" s="39"/>
      <c r="AI25" s="39"/>
      <c r="AJ25" s="39"/>
    </row>
    <row r="26" spans="1:36" x14ac:dyDescent="0.2">
      <c r="A26" s="5">
        <f>DAY(Kalenteri!A295)</f>
        <v>22</v>
      </c>
      <c r="B26" s="3" t="str">
        <f>IF(Kalenteri!B295=1,"su",IF(Kalenteri!B295=2,"ma",IF(Kalenteri!B295=3,"ti",IF(Kalenteri!B295=4,"ke",IF(Kalenteri!B295=5,"to",IF(Kalenteri!B295=6,"pe",IF(Kalenteri!B295=7,"la",)))))))</f>
        <v>ti</v>
      </c>
      <c r="C26" s="114">
        <f>'N10'!C26+'K10'!C26</f>
        <v>100</v>
      </c>
      <c r="D26" s="115">
        <f>'N10'!D26+'K10'!D26</f>
        <v>53</v>
      </c>
      <c r="E26" s="115">
        <f>'N10'!E26+'K10'!E26</f>
        <v>0</v>
      </c>
      <c r="F26" s="116">
        <f>'N10'!F26+'K10'!F26</f>
        <v>3</v>
      </c>
      <c r="G26" s="114">
        <f>'N10'!G26+'K10'!G26</f>
        <v>4</v>
      </c>
      <c r="H26" s="116">
        <f>'N10'!H26+'K10'!H26</f>
        <v>59</v>
      </c>
      <c r="I26" s="114">
        <f>'N10'!I26+'K10'!I26</f>
        <v>2</v>
      </c>
      <c r="J26" s="116">
        <f>'N10'!J26+'K10'!J26</f>
        <v>3</v>
      </c>
      <c r="K26" s="33">
        <f>'N10'!K26+'K10'!K26</f>
        <v>224</v>
      </c>
      <c r="L26" s="115">
        <f>'N10'!L26+'K10'!L26</f>
        <v>0</v>
      </c>
      <c r="M26" s="115">
        <f>'N10'!M26+'K10'!M26</f>
        <v>0</v>
      </c>
      <c r="N26" s="115">
        <f>'N10'!N26+'K10'!N26</f>
        <v>0</v>
      </c>
      <c r="O26" s="116">
        <f>'N10'!O26+'K10'!O26</f>
        <v>0</v>
      </c>
      <c r="P26" s="115">
        <f>'N10'!P26+'K10'!P26</f>
        <v>0</v>
      </c>
      <c r="Q26" s="116">
        <f>'N10'!Q26+'K10'!Q26</f>
        <v>0</v>
      </c>
      <c r="R26" s="121">
        <f>'N10'!R26+'K10'!R26</f>
        <v>0</v>
      </c>
      <c r="S26" s="121">
        <f>'N10'!S26+'K10'!S26</f>
        <v>0</v>
      </c>
      <c r="T26" s="33">
        <f>'N10'!T26+'K10'!T26</f>
        <v>0</v>
      </c>
      <c r="U26" s="115">
        <f>'N10'!U26+'K10'!U26</f>
        <v>0</v>
      </c>
      <c r="V26" s="115">
        <f>'N10'!V26+'K10'!V26</f>
        <v>0</v>
      </c>
      <c r="W26" s="115">
        <f>'N10'!W26+'K10'!W26</f>
        <v>0</v>
      </c>
      <c r="X26" s="116">
        <f>'N10'!X26+'K10'!X26</f>
        <v>0</v>
      </c>
      <c r="Y26" s="115">
        <f>'N10'!Y26+'K10'!Y26</f>
        <v>0</v>
      </c>
      <c r="Z26" s="116">
        <f>'N10'!Z26+'K10'!Z26</f>
        <v>0</v>
      </c>
      <c r="AA26" s="121">
        <f>'N10'!AA26+'K10'!AA26</f>
        <v>0</v>
      </c>
      <c r="AB26" s="121">
        <f>'N10'!AB26+'K10'!AB26</f>
        <v>0</v>
      </c>
      <c r="AC26" s="33">
        <f>'N10'!AC26+'K10'!AC26</f>
        <v>0</v>
      </c>
      <c r="AD26" s="12">
        <f>'N10'!AD26+'K10'!AD26</f>
        <v>224</v>
      </c>
      <c r="AE26" s="39"/>
      <c r="AF26" s="39"/>
      <c r="AG26" s="39"/>
      <c r="AH26" s="39"/>
      <c r="AI26" s="39"/>
      <c r="AJ26" s="39"/>
    </row>
    <row r="27" spans="1:36" x14ac:dyDescent="0.2">
      <c r="A27" s="5">
        <f>DAY(Kalenteri!A296)</f>
        <v>23</v>
      </c>
      <c r="B27" s="3" t="str">
        <f>IF(Kalenteri!B296=1,"su",IF(Kalenteri!B296=2,"ma",IF(Kalenteri!B296=3,"ti",IF(Kalenteri!B296=4,"ke",IF(Kalenteri!B296=5,"to",IF(Kalenteri!B296=6,"pe",IF(Kalenteri!B296=7,"la",)))))))</f>
        <v>ke</v>
      </c>
      <c r="C27" s="114">
        <f>'N10'!C27+'K10'!C27</f>
        <v>63</v>
      </c>
      <c r="D27" s="115">
        <f>'N10'!D27+'K10'!D27</f>
        <v>21</v>
      </c>
      <c r="E27" s="115">
        <f>'N10'!E27+'K10'!E27</f>
        <v>1</v>
      </c>
      <c r="F27" s="116">
        <f>'N10'!F27+'K10'!F27</f>
        <v>5</v>
      </c>
      <c r="G27" s="114">
        <f>'N10'!G27+'K10'!G27</f>
        <v>11</v>
      </c>
      <c r="H27" s="116">
        <f>'N10'!H27+'K10'!H27</f>
        <v>36</v>
      </c>
      <c r="I27" s="114">
        <f>'N10'!I27+'K10'!I27</f>
        <v>2</v>
      </c>
      <c r="J27" s="116">
        <f>'N10'!J27+'K10'!J27</f>
        <v>3</v>
      </c>
      <c r="K27" s="33">
        <f>'N10'!K27+'K10'!K27</f>
        <v>142</v>
      </c>
      <c r="L27" s="115">
        <f>'N10'!L27+'K10'!L27</f>
        <v>0</v>
      </c>
      <c r="M27" s="115">
        <f>'N10'!M27+'K10'!M27</f>
        <v>0</v>
      </c>
      <c r="N27" s="115">
        <f>'N10'!N27+'K10'!N27</f>
        <v>0</v>
      </c>
      <c r="O27" s="116">
        <f>'N10'!O27+'K10'!O27</f>
        <v>0</v>
      </c>
      <c r="P27" s="115">
        <f>'N10'!P27+'K10'!P27</f>
        <v>0</v>
      </c>
      <c r="Q27" s="116">
        <f>'N10'!Q27+'K10'!Q27</f>
        <v>0</v>
      </c>
      <c r="R27" s="121">
        <f>'N10'!R27+'K10'!R27</f>
        <v>0</v>
      </c>
      <c r="S27" s="121">
        <f>'N10'!S27+'K10'!S27</f>
        <v>0</v>
      </c>
      <c r="T27" s="33">
        <f>'N10'!T27+'K10'!T27</f>
        <v>0</v>
      </c>
      <c r="U27" s="115">
        <f>'N10'!U27+'K10'!U27</f>
        <v>0</v>
      </c>
      <c r="V27" s="115">
        <f>'N10'!V27+'K10'!V27</f>
        <v>0</v>
      </c>
      <c r="W27" s="115">
        <f>'N10'!W27+'K10'!W27</f>
        <v>0</v>
      </c>
      <c r="X27" s="116">
        <f>'N10'!X27+'K10'!X27</f>
        <v>0</v>
      </c>
      <c r="Y27" s="115">
        <f>'N10'!Y27+'K10'!Y27</f>
        <v>0</v>
      </c>
      <c r="Z27" s="116">
        <f>'N10'!Z27+'K10'!Z27</f>
        <v>0</v>
      </c>
      <c r="AA27" s="121">
        <f>'N10'!AA27+'K10'!AA27</f>
        <v>0</v>
      </c>
      <c r="AB27" s="121">
        <f>'N10'!AB27+'K10'!AB27</f>
        <v>0</v>
      </c>
      <c r="AC27" s="33">
        <f>'N10'!AC27+'K10'!AC27</f>
        <v>0</v>
      </c>
      <c r="AD27" s="12">
        <f>'N10'!AD27+'K10'!AD27</f>
        <v>142</v>
      </c>
      <c r="AE27" s="39"/>
      <c r="AF27" s="39"/>
      <c r="AG27" s="39"/>
      <c r="AH27" s="39"/>
      <c r="AI27" s="39"/>
      <c r="AJ27" s="39"/>
    </row>
    <row r="28" spans="1:36" x14ac:dyDescent="0.2">
      <c r="A28" s="5">
        <f>DAY(Kalenteri!A297)</f>
        <v>24</v>
      </c>
      <c r="B28" s="3" t="str">
        <f>IF(Kalenteri!B297=1,"su",IF(Kalenteri!B297=2,"ma",IF(Kalenteri!B297=3,"ti",IF(Kalenteri!B297=4,"ke",IF(Kalenteri!B297=5,"to",IF(Kalenteri!B297=6,"pe",IF(Kalenteri!B297=7,"la",)))))))</f>
        <v>to</v>
      </c>
      <c r="C28" s="114">
        <f>'N10'!C28+'K10'!C28</f>
        <v>38</v>
      </c>
      <c r="D28" s="115">
        <f>'N10'!D28+'K10'!D28</f>
        <v>7</v>
      </c>
      <c r="E28" s="115">
        <f>'N10'!E28+'K10'!E28</f>
        <v>0</v>
      </c>
      <c r="F28" s="116">
        <f>'N10'!F28+'K10'!F28</f>
        <v>3</v>
      </c>
      <c r="G28" s="114">
        <f>'N10'!G28+'K10'!G28</f>
        <v>2</v>
      </c>
      <c r="H28" s="116">
        <f>'N10'!H28+'K10'!H28</f>
        <v>14</v>
      </c>
      <c r="I28" s="114">
        <f>'N10'!I28+'K10'!I28</f>
        <v>0</v>
      </c>
      <c r="J28" s="116">
        <f>'N10'!J28+'K10'!J28</f>
        <v>0</v>
      </c>
      <c r="K28" s="33">
        <f>'N10'!K28+'K10'!K28</f>
        <v>64</v>
      </c>
      <c r="L28" s="115">
        <f>'N10'!L28+'K10'!L28</f>
        <v>0</v>
      </c>
      <c r="M28" s="115">
        <f>'N10'!M28+'K10'!M28</f>
        <v>0</v>
      </c>
      <c r="N28" s="115">
        <f>'N10'!N28+'K10'!N28</f>
        <v>0</v>
      </c>
      <c r="O28" s="116">
        <f>'N10'!O28+'K10'!O28</f>
        <v>0</v>
      </c>
      <c r="P28" s="115">
        <f>'N10'!P28+'K10'!P28</f>
        <v>0</v>
      </c>
      <c r="Q28" s="116">
        <f>'N10'!Q28+'K10'!Q28</f>
        <v>0</v>
      </c>
      <c r="R28" s="121">
        <f>'N10'!R28+'K10'!R28</f>
        <v>0</v>
      </c>
      <c r="S28" s="121">
        <f>'N10'!S28+'K10'!S28</f>
        <v>0</v>
      </c>
      <c r="T28" s="33">
        <f>'N10'!T28+'K10'!T28</f>
        <v>0</v>
      </c>
      <c r="U28" s="115">
        <f>'N10'!U28+'K10'!U28</f>
        <v>0</v>
      </c>
      <c r="V28" s="115">
        <f>'N10'!V28+'K10'!V28</f>
        <v>0</v>
      </c>
      <c r="W28" s="115">
        <f>'N10'!W28+'K10'!W28</f>
        <v>0</v>
      </c>
      <c r="X28" s="116">
        <f>'N10'!X28+'K10'!X28</f>
        <v>0</v>
      </c>
      <c r="Y28" s="115">
        <f>'N10'!Y28+'K10'!Y28</f>
        <v>0</v>
      </c>
      <c r="Z28" s="116">
        <f>'N10'!Z28+'K10'!Z28</f>
        <v>0</v>
      </c>
      <c r="AA28" s="121">
        <f>'N10'!AA28+'K10'!AA28</f>
        <v>0</v>
      </c>
      <c r="AB28" s="121">
        <f>'N10'!AB28+'K10'!AB28</f>
        <v>0</v>
      </c>
      <c r="AC28" s="33">
        <f>'N10'!AC28+'K10'!AC28</f>
        <v>0</v>
      </c>
      <c r="AD28" s="12">
        <f>'N10'!AD28+'K10'!AD28</f>
        <v>64</v>
      </c>
      <c r="AE28" s="39"/>
      <c r="AF28" s="39"/>
      <c r="AG28" s="39"/>
      <c r="AH28" s="39"/>
      <c r="AI28" s="39"/>
      <c r="AJ28" s="39"/>
    </row>
    <row r="29" spans="1:36" x14ac:dyDescent="0.2">
      <c r="A29" s="5">
        <f>DAY(Kalenteri!A298)</f>
        <v>25</v>
      </c>
      <c r="B29" s="3" t="str">
        <f>IF(Kalenteri!B298=1,"su",IF(Kalenteri!B298=2,"ma",IF(Kalenteri!B298=3,"ti",IF(Kalenteri!B298=4,"ke",IF(Kalenteri!B298=5,"to",IF(Kalenteri!B298=6,"pe",IF(Kalenteri!B298=7,"la",)))))))</f>
        <v>pe</v>
      </c>
      <c r="C29" s="114">
        <f>'N10'!C29+'K10'!C29</f>
        <v>133</v>
      </c>
      <c r="D29" s="115">
        <f>'N10'!D29+'K10'!D29</f>
        <v>39</v>
      </c>
      <c r="E29" s="115">
        <f>'N10'!E29+'K10'!E29</f>
        <v>0</v>
      </c>
      <c r="F29" s="116">
        <f>'N10'!F29+'K10'!F29</f>
        <v>5</v>
      </c>
      <c r="G29" s="114">
        <f>'N10'!G29+'K10'!G29</f>
        <v>5</v>
      </c>
      <c r="H29" s="116">
        <f>'N10'!H29+'K10'!H29</f>
        <v>68</v>
      </c>
      <c r="I29" s="114">
        <f>'N10'!I29+'K10'!I29</f>
        <v>0</v>
      </c>
      <c r="J29" s="116">
        <f>'N10'!J29+'K10'!J29</f>
        <v>0</v>
      </c>
      <c r="K29" s="33">
        <f>'N10'!K29+'K10'!K29</f>
        <v>250</v>
      </c>
      <c r="L29" s="115">
        <f>'N10'!L29+'K10'!L29</f>
        <v>0</v>
      </c>
      <c r="M29" s="115">
        <f>'N10'!M29+'K10'!M29</f>
        <v>0</v>
      </c>
      <c r="N29" s="115">
        <f>'N10'!N29+'K10'!N29</f>
        <v>0</v>
      </c>
      <c r="O29" s="116">
        <f>'N10'!O29+'K10'!O29</f>
        <v>0</v>
      </c>
      <c r="P29" s="115">
        <f>'N10'!P29+'K10'!P29</f>
        <v>0</v>
      </c>
      <c r="Q29" s="116">
        <f>'N10'!Q29+'K10'!Q29</f>
        <v>0</v>
      </c>
      <c r="R29" s="121">
        <f>'N10'!R29+'K10'!R29</f>
        <v>0</v>
      </c>
      <c r="S29" s="121">
        <f>'N10'!S29+'K10'!S29</f>
        <v>0</v>
      </c>
      <c r="T29" s="33">
        <f>'N10'!T29+'K10'!T29</f>
        <v>0</v>
      </c>
      <c r="U29" s="115">
        <f>'N10'!U29+'K10'!U29</f>
        <v>0</v>
      </c>
      <c r="V29" s="115">
        <f>'N10'!V29+'K10'!V29</f>
        <v>0</v>
      </c>
      <c r="W29" s="115">
        <f>'N10'!W29+'K10'!W29</f>
        <v>0</v>
      </c>
      <c r="X29" s="116">
        <f>'N10'!X29+'K10'!X29</f>
        <v>0</v>
      </c>
      <c r="Y29" s="115">
        <f>'N10'!Y29+'K10'!Y29</f>
        <v>0</v>
      </c>
      <c r="Z29" s="116">
        <f>'N10'!Z29+'K10'!Z29</f>
        <v>0</v>
      </c>
      <c r="AA29" s="121">
        <f>'N10'!AA29+'K10'!AA29</f>
        <v>0</v>
      </c>
      <c r="AB29" s="121">
        <f>'N10'!AB29+'K10'!AB29</f>
        <v>0</v>
      </c>
      <c r="AC29" s="33">
        <f>'N10'!AC29+'K10'!AC29</f>
        <v>0</v>
      </c>
      <c r="AD29" s="12">
        <f>'N10'!AD29+'K10'!AD29</f>
        <v>250</v>
      </c>
      <c r="AE29" s="39"/>
      <c r="AF29" s="39"/>
      <c r="AG29" s="39"/>
      <c r="AH29" s="39"/>
      <c r="AI29" s="39"/>
      <c r="AJ29" s="39"/>
    </row>
    <row r="30" spans="1:36" x14ac:dyDescent="0.2">
      <c r="A30" s="5">
        <f>DAY(Kalenteri!A299)</f>
        <v>26</v>
      </c>
      <c r="B30" s="3" t="str">
        <f>IF(Kalenteri!B299=1,"su",IF(Kalenteri!B299=2,"ma",IF(Kalenteri!B299=3,"ti",IF(Kalenteri!B299=4,"ke",IF(Kalenteri!B299=5,"to",IF(Kalenteri!B299=6,"pe",IF(Kalenteri!B299=7,"la",)))))))</f>
        <v>la</v>
      </c>
      <c r="C30" s="114">
        <f>'N10'!C30+'K10'!C30</f>
        <v>72</v>
      </c>
      <c r="D30" s="115">
        <f>'N10'!D30+'K10'!D30</f>
        <v>20</v>
      </c>
      <c r="E30" s="115">
        <f>'N10'!E30+'K10'!E30</f>
        <v>0</v>
      </c>
      <c r="F30" s="116">
        <f>'N10'!F30+'K10'!F30</f>
        <v>3</v>
      </c>
      <c r="G30" s="114">
        <f>'N10'!G30+'K10'!G30</f>
        <v>0</v>
      </c>
      <c r="H30" s="116">
        <f>'N10'!H30+'K10'!H30</f>
        <v>25</v>
      </c>
      <c r="I30" s="114">
        <f>'N10'!I30+'K10'!I30</f>
        <v>2</v>
      </c>
      <c r="J30" s="116">
        <f>'N10'!J30+'K10'!J30</f>
        <v>3</v>
      </c>
      <c r="K30" s="33">
        <f>'N10'!K30+'K10'!K30</f>
        <v>125</v>
      </c>
      <c r="L30" s="115">
        <f>'N10'!L30+'K10'!L30</f>
        <v>0</v>
      </c>
      <c r="M30" s="115">
        <f>'N10'!M30+'K10'!M30</f>
        <v>0</v>
      </c>
      <c r="N30" s="115">
        <f>'N10'!N30+'K10'!N30</f>
        <v>0</v>
      </c>
      <c r="O30" s="116">
        <f>'N10'!O30+'K10'!O30</f>
        <v>0</v>
      </c>
      <c r="P30" s="115">
        <f>'N10'!P30+'K10'!P30</f>
        <v>0</v>
      </c>
      <c r="Q30" s="116">
        <f>'N10'!Q30+'K10'!Q30</f>
        <v>0</v>
      </c>
      <c r="R30" s="121">
        <f>'N10'!R30+'K10'!R30</f>
        <v>0</v>
      </c>
      <c r="S30" s="121">
        <f>'N10'!S30+'K10'!S30</f>
        <v>0</v>
      </c>
      <c r="T30" s="33">
        <f>'N10'!T30+'K10'!T30</f>
        <v>0</v>
      </c>
      <c r="U30" s="115">
        <f>'N10'!U30+'K10'!U30</f>
        <v>0</v>
      </c>
      <c r="V30" s="115">
        <f>'N10'!V30+'K10'!V30</f>
        <v>0</v>
      </c>
      <c r="W30" s="115">
        <f>'N10'!W30+'K10'!W30</f>
        <v>0</v>
      </c>
      <c r="X30" s="116">
        <f>'N10'!X30+'K10'!X30</f>
        <v>0</v>
      </c>
      <c r="Y30" s="115">
        <f>'N10'!Y30+'K10'!Y30</f>
        <v>0</v>
      </c>
      <c r="Z30" s="116">
        <f>'N10'!Z30+'K10'!Z30</f>
        <v>0</v>
      </c>
      <c r="AA30" s="121">
        <f>'N10'!AA30+'K10'!AA30</f>
        <v>0</v>
      </c>
      <c r="AB30" s="121">
        <f>'N10'!AB30+'K10'!AB30</f>
        <v>0</v>
      </c>
      <c r="AC30" s="33">
        <f>'N10'!AC30+'K10'!AC30</f>
        <v>0</v>
      </c>
      <c r="AD30" s="12">
        <f>'N10'!AD30+'K10'!AD30</f>
        <v>125</v>
      </c>
      <c r="AE30" s="39"/>
      <c r="AF30" s="39"/>
      <c r="AG30" s="39"/>
      <c r="AH30" s="39"/>
      <c r="AI30" s="39"/>
      <c r="AJ30" s="39"/>
    </row>
    <row r="31" spans="1:36" x14ac:dyDescent="0.2">
      <c r="A31" s="5">
        <f>DAY(Kalenteri!A300)</f>
        <v>27</v>
      </c>
      <c r="B31" s="3" t="str">
        <f>IF(Kalenteri!B300=1,"su",IF(Kalenteri!B300=2,"ma",IF(Kalenteri!B300=3,"ti",IF(Kalenteri!B300=4,"ke",IF(Kalenteri!B300=5,"to",IF(Kalenteri!B300=6,"pe",IF(Kalenteri!B300=7,"la",)))))))</f>
        <v>su</v>
      </c>
      <c r="C31" s="114">
        <f>'N10'!C31+'K10'!C31</f>
        <v>265</v>
      </c>
      <c r="D31" s="115">
        <f>'N10'!D31+'K10'!D31</f>
        <v>56</v>
      </c>
      <c r="E31" s="115">
        <f>'N10'!E31+'K10'!E31</f>
        <v>1</v>
      </c>
      <c r="F31" s="116">
        <f>'N10'!F31+'K10'!F31</f>
        <v>40</v>
      </c>
      <c r="G31" s="114">
        <f>'N10'!G31+'K10'!G31</f>
        <v>2</v>
      </c>
      <c r="H31" s="116">
        <f>'N10'!H31+'K10'!H31</f>
        <v>84</v>
      </c>
      <c r="I31" s="114">
        <f>'N10'!I31+'K10'!I31</f>
        <v>8</v>
      </c>
      <c r="J31" s="116">
        <f>'N10'!J31+'K10'!J31</f>
        <v>12</v>
      </c>
      <c r="K31" s="33">
        <f>'N10'!K31+'K10'!K31</f>
        <v>468</v>
      </c>
      <c r="L31" s="115">
        <f>'N10'!L31+'K10'!L31</f>
        <v>0</v>
      </c>
      <c r="M31" s="115">
        <f>'N10'!M31+'K10'!M31</f>
        <v>0</v>
      </c>
      <c r="N31" s="115">
        <f>'N10'!N31+'K10'!N31</f>
        <v>0</v>
      </c>
      <c r="O31" s="116">
        <f>'N10'!O31+'K10'!O31</f>
        <v>0</v>
      </c>
      <c r="P31" s="115">
        <f>'N10'!P31+'K10'!P31</f>
        <v>0</v>
      </c>
      <c r="Q31" s="116">
        <f>'N10'!Q31+'K10'!Q31</f>
        <v>0</v>
      </c>
      <c r="R31" s="121">
        <f>'N10'!R31+'K10'!R31</f>
        <v>0</v>
      </c>
      <c r="S31" s="121">
        <f>'N10'!S31+'K10'!S31</f>
        <v>0</v>
      </c>
      <c r="T31" s="33">
        <f>'N10'!T31+'K10'!T31</f>
        <v>0</v>
      </c>
      <c r="U31" s="115">
        <f>'N10'!U31+'K10'!U31</f>
        <v>0</v>
      </c>
      <c r="V31" s="115">
        <f>'N10'!V31+'K10'!V31</f>
        <v>0</v>
      </c>
      <c r="W31" s="115">
        <f>'N10'!W31+'K10'!W31</f>
        <v>0</v>
      </c>
      <c r="X31" s="116">
        <f>'N10'!X31+'K10'!X31</f>
        <v>0</v>
      </c>
      <c r="Y31" s="115">
        <f>'N10'!Y31+'K10'!Y31</f>
        <v>0</v>
      </c>
      <c r="Z31" s="116">
        <f>'N10'!Z31+'K10'!Z31</f>
        <v>0</v>
      </c>
      <c r="AA31" s="121">
        <f>'N10'!AA31+'K10'!AA31</f>
        <v>0</v>
      </c>
      <c r="AB31" s="121">
        <f>'N10'!AB31+'K10'!AB31</f>
        <v>0</v>
      </c>
      <c r="AC31" s="33">
        <f>'N10'!AC31+'K10'!AC31</f>
        <v>0</v>
      </c>
      <c r="AD31" s="12">
        <f>'N10'!AD31+'K10'!AD31</f>
        <v>468</v>
      </c>
      <c r="AE31" s="39"/>
      <c r="AF31" s="39"/>
      <c r="AG31" s="39"/>
      <c r="AH31" s="39"/>
      <c r="AI31" s="39"/>
      <c r="AJ31" s="39"/>
    </row>
    <row r="32" spans="1:36" x14ac:dyDescent="0.2">
      <c r="A32" s="5">
        <f>DAY(Kalenteri!A301)</f>
        <v>28</v>
      </c>
      <c r="B32" s="3" t="str">
        <f>IF(Kalenteri!B301=1,"su",IF(Kalenteri!B301=2,"ma",IF(Kalenteri!B301=3,"ti",IF(Kalenteri!B301=4,"ke",IF(Kalenteri!B301=5,"to",IF(Kalenteri!B301=6,"pe",IF(Kalenteri!B301=7,"la",)))))))</f>
        <v>ma</v>
      </c>
      <c r="C32" s="114">
        <f>'N10'!C32+'K10'!C32</f>
        <v>43</v>
      </c>
      <c r="D32" s="115">
        <f>'N10'!D32+'K10'!D32</f>
        <v>11</v>
      </c>
      <c r="E32" s="115">
        <f>'N10'!E32+'K10'!E32</f>
        <v>2</v>
      </c>
      <c r="F32" s="116">
        <f>'N10'!F32+'K10'!F32</f>
        <v>3</v>
      </c>
      <c r="G32" s="114">
        <f>'N10'!G32+'K10'!G32</f>
        <v>4</v>
      </c>
      <c r="H32" s="116">
        <f>'N10'!H32+'K10'!H32</f>
        <v>9</v>
      </c>
      <c r="I32" s="114">
        <f>'N10'!I32+'K10'!I32</f>
        <v>0</v>
      </c>
      <c r="J32" s="116">
        <f>'N10'!J32+'K10'!J32</f>
        <v>0</v>
      </c>
      <c r="K32" s="33">
        <f>'N10'!K32+'K10'!K32</f>
        <v>72</v>
      </c>
      <c r="L32" s="115">
        <f>'N10'!L32+'K10'!L32</f>
        <v>0</v>
      </c>
      <c r="M32" s="115">
        <f>'N10'!M32+'K10'!M32</f>
        <v>0</v>
      </c>
      <c r="N32" s="115">
        <f>'N10'!N32+'K10'!N32</f>
        <v>0</v>
      </c>
      <c r="O32" s="116">
        <f>'N10'!O32+'K10'!O32</f>
        <v>0</v>
      </c>
      <c r="P32" s="115">
        <f>'N10'!P32+'K10'!P32</f>
        <v>0</v>
      </c>
      <c r="Q32" s="116">
        <f>'N10'!Q32+'K10'!Q32</f>
        <v>0</v>
      </c>
      <c r="R32" s="121">
        <f>'N10'!R32+'K10'!R32</f>
        <v>0</v>
      </c>
      <c r="S32" s="121">
        <f>'N10'!S32+'K10'!S32</f>
        <v>0</v>
      </c>
      <c r="T32" s="33">
        <f>'N10'!T32+'K10'!T32</f>
        <v>0</v>
      </c>
      <c r="U32" s="115">
        <f>'N10'!U32+'K10'!U32</f>
        <v>0</v>
      </c>
      <c r="V32" s="115">
        <f>'N10'!V32+'K10'!V32</f>
        <v>0</v>
      </c>
      <c r="W32" s="115">
        <f>'N10'!W32+'K10'!W32</f>
        <v>0</v>
      </c>
      <c r="X32" s="116">
        <f>'N10'!X32+'K10'!X32</f>
        <v>0</v>
      </c>
      <c r="Y32" s="115">
        <f>'N10'!Y32+'K10'!Y32</f>
        <v>0</v>
      </c>
      <c r="Z32" s="116">
        <f>'N10'!Z32+'K10'!Z32</f>
        <v>0</v>
      </c>
      <c r="AA32" s="121">
        <f>'N10'!AA32+'K10'!AA32</f>
        <v>0</v>
      </c>
      <c r="AB32" s="121">
        <f>'N10'!AB32+'K10'!AB32</f>
        <v>0</v>
      </c>
      <c r="AC32" s="33">
        <f>'N10'!AC32+'K10'!AC32</f>
        <v>0</v>
      </c>
      <c r="AD32" s="12">
        <f>'N10'!AD32+'K10'!AD32</f>
        <v>72</v>
      </c>
      <c r="AE32" s="39"/>
      <c r="AF32" s="39"/>
      <c r="AG32" s="39"/>
      <c r="AH32" s="39"/>
      <c r="AI32" s="39"/>
      <c r="AJ32" s="39"/>
    </row>
    <row r="33" spans="1:36" x14ac:dyDescent="0.2">
      <c r="A33" s="5">
        <f>DAY(Kalenteri!A302)</f>
        <v>29</v>
      </c>
      <c r="B33" s="3" t="str">
        <f>IF(Kalenteri!B302=1,"su",IF(Kalenteri!B302=2,"ma",IF(Kalenteri!B302=3,"ti",IF(Kalenteri!B302=4,"ke",IF(Kalenteri!B302=5,"to",IF(Kalenteri!B302=6,"pe",IF(Kalenteri!B302=7,"la",)))))))</f>
        <v>ti</v>
      </c>
      <c r="C33" s="114">
        <f>'N10'!C33+'K10'!C33</f>
        <v>23</v>
      </c>
      <c r="D33" s="115">
        <f>'N10'!D33+'K10'!D33</f>
        <v>8</v>
      </c>
      <c r="E33" s="115">
        <f>'N10'!E33+'K10'!E33</f>
        <v>3</v>
      </c>
      <c r="F33" s="116">
        <f>'N10'!F33+'K10'!F33</f>
        <v>3</v>
      </c>
      <c r="G33" s="114">
        <f>'N10'!G33+'K10'!G33</f>
        <v>1</v>
      </c>
      <c r="H33" s="116">
        <f>'N10'!H33+'K10'!H33</f>
        <v>13</v>
      </c>
      <c r="I33" s="114">
        <f>'N10'!I33+'K10'!I33</f>
        <v>0</v>
      </c>
      <c r="J33" s="116">
        <f>'N10'!J33+'K10'!J33</f>
        <v>0</v>
      </c>
      <c r="K33" s="33">
        <f>'N10'!K33+'K10'!K33</f>
        <v>51</v>
      </c>
      <c r="L33" s="115">
        <f>'N10'!L33+'K10'!L33</f>
        <v>0</v>
      </c>
      <c r="M33" s="115">
        <f>'N10'!M33+'K10'!M33</f>
        <v>0</v>
      </c>
      <c r="N33" s="115">
        <f>'N10'!N33+'K10'!N33</f>
        <v>0</v>
      </c>
      <c r="O33" s="116">
        <f>'N10'!O33+'K10'!O33</f>
        <v>0</v>
      </c>
      <c r="P33" s="115">
        <f>'N10'!P33+'K10'!P33</f>
        <v>0</v>
      </c>
      <c r="Q33" s="116">
        <f>'N10'!Q33+'K10'!Q33</f>
        <v>0</v>
      </c>
      <c r="R33" s="121">
        <f>'N10'!R33+'K10'!R33</f>
        <v>0</v>
      </c>
      <c r="S33" s="121">
        <f>'N10'!S33+'K10'!S33</f>
        <v>0</v>
      </c>
      <c r="T33" s="33">
        <f>'N10'!T33+'K10'!T33</f>
        <v>0</v>
      </c>
      <c r="U33" s="115">
        <f>'N10'!U33+'K10'!U33</f>
        <v>0</v>
      </c>
      <c r="V33" s="115">
        <f>'N10'!V33+'K10'!V33</f>
        <v>0</v>
      </c>
      <c r="W33" s="115">
        <f>'N10'!W33+'K10'!W33</f>
        <v>0</v>
      </c>
      <c r="X33" s="116">
        <f>'N10'!X33+'K10'!X33</f>
        <v>0</v>
      </c>
      <c r="Y33" s="115">
        <f>'N10'!Y33+'K10'!Y33</f>
        <v>0</v>
      </c>
      <c r="Z33" s="116">
        <f>'N10'!Z33+'K10'!Z33</f>
        <v>0</v>
      </c>
      <c r="AA33" s="121">
        <f>'N10'!AA33+'K10'!AA33</f>
        <v>0</v>
      </c>
      <c r="AB33" s="121">
        <f>'N10'!AB33+'K10'!AB33</f>
        <v>0</v>
      </c>
      <c r="AC33" s="33">
        <f>'N10'!AC33+'K10'!AC33</f>
        <v>0</v>
      </c>
      <c r="AD33" s="12">
        <f>'N10'!AD33+'K10'!AD33</f>
        <v>51</v>
      </c>
      <c r="AE33" s="39"/>
      <c r="AF33" s="39"/>
      <c r="AG33" s="39"/>
      <c r="AH33" s="39"/>
      <c r="AI33" s="39"/>
      <c r="AJ33" s="39"/>
    </row>
    <row r="34" spans="1:36" x14ac:dyDescent="0.2">
      <c r="A34" s="5">
        <f>DAY(Kalenteri!A303)</f>
        <v>30</v>
      </c>
      <c r="B34" s="3" t="str">
        <f>IF(Kalenteri!B303=1,"su",IF(Kalenteri!B303=2,"ma",IF(Kalenteri!B303=3,"ti",IF(Kalenteri!B303=4,"ke",IF(Kalenteri!B303=5,"to",IF(Kalenteri!B303=6,"pe",IF(Kalenteri!B303=7,"la",)))))))</f>
        <v>ke</v>
      </c>
      <c r="C34" s="114">
        <f>'N10'!C34+'K10'!C34</f>
        <v>73</v>
      </c>
      <c r="D34" s="115">
        <f>'N10'!D34+'K10'!D34</f>
        <v>16</v>
      </c>
      <c r="E34" s="115">
        <f>'N10'!E34+'K10'!E34</f>
        <v>3</v>
      </c>
      <c r="F34" s="116">
        <f>'N10'!F34+'K10'!F34</f>
        <v>2</v>
      </c>
      <c r="G34" s="114">
        <f>'N10'!G34+'K10'!G34</f>
        <v>4</v>
      </c>
      <c r="H34" s="116">
        <f>'N10'!H34+'K10'!H34</f>
        <v>65</v>
      </c>
      <c r="I34" s="114">
        <f>'N10'!I34+'K10'!I34</f>
        <v>0</v>
      </c>
      <c r="J34" s="116">
        <f>'N10'!J34+'K10'!J34</f>
        <v>0</v>
      </c>
      <c r="K34" s="33">
        <f>'N10'!K34+'K10'!K34</f>
        <v>163</v>
      </c>
      <c r="L34" s="115">
        <f>'N10'!L34+'K10'!L34</f>
        <v>0</v>
      </c>
      <c r="M34" s="115">
        <f>'N10'!M34+'K10'!M34</f>
        <v>0</v>
      </c>
      <c r="N34" s="115">
        <f>'N10'!N34+'K10'!N34</f>
        <v>0</v>
      </c>
      <c r="O34" s="116">
        <f>'N10'!O34+'K10'!O34</f>
        <v>0</v>
      </c>
      <c r="P34" s="115">
        <f>'N10'!P34+'K10'!P34</f>
        <v>0</v>
      </c>
      <c r="Q34" s="116">
        <f>'N10'!Q34+'K10'!Q34</f>
        <v>0</v>
      </c>
      <c r="R34" s="121">
        <f>'N10'!R34+'K10'!R34</f>
        <v>0</v>
      </c>
      <c r="S34" s="121">
        <f>'N10'!S34+'K10'!S34</f>
        <v>0</v>
      </c>
      <c r="T34" s="33">
        <f>'N10'!T34+'K10'!T34</f>
        <v>0</v>
      </c>
      <c r="U34" s="115">
        <f>'N10'!U34+'K10'!U34</f>
        <v>0</v>
      </c>
      <c r="V34" s="115">
        <f>'N10'!V34+'K10'!V34</f>
        <v>0</v>
      </c>
      <c r="W34" s="115">
        <f>'N10'!W34+'K10'!W34</f>
        <v>0</v>
      </c>
      <c r="X34" s="116">
        <f>'N10'!X34+'K10'!X34</f>
        <v>0</v>
      </c>
      <c r="Y34" s="115">
        <f>'N10'!Y34+'K10'!Y34</f>
        <v>0</v>
      </c>
      <c r="Z34" s="116">
        <f>'N10'!Z34+'K10'!Z34</f>
        <v>0</v>
      </c>
      <c r="AA34" s="121">
        <f>'N10'!AA34+'K10'!AA34</f>
        <v>0</v>
      </c>
      <c r="AB34" s="121">
        <f>'N10'!AB34+'K10'!AB34</f>
        <v>0</v>
      </c>
      <c r="AC34" s="33">
        <f>'N10'!AC34+'K10'!AC34</f>
        <v>0</v>
      </c>
      <c r="AD34" s="12">
        <f>'N10'!AD34+'K10'!AD34</f>
        <v>163</v>
      </c>
      <c r="AE34" s="39"/>
      <c r="AF34" s="39"/>
      <c r="AG34" s="39"/>
      <c r="AH34" s="39"/>
      <c r="AI34" s="39"/>
      <c r="AJ34" s="39"/>
    </row>
    <row r="35" spans="1:36" x14ac:dyDescent="0.2">
      <c r="A35" s="5">
        <f>DAY(Kalenteri!A304)</f>
        <v>31</v>
      </c>
      <c r="B35" s="3" t="str">
        <f>IF(Kalenteri!B304=1,"su",IF(Kalenteri!B304=2,"ma",IF(Kalenteri!B304=3,"ti",IF(Kalenteri!B304=4,"ke",IF(Kalenteri!B304=5,"to",IF(Kalenteri!B304=6,"pe",IF(Kalenteri!B304=7,"la",)))))))</f>
        <v>to</v>
      </c>
      <c r="C35" s="117">
        <f>'N10'!C35+'K10'!C35</f>
        <v>83</v>
      </c>
      <c r="D35" s="118">
        <f>'N10'!D35+'K10'!D35</f>
        <v>12</v>
      </c>
      <c r="E35" s="118">
        <f>'N10'!E35+'K10'!E35</f>
        <v>0</v>
      </c>
      <c r="F35" s="119">
        <f>'N10'!F35+'K10'!F35</f>
        <v>1</v>
      </c>
      <c r="G35" s="117">
        <f>'N10'!G35+'K10'!G35</f>
        <v>7</v>
      </c>
      <c r="H35" s="119">
        <f>'N10'!H35+'K10'!H35</f>
        <v>79</v>
      </c>
      <c r="I35" s="117">
        <f>'N10'!I35+'K10'!I35</f>
        <v>8</v>
      </c>
      <c r="J35" s="119">
        <f>'N10'!J35+'K10'!J35</f>
        <v>12</v>
      </c>
      <c r="K35" s="34">
        <f>'N10'!K35+'K10'!K35</f>
        <v>202</v>
      </c>
      <c r="L35" s="122">
        <f>'N10'!L35+'K10'!L35</f>
        <v>0</v>
      </c>
      <c r="M35" s="122">
        <f>'N10'!M35+'K10'!M35</f>
        <v>0</v>
      </c>
      <c r="N35" s="122">
        <f>'N10'!N35+'K10'!N35</f>
        <v>0</v>
      </c>
      <c r="O35" s="123">
        <f>'N10'!O35+'K10'!O35</f>
        <v>0</v>
      </c>
      <c r="P35" s="122">
        <f>'N10'!P35+'K10'!P35</f>
        <v>0</v>
      </c>
      <c r="Q35" s="123">
        <f>'N10'!Q35+'K10'!Q35</f>
        <v>0</v>
      </c>
      <c r="R35" s="124">
        <f>'N10'!R35+'K10'!R35</f>
        <v>0</v>
      </c>
      <c r="S35" s="124">
        <f>'N10'!S35+'K10'!S35</f>
        <v>0</v>
      </c>
      <c r="T35" s="34">
        <f>'N10'!T35+'K10'!T35</f>
        <v>0</v>
      </c>
      <c r="U35" s="122">
        <f>'N10'!U35+'K10'!U35</f>
        <v>0</v>
      </c>
      <c r="V35" s="122">
        <f>'N10'!V35+'K10'!V35</f>
        <v>0</v>
      </c>
      <c r="W35" s="122">
        <f>'N10'!W35+'K10'!W35</f>
        <v>0</v>
      </c>
      <c r="X35" s="123">
        <f>'N10'!X35+'K10'!X35</f>
        <v>0</v>
      </c>
      <c r="Y35" s="122">
        <f>'N10'!Y35+'K10'!Y35</f>
        <v>0</v>
      </c>
      <c r="Z35" s="123">
        <f>'N10'!Z35+'K10'!Z35</f>
        <v>0</v>
      </c>
      <c r="AA35" s="124">
        <f>'N10'!AA35+'K10'!AA35</f>
        <v>0</v>
      </c>
      <c r="AB35" s="124">
        <f>'N10'!AB35+'K10'!AB35</f>
        <v>0</v>
      </c>
      <c r="AC35" s="34">
        <f>'N10'!AC35+'K10'!AC35</f>
        <v>0</v>
      </c>
      <c r="AD35" s="19">
        <f>'N10'!AD35+'K10'!AD35</f>
        <v>202</v>
      </c>
      <c r="AE35" s="39"/>
      <c r="AF35" s="39"/>
      <c r="AG35" s="39"/>
      <c r="AH35" s="39"/>
      <c r="AI35" s="39"/>
      <c r="AJ35" s="39"/>
    </row>
    <row r="36" spans="1:36" x14ac:dyDescent="0.2">
      <c r="A36" s="6"/>
      <c r="B36"/>
      <c r="C36" s="82">
        <f>'N10'!C36+'K10'!C36</f>
        <v>5740</v>
      </c>
      <c r="D36" s="83">
        <f>'N10'!D36+'K10'!D36</f>
        <v>2037</v>
      </c>
      <c r="E36" s="83">
        <f>'N10'!E36+'K10'!E36</f>
        <v>25</v>
      </c>
      <c r="F36" s="84">
        <f>'N10'!F36+'K10'!F36</f>
        <v>286</v>
      </c>
      <c r="G36" s="83">
        <f>'N10'!G36+'K10'!G36</f>
        <v>4563</v>
      </c>
      <c r="H36" s="84">
        <f>'N10'!H36+'K10'!H36</f>
        <v>4804</v>
      </c>
      <c r="I36" s="83">
        <f>'N10'!I36+'K10'!I36</f>
        <v>228</v>
      </c>
      <c r="J36" s="84">
        <f>'N10'!J36+'K10'!J36</f>
        <v>342</v>
      </c>
      <c r="K36" s="85">
        <f>'N10'!K36+'K10'!K36</f>
        <v>18025</v>
      </c>
      <c r="L36" s="83">
        <f>'N10'!L36+'K10'!L36</f>
        <v>0</v>
      </c>
      <c r="M36" s="83">
        <f>'N10'!M36+'K10'!M36</f>
        <v>0</v>
      </c>
      <c r="N36" s="83">
        <f>'N10'!N36+'K10'!N36</f>
        <v>0</v>
      </c>
      <c r="O36" s="84">
        <f>'N10'!O36+'K10'!O36</f>
        <v>0</v>
      </c>
      <c r="P36" s="83">
        <f>'N10'!P36+'K10'!P36</f>
        <v>0</v>
      </c>
      <c r="Q36" s="84">
        <f>'N10'!Q36+'K10'!Q36</f>
        <v>0</v>
      </c>
      <c r="R36" s="86">
        <f>'N10'!R36+'K10'!R36</f>
        <v>0</v>
      </c>
      <c r="S36" s="86">
        <f>'N10'!S36+'K10'!S36</f>
        <v>0</v>
      </c>
      <c r="T36" s="85">
        <f>'N10'!T36+'K10'!T36</f>
        <v>0</v>
      </c>
      <c r="U36" s="83">
        <f>'N10'!U36+'K10'!U36</f>
        <v>10</v>
      </c>
      <c r="V36" s="83">
        <f>'N10'!V36+'K10'!V36</f>
        <v>0</v>
      </c>
      <c r="W36" s="83">
        <f>'N10'!W36+'K10'!W36</f>
        <v>0</v>
      </c>
      <c r="X36" s="84">
        <f>'N10'!X36+'K10'!X36</f>
        <v>0</v>
      </c>
      <c r="Y36" s="83">
        <f>'N10'!Y36+'K10'!Y36</f>
        <v>0</v>
      </c>
      <c r="Z36" s="84">
        <f>'N10'!Z36+'K10'!Z36</f>
        <v>0</v>
      </c>
      <c r="AA36" s="86">
        <f>'N10'!AA36+'K10'!AA36</f>
        <v>0</v>
      </c>
      <c r="AB36" s="86">
        <f>'N10'!AB36+'K10'!AB36</f>
        <v>0</v>
      </c>
      <c r="AC36" s="85">
        <f>'N10'!AC36+'K10'!AC36</f>
        <v>10</v>
      </c>
      <c r="AD36" s="87">
        <f>'N10'!AD36+'K10'!AD36</f>
        <v>18035</v>
      </c>
      <c r="AE36" s="66"/>
      <c r="AF36" s="66"/>
      <c r="AG36" s="66"/>
      <c r="AH36" s="66"/>
      <c r="AI36" s="66"/>
      <c r="AJ36" s="66"/>
    </row>
    <row r="37" spans="1:36" ht="8.1" customHeight="1" thickBot="1" x14ac:dyDescent="0.25">
      <c r="A37" s="6"/>
      <c r="B37"/>
      <c r="C37" s="2"/>
      <c r="D37" s="5"/>
      <c r="E37" s="5"/>
      <c r="F37" s="2"/>
      <c r="G37" s="2"/>
      <c r="H37" s="2"/>
      <c r="I37" s="5"/>
      <c r="J37" s="2"/>
      <c r="K37" s="2"/>
      <c r="L37" s="5"/>
      <c r="M37" s="2"/>
      <c r="N37" s="5"/>
      <c r="O37" s="5"/>
      <c r="P37" s="2"/>
      <c r="Q37" s="5"/>
      <c r="R37" s="42"/>
      <c r="S37" s="42"/>
      <c r="T37" s="2"/>
      <c r="U37" s="2"/>
      <c r="V37" s="2"/>
      <c r="W37" s="2"/>
      <c r="X37" s="5"/>
      <c r="Y37" s="2"/>
      <c r="Z37" s="2"/>
      <c r="AA37" s="39"/>
      <c r="AB37" s="39"/>
      <c r="AC37" s="5"/>
      <c r="AD37" s="40"/>
      <c r="AE37" s="40"/>
      <c r="AF37" s="40"/>
      <c r="AG37" s="40"/>
      <c r="AH37" s="40"/>
      <c r="AI37" s="40"/>
      <c r="AJ37" s="40"/>
    </row>
    <row r="38" spans="1:36" ht="24.95" customHeight="1" thickTop="1" x14ac:dyDescent="0.3">
      <c r="A38" s="6"/>
      <c r="B38"/>
      <c r="C38" s="171" t="str">
        <f>Kalenteri!E38</f>
        <v>Lippujen hinnat:</v>
      </c>
      <c r="D38" s="5"/>
      <c r="E38" s="5"/>
      <c r="F38" s="2"/>
      <c r="G38" s="2"/>
      <c r="H38" s="2"/>
      <c r="I38" s="5"/>
      <c r="J38" s="2"/>
      <c r="K38" s="2"/>
      <c r="L38" s="5"/>
      <c r="M38" s="2"/>
      <c r="N38" s="5"/>
      <c r="O38" s="5"/>
      <c r="P38" s="2"/>
      <c r="Q38"/>
      <c r="R38"/>
      <c r="S38"/>
      <c r="T38"/>
      <c r="U38" s="49" t="s">
        <v>12</v>
      </c>
      <c r="V38" s="50"/>
      <c r="W38" s="43"/>
      <c r="X38" s="44"/>
      <c r="Y38" s="43"/>
      <c r="Z38" s="43"/>
      <c r="AA38" s="44"/>
      <c r="AB38" s="44"/>
      <c r="AC38" s="47"/>
      <c r="AD38" s="45">
        <f>'N10'!AD38+'K10'!AD38</f>
        <v>18035</v>
      </c>
      <c r="AE38" s="41"/>
      <c r="AF38" s="41"/>
      <c r="AG38" s="41"/>
      <c r="AH38" s="41"/>
      <c r="AI38" s="41"/>
      <c r="AJ38" s="41"/>
    </row>
    <row r="39" spans="1:36" ht="24.95" customHeight="1" x14ac:dyDescent="0.3">
      <c r="A39" s="6"/>
      <c r="B39"/>
      <c r="C39" s="193" t="str">
        <f>Kalenteri!E39</f>
        <v>Mustikkamaan kautta: 1.9.-30.4. aik. 10 €, lapset 5 €, kimppalippu 30 €    1.5.-30.8. aik. 12 €, lapset 6 €, kimppalippu 36 €</v>
      </c>
      <c r="D39" s="89"/>
      <c r="E39" s="89"/>
      <c r="F39" s="90"/>
      <c r="G39" s="102"/>
      <c r="H39" s="174"/>
      <c r="I39" s="89"/>
      <c r="J39" s="90"/>
      <c r="K39" s="90"/>
      <c r="L39" s="89"/>
      <c r="M39" s="90"/>
      <c r="N39" s="89"/>
      <c r="O39" s="89"/>
      <c r="P39" s="89"/>
      <c r="Q39" s="104"/>
      <c r="R39" s="103"/>
      <c r="S39"/>
      <c r="T39"/>
      <c r="U39" s="62" t="s">
        <v>13</v>
      </c>
      <c r="V39" s="52"/>
      <c r="W39" s="53"/>
      <c r="X39" s="54"/>
      <c r="Y39" s="53"/>
      <c r="Z39" s="53"/>
      <c r="AA39" s="54"/>
      <c r="AB39" s="54"/>
      <c r="AC39" s="55"/>
      <c r="AD39" s="56">
        <f>'N10'!AD39+'K10'!AD39</f>
        <v>7011</v>
      </c>
      <c r="AE39" s="67"/>
      <c r="AF39" s="67"/>
      <c r="AG39" s="67"/>
      <c r="AH39" s="67"/>
      <c r="AI39" s="67"/>
      <c r="AJ39" s="67"/>
    </row>
    <row r="40" spans="1:36" ht="24.95" customHeight="1" x14ac:dyDescent="0.3">
      <c r="A40" s="6"/>
      <c r="B40" s="6"/>
      <c r="C40" s="194" t="str">
        <f>Kalenteri!E40</f>
        <v xml:space="preserve">                                    Vuosikortti:     aik. 50 €, lapset 20 €, perhekortti 100 €</v>
      </c>
      <c r="D40" s="39"/>
      <c r="E40" s="39"/>
      <c r="F40" s="42"/>
      <c r="G40" s="65"/>
      <c r="H40" s="176"/>
      <c r="I40" s="39"/>
      <c r="J40" s="42"/>
      <c r="K40" s="42"/>
      <c r="L40" s="39"/>
      <c r="M40" s="42"/>
      <c r="N40" s="39"/>
      <c r="O40" s="39"/>
      <c r="P40" s="39"/>
      <c r="Q40" s="23"/>
      <c r="R40" s="97"/>
      <c r="S40"/>
      <c r="T40"/>
      <c r="U40" s="63" t="s">
        <v>14</v>
      </c>
      <c r="V40" s="37"/>
      <c r="W40" s="51"/>
      <c r="X40" s="41"/>
      <c r="Y40" s="51"/>
      <c r="Z40" s="41"/>
      <c r="AA40" s="41"/>
      <c r="AB40" s="41"/>
      <c r="AC40" s="48"/>
      <c r="AD40" s="46">
        <f>'N10'!AD40+'K10'!AD40</f>
        <v>487440</v>
      </c>
      <c r="AE40" s="41"/>
      <c r="AF40" s="41"/>
      <c r="AG40" s="41"/>
      <c r="AH40" s="41"/>
      <c r="AI40" s="41"/>
      <c r="AJ40" s="41"/>
    </row>
    <row r="41" spans="1:36" ht="24.95" customHeight="1" thickBot="1" x14ac:dyDescent="0.35">
      <c r="A41" s="4"/>
      <c r="B41" s="4"/>
      <c r="C41" s="195" t="str">
        <f>Kalenteri!E41</f>
        <v>Vesibusseilla:             1.9.-30.4. aik. 16 €, lapset 8 €, kimppalippu 47 €    1.5.-31.8. aik. 18 €, lapset 9 €, kimppalippu 53 €</v>
      </c>
      <c r="D41" s="93"/>
      <c r="E41" s="93"/>
      <c r="F41" s="94"/>
      <c r="G41" s="94"/>
      <c r="H41" s="175"/>
      <c r="I41" s="93"/>
      <c r="J41" s="96"/>
      <c r="K41" s="96"/>
      <c r="L41" s="93"/>
      <c r="M41" s="95"/>
      <c r="N41" s="95"/>
      <c r="O41" s="93"/>
      <c r="P41" s="93"/>
      <c r="Q41" s="95"/>
      <c r="R41" s="98"/>
      <c r="S41"/>
      <c r="T41"/>
      <c r="U41" s="64" t="s">
        <v>13</v>
      </c>
      <c r="V41" s="57"/>
      <c r="W41" s="58"/>
      <c r="X41" s="59"/>
      <c r="Y41" s="59"/>
      <c r="Z41" s="59"/>
      <c r="AA41" s="59"/>
      <c r="AB41" s="59"/>
      <c r="AC41" s="60"/>
      <c r="AD41" s="61">
        <f>'N10'!AD41+'K10'!AD41</f>
        <v>8392</v>
      </c>
      <c r="AE41" s="68"/>
      <c r="AF41" s="68"/>
      <c r="AG41" s="68"/>
      <c r="AH41" s="68"/>
      <c r="AI41" s="68"/>
      <c r="AJ41" s="68"/>
    </row>
    <row r="42" spans="1:36" ht="13.5" thickTop="1" x14ac:dyDescent="0.2"/>
  </sheetData>
  <sheetProtection password="C4AC" sheet="1" objects="1" scenarios="1"/>
  <phoneticPr fontId="4" type="noConversion"/>
  <pageMargins left="0" right="0" top="0.27559055118110237" bottom="0" header="0" footer="0"/>
  <pageSetup paperSize="9" scale="75" fitToHeight="0" orientation="landscape" horizontalDpi="4294967292" verticalDpi="4294967292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7761" r:id="rId4" name="Button 1">
              <controlPr defaultSize="0" print="0" autoFill="0" autoLine="0" autoPict="0" macro="[1]!TAMMI">
                <anchor moveWithCells="1" sizeWithCells="1">
                  <from>
                    <xdr:col>35</xdr:col>
                    <xdr:colOff>0</xdr:colOff>
                    <xdr:row>3</xdr:row>
                    <xdr:rowOff>9525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762" r:id="rId5" name="Button 2">
              <controlPr defaultSize="0" print="0" autoFill="0" autoLine="0" autoPict="0" macro="[1]KTMAKRO!$A$1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763" r:id="rId6" name="Button 3">
              <controlPr defaultSize="0" print="0" autoFill="0" autoLine="0" autoPict="0" macro="[1]!MAALIS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764" r:id="rId7" name="Button 4">
              <controlPr defaultSize="0" print="0" autoFill="0" autoLine="0" autoPict="0" macro="[1]KTMAKRO!$D$1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765" r:id="rId8" name="Button 5">
              <controlPr defaultSize="0" print="0" autoFill="0" autoLine="0" autoPict="0" macro="[1]KTMAKRO!$E$1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766" r:id="rId9" name="Button 6">
              <controlPr defaultSize="0" print="0" autoFill="0" autoLine="0" autoPict="0" macro="[1]!KESÄ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767" r:id="rId10" name="Button 7">
              <controlPr defaultSize="0" print="0" autoFill="0" autoLine="0" autoPict="0" macro="[1]!HELMI">
                <anchor moveWithCells="1" sizeWithCells="1">
                  <from>
                    <xdr:col>35</xdr:col>
                    <xdr:colOff>0</xdr:colOff>
                    <xdr:row>3</xdr:row>
                    <xdr:rowOff>9525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768" r:id="rId11" name="Button 8">
              <controlPr defaultSize="0" print="0" autoFill="0" autoLine="0" autoPict="0" macro="[1]KTMAKRO!$G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769" r:id="rId12" name="Button 9">
              <controlPr defaultSize="0" print="0" autoFill="0" autoLine="0" autoPict="0" macro="[1]KTMAKRO!$I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770" r:id="rId13" name="Button 10">
              <controlPr defaultSize="0" print="0" autoFill="0" autoLine="0" autoPict="0" macro="[1]KTMAKRO!$J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771" r:id="rId14" name="Button 11">
              <controlPr defaultSize="0" print="0" autoFill="0" autoLine="0" autoPict="0" macro="[1]KTMAKRO!$K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772" r:id="rId15" name="Button 12">
              <controlPr defaultSize="0" print="0" autoFill="0" autoLine="0" autoPict="0" macro="[1]KTMAKRO!$L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773" r:id="rId16" name="Button 13">
              <controlPr defaultSize="0" print="0" autoFill="0" autoLine="0" autoPict="0" macro="[1]KTMAKRO!$H$1">
                <anchor moveWithCells="1" sizeWithCells="1">
                  <from>
                    <xdr:col>35</xdr:col>
                    <xdr:colOff>0</xdr:colOff>
                    <xdr:row>5</xdr:row>
                    <xdr:rowOff>0</xdr:rowOff>
                  </from>
                  <to>
                    <xdr:col>35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774" r:id="rId17" name="Button 14">
              <controlPr defaultSize="0" print="0" autoFill="0" autoLine="0" autoPict="0" macro="[1]!Yhteenveto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5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775" r:id="rId18" name="Button 15">
              <controlPr defaultSize="0" print="0" autoFill="0" autoLine="0" autoPict="0" macro="[1]!GRAFIIKKA1">
                <anchor moveWithCells="1" sizeWithCells="1">
                  <from>
                    <xdr:col>35</xdr:col>
                    <xdr:colOff>0</xdr:colOff>
                    <xdr:row>8</xdr:row>
                    <xdr:rowOff>142875</xdr:rowOff>
                  </from>
                  <to>
                    <xdr:col>35</xdr:col>
                    <xdr:colOff>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776" r:id="rId19" name="Button 16">
              <controlPr defaultSize="0" print="0" autoFill="0" autoLine="0" autoPict="0" macro="[1]!Grafiikka2">
                <anchor moveWithCells="1" sizeWithCells="1">
                  <from>
                    <xdr:col>35</xdr:col>
                    <xdr:colOff>0</xdr:colOff>
                    <xdr:row>8</xdr:row>
                    <xdr:rowOff>152400</xdr:rowOff>
                  </from>
                  <to>
                    <xdr:col>35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777" r:id="rId20" name="Button 17">
              <controlPr defaultSize="0" print="0" autoFill="0" autoLine="0" autoPict="0" macro="[1]!Grafiikka4">
                <anchor moveWithCells="1" sizeWithCells="1">
                  <from>
                    <xdr:col>35</xdr:col>
                    <xdr:colOff>0</xdr:colOff>
                    <xdr:row>8</xdr:row>
                    <xdr:rowOff>142875</xdr:rowOff>
                  </from>
                  <to>
                    <xdr:col>35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778" r:id="rId21" name="Button 18">
              <controlPr defaultSize="0" print="0" autoFill="0" autoLine="0" autoPict="0" macro="[1]!Grafiikka4">
                <anchor moveWithCells="1" sizeWithCells="1">
                  <from>
                    <xdr:col>35</xdr:col>
                    <xdr:colOff>0</xdr:colOff>
                    <xdr:row>8</xdr:row>
                    <xdr:rowOff>152400</xdr:rowOff>
                  </from>
                  <to>
                    <xdr:col>35</xdr:col>
                    <xdr:colOff>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779" r:id="rId22" name="Button 19">
              <controlPr defaultSize="0" print="0" autoFill="0" autoLine="0" autoPict="0" macro="[1]!Grafiikka5">
                <anchor moveWithCells="1" sizeWithCells="1">
                  <from>
                    <xdr:col>35</xdr:col>
                    <xdr:colOff>0</xdr:colOff>
                    <xdr:row>8</xdr:row>
                    <xdr:rowOff>152400</xdr:rowOff>
                  </from>
                  <to>
                    <xdr:col>35</xdr:col>
                    <xdr:colOff>0</xdr:colOff>
                    <xdr:row>12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780" r:id="rId23" name="Button 20">
              <controlPr defaultSize="0" print="0" autoFill="0" autoLine="0" autoPict="0" macro="[1]!Perusikkuna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12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/>
  <dimension ref="A1:AJ42"/>
  <sheetViews>
    <sheetView showGridLines="0" zoomScale="75" workbookViewId="0"/>
  </sheetViews>
  <sheetFormatPr defaultColWidth="9.75" defaultRowHeight="12.75" x14ac:dyDescent="0.2"/>
  <cols>
    <col min="1" max="1" width="3.75" style="1" customWidth="1"/>
    <col min="2" max="2" width="2.75" style="1" customWidth="1"/>
    <col min="3" max="4" width="6.125" style="1" customWidth="1"/>
    <col min="5" max="5" width="4" style="1" customWidth="1"/>
    <col min="6" max="6" width="4.5" style="1" customWidth="1"/>
    <col min="7" max="10" width="6.125" style="1" customWidth="1"/>
    <col min="11" max="11" width="5.875" style="1" customWidth="1"/>
    <col min="12" max="13" width="6.125" style="1" customWidth="1"/>
    <col min="14" max="14" width="5.25" style="1" customWidth="1"/>
    <col min="15" max="15" width="4.5" style="1" customWidth="1"/>
    <col min="16" max="16" width="6.125" style="1" customWidth="1"/>
    <col min="17" max="17" width="5.5" style="1" customWidth="1"/>
    <col min="18" max="19" width="6.125" style="1" customWidth="1"/>
    <col min="20" max="20" width="5.875" style="1" customWidth="1"/>
    <col min="21" max="22" width="6.125" style="1" customWidth="1"/>
    <col min="23" max="23" width="4.375" style="1" customWidth="1"/>
    <col min="24" max="24" width="4.25" style="1" customWidth="1"/>
    <col min="25" max="29" width="6.125" style="1" customWidth="1"/>
    <col min="30" max="36" width="15.625" style="1" customWidth="1"/>
  </cols>
  <sheetData>
    <row r="1" spans="1:36" ht="30" customHeight="1" x14ac:dyDescent="0.35">
      <c r="A1" s="22"/>
      <c r="B1" s="4"/>
      <c r="C1" s="105" t="s">
        <v>15</v>
      </c>
      <c r="D1" s="106"/>
      <c r="E1" s="106"/>
      <c r="F1" s="106"/>
      <c r="G1" s="106"/>
      <c r="H1" s="106"/>
      <c r="I1" s="106"/>
      <c r="J1" s="106"/>
      <c r="K1" s="106"/>
      <c r="L1" s="105" t="str">
        <f>Kalenteri!$H$1</f>
        <v>KÄVIJÄTILASTO 2013</v>
      </c>
      <c r="M1" s="107"/>
      <c r="N1" s="107"/>
      <c r="O1" s="107"/>
      <c r="P1" s="106"/>
      <c r="Q1" s="106"/>
      <c r="R1" s="105" t="s">
        <v>80</v>
      </c>
      <c r="S1" s="108"/>
      <c r="T1" s="106"/>
      <c r="U1" s="109"/>
      <c r="V1" s="105" t="s">
        <v>42</v>
      </c>
      <c r="W1" s="109"/>
      <c r="X1" s="106"/>
      <c r="Y1" s="106"/>
      <c r="Z1" s="106"/>
      <c r="AA1" s="106"/>
      <c r="AB1" s="106"/>
      <c r="AC1" s="106"/>
      <c r="AD1" s="110"/>
      <c r="AE1" s="4"/>
      <c r="AF1" s="4"/>
      <c r="AG1" s="4"/>
      <c r="AH1" s="4"/>
      <c r="AI1" s="4"/>
      <c r="AJ1" s="4"/>
    </row>
    <row r="2" spans="1:36" ht="30" customHeight="1" x14ac:dyDescent="0.3">
      <c r="A2" s="3"/>
      <c r="B2" s="4"/>
      <c r="C2" s="72"/>
      <c r="D2" s="73"/>
      <c r="E2" s="74" t="s">
        <v>1</v>
      </c>
      <c r="F2" s="75"/>
      <c r="G2" s="75"/>
      <c r="H2" s="75"/>
      <c r="I2" s="75"/>
      <c r="J2" s="75"/>
      <c r="K2" s="76"/>
      <c r="L2" s="72"/>
      <c r="M2" s="77"/>
      <c r="N2" s="73"/>
      <c r="O2" s="74" t="s">
        <v>2</v>
      </c>
      <c r="P2" s="75"/>
      <c r="Q2" s="75"/>
      <c r="R2" s="75"/>
      <c r="S2" s="75"/>
      <c r="T2" s="76"/>
      <c r="U2" s="72"/>
      <c r="V2" s="75"/>
      <c r="W2" s="73"/>
      <c r="X2" s="74" t="s">
        <v>3</v>
      </c>
      <c r="Y2" s="75"/>
      <c r="Z2" s="75"/>
      <c r="AA2" s="75"/>
      <c r="AB2" s="75"/>
      <c r="AC2" s="76"/>
      <c r="AD2" s="13"/>
      <c r="AE2" s="35"/>
      <c r="AF2" s="69"/>
      <c r="AG2" s="69"/>
      <c r="AH2" s="69"/>
      <c r="AI2" s="69"/>
      <c r="AJ2" s="69"/>
    </row>
    <row r="3" spans="1:36" x14ac:dyDescent="0.2">
      <c r="A3" s="4"/>
      <c r="B3" s="4"/>
      <c r="C3" s="24" t="s">
        <v>4</v>
      </c>
      <c r="D3" s="25"/>
      <c r="E3" s="25"/>
      <c r="F3" s="26"/>
      <c r="G3" s="24" t="s">
        <v>5</v>
      </c>
      <c r="H3" s="26"/>
      <c r="I3" s="25" t="s">
        <v>6</v>
      </c>
      <c r="J3" s="25"/>
      <c r="K3" s="27"/>
      <c r="L3" s="24" t="s">
        <v>4</v>
      </c>
      <c r="M3" s="25"/>
      <c r="N3" s="25"/>
      <c r="O3" s="26"/>
      <c r="P3" s="24" t="s">
        <v>5</v>
      </c>
      <c r="Q3" s="26"/>
      <c r="R3" s="25" t="s">
        <v>6</v>
      </c>
      <c r="S3" s="25"/>
      <c r="T3" s="27"/>
      <c r="U3" s="24" t="s">
        <v>4</v>
      </c>
      <c r="V3" s="25"/>
      <c r="W3" s="25"/>
      <c r="X3" s="26"/>
      <c r="Y3" s="24" t="s">
        <v>5</v>
      </c>
      <c r="Z3" s="26"/>
      <c r="AA3" s="25" t="s">
        <v>6</v>
      </c>
      <c r="AB3" s="25"/>
      <c r="AC3" s="27"/>
      <c r="AD3" s="36" t="s">
        <v>7</v>
      </c>
      <c r="AE3" s="38"/>
      <c r="AF3" s="70"/>
      <c r="AG3" s="70"/>
      <c r="AH3" s="70"/>
      <c r="AI3" s="70"/>
      <c r="AJ3"/>
    </row>
    <row r="4" spans="1:36" x14ac:dyDescent="0.2">
      <c r="A4" s="6"/>
      <c r="B4" s="4"/>
      <c r="C4" s="7" t="s">
        <v>8</v>
      </c>
      <c r="D4" s="8" t="s">
        <v>9</v>
      </c>
      <c r="E4" s="8" t="s">
        <v>10</v>
      </c>
      <c r="F4" s="9" t="s">
        <v>11</v>
      </c>
      <c r="G4" s="7" t="s">
        <v>8</v>
      </c>
      <c r="H4" s="9" t="s">
        <v>9</v>
      </c>
      <c r="I4" s="8" t="s">
        <v>8</v>
      </c>
      <c r="J4" s="8" t="s">
        <v>9</v>
      </c>
      <c r="K4" s="14" t="s">
        <v>0</v>
      </c>
      <c r="L4" s="7" t="s">
        <v>8</v>
      </c>
      <c r="M4" s="8" t="s">
        <v>9</v>
      </c>
      <c r="N4" s="8" t="s">
        <v>10</v>
      </c>
      <c r="O4" s="9" t="s">
        <v>11</v>
      </c>
      <c r="P4" s="7" t="s">
        <v>8</v>
      </c>
      <c r="Q4" s="9" t="s">
        <v>9</v>
      </c>
      <c r="R4" s="8" t="s">
        <v>8</v>
      </c>
      <c r="S4" s="8" t="s">
        <v>9</v>
      </c>
      <c r="T4" s="14" t="s">
        <v>0</v>
      </c>
      <c r="U4" s="7" t="s">
        <v>8</v>
      </c>
      <c r="V4" s="8" t="s">
        <v>9</v>
      </c>
      <c r="W4" s="8" t="s">
        <v>10</v>
      </c>
      <c r="X4" s="9" t="s">
        <v>11</v>
      </c>
      <c r="Y4" s="7" t="s">
        <v>8</v>
      </c>
      <c r="Z4" s="9" t="s">
        <v>9</v>
      </c>
      <c r="AA4" s="8" t="s">
        <v>8</v>
      </c>
      <c r="AB4" s="8" t="s">
        <v>9</v>
      </c>
      <c r="AC4" s="14" t="s">
        <v>0</v>
      </c>
      <c r="AD4" s="28"/>
      <c r="AE4" s="23"/>
      <c r="AF4" s="23"/>
      <c r="AG4" s="23"/>
      <c r="AH4" s="23"/>
      <c r="AI4" s="23"/>
      <c r="AJ4"/>
    </row>
    <row r="5" spans="1:36" x14ac:dyDescent="0.2">
      <c r="A5" s="5">
        <f>DAY(Kalenteri!A305)</f>
        <v>1</v>
      </c>
      <c r="B5" s="3" t="str">
        <f>IF(Kalenteri!B305=1,"su",IF(Kalenteri!B305=2,"ma",IF(Kalenteri!B305=3,"ti",IF(Kalenteri!B305=4,"ke",IF(Kalenteri!B305=5,"to",IF(Kalenteri!B305=6,"pe",IF(Kalenteri!B305=7,"la",)))))))</f>
        <v>pe</v>
      </c>
      <c r="C5" s="111">
        <f>'N11'!C5+'K11'!C5</f>
        <v>19</v>
      </c>
      <c r="D5" s="112">
        <f>'N11'!D5+'K11'!D5</f>
        <v>7</v>
      </c>
      <c r="E5" s="112">
        <f>'N11'!E5+'K11'!E5</f>
        <v>0</v>
      </c>
      <c r="F5" s="113">
        <f>'N11'!F5+'K11'!F5</f>
        <v>2</v>
      </c>
      <c r="G5" s="111">
        <f>'N11'!G5+'K11'!G5</f>
        <v>3</v>
      </c>
      <c r="H5" s="113">
        <f>'N11'!H5+'K11'!H5</f>
        <v>25</v>
      </c>
      <c r="I5" s="111">
        <f>'N11'!I5+'K11'!I5</f>
        <v>0</v>
      </c>
      <c r="J5" s="113">
        <f>'N11'!J5+'K11'!J5</f>
        <v>0</v>
      </c>
      <c r="K5" s="32">
        <f>'N11'!K5+'K11'!K5</f>
        <v>56</v>
      </c>
      <c r="L5" s="112">
        <f>'N11'!L5+'K11'!L5</f>
        <v>78</v>
      </c>
      <c r="M5" s="112">
        <f>'N11'!M5+'K11'!M5</f>
        <v>10</v>
      </c>
      <c r="N5" s="112">
        <f>'N11'!N5+'K11'!N5</f>
        <v>0</v>
      </c>
      <c r="O5" s="113">
        <f>'N11'!O5+'K11'!O5</f>
        <v>10</v>
      </c>
      <c r="P5" s="112">
        <f>'N11'!P5+'K11'!P5</f>
        <v>0</v>
      </c>
      <c r="Q5" s="113">
        <f>'N11'!Q5+'K11'!Q5</f>
        <v>18</v>
      </c>
      <c r="R5" s="120">
        <f>'N11'!R5+'K11'!R5</f>
        <v>0</v>
      </c>
      <c r="S5" s="120">
        <f>'N11'!S5+'K11'!S5</f>
        <v>0</v>
      </c>
      <c r="T5" s="32">
        <f>'N11'!T5+'K11'!T5</f>
        <v>116</v>
      </c>
      <c r="U5" s="112">
        <f>'N11'!U5+'K11'!U5</f>
        <v>0</v>
      </c>
      <c r="V5" s="112">
        <f>'N11'!V5+'K11'!V5</f>
        <v>0</v>
      </c>
      <c r="W5" s="112">
        <f>'N11'!W5+'K11'!W5</f>
        <v>0</v>
      </c>
      <c r="X5" s="113">
        <f>'N11'!X5+'K11'!X5</f>
        <v>0</v>
      </c>
      <c r="Y5" s="112">
        <f>'N11'!Y5+'K11'!Y5</f>
        <v>0</v>
      </c>
      <c r="Z5" s="113">
        <f>'N11'!Z5+'K11'!Z5</f>
        <v>0</v>
      </c>
      <c r="AA5" s="120">
        <f>'N11'!AA5+'K11'!AA5</f>
        <v>0</v>
      </c>
      <c r="AB5" s="120">
        <f>'N11'!AB5+'K11'!AB5</f>
        <v>0</v>
      </c>
      <c r="AC5" s="32">
        <f>'N11'!AC5+'K11'!AC5</f>
        <v>0</v>
      </c>
      <c r="AD5" s="17">
        <f>'N11'!AD5+'K11'!AD5</f>
        <v>172</v>
      </c>
      <c r="AE5" s="39"/>
      <c r="AF5" s="39"/>
      <c r="AG5" s="39"/>
      <c r="AH5" s="39"/>
      <c r="AI5" s="39"/>
      <c r="AJ5"/>
    </row>
    <row r="6" spans="1:36" x14ac:dyDescent="0.2">
      <c r="A6" s="5">
        <f>DAY(Kalenteri!A306)</f>
        <v>2</v>
      </c>
      <c r="B6" s="3" t="str">
        <f>IF(Kalenteri!B306=1,"su",IF(Kalenteri!B306=2,"ma",IF(Kalenteri!B306=3,"ti",IF(Kalenteri!B306=4,"ke",IF(Kalenteri!B306=5,"to",IF(Kalenteri!B306=6,"pe",IF(Kalenteri!B306=7,"la",)))))))</f>
        <v>la</v>
      </c>
      <c r="C6" s="114">
        <f>'N11'!C6+'K11'!C6</f>
        <v>570</v>
      </c>
      <c r="D6" s="115">
        <f>'N11'!D6+'K11'!D6</f>
        <v>124</v>
      </c>
      <c r="E6" s="115">
        <f>'N11'!E6+'K11'!E6</f>
        <v>6</v>
      </c>
      <c r="F6" s="116">
        <f>'N11'!F6+'K11'!F6</f>
        <v>19</v>
      </c>
      <c r="G6" s="114">
        <f>'N11'!G6+'K11'!G6</f>
        <v>3</v>
      </c>
      <c r="H6" s="116">
        <f>'N11'!H6+'K11'!H6</f>
        <v>131</v>
      </c>
      <c r="I6" s="114">
        <f>'N11'!I6+'K11'!I6</f>
        <v>2</v>
      </c>
      <c r="J6" s="116">
        <f>'N11'!J6+'K11'!J6</f>
        <v>3</v>
      </c>
      <c r="K6" s="33">
        <f>'N11'!K6+'K11'!K6</f>
        <v>858</v>
      </c>
      <c r="L6" s="115">
        <f>'N11'!L6+'K11'!L6</f>
        <v>0</v>
      </c>
      <c r="M6" s="115">
        <f>'N11'!M6+'K11'!M6</f>
        <v>0</v>
      </c>
      <c r="N6" s="115">
        <f>'N11'!N6+'K11'!N6</f>
        <v>0</v>
      </c>
      <c r="O6" s="116">
        <f>'N11'!O6+'K11'!O6</f>
        <v>0</v>
      </c>
      <c r="P6" s="115">
        <f>'N11'!P6+'K11'!P6</f>
        <v>0</v>
      </c>
      <c r="Q6" s="116">
        <f>'N11'!Q6+'K11'!Q6</f>
        <v>0</v>
      </c>
      <c r="R6" s="121">
        <f>'N11'!R6+'K11'!R6</f>
        <v>0</v>
      </c>
      <c r="S6" s="121">
        <f>'N11'!S6+'K11'!S6</f>
        <v>0</v>
      </c>
      <c r="T6" s="33">
        <f>'N11'!T6+'K11'!T6</f>
        <v>0</v>
      </c>
      <c r="U6" s="115">
        <f>'N11'!U6+'K11'!U6</f>
        <v>0</v>
      </c>
      <c r="V6" s="115">
        <f>'N11'!V6+'K11'!V6</f>
        <v>0</v>
      </c>
      <c r="W6" s="115">
        <f>'N11'!W6+'K11'!W6</f>
        <v>0</v>
      </c>
      <c r="X6" s="116">
        <f>'N11'!X6+'K11'!X6</f>
        <v>0</v>
      </c>
      <c r="Y6" s="115">
        <f>'N11'!Y6+'K11'!Y6</f>
        <v>0</v>
      </c>
      <c r="Z6" s="116">
        <f>'N11'!Z6+'K11'!Z6</f>
        <v>0</v>
      </c>
      <c r="AA6" s="121">
        <f>'N11'!AA6+'K11'!AA6</f>
        <v>0</v>
      </c>
      <c r="AB6" s="121">
        <f>'N11'!AB6+'K11'!AB6</f>
        <v>0</v>
      </c>
      <c r="AC6" s="33">
        <f>'N11'!AC6+'K11'!AC6</f>
        <v>0</v>
      </c>
      <c r="AD6" s="12">
        <f>'N11'!AD6+'K11'!AD6</f>
        <v>858</v>
      </c>
      <c r="AE6" s="39"/>
      <c r="AF6" s="39"/>
      <c r="AG6" s="39"/>
      <c r="AH6" s="39"/>
      <c r="AI6" s="39"/>
      <c r="AJ6"/>
    </row>
    <row r="7" spans="1:36" x14ac:dyDescent="0.2">
      <c r="A7" s="5">
        <f>DAY(Kalenteri!A307)</f>
        <v>3</v>
      </c>
      <c r="B7" s="3" t="str">
        <f>IF(Kalenteri!B307=1,"su",IF(Kalenteri!B307=2,"ma",IF(Kalenteri!B307=3,"ti",IF(Kalenteri!B307=4,"ke",IF(Kalenteri!B307=5,"to",IF(Kalenteri!B307=6,"pe",IF(Kalenteri!B307=7,"la",)))))))</f>
        <v>su</v>
      </c>
      <c r="C7" s="114">
        <f>'N11'!C7+'K11'!C7</f>
        <v>444</v>
      </c>
      <c r="D7" s="115">
        <f>'N11'!D7+'K11'!D7</f>
        <v>115</v>
      </c>
      <c r="E7" s="115">
        <f>'N11'!E7+'K11'!E7</f>
        <v>3</v>
      </c>
      <c r="F7" s="116">
        <f>'N11'!F7+'K11'!F7</f>
        <v>15</v>
      </c>
      <c r="G7" s="114">
        <f>'N11'!G7+'K11'!G7</f>
        <v>8</v>
      </c>
      <c r="H7" s="116">
        <f>'N11'!H7+'K11'!H7</f>
        <v>99</v>
      </c>
      <c r="I7" s="114">
        <f>'N11'!I7+'K11'!I7</f>
        <v>6</v>
      </c>
      <c r="J7" s="116">
        <f>'N11'!J7+'K11'!J7</f>
        <v>9</v>
      </c>
      <c r="K7" s="33">
        <f>'N11'!K7+'K11'!K7</f>
        <v>699</v>
      </c>
      <c r="L7" s="115">
        <f>'N11'!L7+'K11'!L7</f>
        <v>0</v>
      </c>
      <c r="M7" s="115">
        <f>'N11'!M7+'K11'!M7</f>
        <v>0</v>
      </c>
      <c r="N7" s="115">
        <f>'N11'!N7+'K11'!N7</f>
        <v>0</v>
      </c>
      <c r="O7" s="116">
        <f>'N11'!O7+'K11'!O7</f>
        <v>0</v>
      </c>
      <c r="P7" s="115">
        <f>'N11'!P7+'K11'!P7</f>
        <v>0</v>
      </c>
      <c r="Q7" s="116">
        <f>'N11'!Q7+'K11'!Q7</f>
        <v>0</v>
      </c>
      <c r="R7" s="121">
        <f>'N11'!R7+'K11'!R7</f>
        <v>0</v>
      </c>
      <c r="S7" s="121">
        <f>'N11'!S7+'K11'!S7</f>
        <v>0</v>
      </c>
      <c r="T7" s="33">
        <f>'N11'!T7+'K11'!T7</f>
        <v>0</v>
      </c>
      <c r="U7" s="115">
        <f>'N11'!U7+'K11'!U7</f>
        <v>0</v>
      </c>
      <c r="V7" s="115">
        <f>'N11'!V7+'K11'!V7</f>
        <v>0</v>
      </c>
      <c r="W7" s="115">
        <f>'N11'!W7+'K11'!W7</f>
        <v>0</v>
      </c>
      <c r="X7" s="116">
        <f>'N11'!X7+'K11'!X7</f>
        <v>0</v>
      </c>
      <c r="Y7" s="115">
        <f>'N11'!Y7+'K11'!Y7</f>
        <v>0</v>
      </c>
      <c r="Z7" s="116">
        <f>'N11'!Z7+'K11'!Z7</f>
        <v>0</v>
      </c>
      <c r="AA7" s="121">
        <f>'N11'!AA7+'K11'!AA7</f>
        <v>0</v>
      </c>
      <c r="AB7" s="121">
        <f>'N11'!AB7+'K11'!AB7</f>
        <v>0</v>
      </c>
      <c r="AC7" s="33">
        <f>'N11'!AC7+'K11'!AC7</f>
        <v>0</v>
      </c>
      <c r="AD7" s="12">
        <f>'N11'!AD7+'K11'!AD7</f>
        <v>699</v>
      </c>
      <c r="AE7" s="39"/>
      <c r="AF7" s="39"/>
      <c r="AG7" s="39"/>
      <c r="AH7" s="39"/>
      <c r="AI7" s="39"/>
      <c r="AJ7"/>
    </row>
    <row r="8" spans="1:36" x14ac:dyDescent="0.2">
      <c r="A8" s="5">
        <f>DAY(Kalenteri!A308)</f>
        <v>4</v>
      </c>
      <c r="B8" s="3" t="str">
        <f>IF(Kalenteri!B308=1,"su",IF(Kalenteri!B308=2,"ma",IF(Kalenteri!B308=3,"ti",IF(Kalenteri!B308=4,"ke",IF(Kalenteri!B308=5,"to",IF(Kalenteri!B308=6,"pe",IF(Kalenteri!B308=7,"la",)))))))</f>
        <v>ma</v>
      </c>
      <c r="C8" s="114">
        <f>'N11'!C8+'K11'!C8</f>
        <v>39</v>
      </c>
      <c r="D8" s="115">
        <f>'N11'!D8+'K11'!D8</f>
        <v>29</v>
      </c>
      <c r="E8" s="115">
        <f>'N11'!E8+'K11'!E8</f>
        <v>0</v>
      </c>
      <c r="F8" s="116">
        <f>'N11'!F8+'K11'!F8</f>
        <v>2</v>
      </c>
      <c r="G8" s="114">
        <f>'N11'!G8+'K11'!G8</f>
        <v>2</v>
      </c>
      <c r="H8" s="116">
        <f>'N11'!H8+'K11'!H8</f>
        <v>18</v>
      </c>
      <c r="I8" s="114">
        <f>'N11'!I8+'K11'!I8</f>
        <v>0</v>
      </c>
      <c r="J8" s="116">
        <f>'N11'!J8+'K11'!J8</f>
        <v>0</v>
      </c>
      <c r="K8" s="33">
        <f>'N11'!K8+'K11'!K8</f>
        <v>90</v>
      </c>
      <c r="L8" s="115">
        <f>'N11'!L8+'K11'!L8</f>
        <v>0</v>
      </c>
      <c r="M8" s="115">
        <f>'N11'!M8+'K11'!M8</f>
        <v>0</v>
      </c>
      <c r="N8" s="115">
        <f>'N11'!N8+'K11'!N8</f>
        <v>0</v>
      </c>
      <c r="O8" s="116">
        <f>'N11'!O8+'K11'!O8</f>
        <v>0</v>
      </c>
      <c r="P8" s="115">
        <f>'N11'!P8+'K11'!P8</f>
        <v>0</v>
      </c>
      <c r="Q8" s="116">
        <f>'N11'!Q8+'K11'!Q8</f>
        <v>0</v>
      </c>
      <c r="R8" s="121">
        <f>'N11'!R8+'K11'!R8</f>
        <v>0</v>
      </c>
      <c r="S8" s="121">
        <f>'N11'!S8+'K11'!S8</f>
        <v>0</v>
      </c>
      <c r="T8" s="33">
        <f>'N11'!T8+'K11'!T8</f>
        <v>0</v>
      </c>
      <c r="U8" s="115">
        <f>'N11'!U8+'K11'!U8</f>
        <v>0</v>
      </c>
      <c r="V8" s="115">
        <f>'N11'!V8+'K11'!V8</f>
        <v>0</v>
      </c>
      <c r="W8" s="115">
        <f>'N11'!W8+'K11'!W8</f>
        <v>0</v>
      </c>
      <c r="X8" s="116">
        <f>'N11'!X8+'K11'!X8</f>
        <v>0</v>
      </c>
      <c r="Y8" s="115">
        <f>'N11'!Y8+'K11'!Y8</f>
        <v>0</v>
      </c>
      <c r="Z8" s="116">
        <f>'N11'!Z8+'K11'!Z8</f>
        <v>0</v>
      </c>
      <c r="AA8" s="121">
        <f>'N11'!AA8+'K11'!AA8</f>
        <v>0</v>
      </c>
      <c r="AB8" s="121">
        <f>'N11'!AB8+'K11'!AB8</f>
        <v>0</v>
      </c>
      <c r="AC8" s="33">
        <f>'N11'!AC8+'K11'!AC8</f>
        <v>0</v>
      </c>
      <c r="AD8" s="12">
        <f>'N11'!AD8+'K11'!AD8</f>
        <v>90</v>
      </c>
      <c r="AE8" s="39"/>
      <c r="AF8" s="39"/>
      <c r="AG8" s="39"/>
      <c r="AH8" s="39"/>
      <c r="AI8" s="39"/>
      <c r="AJ8"/>
    </row>
    <row r="9" spans="1:36" x14ac:dyDescent="0.2">
      <c r="A9" s="5">
        <f>DAY(Kalenteri!A309)</f>
        <v>5</v>
      </c>
      <c r="B9" s="3" t="str">
        <f>IF(Kalenteri!B309=1,"su",IF(Kalenteri!B309=2,"ma",IF(Kalenteri!B309=3,"ti",IF(Kalenteri!B309=4,"ke",IF(Kalenteri!B309=5,"to",IF(Kalenteri!B309=6,"pe",IF(Kalenteri!B309=7,"la",)))))))</f>
        <v>ti</v>
      </c>
      <c r="C9" s="114">
        <f>'N11'!C9+'K11'!C9</f>
        <v>28</v>
      </c>
      <c r="D9" s="115">
        <f>'N11'!D9+'K11'!D9</f>
        <v>10</v>
      </c>
      <c r="E9" s="115">
        <f>'N11'!E9+'K11'!E9</f>
        <v>4</v>
      </c>
      <c r="F9" s="116">
        <f>'N11'!F9+'K11'!F9</f>
        <v>0</v>
      </c>
      <c r="G9" s="114">
        <f>'N11'!G9+'K11'!G9</f>
        <v>4</v>
      </c>
      <c r="H9" s="116">
        <f>'N11'!H9+'K11'!H9</f>
        <v>9</v>
      </c>
      <c r="I9" s="114">
        <f>'N11'!I9+'K11'!I9</f>
        <v>2</v>
      </c>
      <c r="J9" s="116">
        <f>'N11'!J9+'K11'!J9</f>
        <v>3</v>
      </c>
      <c r="K9" s="33">
        <f>'N11'!K9+'K11'!K9</f>
        <v>60</v>
      </c>
      <c r="L9" s="115">
        <f>'N11'!L9+'K11'!L9</f>
        <v>0</v>
      </c>
      <c r="M9" s="115">
        <f>'N11'!M9+'K11'!M9</f>
        <v>0</v>
      </c>
      <c r="N9" s="115">
        <f>'N11'!N9+'K11'!N9</f>
        <v>0</v>
      </c>
      <c r="O9" s="116">
        <f>'N11'!O9+'K11'!O9</f>
        <v>0</v>
      </c>
      <c r="P9" s="115">
        <f>'N11'!P9+'K11'!P9</f>
        <v>0</v>
      </c>
      <c r="Q9" s="116">
        <f>'N11'!Q9+'K11'!Q9</f>
        <v>0</v>
      </c>
      <c r="R9" s="121">
        <f>'N11'!R9+'K11'!R9</f>
        <v>0</v>
      </c>
      <c r="S9" s="121">
        <f>'N11'!S9+'K11'!S9</f>
        <v>0</v>
      </c>
      <c r="T9" s="33">
        <f>'N11'!T9+'K11'!T9</f>
        <v>0</v>
      </c>
      <c r="U9" s="115">
        <f>'N11'!U9+'K11'!U9</f>
        <v>0</v>
      </c>
      <c r="V9" s="115">
        <f>'N11'!V9+'K11'!V9</f>
        <v>0</v>
      </c>
      <c r="W9" s="115">
        <f>'N11'!W9+'K11'!W9</f>
        <v>0</v>
      </c>
      <c r="X9" s="116">
        <f>'N11'!X9+'K11'!X9</f>
        <v>0</v>
      </c>
      <c r="Y9" s="115">
        <f>'N11'!Y9+'K11'!Y9</f>
        <v>0</v>
      </c>
      <c r="Z9" s="116">
        <f>'N11'!Z9+'K11'!Z9</f>
        <v>0</v>
      </c>
      <c r="AA9" s="121">
        <f>'N11'!AA9+'K11'!AA9</f>
        <v>0</v>
      </c>
      <c r="AB9" s="121">
        <f>'N11'!AB9+'K11'!AB9</f>
        <v>0</v>
      </c>
      <c r="AC9" s="33">
        <f>'N11'!AC9+'K11'!AC9</f>
        <v>0</v>
      </c>
      <c r="AD9" s="12">
        <f>'N11'!AD9+'K11'!AD9</f>
        <v>60</v>
      </c>
      <c r="AE9" s="39"/>
      <c r="AF9" s="39"/>
      <c r="AG9" s="39"/>
      <c r="AH9" s="39"/>
      <c r="AI9" s="39"/>
      <c r="AJ9"/>
    </row>
    <row r="10" spans="1:36" x14ac:dyDescent="0.2">
      <c r="A10" s="5">
        <f>DAY(Kalenteri!A310)</f>
        <v>6</v>
      </c>
      <c r="B10" s="3" t="str">
        <f>IF(Kalenteri!B310=1,"su",IF(Kalenteri!B310=2,"ma",IF(Kalenteri!B310=3,"ti",IF(Kalenteri!B310=4,"ke",IF(Kalenteri!B310=5,"to",IF(Kalenteri!B310=6,"pe",IF(Kalenteri!B310=7,"la",)))))))</f>
        <v>ke</v>
      </c>
      <c r="C10" s="114">
        <f>'N11'!C10+'K11'!C10</f>
        <v>163</v>
      </c>
      <c r="D10" s="115">
        <f>'N11'!D10+'K11'!D10</f>
        <v>67</v>
      </c>
      <c r="E10" s="115">
        <f>'N11'!E10+'K11'!E10</f>
        <v>2</v>
      </c>
      <c r="F10" s="116">
        <f>'N11'!F10+'K11'!F10</f>
        <v>8</v>
      </c>
      <c r="G10" s="114">
        <f>'N11'!G10+'K11'!G10</f>
        <v>2</v>
      </c>
      <c r="H10" s="116">
        <f>'N11'!H10+'K11'!H10</f>
        <v>50</v>
      </c>
      <c r="I10" s="114">
        <f>'N11'!I10+'K11'!I10</f>
        <v>2</v>
      </c>
      <c r="J10" s="116">
        <f>'N11'!J10+'K11'!J10</f>
        <v>3</v>
      </c>
      <c r="K10" s="33">
        <f>'N11'!K10+'K11'!K10</f>
        <v>297</v>
      </c>
      <c r="L10" s="115">
        <f>'N11'!L10+'K11'!L10</f>
        <v>0</v>
      </c>
      <c r="M10" s="115">
        <f>'N11'!M10+'K11'!M10</f>
        <v>0</v>
      </c>
      <c r="N10" s="115">
        <f>'N11'!N10+'K11'!N10</f>
        <v>0</v>
      </c>
      <c r="O10" s="116">
        <f>'N11'!O10+'K11'!O10</f>
        <v>0</v>
      </c>
      <c r="P10" s="115">
        <f>'N11'!P10+'K11'!P10</f>
        <v>0</v>
      </c>
      <c r="Q10" s="116">
        <f>'N11'!Q10+'K11'!Q10</f>
        <v>0</v>
      </c>
      <c r="R10" s="121">
        <f>'N11'!R10+'K11'!R10</f>
        <v>0</v>
      </c>
      <c r="S10" s="121">
        <f>'N11'!S10+'K11'!S10</f>
        <v>0</v>
      </c>
      <c r="T10" s="33">
        <f>'N11'!T10+'K11'!T10</f>
        <v>0</v>
      </c>
      <c r="U10" s="115">
        <f>'N11'!U10+'K11'!U10</f>
        <v>0</v>
      </c>
      <c r="V10" s="115">
        <f>'N11'!V10+'K11'!V10</f>
        <v>0</v>
      </c>
      <c r="W10" s="115">
        <f>'N11'!W10+'K11'!W10</f>
        <v>0</v>
      </c>
      <c r="X10" s="116">
        <f>'N11'!X10+'K11'!X10</f>
        <v>0</v>
      </c>
      <c r="Y10" s="115">
        <f>'N11'!Y10+'K11'!Y10</f>
        <v>0</v>
      </c>
      <c r="Z10" s="116">
        <f>'N11'!Z10+'K11'!Z10</f>
        <v>0</v>
      </c>
      <c r="AA10" s="121">
        <f>'N11'!AA10+'K11'!AA10</f>
        <v>0</v>
      </c>
      <c r="AB10" s="121">
        <f>'N11'!AB10+'K11'!AB10</f>
        <v>0</v>
      </c>
      <c r="AC10" s="33">
        <f>'N11'!AC10+'K11'!AC10</f>
        <v>0</v>
      </c>
      <c r="AD10" s="12">
        <f>'N11'!AD10+'K11'!AD10</f>
        <v>297</v>
      </c>
      <c r="AE10" s="39"/>
      <c r="AF10" s="39"/>
      <c r="AG10" s="39"/>
      <c r="AH10" s="39"/>
      <c r="AI10" s="39"/>
      <c r="AJ10"/>
    </row>
    <row r="11" spans="1:36" x14ac:dyDescent="0.2">
      <c r="A11" s="5">
        <f>DAY(Kalenteri!A311)</f>
        <v>7</v>
      </c>
      <c r="B11" s="3" t="str">
        <f>IF(Kalenteri!B311=1,"su",IF(Kalenteri!B311=2,"ma",IF(Kalenteri!B311=3,"ti",IF(Kalenteri!B311=4,"ke",IF(Kalenteri!B311=5,"to",IF(Kalenteri!B311=6,"pe",IF(Kalenteri!B311=7,"la",)))))))</f>
        <v>to</v>
      </c>
      <c r="C11" s="114">
        <f>'N11'!C11+'K11'!C11</f>
        <v>92</v>
      </c>
      <c r="D11" s="115">
        <f>'N11'!D11+'K11'!D11</f>
        <v>39</v>
      </c>
      <c r="E11" s="115">
        <f>'N11'!E11+'K11'!E11</f>
        <v>0</v>
      </c>
      <c r="F11" s="116">
        <f>'N11'!F11+'K11'!F11</f>
        <v>3</v>
      </c>
      <c r="G11" s="114">
        <f>'N11'!G11+'K11'!G11</f>
        <v>3</v>
      </c>
      <c r="H11" s="116">
        <f>'N11'!H11+'K11'!H11</f>
        <v>26</v>
      </c>
      <c r="I11" s="114">
        <f>'N11'!I11+'K11'!I11</f>
        <v>4</v>
      </c>
      <c r="J11" s="116">
        <f>'N11'!J11+'K11'!J11</f>
        <v>6</v>
      </c>
      <c r="K11" s="33">
        <f>'N11'!K11+'K11'!K11</f>
        <v>173</v>
      </c>
      <c r="L11" s="115">
        <f>'N11'!L11+'K11'!L11</f>
        <v>0</v>
      </c>
      <c r="M11" s="115">
        <f>'N11'!M11+'K11'!M11</f>
        <v>0</v>
      </c>
      <c r="N11" s="115">
        <f>'N11'!N11+'K11'!N11</f>
        <v>0</v>
      </c>
      <c r="O11" s="116">
        <f>'N11'!O11+'K11'!O11</f>
        <v>0</v>
      </c>
      <c r="P11" s="115">
        <f>'N11'!P11+'K11'!P11</f>
        <v>0</v>
      </c>
      <c r="Q11" s="116">
        <f>'N11'!Q11+'K11'!Q11</f>
        <v>0</v>
      </c>
      <c r="R11" s="121">
        <f>'N11'!R11+'K11'!R11</f>
        <v>0</v>
      </c>
      <c r="S11" s="121">
        <f>'N11'!S11+'K11'!S11</f>
        <v>0</v>
      </c>
      <c r="T11" s="33">
        <f>'N11'!T11+'K11'!T11</f>
        <v>0</v>
      </c>
      <c r="U11" s="115">
        <f>'N11'!U11+'K11'!U11</f>
        <v>0</v>
      </c>
      <c r="V11" s="115">
        <f>'N11'!V11+'K11'!V11</f>
        <v>0</v>
      </c>
      <c r="W11" s="115">
        <f>'N11'!W11+'K11'!W11</f>
        <v>0</v>
      </c>
      <c r="X11" s="116">
        <f>'N11'!X11+'K11'!X11</f>
        <v>0</v>
      </c>
      <c r="Y11" s="115">
        <f>'N11'!Y11+'K11'!Y11</f>
        <v>0</v>
      </c>
      <c r="Z11" s="116">
        <f>'N11'!Z11+'K11'!Z11</f>
        <v>0</v>
      </c>
      <c r="AA11" s="121">
        <f>'N11'!AA11+'K11'!AA11</f>
        <v>0</v>
      </c>
      <c r="AB11" s="121">
        <f>'N11'!AB11+'K11'!AB11</f>
        <v>0</v>
      </c>
      <c r="AC11" s="33">
        <f>'N11'!AC11+'K11'!AC11</f>
        <v>0</v>
      </c>
      <c r="AD11" s="12">
        <f>'N11'!AD11+'K11'!AD11</f>
        <v>173</v>
      </c>
      <c r="AE11" s="39"/>
      <c r="AF11" s="39"/>
      <c r="AG11" s="39"/>
      <c r="AH11" s="39"/>
      <c r="AI11" s="39"/>
      <c r="AJ11"/>
    </row>
    <row r="12" spans="1:36" x14ac:dyDescent="0.2">
      <c r="A12" s="5">
        <f>DAY(Kalenteri!A312)</f>
        <v>8</v>
      </c>
      <c r="B12" s="3" t="str">
        <f>IF(Kalenteri!B312=1,"su",IF(Kalenteri!B312=2,"ma",IF(Kalenteri!B312=3,"ti",IF(Kalenteri!B312=4,"ke",IF(Kalenteri!B312=5,"to",IF(Kalenteri!B312=6,"pe",IF(Kalenteri!B312=7,"la",)))))))</f>
        <v>pe</v>
      </c>
      <c r="C12" s="114">
        <f>'N11'!C12+'K11'!C12</f>
        <v>115</v>
      </c>
      <c r="D12" s="115">
        <f>'N11'!D12+'K11'!D12</f>
        <v>57</v>
      </c>
      <c r="E12" s="115">
        <f>'N11'!E12+'K11'!E12</f>
        <v>0</v>
      </c>
      <c r="F12" s="116">
        <f>'N11'!F12+'K11'!F12</f>
        <v>10</v>
      </c>
      <c r="G12" s="114">
        <f>'N11'!G12+'K11'!G12</f>
        <v>0</v>
      </c>
      <c r="H12" s="116">
        <f>'N11'!H12+'K11'!H12</f>
        <v>26</v>
      </c>
      <c r="I12" s="114">
        <f>'N11'!I12+'K11'!I12</f>
        <v>4</v>
      </c>
      <c r="J12" s="116">
        <f>'N11'!J12+'K11'!J12</f>
        <v>6</v>
      </c>
      <c r="K12" s="33">
        <f>'N11'!K12+'K11'!K12</f>
        <v>218</v>
      </c>
      <c r="L12" s="115">
        <f>'N11'!L12+'K11'!L12</f>
        <v>0</v>
      </c>
      <c r="M12" s="115">
        <f>'N11'!M12+'K11'!M12</f>
        <v>0</v>
      </c>
      <c r="N12" s="115">
        <f>'N11'!N12+'K11'!N12</f>
        <v>0</v>
      </c>
      <c r="O12" s="116">
        <f>'N11'!O12+'K11'!O12</f>
        <v>0</v>
      </c>
      <c r="P12" s="115">
        <f>'N11'!P12+'K11'!P12</f>
        <v>0</v>
      </c>
      <c r="Q12" s="116">
        <f>'N11'!Q12+'K11'!Q12</f>
        <v>0</v>
      </c>
      <c r="R12" s="121">
        <f>'N11'!R12+'K11'!R12</f>
        <v>0</v>
      </c>
      <c r="S12" s="121">
        <f>'N11'!S12+'K11'!S12</f>
        <v>0</v>
      </c>
      <c r="T12" s="33">
        <f>'N11'!T12+'K11'!T12</f>
        <v>0</v>
      </c>
      <c r="U12" s="115">
        <f>'N11'!U12+'K11'!U12</f>
        <v>0</v>
      </c>
      <c r="V12" s="115">
        <f>'N11'!V12+'K11'!V12</f>
        <v>0</v>
      </c>
      <c r="W12" s="115">
        <f>'N11'!W12+'K11'!W12</f>
        <v>0</v>
      </c>
      <c r="X12" s="116">
        <f>'N11'!X12+'K11'!X12</f>
        <v>0</v>
      </c>
      <c r="Y12" s="115">
        <f>'N11'!Y12+'K11'!Y12</f>
        <v>0</v>
      </c>
      <c r="Z12" s="116">
        <f>'N11'!Z12+'K11'!Z12</f>
        <v>0</v>
      </c>
      <c r="AA12" s="121">
        <f>'N11'!AA12+'K11'!AA12</f>
        <v>0</v>
      </c>
      <c r="AB12" s="121">
        <f>'N11'!AB12+'K11'!AB12</f>
        <v>0</v>
      </c>
      <c r="AC12" s="33">
        <f>'N11'!AC12+'K11'!AC12</f>
        <v>0</v>
      </c>
      <c r="AD12" s="12">
        <f>'N11'!AD12+'K11'!AD12</f>
        <v>218</v>
      </c>
      <c r="AE12" s="39"/>
      <c r="AF12" s="39"/>
      <c r="AG12" s="39"/>
      <c r="AH12" s="39"/>
      <c r="AI12" s="39"/>
      <c r="AJ12"/>
    </row>
    <row r="13" spans="1:36" x14ac:dyDescent="0.2">
      <c r="A13" s="5">
        <f>DAY(Kalenteri!A313)</f>
        <v>9</v>
      </c>
      <c r="B13" s="3" t="str">
        <f>IF(Kalenteri!B313=1,"su",IF(Kalenteri!B313=2,"ma",IF(Kalenteri!B313=3,"ti",IF(Kalenteri!B313=4,"ke",IF(Kalenteri!B313=5,"to",IF(Kalenteri!B313=6,"pe",IF(Kalenteri!B313=7,"la",)))))))</f>
        <v>la</v>
      </c>
      <c r="C13" s="114">
        <f>'N11'!C13+'K11'!C13</f>
        <v>242</v>
      </c>
      <c r="D13" s="115">
        <f>'N11'!D13+'K11'!D13</f>
        <v>62</v>
      </c>
      <c r="E13" s="115">
        <f>'N11'!E13+'K11'!E13</f>
        <v>2</v>
      </c>
      <c r="F13" s="116">
        <f>'N11'!F13+'K11'!F13</f>
        <v>21</v>
      </c>
      <c r="G13" s="114">
        <f>'N11'!G13+'K11'!G13</f>
        <v>1</v>
      </c>
      <c r="H13" s="116">
        <f>'N11'!H13+'K11'!H13</f>
        <v>77</v>
      </c>
      <c r="I13" s="114">
        <f>'N11'!I13+'K11'!I13</f>
        <v>0</v>
      </c>
      <c r="J13" s="116">
        <f>'N11'!J13+'K11'!J13</f>
        <v>0</v>
      </c>
      <c r="K13" s="33">
        <f>'N11'!K13+'K11'!K13</f>
        <v>405</v>
      </c>
      <c r="L13" s="115">
        <f>'N11'!L13+'K11'!L13</f>
        <v>0</v>
      </c>
      <c r="M13" s="115">
        <f>'N11'!M13+'K11'!M13</f>
        <v>0</v>
      </c>
      <c r="N13" s="115">
        <f>'N11'!N13+'K11'!N13</f>
        <v>0</v>
      </c>
      <c r="O13" s="116">
        <f>'N11'!O13+'K11'!O13</f>
        <v>0</v>
      </c>
      <c r="P13" s="115">
        <f>'N11'!P13+'K11'!P13</f>
        <v>0</v>
      </c>
      <c r="Q13" s="116">
        <f>'N11'!Q13+'K11'!Q13</f>
        <v>0</v>
      </c>
      <c r="R13" s="121">
        <f>'N11'!R13+'K11'!R13</f>
        <v>0</v>
      </c>
      <c r="S13" s="121">
        <f>'N11'!S13+'K11'!S13</f>
        <v>0</v>
      </c>
      <c r="T13" s="33">
        <f>'N11'!T13+'K11'!T13</f>
        <v>0</v>
      </c>
      <c r="U13" s="115">
        <f>'N11'!U13+'K11'!U13</f>
        <v>0</v>
      </c>
      <c r="V13" s="115">
        <f>'N11'!V13+'K11'!V13</f>
        <v>0</v>
      </c>
      <c r="W13" s="115">
        <f>'N11'!W13+'K11'!W13</f>
        <v>0</v>
      </c>
      <c r="X13" s="116">
        <f>'N11'!X13+'K11'!X13</f>
        <v>0</v>
      </c>
      <c r="Y13" s="115">
        <f>'N11'!Y13+'K11'!Y13</f>
        <v>0</v>
      </c>
      <c r="Z13" s="116">
        <f>'N11'!Z13+'K11'!Z13</f>
        <v>0</v>
      </c>
      <c r="AA13" s="121">
        <f>'N11'!AA13+'K11'!AA13</f>
        <v>0</v>
      </c>
      <c r="AB13" s="121">
        <f>'N11'!AB13+'K11'!AB13</f>
        <v>0</v>
      </c>
      <c r="AC13" s="33">
        <f>'N11'!AC13+'K11'!AC13</f>
        <v>0</v>
      </c>
      <c r="AD13" s="12">
        <f>'N11'!AD13+'K11'!AD13</f>
        <v>405</v>
      </c>
      <c r="AE13" s="39"/>
      <c r="AF13" s="39"/>
      <c r="AG13" s="39"/>
      <c r="AH13" s="39"/>
      <c r="AI13" s="39"/>
      <c r="AJ13"/>
    </row>
    <row r="14" spans="1:36" x14ac:dyDescent="0.2">
      <c r="A14" s="5">
        <f>DAY(Kalenteri!A314)</f>
        <v>10</v>
      </c>
      <c r="B14" s="3" t="str">
        <f>IF(Kalenteri!B314=1,"su",IF(Kalenteri!B314=2,"ma",IF(Kalenteri!B314=3,"ti",IF(Kalenteri!B314=4,"ke",IF(Kalenteri!B314=5,"to",IF(Kalenteri!B314=6,"pe",IF(Kalenteri!B314=7,"la",)))))))</f>
        <v>su</v>
      </c>
      <c r="C14" s="114">
        <f>'N11'!C14+'K11'!C14</f>
        <v>143</v>
      </c>
      <c r="D14" s="115">
        <f>'N11'!D14+'K11'!D14</f>
        <v>27</v>
      </c>
      <c r="E14" s="115">
        <f>'N11'!E14+'K11'!E14</f>
        <v>0</v>
      </c>
      <c r="F14" s="116">
        <f>'N11'!F14+'K11'!F14</f>
        <v>13</v>
      </c>
      <c r="G14" s="114">
        <f>'N11'!G14+'K11'!G14</f>
        <v>2</v>
      </c>
      <c r="H14" s="116">
        <f>'N11'!H14+'K11'!H14</f>
        <v>28</v>
      </c>
      <c r="I14" s="114">
        <f>'N11'!I14+'K11'!I14</f>
        <v>0</v>
      </c>
      <c r="J14" s="116">
        <f>'N11'!J14+'K11'!J14</f>
        <v>0</v>
      </c>
      <c r="K14" s="33">
        <f>'N11'!K14+'K11'!K14</f>
        <v>213</v>
      </c>
      <c r="L14" s="115">
        <f>'N11'!L14+'K11'!L14</f>
        <v>0</v>
      </c>
      <c r="M14" s="115">
        <f>'N11'!M14+'K11'!M14</f>
        <v>0</v>
      </c>
      <c r="N14" s="115">
        <f>'N11'!N14+'K11'!N14</f>
        <v>0</v>
      </c>
      <c r="O14" s="116">
        <f>'N11'!O14+'K11'!O14</f>
        <v>0</v>
      </c>
      <c r="P14" s="115">
        <f>'N11'!P14+'K11'!P14</f>
        <v>0</v>
      </c>
      <c r="Q14" s="116">
        <f>'N11'!Q14+'K11'!Q14</f>
        <v>0</v>
      </c>
      <c r="R14" s="121">
        <f>'N11'!R14+'K11'!R14</f>
        <v>0</v>
      </c>
      <c r="S14" s="121">
        <f>'N11'!S14+'K11'!S14</f>
        <v>0</v>
      </c>
      <c r="T14" s="33">
        <f>'N11'!T14+'K11'!T14</f>
        <v>0</v>
      </c>
      <c r="U14" s="115">
        <f>'N11'!U14+'K11'!U14</f>
        <v>0</v>
      </c>
      <c r="V14" s="115">
        <f>'N11'!V14+'K11'!V14</f>
        <v>0</v>
      </c>
      <c r="W14" s="115">
        <f>'N11'!W14+'K11'!W14</f>
        <v>0</v>
      </c>
      <c r="X14" s="116">
        <f>'N11'!X14+'K11'!X14</f>
        <v>0</v>
      </c>
      <c r="Y14" s="115">
        <f>'N11'!Y14+'K11'!Y14</f>
        <v>0</v>
      </c>
      <c r="Z14" s="116">
        <f>'N11'!Z14+'K11'!Z14</f>
        <v>0</v>
      </c>
      <c r="AA14" s="121">
        <f>'N11'!AA14+'K11'!AA14</f>
        <v>0</v>
      </c>
      <c r="AB14" s="121">
        <f>'N11'!AB14+'K11'!AB14</f>
        <v>0</v>
      </c>
      <c r="AC14" s="33">
        <f>'N11'!AC14+'K11'!AC14</f>
        <v>0</v>
      </c>
      <c r="AD14" s="12">
        <f>'N11'!AD14+'K11'!AD14</f>
        <v>213</v>
      </c>
      <c r="AE14" s="39"/>
      <c r="AF14" s="39"/>
      <c r="AG14" s="39"/>
      <c r="AH14" s="39"/>
      <c r="AI14" s="39"/>
      <c r="AJ14"/>
    </row>
    <row r="15" spans="1:36" x14ac:dyDescent="0.2">
      <c r="A15" s="5">
        <f>DAY(Kalenteri!A315)</f>
        <v>11</v>
      </c>
      <c r="B15" s="3" t="str">
        <f>IF(Kalenteri!B315=1,"su",IF(Kalenteri!B315=2,"ma",IF(Kalenteri!B315=3,"ti",IF(Kalenteri!B315=4,"ke",IF(Kalenteri!B315=5,"to",IF(Kalenteri!B315=6,"pe",IF(Kalenteri!B315=7,"la",)))))))</f>
        <v>ma</v>
      </c>
      <c r="C15" s="114">
        <f>'N11'!C15+'K11'!C15</f>
        <v>78</v>
      </c>
      <c r="D15" s="115">
        <f>'N11'!D15+'K11'!D15</f>
        <v>8</v>
      </c>
      <c r="E15" s="115">
        <f>'N11'!E15+'K11'!E15</f>
        <v>2</v>
      </c>
      <c r="F15" s="116">
        <f>'N11'!F15+'K11'!F15</f>
        <v>4</v>
      </c>
      <c r="G15" s="114">
        <f>'N11'!G15+'K11'!G15</f>
        <v>0</v>
      </c>
      <c r="H15" s="116">
        <f>'N11'!H15+'K11'!H15</f>
        <v>20</v>
      </c>
      <c r="I15" s="114">
        <f>'N11'!I15+'K11'!I15</f>
        <v>0</v>
      </c>
      <c r="J15" s="116">
        <f>'N11'!J15+'K11'!J15</f>
        <v>0</v>
      </c>
      <c r="K15" s="33">
        <f>'N11'!K15+'K11'!K15</f>
        <v>112</v>
      </c>
      <c r="L15" s="115">
        <f>'N11'!L15+'K11'!L15</f>
        <v>0</v>
      </c>
      <c r="M15" s="115">
        <f>'N11'!M15+'K11'!M15</f>
        <v>0</v>
      </c>
      <c r="N15" s="115">
        <f>'N11'!N15+'K11'!N15</f>
        <v>0</v>
      </c>
      <c r="O15" s="116">
        <f>'N11'!O15+'K11'!O15</f>
        <v>0</v>
      </c>
      <c r="P15" s="115">
        <f>'N11'!P15+'K11'!P15</f>
        <v>0</v>
      </c>
      <c r="Q15" s="116">
        <f>'N11'!Q15+'K11'!Q15</f>
        <v>0</v>
      </c>
      <c r="R15" s="121">
        <f>'N11'!R15+'K11'!R15</f>
        <v>0</v>
      </c>
      <c r="S15" s="121">
        <f>'N11'!S15+'K11'!S15</f>
        <v>0</v>
      </c>
      <c r="T15" s="33">
        <f>'N11'!T15+'K11'!T15</f>
        <v>0</v>
      </c>
      <c r="U15" s="115">
        <f>'N11'!U15+'K11'!U15</f>
        <v>0</v>
      </c>
      <c r="V15" s="115">
        <f>'N11'!V15+'K11'!V15</f>
        <v>0</v>
      </c>
      <c r="W15" s="115">
        <f>'N11'!W15+'K11'!W15</f>
        <v>0</v>
      </c>
      <c r="X15" s="116">
        <f>'N11'!X15+'K11'!X15</f>
        <v>0</v>
      </c>
      <c r="Y15" s="115">
        <f>'N11'!Y15+'K11'!Y15</f>
        <v>0</v>
      </c>
      <c r="Z15" s="116">
        <f>'N11'!Z15+'K11'!Z15</f>
        <v>0</v>
      </c>
      <c r="AA15" s="121">
        <f>'N11'!AA15+'K11'!AA15</f>
        <v>0</v>
      </c>
      <c r="AB15" s="121">
        <f>'N11'!AB15+'K11'!AB15</f>
        <v>0</v>
      </c>
      <c r="AC15" s="33">
        <f>'N11'!AC15+'K11'!AC15</f>
        <v>0</v>
      </c>
      <c r="AD15" s="12">
        <f>'N11'!AD15+'K11'!AD15</f>
        <v>112</v>
      </c>
      <c r="AE15" s="39"/>
      <c r="AF15" s="39"/>
      <c r="AG15" s="39"/>
      <c r="AH15" s="39"/>
      <c r="AI15" s="39"/>
      <c r="AJ15"/>
    </row>
    <row r="16" spans="1:36" x14ac:dyDescent="0.2">
      <c r="A16" s="5">
        <f>DAY(Kalenteri!A316)</f>
        <v>12</v>
      </c>
      <c r="B16" s="3" t="str">
        <f>IF(Kalenteri!B316=1,"su",IF(Kalenteri!B316=2,"ma",IF(Kalenteri!B316=3,"ti",IF(Kalenteri!B316=4,"ke",IF(Kalenteri!B316=5,"to",IF(Kalenteri!B316=6,"pe",IF(Kalenteri!B316=7,"la",)))))))</f>
        <v>ti</v>
      </c>
      <c r="C16" s="114">
        <f>'N11'!C16+'K11'!C16</f>
        <v>40</v>
      </c>
      <c r="D16" s="115">
        <f>'N11'!D16+'K11'!D16</f>
        <v>14</v>
      </c>
      <c r="E16" s="115">
        <f>'N11'!E16+'K11'!E16</f>
        <v>0</v>
      </c>
      <c r="F16" s="116">
        <f>'N11'!F16+'K11'!F16</f>
        <v>3</v>
      </c>
      <c r="G16" s="114">
        <f>'N11'!G16+'K11'!G16</f>
        <v>5</v>
      </c>
      <c r="H16" s="116">
        <f>'N11'!H16+'K11'!H16</f>
        <v>54</v>
      </c>
      <c r="I16" s="114">
        <f>'N11'!I16+'K11'!I16</f>
        <v>0</v>
      </c>
      <c r="J16" s="116">
        <f>'N11'!J16+'K11'!J16</f>
        <v>0</v>
      </c>
      <c r="K16" s="33">
        <f>'N11'!K16+'K11'!K16</f>
        <v>116</v>
      </c>
      <c r="L16" s="115">
        <f>'N11'!L16+'K11'!L16</f>
        <v>0</v>
      </c>
      <c r="M16" s="115">
        <f>'N11'!M16+'K11'!M16</f>
        <v>0</v>
      </c>
      <c r="N16" s="115">
        <f>'N11'!N16+'K11'!N16</f>
        <v>0</v>
      </c>
      <c r="O16" s="116">
        <f>'N11'!O16+'K11'!O16</f>
        <v>0</v>
      </c>
      <c r="P16" s="115">
        <f>'N11'!P16+'K11'!P16</f>
        <v>0</v>
      </c>
      <c r="Q16" s="116">
        <f>'N11'!Q16+'K11'!Q16</f>
        <v>0</v>
      </c>
      <c r="R16" s="121">
        <f>'N11'!R16+'K11'!R16</f>
        <v>0</v>
      </c>
      <c r="S16" s="121">
        <f>'N11'!S16+'K11'!S16</f>
        <v>0</v>
      </c>
      <c r="T16" s="33">
        <f>'N11'!T16+'K11'!T16</f>
        <v>0</v>
      </c>
      <c r="U16" s="115">
        <f>'N11'!U16+'K11'!U16</f>
        <v>0</v>
      </c>
      <c r="V16" s="115">
        <f>'N11'!V16+'K11'!V16</f>
        <v>0</v>
      </c>
      <c r="W16" s="115">
        <f>'N11'!W16+'K11'!W16</f>
        <v>0</v>
      </c>
      <c r="X16" s="116">
        <f>'N11'!X16+'K11'!X16</f>
        <v>0</v>
      </c>
      <c r="Y16" s="115">
        <f>'N11'!Y16+'K11'!Y16</f>
        <v>0</v>
      </c>
      <c r="Z16" s="116">
        <f>'N11'!Z16+'K11'!Z16</f>
        <v>0</v>
      </c>
      <c r="AA16" s="121">
        <f>'N11'!AA16+'K11'!AA16</f>
        <v>0</v>
      </c>
      <c r="AB16" s="121">
        <f>'N11'!AB16+'K11'!AB16</f>
        <v>0</v>
      </c>
      <c r="AC16" s="33">
        <f>'N11'!AC16+'K11'!AC16</f>
        <v>0</v>
      </c>
      <c r="AD16" s="12">
        <f>'N11'!AD16+'K11'!AD16</f>
        <v>116</v>
      </c>
      <c r="AE16" s="39"/>
      <c r="AF16" s="39"/>
      <c r="AG16" s="39"/>
      <c r="AH16" s="39"/>
      <c r="AI16" s="39"/>
      <c r="AJ16"/>
    </row>
    <row r="17" spans="1:36" x14ac:dyDescent="0.2">
      <c r="A17" s="5">
        <f>DAY(Kalenteri!A317)</f>
        <v>13</v>
      </c>
      <c r="B17" s="3" t="str">
        <f>IF(Kalenteri!B317=1,"su",IF(Kalenteri!B317=2,"ma",IF(Kalenteri!B317=3,"ti",IF(Kalenteri!B317=4,"ke",IF(Kalenteri!B317=5,"to",IF(Kalenteri!B317=6,"pe",IF(Kalenteri!B317=7,"la",)))))))</f>
        <v>ke</v>
      </c>
      <c r="C17" s="114">
        <f>'N11'!C17+'K11'!C17</f>
        <v>39</v>
      </c>
      <c r="D17" s="115">
        <f>'N11'!D17+'K11'!D17</f>
        <v>1</v>
      </c>
      <c r="E17" s="115">
        <f>'N11'!E17+'K11'!E17</f>
        <v>0</v>
      </c>
      <c r="F17" s="116">
        <f>'N11'!F17+'K11'!F17</f>
        <v>6</v>
      </c>
      <c r="G17" s="114">
        <f>'N11'!G17+'K11'!G17</f>
        <v>16</v>
      </c>
      <c r="H17" s="116">
        <f>'N11'!H17+'K11'!H17</f>
        <v>39</v>
      </c>
      <c r="I17" s="114">
        <f>'N11'!I17+'K11'!I17</f>
        <v>0</v>
      </c>
      <c r="J17" s="116">
        <f>'N11'!J17+'K11'!J17</f>
        <v>0</v>
      </c>
      <c r="K17" s="33">
        <f>'N11'!K17+'K11'!K17</f>
        <v>101</v>
      </c>
      <c r="L17" s="115">
        <f>'N11'!L17+'K11'!L17</f>
        <v>0</v>
      </c>
      <c r="M17" s="115">
        <f>'N11'!M17+'K11'!M17</f>
        <v>0</v>
      </c>
      <c r="N17" s="115">
        <f>'N11'!N17+'K11'!N17</f>
        <v>0</v>
      </c>
      <c r="O17" s="116">
        <f>'N11'!O17+'K11'!O17</f>
        <v>0</v>
      </c>
      <c r="P17" s="115">
        <f>'N11'!P17+'K11'!P17</f>
        <v>0</v>
      </c>
      <c r="Q17" s="116">
        <f>'N11'!Q17+'K11'!Q17</f>
        <v>0</v>
      </c>
      <c r="R17" s="121">
        <f>'N11'!R17+'K11'!R17</f>
        <v>0</v>
      </c>
      <c r="S17" s="121">
        <f>'N11'!S17+'K11'!S17</f>
        <v>0</v>
      </c>
      <c r="T17" s="33">
        <f>'N11'!T17+'K11'!T17</f>
        <v>0</v>
      </c>
      <c r="U17" s="115">
        <f>'N11'!U17+'K11'!U17</f>
        <v>0</v>
      </c>
      <c r="V17" s="115">
        <f>'N11'!V17+'K11'!V17</f>
        <v>0</v>
      </c>
      <c r="W17" s="115">
        <f>'N11'!W17+'K11'!W17</f>
        <v>0</v>
      </c>
      <c r="X17" s="116">
        <f>'N11'!X17+'K11'!X17</f>
        <v>0</v>
      </c>
      <c r="Y17" s="115">
        <f>'N11'!Y17+'K11'!Y17</f>
        <v>0</v>
      </c>
      <c r="Z17" s="116">
        <f>'N11'!Z17+'K11'!Z17</f>
        <v>0</v>
      </c>
      <c r="AA17" s="121">
        <f>'N11'!AA17+'K11'!AA17</f>
        <v>0</v>
      </c>
      <c r="AB17" s="121">
        <f>'N11'!AB17+'K11'!AB17</f>
        <v>0</v>
      </c>
      <c r="AC17" s="33">
        <f>'N11'!AC17+'K11'!AC17</f>
        <v>0</v>
      </c>
      <c r="AD17" s="12">
        <f>'N11'!AD17+'K11'!AD17</f>
        <v>101</v>
      </c>
      <c r="AE17" s="39"/>
      <c r="AF17" s="39"/>
      <c r="AG17" s="39"/>
      <c r="AH17" s="39"/>
      <c r="AI17" s="39"/>
      <c r="AJ17"/>
    </row>
    <row r="18" spans="1:36" x14ac:dyDescent="0.2">
      <c r="A18" s="5">
        <f>DAY(Kalenteri!A318)</f>
        <v>14</v>
      </c>
      <c r="B18" s="3" t="str">
        <f>IF(Kalenteri!B318=1,"su",IF(Kalenteri!B318=2,"ma",IF(Kalenteri!B318=3,"ti",IF(Kalenteri!B318=4,"ke",IF(Kalenteri!B318=5,"to",IF(Kalenteri!B318=6,"pe",IF(Kalenteri!B318=7,"la",)))))))</f>
        <v>to</v>
      </c>
      <c r="C18" s="114">
        <f>'N11'!C18+'K11'!C18</f>
        <v>45</v>
      </c>
      <c r="D18" s="115">
        <f>'N11'!D18+'K11'!D18</f>
        <v>12</v>
      </c>
      <c r="E18" s="115">
        <f>'N11'!E18+'K11'!E18</f>
        <v>0</v>
      </c>
      <c r="F18" s="116">
        <f>'N11'!F18+'K11'!F18</f>
        <v>3</v>
      </c>
      <c r="G18" s="114">
        <f>'N11'!G18+'K11'!G18</f>
        <v>1</v>
      </c>
      <c r="H18" s="116">
        <f>'N11'!H18+'K11'!H18</f>
        <v>20</v>
      </c>
      <c r="I18" s="114">
        <f>'N11'!I18+'K11'!I18</f>
        <v>2</v>
      </c>
      <c r="J18" s="116">
        <f>'N11'!J18+'K11'!J18</f>
        <v>3</v>
      </c>
      <c r="K18" s="33">
        <f>'N11'!K18+'K11'!K18</f>
        <v>86</v>
      </c>
      <c r="L18" s="115">
        <f>'N11'!L18+'K11'!L18</f>
        <v>0</v>
      </c>
      <c r="M18" s="115">
        <f>'N11'!M18+'K11'!M18</f>
        <v>0</v>
      </c>
      <c r="N18" s="115">
        <f>'N11'!N18+'K11'!N18</f>
        <v>0</v>
      </c>
      <c r="O18" s="116">
        <f>'N11'!O18+'K11'!O18</f>
        <v>0</v>
      </c>
      <c r="P18" s="115">
        <f>'N11'!P18+'K11'!P18</f>
        <v>0</v>
      </c>
      <c r="Q18" s="116">
        <f>'N11'!Q18+'K11'!Q18</f>
        <v>0</v>
      </c>
      <c r="R18" s="121">
        <f>'N11'!R18+'K11'!R18</f>
        <v>0</v>
      </c>
      <c r="S18" s="121">
        <f>'N11'!S18+'K11'!S18</f>
        <v>0</v>
      </c>
      <c r="T18" s="33">
        <f>'N11'!T18+'K11'!T18</f>
        <v>0</v>
      </c>
      <c r="U18" s="115">
        <f>'N11'!U18+'K11'!U18</f>
        <v>0</v>
      </c>
      <c r="V18" s="115">
        <f>'N11'!V18+'K11'!V18</f>
        <v>0</v>
      </c>
      <c r="W18" s="115">
        <f>'N11'!W18+'K11'!W18</f>
        <v>0</v>
      </c>
      <c r="X18" s="116">
        <f>'N11'!X18+'K11'!X18</f>
        <v>0</v>
      </c>
      <c r="Y18" s="115">
        <f>'N11'!Y18+'K11'!Y18</f>
        <v>0</v>
      </c>
      <c r="Z18" s="116">
        <f>'N11'!Z18+'K11'!Z18</f>
        <v>0</v>
      </c>
      <c r="AA18" s="121">
        <f>'N11'!AA18+'K11'!AA18</f>
        <v>0</v>
      </c>
      <c r="AB18" s="121">
        <f>'N11'!AB18+'K11'!AB18</f>
        <v>0</v>
      </c>
      <c r="AC18" s="33">
        <f>'N11'!AC18+'K11'!AC18</f>
        <v>0</v>
      </c>
      <c r="AD18" s="12">
        <f>'N11'!AD18+'K11'!AD18</f>
        <v>86</v>
      </c>
      <c r="AE18" s="39"/>
      <c r="AF18" s="39"/>
      <c r="AG18" s="39"/>
      <c r="AH18" s="39"/>
      <c r="AI18" s="39"/>
      <c r="AJ18"/>
    </row>
    <row r="19" spans="1:36" x14ac:dyDescent="0.2">
      <c r="A19" s="5">
        <f>DAY(Kalenteri!A319)</f>
        <v>15</v>
      </c>
      <c r="B19" s="3" t="str">
        <f>IF(Kalenteri!B319=1,"su",IF(Kalenteri!B319=2,"ma",IF(Kalenteri!B319=3,"ti",IF(Kalenteri!B319=4,"ke",IF(Kalenteri!B319=5,"to",IF(Kalenteri!B319=6,"pe",IF(Kalenteri!B319=7,"la",)))))))</f>
        <v>pe</v>
      </c>
      <c r="C19" s="114">
        <f>'N11'!C19+'K11'!C19</f>
        <v>51</v>
      </c>
      <c r="D19" s="115">
        <f>'N11'!D19+'K11'!D19</f>
        <v>6</v>
      </c>
      <c r="E19" s="115">
        <f>'N11'!E19+'K11'!E19</f>
        <v>0</v>
      </c>
      <c r="F19" s="116">
        <f>'N11'!F19+'K11'!F19</f>
        <v>5</v>
      </c>
      <c r="G19" s="114">
        <f>'N11'!G19+'K11'!G19</f>
        <v>5</v>
      </c>
      <c r="H19" s="116">
        <f>'N11'!H19+'K11'!H19</f>
        <v>33</v>
      </c>
      <c r="I19" s="114">
        <f>'N11'!I19+'K11'!I19</f>
        <v>0</v>
      </c>
      <c r="J19" s="116">
        <f>'N11'!J19+'K11'!J19</f>
        <v>0</v>
      </c>
      <c r="K19" s="33">
        <f>'N11'!K19+'K11'!K19</f>
        <v>100</v>
      </c>
      <c r="L19" s="115">
        <f>'N11'!L19+'K11'!L19</f>
        <v>0</v>
      </c>
      <c r="M19" s="115">
        <f>'N11'!M19+'K11'!M19</f>
        <v>0</v>
      </c>
      <c r="N19" s="115">
        <f>'N11'!N19+'K11'!N19</f>
        <v>0</v>
      </c>
      <c r="O19" s="116">
        <f>'N11'!O19+'K11'!O19</f>
        <v>0</v>
      </c>
      <c r="P19" s="115">
        <f>'N11'!P19+'K11'!P19</f>
        <v>0</v>
      </c>
      <c r="Q19" s="116">
        <f>'N11'!Q19+'K11'!Q19</f>
        <v>0</v>
      </c>
      <c r="R19" s="121">
        <f>'N11'!R19+'K11'!R19</f>
        <v>0</v>
      </c>
      <c r="S19" s="121">
        <f>'N11'!S19+'K11'!S19</f>
        <v>0</v>
      </c>
      <c r="T19" s="33">
        <f>'N11'!T19+'K11'!T19</f>
        <v>0</v>
      </c>
      <c r="U19" s="115">
        <f>'N11'!U19+'K11'!U19</f>
        <v>0</v>
      </c>
      <c r="V19" s="115">
        <f>'N11'!V19+'K11'!V19</f>
        <v>0</v>
      </c>
      <c r="W19" s="115">
        <f>'N11'!W19+'K11'!W19</f>
        <v>0</v>
      </c>
      <c r="X19" s="116">
        <f>'N11'!X19+'K11'!X19</f>
        <v>0</v>
      </c>
      <c r="Y19" s="115">
        <f>'N11'!Y19+'K11'!Y19</f>
        <v>0</v>
      </c>
      <c r="Z19" s="116">
        <f>'N11'!Z19+'K11'!Z19</f>
        <v>0</v>
      </c>
      <c r="AA19" s="121">
        <f>'N11'!AA19+'K11'!AA19</f>
        <v>0</v>
      </c>
      <c r="AB19" s="121">
        <f>'N11'!AB19+'K11'!AB19</f>
        <v>0</v>
      </c>
      <c r="AC19" s="33">
        <f>'N11'!AC19+'K11'!AC19</f>
        <v>0</v>
      </c>
      <c r="AD19" s="12">
        <f>'N11'!AD19+'K11'!AD19</f>
        <v>100</v>
      </c>
      <c r="AE19" s="39"/>
      <c r="AF19" s="39"/>
      <c r="AG19" s="39"/>
      <c r="AH19" s="39"/>
      <c r="AI19" s="39"/>
      <c r="AJ19"/>
    </row>
    <row r="20" spans="1:36" x14ac:dyDescent="0.2">
      <c r="A20" s="5">
        <f>DAY(Kalenteri!A320)</f>
        <v>16</v>
      </c>
      <c r="B20" s="3" t="str">
        <f>IF(Kalenteri!B320=1,"su",IF(Kalenteri!B320=2,"ma",IF(Kalenteri!B320=3,"ti",IF(Kalenteri!B320=4,"ke",IF(Kalenteri!B320=5,"to",IF(Kalenteri!B320=6,"pe",IF(Kalenteri!B320=7,"la",)))))))</f>
        <v>la</v>
      </c>
      <c r="C20" s="114">
        <f>'N11'!C20+'K11'!C20</f>
        <v>217</v>
      </c>
      <c r="D20" s="115">
        <f>'N11'!D20+'K11'!D20</f>
        <v>53</v>
      </c>
      <c r="E20" s="115">
        <f>'N11'!E20+'K11'!E20</f>
        <v>1</v>
      </c>
      <c r="F20" s="116">
        <f>'N11'!F20+'K11'!F20</f>
        <v>30</v>
      </c>
      <c r="G20" s="114">
        <f>'N11'!G20+'K11'!G20</f>
        <v>10</v>
      </c>
      <c r="H20" s="116">
        <f>'N11'!H20+'K11'!H20</f>
        <v>104</v>
      </c>
      <c r="I20" s="114">
        <f>'N11'!I20+'K11'!I20</f>
        <v>0</v>
      </c>
      <c r="J20" s="116">
        <f>'N11'!J20+'K11'!J20</f>
        <v>0</v>
      </c>
      <c r="K20" s="33">
        <f>'N11'!K20+'K11'!K20</f>
        <v>415</v>
      </c>
      <c r="L20" s="115">
        <f>'N11'!L20+'K11'!L20</f>
        <v>0</v>
      </c>
      <c r="M20" s="115">
        <f>'N11'!M20+'K11'!M20</f>
        <v>0</v>
      </c>
      <c r="N20" s="115">
        <f>'N11'!N20+'K11'!N20</f>
        <v>0</v>
      </c>
      <c r="O20" s="116">
        <f>'N11'!O20+'K11'!O20</f>
        <v>0</v>
      </c>
      <c r="P20" s="115">
        <f>'N11'!P20+'K11'!P20</f>
        <v>0</v>
      </c>
      <c r="Q20" s="116">
        <f>'N11'!Q20+'K11'!Q20</f>
        <v>0</v>
      </c>
      <c r="R20" s="121">
        <f>'N11'!R20+'K11'!R20</f>
        <v>0</v>
      </c>
      <c r="S20" s="121">
        <f>'N11'!S20+'K11'!S20</f>
        <v>0</v>
      </c>
      <c r="T20" s="33">
        <f>'N11'!T20+'K11'!T20</f>
        <v>0</v>
      </c>
      <c r="U20" s="115">
        <f>'N11'!U20+'K11'!U20</f>
        <v>0</v>
      </c>
      <c r="V20" s="115">
        <f>'N11'!V20+'K11'!V20</f>
        <v>0</v>
      </c>
      <c r="W20" s="115">
        <f>'N11'!W20+'K11'!W20</f>
        <v>0</v>
      </c>
      <c r="X20" s="116">
        <f>'N11'!X20+'K11'!X20</f>
        <v>0</v>
      </c>
      <c r="Y20" s="115">
        <f>'N11'!Y20+'K11'!Y20</f>
        <v>0</v>
      </c>
      <c r="Z20" s="116">
        <f>'N11'!Z20+'K11'!Z20</f>
        <v>0</v>
      </c>
      <c r="AA20" s="121">
        <f>'N11'!AA20+'K11'!AA20</f>
        <v>0</v>
      </c>
      <c r="AB20" s="121">
        <f>'N11'!AB20+'K11'!AB20</f>
        <v>0</v>
      </c>
      <c r="AC20" s="33">
        <f>'N11'!AC20+'K11'!AC20</f>
        <v>0</v>
      </c>
      <c r="AD20" s="12">
        <f>'N11'!AD20+'K11'!AD20</f>
        <v>415</v>
      </c>
      <c r="AE20" s="39"/>
      <c r="AF20" s="39"/>
      <c r="AG20" s="39"/>
      <c r="AH20" s="39"/>
      <c r="AI20" s="39"/>
      <c r="AJ20"/>
    </row>
    <row r="21" spans="1:36" x14ac:dyDescent="0.2">
      <c r="A21" s="5">
        <f>DAY(Kalenteri!A321)</f>
        <v>17</v>
      </c>
      <c r="B21" s="3" t="str">
        <f>IF(Kalenteri!B321=1,"su",IF(Kalenteri!B321=2,"ma",IF(Kalenteri!B321=3,"ti",IF(Kalenteri!B321=4,"ke",IF(Kalenteri!B321=5,"to",IF(Kalenteri!B321=6,"pe",IF(Kalenteri!B321=7,"la",)))))))</f>
        <v>su</v>
      </c>
      <c r="C21" s="114">
        <f>'N11'!C21+'K11'!C21</f>
        <v>166</v>
      </c>
      <c r="D21" s="115">
        <f>'N11'!D21+'K11'!D21</f>
        <v>46</v>
      </c>
      <c r="E21" s="115">
        <f>'N11'!E21+'K11'!E21</f>
        <v>2</v>
      </c>
      <c r="F21" s="116">
        <f>'N11'!F21+'K11'!F21</f>
        <v>22</v>
      </c>
      <c r="G21" s="114">
        <f>'N11'!G21+'K11'!G21</f>
        <v>14</v>
      </c>
      <c r="H21" s="116">
        <f>'N11'!H21+'K11'!H21</f>
        <v>54</v>
      </c>
      <c r="I21" s="114">
        <f>'N11'!I21+'K11'!I21</f>
        <v>0</v>
      </c>
      <c r="J21" s="116">
        <f>'N11'!J21+'K11'!J21</f>
        <v>0</v>
      </c>
      <c r="K21" s="33">
        <f>'N11'!K21+'K11'!K21</f>
        <v>304</v>
      </c>
      <c r="L21" s="115">
        <f>'N11'!L21+'K11'!L21</f>
        <v>0</v>
      </c>
      <c r="M21" s="115">
        <f>'N11'!M21+'K11'!M21</f>
        <v>0</v>
      </c>
      <c r="N21" s="115">
        <f>'N11'!N21+'K11'!N21</f>
        <v>0</v>
      </c>
      <c r="O21" s="116">
        <f>'N11'!O21+'K11'!O21</f>
        <v>0</v>
      </c>
      <c r="P21" s="115">
        <f>'N11'!P21+'K11'!P21</f>
        <v>0</v>
      </c>
      <c r="Q21" s="116">
        <f>'N11'!Q21+'K11'!Q21</f>
        <v>0</v>
      </c>
      <c r="R21" s="121">
        <f>'N11'!R21+'K11'!R21</f>
        <v>0</v>
      </c>
      <c r="S21" s="121">
        <f>'N11'!S21+'K11'!S21</f>
        <v>0</v>
      </c>
      <c r="T21" s="33">
        <f>'N11'!T21+'K11'!T21</f>
        <v>0</v>
      </c>
      <c r="U21" s="115">
        <f>'N11'!U21+'K11'!U21</f>
        <v>0</v>
      </c>
      <c r="V21" s="115">
        <f>'N11'!V21+'K11'!V21</f>
        <v>0</v>
      </c>
      <c r="W21" s="115">
        <f>'N11'!W21+'K11'!W21</f>
        <v>0</v>
      </c>
      <c r="X21" s="116">
        <f>'N11'!X21+'K11'!X21</f>
        <v>0</v>
      </c>
      <c r="Y21" s="115">
        <f>'N11'!Y21+'K11'!Y21</f>
        <v>0</v>
      </c>
      <c r="Z21" s="116">
        <f>'N11'!Z21+'K11'!Z21</f>
        <v>0</v>
      </c>
      <c r="AA21" s="121">
        <f>'N11'!AA21+'K11'!AA21</f>
        <v>0</v>
      </c>
      <c r="AB21" s="121">
        <f>'N11'!AB21+'K11'!AB21</f>
        <v>0</v>
      </c>
      <c r="AC21" s="33">
        <f>'N11'!AC21+'K11'!AC21</f>
        <v>0</v>
      </c>
      <c r="AD21" s="12">
        <f>'N11'!AD21+'K11'!AD21</f>
        <v>304</v>
      </c>
      <c r="AE21" s="39"/>
      <c r="AF21" s="39"/>
      <c r="AG21" s="39"/>
      <c r="AH21" s="39"/>
      <c r="AI21" s="39"/>
      <c r="AJ21"/>
    </row>
    <row r="22" spans="1:36" x14ac:dyDescent="0.2">
      <c r="A22" s="5">
        <f>DAY(Kalenteri!A322)</f>
        <v>18</v>
      </c>
      <c r="B22" s="3" t="str">
        <f>IF(Kalenteri!B322=1,"su",IF(Kalenteri!B322=2,"ma",IF(Kalenteri!B322=3,"ti",IF(Kalenteri!B322=4,"ke",IF(Kalenteri!B322=5,"to",IF(Kalenteri!B322=6,"pe",IF(Kalenteri!B322=7,"la",)))))))</f>
        <v>ma</v>
      </c>
      <c r="C22" s="114">
        <f>'N11'!C22+'K11'!C22</f>
        <v>50</v>
      </c>
      <c r="D22" s="115">
        <f>'N11'!D22+'K11'!D22</f>
        <v>3</v>
      </c>
      <c r="E22" s="115">
        <f>'N11'!E22+'K11'!E22</f>
        <v>0</v>
      </c>
      <c r="F22" s="116">
        <f>'N11'!F22+'K11'!F22</f>
        <v>2</v>
      </c>
      <c r="G22" s="114">
        <f>'N11'!G22+'K11'!G22</f>
        <v>1</v>
      </c>
      <c r="H22" s="116">
        <f>'N11'!H22+'K11'!H22</f>
        <v>12</v>
      </c>
      <c r="I22" s="114">
        <f>'N11'!I22+'K11'!I22</f>
        <v>0</v>
      </c>
      <c r="J22" s="116">
        <f>'N11'!J22+'K11'!J22</f>
        <v>0</v>
      </c>
      <c r="K22" s="33">
        <f>'N11'!K22+'K11'!K22</f>
        <v>68</v>
      </c>
      <c r="L22" s="115">
        <f>'N11'!L22+'K11'!L22</f>
        <v>0</v>
      </c>
      <c r="M22" s="115">
        <f>'N11'!M22+'K11'!M22</f>
        <v>0</v>
      </c>
      <c r="N22" s="115">
        <f>'N11'!N22+'K11'!N22</f>
        <v>0</v>
      </c>
      <c r="O22" s="116">
        <f>'N11'!O22+'K11'!O22</f>
        <v>0</v>
      </c>
      <c r="P22" s="115">
        <f>'N11'!P22+'K11'!P22</f>
        <v>0</v>
      </c>
      <c r="Q22" s="116">
        <f>'N11'!Q22+'K11'!Q22</f>
        <v>0</v>
      </c>
      <c r="R22" s="121">
        <f>'N11'!R22+'K11'!R22</f>
        <v>0</v>
      </c>
      <c r="S22" s="121">
        <f>'N11'!S22+'K11'!S22</f>
        <v>0</v>
      </c>
      <c r="T22" s="33">
        <f>'N11'!T22+'K11'!T22</f>
        <v>0</v>
      </c>
      <c r="U22" s="115">
        <f>'N11'!U22+'K11'!U22</f>
        <v>0</v>
      </c>
      <c r="V22" s="115">
        <f>'N11'!V22+'K11'!V22</f>
        <v>0</v>
      </c>
      <c r="W22" s="115">
        <f>'N11'!W22+'K11'!W22</f>
        <v>0</v>
      </c>
      <c r="X22" s="116">
        <f>'N11'!X22+'K11'!X22</f>
        <v>0</v>
      </c>
      <c r="Y22" s="115">
        <f>'N11'!Y22+'K11'!Y22</f>
        <v>0</v>
      </c>
      <c r="Z22" s="116">
        <f>'N11'!Z22+'K11'!Z22</f>
        <v>0</v>
      </c>
      <c r="AA22" s="121">
        <f>'N11'!AA22+'K11'!AA22</f>
        <v>0</v>
      </c>
      <c r="AB22" s="121">
        <f>'N11'!AB22+'K11'!AB22</f>
        <v>0</v>
      </c>
      <c r="AC22" s="33">
        <f>'N11'!AC22+'K11'!AC22</f>
        <v>0</v>
      </c>
      <c r="AD22" s="12">
        <f>'N11'!AD22+'K11'!AD22</f>
        <v>68</v>
      </c>
      <c r="AE22" s="39"/>
      <c r="AF22" s="39"/>
      <c r="AG22" s="39"/>
      <c r="AH22" s="39"/>
      <c r="AI22" s="39"/>
      <c r="AJ22"/>
    </row>
    <row r="23" spans="1:36" x14ac:dyDescent="0.2">
      <c r="A23" s="5">
        <f>DAY(Kalenteri!A323)</f>
        <v>19</v>
      </c>
      <c r="B23" s="3" t="str">
        <f>IF(Kalenteri!B323=1,"su",IF(Kalenteri!B323=2,"ma",IF(Kalenteri!B323=3,"ti",IF(Kalenteri!B323=4,"ke",IF(Kalenteri!B323=5,"to",IF(Kalenteri!B323=6,"pe",IF(Kalenteri!B323=7,"la",)))))))</f>
        <v>ti</v>
      </c>
      <c r="C23" s="114">
        <f>'N11'!C23+'K11'!C23</f>
        <v>18</v>
      </c>
      <c r="D23" s="115">
        <f>'N11'!D23+'K11'!D23</f>
        <v>0</v>
      </c>
      <c r="E23" s="115">
        <f>'N11'!E23+'K11'!E23</f>
        <v>0</v>
      </c>
      <c r="F23" s="116">
        <f>'N11'!F23+'K11'!F23</f>
        <v>0</v>
      </c>
      <c r="G23" s="114">
        <f>'N11'!G23+'K11'!G23</f>
        <v>2</v>
      </c>
      <c r="H23" s="116">
        <f>'N11'!H23+'K11'!H23</f>
        <v>3</v>
      </c>
      <c r="I23" s="114">
        <f>'N11'!I23+'K11'!I23</f>
        <v>0</v>
      </c>
      <c r="J23" s="116">
        <f>'N11'!J23+'K11'!J23</f>
        <v>0</v>
      </c>
      <c r="K23" s="33">
        <f>'N11'!K23+'K11'!K23</f>
        <v>23</v>
      </c>
      <c r="L23" s="115">
        <f>'N11'!L23+'K11'!L23</f>
        <v>0</v>
      </c>
      <c r="M23" s="115">
        <f>'N11'!M23+'K11'!M23</f>
        <v>0</v>
      </c>
      <c r="N23" s="115">
        <f>'N11'!N23+'K11'!N23</f>
        <v>0</v>
      </c>
      <c r="O23" s="116">
        <f>'N11'!O23+'K11'!O23</f>
        <v>0</v>
      </c>
      <c r="P23" s="115">
        <f>'N11'!P23+'K11'!P23</f>
        <v>0</v>
      </c>
      <c r="Q23" s="116">
        <f>'N11'!Q23+'K11'!Q23</f>
        <v>0</v>
      </c>
      <c r="R23" s="121">
        <f>'N11'!R23+'K11'!R23</f>
        <v>0</v>
      </c>
      <c r="S23" s="121">
        <f>'N11'!S23+'K11'!S23</f>
        <v>0</v>
      </c>
      <c r="T23" s="33">
        <f>'N11'!T23+'K11'!T23</f>
        <v>0</v>
      </c>
      <c r="U23" s="115">
        <f>'N11'!U23+'K11'!U23</f>
        <v>0</v>
      </c>
      <c r="V23" s="115">
        <f>'N11'!V23+'K11'!V23</f>
        <v>0</v>
      </c>
      <c r="W23" s="115">
        <f>'N11'!W23+'K11'!W23</f>
        <v>0</v>
      </c>
      <c r="X23" s="116">
        <f>'N11'!X23+'K11'!X23</f>
        <v>0</v>
      </c>
      <c r="Y23" s="115">
        <f>'N11'!Y23+'K11'!Y23</f>
        <v>0</v>
      </c>
      <c r="Z23" s="116">
        <f>'N11'!Z23+'K11'!Z23</f>
        <v>0</v>
      </c>
      <c r="AA23" s="121">
        <f>'N11'!AA23+'K11'!AA23</f>
        <v>0</v>
      </c>
      <c r="AB23" s="121">
        <f>'N11'!AB23+'K11'!AB23</f>
        <v>0</v>
      </c>
      <c r="AC23" s="33">
        <f>'N11'!AC23+'K11'!AC23</f>
        <v>0</v>
      </c>
      <c r="AD23" s="12">
        <f>'N11'!AD23+'K11'!AD23</f>
        <v>23</v>
      </c>
      <c r="AE23" s="39"/>
      <c r="AF23" s="39"/>
      <c r="AG23" s="39"/>
      <c r="AH23" s="39"/>
      <c r="AI23" s="39"/>
      <c r="AJ23"/>
    </row>
    <row r="24" spans="1:36" x14ac:dyDescent="0.2">
      <c r="A24" s="5">
        <f>DAY(Kalenteri!A324)</f>
        <v>20</v>
      </c>
      <c r="B24" s="3" t="str">
        <f>IF(Kalenteri!B324=1,"su",IF(Kalenteri!B324=2,"ma",IF(Kalenteri!B324=3,"ti",IF(Kalenteri!B324=4,"ke",IF(Kalenteri!B324=5,"to",IF(Kalenteri!B324=6,"pe",IF(Kalenteri!B324=7,"la",)))))))</f>
        <v>ke</v>
      </c>
      <c r="C24" s="114">
        <f>'N11'!C24+'K11'!C24</f>
        <v>44</v>
      </c>
      <c r="D24" s="115">
        <f>'N11'!D24+'K11'!D24</f>
        <v>3</v>
      </c>
      <c r="E24" s="115">
        <f>'N11'!E24+'K11'!E24</f>
        <v>0</v>
      </c>
      <c r="F24" s="116">
        <f>'N11'!F24+'K11'!F24</f>
        <v>3</v>
      </c>
      <c r="G24" s="114">
        <f>'N11'!G24+'K11'!G24</f>
        <v>1</v>
      </c>
      <c r="H24" s="116">
        <f>'N11'!H24+'K11'!H24</f>
        <v>28</v>
      </c>
      <c r="I24" s="114">
        <f>'N11'!I24+'K11'!I24</f>
        <v>0</v>
      </c>
      <c r="J24" s="116">
        <f>'N11'!J24+'K11'!J24</f>
        <v>0</v>
      </c>
      <c r="K24" s="33">
        <f>'N11'!K24+'K11'!K24</f>
        <v>79</v>
      </c>
      <c r="L24" s="115">
        <f>'N11'!L24+'K11'!L24</f>
        <v>0</v>
      </c>
      <c r="M24" s="115">
        <f>'N11'!M24+'K11'!M24</f>
        <v>0</v>
      </c>
      <c r="N24" s="115">
        <f>'N11'!N24+'K11'!N24</f>
        <v>0</v>
      </c>
      <c r="O24" s="116">
        <f>'N11'!O24+'K11'!O24</f>
        <v>0</v>
      </c>
      <c r="P24" s="115">
        <f>'N11'!P24+'K11'!P24</f>
        <v>0</v>
      </c>
      <c r="Q24" s="116">
        <f>'N11'!Q24+'K11'!Q24</f>
        <v>0</v>
      </c>
      <c r="R24" s="121">
        <f>'N11'!R24+'K11'!R24</f>
        <v>0</v>
      </c>
      <c r="S24" s="121">
        <f>'N11'!S24+'K11'!S24</f>
        <v>0</v>
      </c>
      <c r="T24" s="33">
        <f>'N11'!T24+'K11'!T24</f>
        <v>0</v>
      </c>
      <c r="U24" s="115">
        <f>'N11'!U24+'K11'!U24</f>
        <v>0</v>
      </c>
      <c r="V24" s="115">
        <f>'N11'!V24+'K11'!V24</f>
        <v>0</v>
      </c>
      <c r="W24" s="115">
        <f>'N11'!W24+'K11'!W24</f>
        <v>0</v>
      </c>
      <c r="X24" s="116">
        <f>'N11'!X24+'K11'!X24</f>
        <v>0</v>
      </c>
      <c r="Y24" s="115">
        <f>'N11'!Y24+'K11'!Y24</f>
        <v>0</v>
      </c>
      <c r="Z24" s="116">
        <f>'N11'!Z24+'K11'!Z24</f>
        <v>0</v>
      </c>
      <c r="AA24" s="121">
        <f>'N11'!AA24+'K11'!AA24</f>
        <v>0</v>
      </c>
      <c r="AB24" s="121">
        <f>'N11'!AB24+'K11'!AB24</f>
        <v>0</v>
      </c>
      <c r="AC24" s="33">
        <f>'N11'!AC24+'K11'!AC24</f>
        <v>0</v>
      </c>
      <c r="AD24" s="12">
        <f>'N11'!AD24+'K11'!AD24</f>
        <v>79</v>
      </c>
      <c r="AE24" s="39"/>
      <c r="AF24" s="39"/>
      <c r="AG24" s="39"/>
      <c r="AH24" s="39"/>
      <c r="AI24" s="39"/>
      <c r="AJ24" s="39"/>
    </row>
    <row r="25" spans="1:36" x14ac:dyDescent="0.2">
      <c r="A25" s="5">
        <f>DAY(Kalenteri!A325)</f>
        <v>21</v>
      </c>
      <c r="B25" s="3" t="str">
        <f>IF(Kalenteri!B325=1,"su",IF(Kalenteri!B325=2,"ma",IF(Kalenteri!B325=3,"ti",IF(Kalenteri!B325=4,"ke",IF(Kalenteri!B325=5,"to",IF(Kalenteri!B325=6,"pe",IF(Kalenteri!B325=7,"la",)))))))</f>
        <v>to</v>
      </c>
      <c r="C25" s="114">
        <f>'N11'!C25+'K11'!C25</f>
        <v>12</v>
      </c>
      <c r="D25" s="115">
        <f>'N11'!D25+'K11'!D25</f>
        <v>0</v>
      </c>
      <c r="E25" s="115">
        <f>'N11'!E25+'K11'!E25</f>
        <v>0</v>
      </c>
      <c r="F25" s="116">
        <f>'N11'!F25+'K11'!F25</f>
        <v>4</v>
      </c>
      <c r="G25" s="114">
        <f>'N11'!G25+'K11'!G25</f>
        <v>5</v>
      </c>
      <c r="H25" s="116">
        <f>'N11'!H25+'K11'!H25</f>
        <v>61</v>
      </c>
      <c r="I25" s="114">
        <f>'N11'!I25+'K11'!I25</f>
        <v>0</v>
      </c>
      <c r="J25" s="116">
        <f>'N11'!J25+'K11'!J25</f>
        <v>0</v>
      </c>
      <c r="K25" s="33">
        <f>'N11'!K25+'K11'!K25</f>
        <v>82</v>
      </c>
      <c r="L25" s="115">
        <f>'N11'!L25+'K11'!L25</f>
        <v>0</v>
      </c>
      <c r="M25" s="115">
        <f>'N11'!M25+'K11'!M25</f>
        <v>0</v>
      </c>
      <c r="N25" s="115">
        <f>'N11'!N25+'K11'!N25</f>
        <v>0</v>
      </c>
      <c r="O25" s="116">
        <f>'N11'!O25+'K11'!O25</f>
        <v>0</v>
      </c>
      <c r="P25" s="115">
        <f>'N11'!P25+'K11'!P25</f>
        <v>0</v>
      </c>
      <c r="Q25" s="116">
        <f>'N11'!Q25+'K11'!Q25</f>
        <v>0</v>
      </c>
      <c r="R25" s="121">
        <f>'N11'!R25+'K11'!R25</f>
        <v>0</v>
      </c>
      <c r="S25" s="121">
        <f>'N11'!S25+'K11'!S25</f>
        <v>0</v>
      </c>
      <c r="T25" s="33">
        <f>'N11'!T25+'K11'!T25</f>
        <v>0</v>
      </c>
      <c r="U25" s="115">
        <f>'N11'!U25+'K11'!U25</f>
        <v>0</v>
      </c>
      <c r="V25" s="115">
        <f>'N11'!V25+'K11'!V25</f>
        <v>0</v>
      </c>
      <c r="W25" s="115">
        <f>'N11'!W25+'K11'!W25</f>
        <v>0</v>
      </c>
      <c r="X25" s="116">
        <f>'N11'!X25+'K11'!X25</f>
        <v>0</v>
      </c>
      <c r="Y25" s="115">
        <f>'N11'!Y25+'K11'!Y25</f>
        <v>0</v>
      </c>
      <c r="Z25" s="116">
        <f>'N11'!Z25+'K11'!Z25</f>
        <v>0</v>
      </c>
      <c r="AA25" s="121">
        <f>'N11'!AA25+'K11'!AA25</f>
        <v>0</v>
      </c>
      <c r="AB25" s="121">
        <f>'N11'!AB25+'K11'!AB25</f>
        <v>0</v>
      </c>
      <c r="AC25" s="33">
        <f>'N11'!AC25+'K11'!AC25</f>
        <v>0</v>
      </c>
      <c r="AD25" s="12">
        <f>'N11'!AD25+'K11'!AD25</f>
        <v>82</v>
      </c>
      <c r="AE25" s="39"/>
      <c r="AF25" s="39"/>
      <c r="AG25" s="39"/>
      <c r="AH25" s="39"/>
      <c r="AI25" s="39"/>
      <c r="AJ25" s="39"/>
    </row>
    <row r="26" spans="1:36" x14ac:dyDescent="0.2">
      <c r="A26" s="5">
        <f>DAY(Kalenteri!A326)</f>
        <v>22</v>
      </c>
      <c r="B26" s="3" t="str">
        <f>IF(Kalenteri!B326=1,"su",IF(Kalenteri!B326=2,"ma",IF(Kalenteri!B326=3,"ti",IF(Kalenteri!B326=4,"ke",IF(Kalenteri!B326=5,"to",IF(Kalenteri!B326=6,"pe",IF(Kalenteri!B326=7,"la",)))))))</f>
        <v>pe</v>
      </c>
      <c r="C26" s="114">
        <f>'N11'!C26+'K11'!C26</f>
        <v>54</v>
      </c>
      <c r="D26" s="115">
        <f>'N11'!D26+'K11'!D26</f>
        <v>9</v>
      </c>
      <c r="E26" s="115">
        <f>'N11'!E26+'K11'!E26</f>
        <v>0</v>
      </c>
      <c r="F26" s="116">
        <f>'N11'!F26+'K11'!F26</f>
        <v>5</v>
      </c>
      <c r="G26" s="114">
        <f>'N11'!G26+'K11'!G26</f>
        <v>0</v>
      </c>
      <c r="H26" s="116">
        <f>'N11'!H26+'K11'!H26</f>
        <v>25</v>
      </c>
      <c r="I26" s="114">
        <f>'N11'!I26+'K11'!I26</f>
        <v>0</v>
      </c>
      <c r="J26" s="116">
        <f>'N11'!J26+'K11'!J26</f>
        <v>0</v>
      </c>
      <c r="K26" s="33">
        <f>'N11'!K26+'K11'!K26</f>
        <v>93</v>
      </c>
      <c r="L26" s="115">
        <f>'N11'!L26+'K11'!L26</f>
        <v>0</v>
      </c>
      <c r="M26" s="115">
        <f>'N11'!M26+'K11'!M26</f>
        <v>0</v>
      </c>
      <c r="N26" s="115">
        <f>'N11'!N26+'K11'!N26</f>
        <v>0</v>
      </c>
      <c r="O26" s="116">
        <f>'N11'!O26+'K11'!O26</f>
        <v>0</v>
      </c>
      <c r="P26" s="115">
        <f>'N11'!P26+'K11'!P26</f>
        <v>0</v>
      </c>
      <c r="Q26" s="116">
        <f>'N11'!Q26+'K11'!Q26</f>
        <v>0</v>
      </c>
      <c r="R26" s="121">
        <f>'N11'!R26+'K11'!R26</f>
        <v>0</v>
      </c>
      <c r="S26" s="121">
        <f>'N11'!S26+'K11'!S26</f>
        <v>0</v>
      </c>
      <c r="T26" s="33">
        <f>'N11'!T26+'K11'!T26</f>
        <v>0</v>
      </c>
      <c r="U26" s="115">
        <f>'N11'!U26+'K11'!U26</f>
        <v>0</v>
      </c>
      <c r="V26" s="115">
        <f>'N11'!V26+'K11'!V26</f>
        <v>0</v>
      </c>
      <c r="W26" s="115">
        <f>'N11'!W26+'K11'!W26</f>
        <v>0</v>
      </c>
      <c r="X26" s="116">
        <f>'N11'!X26+'K11'!X26</f>
        <v>0</v>
      </c>
      <c r="Y26" s="115">
        <f>'N11'!Y26+'K11'!Y26</f>
        <v>0</v>
      </c>
      <c r="Z26" s="116">
        <f>'N11'!Z26+'K11'!Z26</f>
        <v>0</v>
      </c>
      <c r="AA26" s="121">
        <f>'N11'!AA26+'K11'!AA26</f>
        <v>0</v>
      </c>
      <c r="AB26" s="121">
        <f>'N11'!AB26+'K11'!AB26</f>
        <v>0</v>
      </c>
      <c r="AC26" s="33">
        <f>'N11'!AC26+'K11'!AC26</f>
        <v>0</v>
      </c>
      <c r="AD26" s="12">
        <f>'N11'!AD26+'K11'!AD26</f>
        <v>93</v>
      </c>
      <c r="AE26" s="39"/>
      <c r="AF26" s="39"/>
      <c r="AG26" s="39"/>
      <c r="AH26" s="39"/>
      <c r="AI26" s="39"/>
      <c r="AJ26" s="39"/>
    </row>
    <row r="27" spans="1:36" x14ac:dyDescent="0.2">
      <c r="A27" s="5">
        <f>DAY(Kalenteri!A327)</f>
        <v>23</v>
      </c>
      <c r="B27" s="3" t="str">
        <f>IF(Kalenteri!B327=1,"su",IF(Kalenteri!B327=2,"ma",IF(Kalenteri!B327=3,"ti",IF(Kalenteri!B327=4,"ke",IF(Kalenteri!B327=5,"to",IF(Kalenteri!B327=6,"pe",IF(Kalenteri!B327=7,"la",)))))))</f>
        <v>la</v>
      </c>
      <c r="C27" s="114">
        <f>'N11'!C27+'K11'!C27</f>
        <v>190</v>
      </c>
      <c r="D27" s="115">
        <f>'N11'!D27+'K11'!D27</f>
        <v>79</v>
      </c>
      <c r="E27" s="115">
        <f>'N11'!E27+'K11'!E27</f>
        <v>6</v>
      </c>
      <c r="F27" s="116">
        <f>'N11'!F27+'K11'!F27</f>
        <v>13</v>
      </c>
      <c r="G27" s="114">
        <f>'N11'!G27+'K11'!G27</f>
        <v>5</v>
      </c>
      <c r="H27" s="116">
        <f>'N11'!H27+'K11'!H27</f>
        <v>55</v>
      </c>
      <c r="I27" s="114">
        <f>'N11'!I27+'K11'!I27</f>
        <v>4</v>
      </c>
      <c r="J27" s="116">
        <f>'N11'!J27+'K11'!J27</f>
        <v>6</v>
      </c>
      <c r="K27" s="33">
        <f>'N11'!K27+'K11'!K27</f>
        <v>358</v>
      </c>
      <c r="L27" s="115">
        <f>'N11'!L27+'K11'!L27</f>
        <v>0</v>
      </c>
      <c r="M27" s="115">
        <f>'N11'!M27+'K11'!M27</f>
        <v>0</v>
      </c>
      <c r="N27" s="115">
        <f>'N11'!N27+'K11'!N27</f>
        <v>0</v>
      </c>
      <c r="O27" s="116">
        <f>'N11'!O27+'K11'!O27</f>
        <v>0</v>
      </c>
      <c r="P27" s="115">
        <f>'N11'!P27+'K11'!P27</f>
        <v>0</v>
      </c>
      <c r="Q27" s="116">
        <f>'N11'!Q27+'K11'!Q27</f>
        <v>0</v>
      </c>
      <c r="R27" s="121">
        <f>'N11'!R27+'K11'!R27</f>
        <v>0</v>
      </c>
      <c r="S27" s="121">
        <f>'N11'!S27+'K11'!S27</f>
        <v>0</v>
      </c>
      <c r="T27" s="33">
        <f>'N11'!T27+'K11'!T27</f>
        <v>0</v>
      </c>
      <c r="U27" s="115">
        <f>'N11'!U27+'K11'!U27</f>
        <v>0</v>
      </c>
      <c r="V27" s="115">
        <f>'N11'!V27+'K11'!V27</f>
        <v>0</v>
      </c>
      <c r="W27" s="115">
        <f>'N11'!W27+'K11'!W27</f>
        <v>0</v>
      </c>
      <c r="X27" s="116">
        <f>'N11'!X27+'K11'!X27</f>
        <v>0</v>
      </c>
      <c r="Y27" s="115">
        <f>'N11'!Y27+'K11'!Y27</f>
        <v>0</v>
      </c>
      <c r="Z27" s="116">
        <f>'N11'!Z27+'K11'!Z27</f>
        <v>0</v>
      </c>
      <c r="AA27" s="121">
        <f>'N11'!AA27+'K11'!AA27</f>
        <v>0</v>
      </c>
      <c r="AB27" s="121">
        <f>'N11'!AB27+'K11'!AB27</f>
        <v>0</v>
      </c>
      <c r="AC27" s="33">
        <f>'N11'!AC27+'K11'!AC27</f>
        <v>0</v>
      </c>
      <c r="AD27" s="12">
        <f>'N11'!AD27+'K11'!AD27</f>
        <v>358</v>
      </c>
      <c r="AE27" s="39"/>
      <c r="AF27" s="39"/>
      <c r="AG27" s="39"/>
      <c r="AH27" s="39"/>
      <c r="AI27" s="39"/>
      <c r="AJ27" s="39"/>
    </row>
    <row r="28" spans="1:36" x14ac:dyDescent="0.2">
      <c r="A28" s="5">
        <f>DAY(Kalenteri!A328)</f>
        <v>24</v>
      </c>
      <c r="B28" s="3" t="str">
        <f>IF(Kalenteri!B328=1,"su",IF(Kalenteri!B328=2,"ma",IF(Kalenteri!B328=3,"ti",IF(Kalenteri!B328=4,"ke",IF(Kalenteri!B328=5,"to",IF(Kalenteri!B328=6,"pe",IF(Kalenteri!B328=7,"la",)))))))</f>
        <v>su</v>
      </c>
      <c r="C28" s="114">
        <f>'N11'!C28+'K11'!C28</f>
        <v>200</v>
      </c>
      <c r="D28" s="115">
        <f>'N11'!D28+'K11'!D28</f>
        <v>31</v>
      </c>
      <c r="E28" s="115">
        <f>'N11'!E28+'K11'!E28</f>
        <v>0</v>
      </c>
      <c r="F28" s="116">
        <f>'N11'!F28+'K11'!F28</f>
        <v>38</v>
      </c>
      <c r="G28" s="114">
        <f>'N11'!G28+'K11'!G28</f>
        <v>1</v>
      </c>
      <c r="H28" s="116">
        <f>'N11'!H28+'K11'!H28</f>
        <v>68</v>
      </c>
      <c r="I28" s="114">
        <f>'N11'!I28+'K11'!I28</f>
        <v>2</v>
      </c>
      <c r="J28" s="116">
        <f>'N11'!J28+'K11'!J28</f>
        <v>3</v>
      </c>
      <c r="K28" s="33">
        <f>'N11'!K28+'K11'!K28</f>
        <v>343</v>
      </c>
      <c r="L28" s="115">
        <f>'N11'!L28+'K11'!L28</f>
        <v>0</v>
      </c>
      <c r="M28" s="115">
        <f>'N11'!M28+'K11'!M28</f>
        <v>0</v>
      </c>
      <c r="N28" s="115">
        <f>'N11'!N28+'K11'!N28</f>
        <v>0</v>
      </c>
      <c r="O28" s="116">
        <f>'N11'!O28+'K11'!O28</f>
        <v>0</v>
      </c>
      <c r="P28" s="115">
        <f>'N11'!P28+'K11'!P28</f>
        <v>0</v>
      </c>
      <c r="Q28" s="116">
        <f>'N11'!Q28+'K11'!Q28</f>
        <v>0</v>
      </c>
      <c r="R28" s="121">
        <f>'N11'!R28+'K11'!R28</f>
        <v>0</v>
      </c>
      <c r="S28" s="121">
        <f>'N11'!S28+'K11'!S28</f>
        <v>0</v>
      </c>
      <c r="T28" s="33">
        <f>'N11'!T28+'K11'!T28</f>
        <v>0</v>
      </c>
      <c r="U28" s="115">
        <f>'N11'!U28+'K11'!U28</f>
        <v>0</v>
      </c>
      <c r="V28" s="115">
        <f>'N11'!V28+'K11'!V28</f>
        <v>0</v>
      </c>
      <c r="W28" s="115">
        <f>'N11'!W28+'K11'!W28</f>
        <v>0</v>
      </c>
      <c r="X28" s="116">
        <f>'N11'!X28+'K11'!X28</f>
        <v>0</v>
      </c>
      <c r="Y28" s="115">
        <f>'N11'!Y28+'K11'!Y28</f>
        <v>0</v>
      </c>
      <c r="Z28" s="116">
        <f>'N11'!Z28+'K11'!Z28</f>
        <v>0</v>
      </c>
      <c r="AA28" s="121">
        <f>'N11'!AA28+'K11'!AA28</f>
        <v>0</v>
      </c>
      <c r="AB28" s="121">
        <f>'N11'!AB28+'K11'!AB28</f>
        <v>0</v>
      </c>
      <c r="AC28" s="33">
        <f>'N11'!AC28+'K11'!AC28</f>
        <v>0</v>
      </c>
      <c r="AD28" s="12">
        <f>'N11'!AD28+'K11'!AD28</f>
        <v>343</v>
      </c>
      <c r="AE28" s="39"/>
      <c r="AF28" s="39"/>
      <c r="AG28" s="39"/>
      <c r="AH28" s="39"/>
      <c r="AI28" s="39"/>
      <c r="AJ28" s="39"/>
    </row>
    <row r="29" spans="1:36" x14ac:dyDescent="0.2">
      <c r="A29" s="5">
        <f>DAY(Kalenteri!A329)</f>
        <v>25</v>
      </c>
      <c r="B29" s="3" t="str">
        <f>IF(Kalenteri!B329=1,"su",IF(Kalenteri!B329=2,"ma",IF(Kalenteri!B329=3,"ti",IF(Kalenteri!B329=4,"ke",IF(Kalenteri!B329=5,"to",IF(Kalenteri!B329=6,"pe",IF(Kalenteri!B329=7,"la",)))))))</f>
        <v>ma</v>
      </c>
      <c r="C29" s="114">
        <f>'N11'!C29+'K11'!C29</f>
        <v>39</v>
      </c>
      <c r="D29" s="115">
        <f>'N11'!D29+'K11'!D29</f>
        <v>5</v>
      </c>
      <c r="E29" s="115">
        <f>'N11'!E29+'K11'!E29</f>
        <v>1</v>
      </c>
      <c r="F29" s="116">
        <f>'N11'!F29+'K11'!F29</f>
        <v>2</v>
      </c>
      <c r="G29" s="114">
        <f>'N11'!G29+'K11'!G29</f>
        <v>0</v>
      </c>
      <c r="H29" s="116">
        <f>'N11'!H29+'K11'!H29</f>
        <v>10</v>
      </c>
      <c r="I29" s="114">
        <f>'N11'!I29+'K11'!I29</f>
        <v>0</v>
      </c>
      <c r="J29" s="116">
        <f>'N11'!J29+'K11'!J29</f>
        <v>0</v>
      </c>
      <c r="K29" s="33">
        <f>'N11'!K29+'K11'!K29</f>
        <v>57</v>
      </c>
      <c r="L29" s="115">
        <f>'N11'!L29+'K11'!L29</f>
        <v>0</v>
      </c>
      <c r="M29" s="115">
        <f>'N11'!M29+'K11'!M29</f>
        <v>0</v>
      </c>
      <c r="N29" s="115">
        <f>'N11'!N29+'K11'!N29</f>
        <v>0</v>
      </c>
      <c r="O29" s="116">
        <f>'N11'!O29+'K11'!O29</f>
        <v>0</v>
      </c>
      <c r="P29" s="115">
        <f>'N11'!P29+'K11'!P29</f>
        <v>0</v>
      </c>
      <c r="Q29" s="116">
        <f>'N11'!Q29+'K11'!Q29</f>
        <v>0</v>
      </c>
      <c r="R29" s="121">
        <f>'N11'!R29+'K11'!R29</f>
        <v>0</v>
      </c>
      <c r="S29" s="121">
        <f>'N11'!S29+'K11'!S29</f>
        <v>0</v>
      </c>
      <c r="T29" s="33">
        <f>'N11'!T29+'K11'!T29</f>
        <v>0</v>
      </c>
      <c r="U29" s="115">
        <f>'N11'!U29+'K11'!U29</f>
        <v>0</v>
      </c>
      <c r="V29" s="115">
        <f>'N11'!V29+'K11'!V29</f>
        <v>0</v>
      </c>
      <c r="W29" s="115">
        <f>'N11'!W29+'K11'!W29</f>
        <v>0</v>
      </c>
      <c r="X29" s="116">
        <f>'N11'!X29+'K11'!X29</f>
        <v>0</v>
      </c>
      <c r="Y29" s="115">
        <f>'N11'!Y29+'K11'!Y29</f>
        <v>0</v>
      </c>
      <c r="Z29" s="116">
        <f>'N11'!Z29+'K11'!Z29</f>
        <v>0</v>
      </c>
      <c r="AA29" s="121">
        <f>'N11'!AA29+'K11'!AA29</f>
        <v>0</v>
      </c>
      <c r="AB29" s="121">
        <f>'N11'!AB29+'K11'!AB29</f>
        <v>0</v>
      </c>
      <c r="AC29" s="33">
        <f>'N11'!AC29+'K11'!AC29</f>
        <v>0</v>
      </c>
      <c r="AD29" s="12">
        <f>'N11'!AD29+'K11'!AD29</f>
        <v>57</v>
      </c>
      <c r="AE29" s="39"/>
      <c r="AF29" s="39"/>
      <c r="AG29" s="39"/>
      <c r="AH29" s="39"/>
      <c r="AI29" s="39"/>
      <c r="AJ29" s="39"/>
    </row>
    <row r="30" spans="1:36" x14ac:dyDescent="0.2">
      <c r="A30" s="5">
        <f>DAY(Kalenteri!A330)</f>
        <v>26</v>
      </c>
      <c r="B30" s="3" t="str">
        <f>IF(Kalenteri!B330=1,"su",IF(Kalenteri!B330=2,"ma",IF(Kalenteri!B330=3,"ti",IF(Kalenteri!B330=4,"ke",IF(Kalenteri!B330=5,"to",IF(Kalenteri!B330=6,"pe",IF(Kalenteri!B330=7,"la",)))))))</f>
        <v>ti</v>
      </c>
      <c r="C30" s="114">
        <f>'N11'!C30+'K11'!C30</f>
        <v>106</v>
      </c>
      <c r="D30" s="115">
        <f>'N11'!D30+'K11'!D30</f>
        <v>1</v>
      </c>
      <c r="E30" s="115">
        <f>'N11'!E30+'K11'!E30</f>
        <v>3</v>
      </c>
      <c r="F30" s="116">
        <f>'N11'!F30+'K11'!F30</f>
        <v>5</v>
      </c>
      <c r="G30" s="114">
        <f>'N11'!G30+'K11'!G30</f>
        <v>2</v>
      </c>
      <c r="H30" s="116">
        <f>'N11'!H30+'K11'!H30</f>
        <v>26</v>
      </c>
      <c r="I30" s="114">
        <f>'N11'!I30+'K11'!I30</f>
        <v>0</v>
      </c>
      <c r="J30" s="116">
        <f>'N11'!J30+'K11'!J30</f>
        <v>0</v>
      </c>
      <c r="K30" s="33">
        <f>'N11'!K30+'K11'!K30</f>
        <v>143</v>
      </c>
      <c r="L30" s="115">
        <f>'N11'!L30+'K11'!L30</f>
        <v>0</v>
      </c>
      <c r="M30" s="115">
        <f>'N11'!M30+'K11'!M30</f>
        <v>0</v>
      </c>
      <c r="N30" s="115">
        <f>'N11'!N30+'K11'!N30</f>
        <v>0</v>
      </c>
      <c r="O30" s="116">
        <f>'N11'!O30+'K11'!O30</f>
        <v>0</v>
      </c>
      <c r="P30" s="115">
        <f>'N11'!P30+'K11'!P30</f>
        <v>0</v>
      </c>
      <c r="Q30" s="116">
        <f>'N11'!Q30+'K11'!Q30</f>
        <v>0</v>
      </c>
      <c r="R30" s="121">
        <f>'N11'!R30+'K11'!R30</f>
        <v>0</v>
      </c>
      <c r="S30" s="121">
        <f>'N11'!S30+'K11'!S30</f>
        <v>0</v>
      </c>
      <c r="T30" s="33">
        <f>'N11'!T30+'K11'!T30</f>
        <v>0</v>
      </c>
      <c r="U30" s="115">
        <f>'N11'!U30+'K11'!U30</f>
        <v>0</v>
      </c>
      <c r="V30" s="115">
        <f>'N11'!V30+'K11'!V30</f>
        <v>0</v>
      </c>
      <c r="W30" s="115">
        <f>'N11'!W30+'K11'!W30</f>
        <v>0</v>
      </c>
      <c r="X30" s="116">
        <f>'N11'!X30+'K11'!X30</f>
        <v>0</v>
      </c>
      <c r="Y30" s="115">
        <f>'N11'!Y30+'K11'!Y30</f>
        <v>0</v>
      </c>
      <c r="Z30" s="116">
        <f>'N11'!Z30+'K11'!Z30</f>
        <v>0</v>
      </c>
      <c r="AA30" s="121">
        <f>'N11'!AA30+'K11'!AA30</f>
        <v>0</v>
      </c>
      <c r="AB30" s="121">
        <f>'N11'!AB30+'K11'!AB30</f>
        <v>0</v>
      </c>
      <c r="AC30" s="33">
        <f>'N11'!AC30+'K11'!AC30</f>
        <v>0</v>
      </c>
      <c r="AD30" s="12">
        <f>'N11'!AD30+'K11'!AD30</f>
        <v>143</v>
      </c>
      <c r="AE30" s="39"/>
      <c r="AF30" s="39"/>
      <c r="AG30" s="39"/>
      <c r="AH30" s="39"/>
      <c r="AI30" s="39"/>
      <c r="AJ30" s="39"/>
    </row>
    <row r="31" spans="1:36" x14ac:dyDescent="0.2">
      <c r="A31" s="5">
        <f>DAY(Kalenteri!A331)</f>
        <v>27</v>
      </c>
      <c r="B31" s="3" t="str">
        <f>IF(Kalenteri!B331=1,"su",IF(Kalenteri!B331=2,"ma",IF(Kalenteri!B331=3,"ti",IF(Kalenteri!B331=4,"ke",IF(Kalenteri!B331=5,"to",IF(Kalenteri!B331=6,"pe",IF(Kalenteri!B331=7,"la",)))))))</f>
        <v>ke</v>
      </c>
      <c r="C31" s="114">
        <f>'N11'!C31+'K11'!C31</f>
        <v>25</v>
      </c>
      <c r="D31" s="115">
        <f>'N11'!D31+'K11'!D31</f>
        <v>4</v>
      </c>
      <c r="E31" s="115">
        <f>'N11'!E31+'K11'!E31</f>
        <v>0</v>
      </c>
      <c r="F31" s="116">
        <f>'N11'!F31+'K11'!F31</f>
        <v>4</v>
      </c>
      <c r="G31" s="114">
        <f>'N11'!G31+'K11'!G31</f>
        <v>2</v>
      </c>
      <c r="H31" s="116">
        <f>'N11'!H31+'K11'!H31</f>
        <v>15</v>
      </c>
      <c r="I31" s="114">
        <f>'N11'!I31+'K11'!I31</f>
        <v>0</v>
      </c>
      <c r="J31" s="116">
        <f>'N11'!J31+'K11'!J31</f>
        <v>0</v>
      </c>
      <c r="K31" s="33">
        <f>'N11'!K31+'K11'!K31</f>
        <v>50</v>
      </c>
      <c r="L31" s="115">
        <f>'N11'!L31+'K11'!L31</f>
        <v>0</v>
      </c>
      <c r="M31" s="115">
        <f>'N11'!M31+'K11'!M31</f>
        <v>0</v>
      </c>
      <c r="N31" s="115">
        <f>'N11'!N31+'K11'!N31</f>
        <v>0</v>
      </c>
      <c r="O31" s="116">
        <f>'N11'!O31+'K11'!O31</f>
        <v>0</v>
      </c>
      <c r="P31" s="115">
        <f>'N11'!P31+'K11'!P31</f>
        <v>0</v>
      </c>
      <c r="Q31" s="116">
        <f>'N11'!Q31+'K11'!Q31</f>
        <v>0</v>
      </c>
      <c r="R31" s="121">
        <f>'N11'!R31+'K11'!R31</f>
        <v>0</v>
      </c>
      <c r="S31" s="121">
        <f>'N11'!S31+'K11'!S31</f>
        <v>0</v>
      </c>
      <c r="T31" s="33">
        <f>'N11'!T31+'K11'!T31</f>
        <v>0</v>
      </c>
      <c r="U31" s="115">
        <f>'N11'!U31+'K11'!U31</f>
        <v>0</v>
      </c>
      <c r="V31" s="115">
        <f>'N11'!V31+'K11'!V31</f>
        <v>0</v>
      </c>
      <c r="W31" s="115">
        <f>'N11'!W31+'K11'!W31</f>
        <v>0</v>
      </c>
      <c r="X31" s="116">
        <f>'N11'!X31+'K11'!X31</f>
        <v>0</v>
      </c>
      <c r="Y31" s="115">
        <f>'N11'!Y31+'K11'!Y31</f>
        <v>0</v>
      </c>
      <c r="Z31" s="116">
        <f>'N11'!Z31+'K11'!Z31</f>
        <v>0</v>
      </c>
      <c r="AA31" s="121">
        <f>'N11'!AA31+'K11'!AA31</f>
        <v>0</v>
      </c>
      <c r="AB31" s="121">
        <f>'N11'!AB31+'K11'!AB31</f>
        <v>0</v>
      </c>
      <c r="AC31" s="33">
        <f>'N11'!AC31+'K11'!AC31</f>
        <v>0</v>
      </c>
      <c r="AD31" s="12">
        <f>'N11'!AD31+'K11'!AD31</f>
        <v>50</v>
      </c>
      <c r="AE31" s="39"/>
      <c r="AF31" s="39"/>
      <c r="AG31" s="39"/>
      <c r="AH31" s="39"/>
      <c r="AI31" s="39"/>
      <c r="AJ31" s="39"/>
    </row>
    <row r="32" spans="1:36" x14ac:dyDescent="0.2">
      <c r="A32" s="5">
        <f>DAY(Kalenteri!A332)</f>
        <v>28</v>
      </c>
      <c r="B32" s="3" t="str">
        <f>IF(Kalenteri!B332=1,"su",IF(Kalenteri!B332=2,"ma",IF(Kalenteri!B332=3,"ti",IF(Kalenteri!B332=4,"ke",IF(Kalenteri!B332=5,"to",IF(Kalenteri!B332=6,"pe",IF(Kalenteri!B332=7,"la",)))))))</f>
        <v>to</v>
      </c>
      <c r="C32" s="114">
        <f>'N11'!C32+'K11'!C32</f>
        <v>50</v>
      </c>
      <c r="D32" s="115">
        <f>'N11'!D32+'K11'!D32</f>
        <v>2</v>
      </c>
      <c r="E32" s="115">
        <f>'N11'!E32+'K11'!E32</f>
        <v>0</v>
      </c>
      <c r="F32" s="116">
        <f>'N11'!F32+'K11'!F32</f>
        <v>1</v>
      </c>
      <c r="G32" s="114">
        <f>'N11'!G32+'K11'!G32</f>
        <v>8</v>
      </c>
      <c r="H32" s="116">
        <f>'N11'!H32+'K11'!H32</f>
        <v>10</v>
      </c>
      <c r="I32" s="114">
        <f>'N11'!I32+'K11'!I32</f>
        <v>0</v>
      </c>
      <c r="J32" s="116">
        <f>'N11'!J32+'K11'!J32</f>
        <v>0</v>
      </c>
      <c r="K32" s="33">
        <f>'N11'!K32+'K11'!K32</f>
        <v>71</v>
      </c>
      <c r="L32" s="115">
        <f>'N11'!L32+'K11'!L32</f>
        <v>0</v>
      </c>
      <c r="M32" s="115">
        <f>'N11'!M32+'K11'!M32</f>
        <v>0</v>
      </c>
      <c r="N32" s="115">
        <f>'N11'!N32+'K11'!N32</f>
        <v>0</v>
      </c>
      <c r="O32" s="116">
        <f>'N11'!O32+'K11'!O32</f>
        <v>0</v>
      </c>
      <c r="P32" s="115">
        <f>'N11'!P32+'K11'!P32</f>
        <v>0</v>
      </c>
      <c r="Q32" s="116">
        <f>'N11'!Q32+'K11'!Q32</f>
        <v>0</v>
      </c>
      <c r="R32" s="121">
        <f>'N11'!R32+'K11'!R32</f>
        <v>0</v>
      </c>
      <c r="S32" s="121">
        <f>'N11'!S32+'K11'!S32</f>
        <v>0</v>
      </c>
      <c r="T32" s="33">
        <f>'N11'!T32+'K11'!T32</f>
        <v>0</v>
      </c>
      <c r="U32" s="115">
        <f>'N11'!U32+'K11'!U32</f>
        <v>0</v>
      </c>
      <c r="V32" s="115">
        <f>'N11'!V32+'K11'!V32</f>
        <v>0</v>
      </c>
      <c r="W32" s="115">
        <f>'N11'!W32+'K11'!W32</f>
        <v>0</v>
      </c>
      <c r="X32" s="116">
        <f>'N11'!X32+'K11'!X32</f>
        <v>0</v>
      </c>
      <c r="Y32" s="115">
        <f>'N11'!Y32+'K11'!Y32</f>
        <v>0</v>
      </c>
      <c r="Z32" s="116">
        <f>'N11'!Z32+'K11'!Z32</f>
        <v>0</v>
      </c>
      <c r="AA32" s="121">
        <f>'N11'!AA32+'K11'!AA32</f>
        <v>0</v>
      </c>
      <c r="AB32" s="121">
        <f>'N11'!AB32+'K11'!AB32</f>
        <v>0</v>
      </c>
      <c r="AC32" s="33">
        <f>'N11'!AC32+'K11'!AC32</f>
        <v>0</v>
      </c>
      <c r="AD32" s="12">
        <f>'N11'!AD32+'K11'!AD32</f>
        <v>71</v>
      </c>
      <c r="AE32" s="39"/>
      <c r="AF32" s="39"/>
      <c r="AG32" s="39"/>
      <c r="AH32" s="39"/>
      <c r="AI32" s="39"/>
      <c r="AJ32" s="39"/>
    </row>
    <row r="33" spans="1:36" x14ac:dyDescent="0.2">
      <c r="A33" s="5">
        <f>DAY(Kalenteri!A333)</f>
        <v>29</v>
      </c>
      <c r="B33" s="3" t="str">
        <f>IF(Kalenteri!B333=1,"su",IF(Kalenteri!B333=2,"ma",IF(Kalenteri!B333=3,"ti",IF(Kalenteri!B333=4,"ke",IF(Kalenteri!B333=5,"to",IF(Kalenteri!B333=6,"pe",IF(Kalenteri!B333=7,"la",)))))))</f>
        <v>pe</v>
      </c>
      <c r="C33" s="114">
        <f>'N11'!C33+'K11'!C33</f>
        <v>41</v>
      </c>
      <c r="D33" s="115">
        <f>'N11'!D33+'K11'!D33</f>
        <v>4</v>
      </c>
      <c r="E33" s="115">
        <f>'N11'!E33+'K11'!E33</f>
        <v>0</v>
      </c>
      <c r="F33" s="116">
        <f>'N11'!F33+'K11'!F33</f>
        <v>4</v>
      </c>
      <c r="G33" s="114">
        <f>'N11'!G33+'K11'!G33</f>
        <v>12</v>
      </c>
      <c r="H33" s="116">
        <f>'N11'!H33+'K11'!H33</f>
        <v>19</v>
      </c>
      <c r="I33" s="114">
        <f>'N11'!I33+'K11'!I33</f>
        <v>0</v>
      </c>
      <c r="J33" s="116">
        <f>'N11'!J33+'K11'!J33</f>
        <v>0</v>
      </c>
      <c r="K33" s="33">
        <f>'N11'!K33+'K11'!K33</f>
        <v>80</v>
      </c>
      <c r="L33" s="115">
        <f>'N11'!L33+'K11'!L33</f>
        <v>0</v>
      </c>
      <c r="M33" s="115">
        <f>'N11'!M33+'K11'!M33</f>
        <v>0</v>
      </c>
      <c r="N33" s="115">
        <f>'N11'!N33+'K11'!N33</f>
        <v>0</v>
      </c>
      <c r="O33" s="116">
        <f>'N11'!O33+'K11'!O33</f>
        <v>0</v>
      </c>
      <c r="P33" s="115">
        <f>'N11'!P33+'K11'!P33</f>
        <v>0</v>
      </c>
      <c r="Q33" s="116">
        <f>'N11'!Q33+'K11'!Q33</f>
        <v>0</v>
      </c>
      <c r="R33" s="121">
        <f>'N11'!R33+'K11'!R33</f>
        <v>0</v>
      </c>
      <c r="S33" s="121">
        <f>'N11'!S33+'K11'!S33</f>
        <v>0</v>
      </c>
      <c r="T33" s="33">
        <f>'N11'!T33+'K11'!T33</f>
        <v>0</v>
      </c>
      <c r="U33" s="115">
        <f>'N11'!U33+'K11'!U33</f>
        <v>0</v>
      </c>
      <c r="V33" s="115">
        <f>'N11'!V33+'K11'!V33</f>
        <v>0</v>
      </c>
      <c r="W33" s="115">
        <f>'N11'!W33+'K11'!W33</f>
        <v>0</v>
      </c>
      <c r="X33" s="116">
        <f>'N11'!X33+'K11'!X33</f>
        <v>0</v>
      </c>
      <c r="Y33" s="115">
        <f>'N11'!Y33+'K11'!Y33</f>
        <v>0</v>
      </c>
      <c r="Z33" s="116">
        <f>'N11'!Z33+'K11'!Z33</f>
        <v>0</v>
      </c>
      <c r="AA33" s="121">
        <f>'N11'!AA33+'K11'!AA33</f>
        <v>0</v>
      </c>
      <c r="AB33" s="121">
        <f>'N11'!AB33+'K11'!AB33</f>
        <v>0</v>
      </c>
      <c r="AC33" s="33">
        <f>'N11'!AC33+'K11'!AC33</f>
        <v>0</v>
      </c>
      <c r="AD33" s="12">
        <f>'N11'!AD33+'K11'!AD33</f>
        <v>80</v>
      </c>
      <c r="AE33" s="39"/>
      <c r="AF33" s="39"/>
      <c r="AG33" s="39"/>
      <c r="AH33" s="39"/>
      <c r="AI33" s="39"/>
      <c r="AJ33" s="39"/>
    </row>
    <row r="34" spans="1:36" x14ac:dyDescent="0.2">
      <c r="A34" s="5">
        <f>DAY(Kalenteri!A334)</f>
        <v>30</v>
      </c>
      <c r="B34" s="3" t="str">
        <f>IF(Kalenteri!B334=1,"su",IF(Kalenteri!B334=2,"ma",IF(Kalenteri!B334=3,"ti",IF(Kalenteri!B334=4,"ke",IF(Kalenteri!B334=5,"to",IF(Kalenteri!B334=6,"pe",IF(Kalenteri!B334=7,"la",)))))))</f>
        <v>la</v>
      </c>
      <c r="C34" s="114">
        <f>'N11'!C34+'K11'!C34</f>
        <v>115</v>
      </c>
      <c r="D34" s="115">
        <f>'N11'!D34+'K11'!D34</f>
        <v>30</v>
      </c>
      <c r="E34" s="115">
        <f>'N11'!E34+'K11'!E34</f>
        <v>0</v>
      </c>
      <c r="F34" s="116">
        <f>'N11'!F34+'K11'!F34</f>
        <v>5</v>
      </c>
      <c r="G34" s="114">
        <f>'N11'!G34+'K11'!G34</f>
        <v>3</v>
      </c>
      <c r="H34" s="116">
        <f>'N11'!H34+'K11'!H34</f>
        <v>30</v>
      </c>
      <c r="I34" s="114">
        <f>'N11'!I34+'K11'!I34</f>
        <v>2</v>
      </c>
      <c r="J34" s="116">
        <f>'N11'!J34+'K11'!J34</f>
        <v>3</v>
      </c>
      <c r="K34" s="33">
        <f>'N11'!K34+'K11'!K34</f>
        <v>188</v>
      </c>
      <c r="L34" s="115">
        <f>'N11'!L34+'K11'!L34</f>
        <v>0</v>
      </c>
      <c r="M34" s="115">
        <f>'N11'!M34+'K11'!M34</f>
        <v>0</v>
      </c>
      <c r="N34" s="115">
        <f>'N11'!N34+'K11'!N34</f>
        <v>0</v>
      </c>
      <c r="O34" s="116">
        <f>'N11'!O34+'K11'!O34</f>
        <v>0</v>
      </c>
      <c r="P34" s="115">
        <f>'N11'!P34+'K11'!P34</f>
        <v>0</v>
      </c>
      <c r="Q34" s="116">
        <f>'N11'!Q34+'K11'!Q34</f>
        <v>0</v>
      </c>
      <c r="R34" s="121">
        <f>'N11'!R34+'K11'!R34</f>
        <v>0</v>
      </c>
      <c r="S34" s="121">
        <f>'N11'!S34+'K11'!S34</f>
        <v>0</v>
      </c>
      <c r="T34" s="33">
        <f>'N11'!T34+'K11'!T34</f>
        <v>0</v>
      </c>
      <c r="U34" s="115">
        <f>'N11'!U34+'K11'!U34</f>
        <v>0</v>
      </c>
      <c r="V34" s="115">
        <f>'N11'!V34+'K11'!V34</f>
        <v>0</v>
      </c>
      <c r="W34" s="115">
        <f>'N11'!W34+'K11'!W34</f>
        <v>0</v>
      </c>
      <c r="X34" s="116">
        <f>'N11'!X34+'K11'!X34</f>
        <v>0</v>
      </c>
      <c r="Y34" s="115">
        <f>'N11'!Y34+'K11'!Y34</f>
        <v>0</v>
      </c>
      <c r="Z34" s="116">
        <f>'N11'!Z34+'K11'!Z34</f>
        <v>0</v>
      </c>
      <c r="AA34" s="121">
        <f>'N11'!AA34+'K11'!AA34</f>
        <v>0</v>
      </c>
      <c r="AB34" s="121">
        <f>'N11'!AB34+'K11'!AB34</f>
        <v>0</v>
      </c>
      <c r="AC34" s="33">
        <f>'N11'!AC34+'K11'!AC34</f>
        <v>0</v>
      </c>
      <c r="AD34" s="12">
        <f>'N11'!AD34+'K11'!AD34</f>
        <v>188</v>
      </c>
      <c r="AE34" s="39"/>
      <c r="AF34" s="39"/>
      <c r="AG34" s="39"/>
      <c r="AH34" s="39"/>
      <c r="AI34" s="39"/>
      <c r="AJ34" s="39"/>
    </row>
    <row r="35" spans="1:36" x14ac:dyDescent="0.2">
      <c r="A35" s="5"/>
      <c r="B35" s="3"/>
      <c r="C35" s="117">
        <f>'N11'!C35+'K11'!C35</f>
        <v>0</v>
      </c>
      <c r="D35" s="118">
        <f>'N11'!D35+'K11'!D35</f>
        <v>0</v>
      </c>
      <c r="E35" s="118">
        <f>'N11'!E35+'K11'!E35</f>
        <v>0</v>
      </c>
      <c r="F35" s="119">
        <f>'N11'!F35+'K11'!F35</f>
        <v>0</v>
      </c>
      <c r="G35" s="117">
        <f>'N11'!G35+'K11'!G35</f>
        <v>0</v>
      </c>
      <c r="H35" s="119">
        <f>'N11'!H35+'K11'!H35</f>
        <v>0</v>
      </c>
      <c r="I35" s="117">
        <f>'N11'!I35+'K11'!I35</f>
        <v>0</v>
      </c>
      <c r="J35" s="119">
        <f>'N11'!J35+'K11'!J35</f>
        <v>0</v>
      </c>
      <c r="K35" s="34">
        <f>'N11'!K35+'K11'!K35</f>
        <v>0</v>
      </c>
      <c r="L35" s="122">
        <f>'N11'!L35+'K11'!L35</f>
        <v>0</v>
      </c>
      <c r="M35" s="122">
        <f>'N11'!M35+'K11'!M35</f>
        <v>0</v>
      </c>
      <c r="N35" s="122">
        <f>'N11'!N35+'K11'!N35</f>
        <v>0</v>
      </c>
      <c r="O35" s="123">
        <f>'N11'!O35+'K11'!O35</f>
        <v>0</v>
      </c>
      <c r="P35" s="122">
        <f>'N11'!P35+'K11'!P35</f>
        <v>0</v>
      </c>
      <c r="Q35" s="123">
        <f>'N11'!Q35+'K11'!Q35</f>
        <v>0</v>
      </c>
      <c r="R35" s="124">
        <f>'N11'!R35+'K11'!R35</f>
        <v>0</v>
      </c>
      <c r="S35" s="124">
        <f>'N11'!S35+'K11'!S35</f>
        <v>0</v>
      </c>
      <c r="T35" s="34">
        <f>'N11'!T35+'K11'!T35</f>
        <v>0</v>
      </c>
      <c r="U35" s="122">
        <f>'N11'!U35+'K11'!U35</f>
        <v>0</v>
      </c>
      <c r="V35" s="122">
        <f>'N11'!V35+'K11'!V35</f>
        <v>0</v>
      </c>
      <c r="W35" s="122">
        <f>'N11'!W35+'K11'!W35</f>
        <v>0</v>
      </c>
      <c r="X35" s="123">
        <f>'N11'!X35+'K11'!X35</f>
        <v>0</v>
      </c>
      <c r="Y35" s="122">
        <f>'N11'!Y35+'K11'!Y35</f>
        <v>0</v>
      </c>
      <c r="Z35" s="123">
        <f>'N11'!Z35+'K11'!Z35</f>
        <v>0</v>
      </c>
      <c r="AA35" s="124">
        <f>'N11'!AA35+'K11'!AA35</f>
        <v>0</v>
      </c>
      <c r="AB35" s="124">
        <f>'N11'!AB35+'K11'!AB35</f>
        <v>0</v>
      </c>
      <c r="AC35" s="34">
        <f>'N11'!AC35+'K11'!AC35</f>
        <v>0</v>
      </c>
      <c r="AD35" s="19">
        <f>'N11'!AD35+'K11'!AD35</f>
        <v>0</v>
      </c>
      <c r="AE35" s="39"/>
      <c r="AF35" s="39"/>
      <c r="AG35" s="39"/>
      <c r="AH35" s="39"/>
      <c r="AI35" s="39"/>
      <c r="AJ35" s="39"/>
    </row>
    <row r="36" spans="1:36" x14ac:dyDescent="0.2">
      <c r="A36" s="6"/>
      <c r="B36"/>
      <c r="C36" s="82">
        <f>'N11'!C36+'K11'!C36</f>
        <v>3435</v>
      </c>
      <c r="D36" s="83">
        <f>'N11'!D36+'K11'!D36</f>
        <v>848</v>
      </c>
      <c r="E36" s="83">
        <f>'N11'!E36+'K11'!E36</f>
        <v>32</v>
      </c>
      <c r="F36" s="84">
        <f>'N11'!F36+'K11'!F36</f>
        <v>252</v>
      </c>
      <c r="G36" s="83">
        <f>'N11'!G36+'K11'!G36</f>
        <v>121</v>
      </c>
      <c r="H36" s="84">
        <f>'N11'!H36+'K11'!H36</f>
        <v>1175</v>
      </c>
      <c r="I36" s="83">
        <f>'N11'!I36+'K11'!I36</f>
        <v>30</v>
      </c>
      <c r="J36" s="84">
        <f>'N11'!J36+'K11'!J36</f>
        <v>45</v>
      </c>
      <c r="K36" s="85">
        <f>'N11'!K36+'K11'!K36</f>
        <v>5938</v>
      </c>
      <c r="L36" s="83">
        <f>'N11'!L36+'K11'!L36</f>
        <v>78</v>
      </c>
      <c r="M36" s="83">
        <f>'N11'!M36+'K11'!M36</f>
        <v>10</v>
      </c>
      <c r="N36" s="83">
        <f>'N11'!N36+'K11'!N36</f>
        <v>0</v>
      </c>
      <c r="O36" s="84">
        <f>'N11'!O36+'K11'!O36</f>
        <v>10</v>
      </c>
      <c r="P36" s="83">
        <f>'N11'!P36+'K11'!P36</f>
        <v>0</v>
      </c>
      <c r="Q36" s="84">
        <f>'N11'!Q36+'K11'!Q36</f>
        <v>18</v>
      </c>
      <c r="R36" s="86">
        <f>'N11'!R36+'K11'!R36</f>
        <v>0</v>
      </c>
      <c r="S36" s="86">
        <f>'N11'!S36+'K11'!S36</f>
        <v>0</v>
      </c>
      <c r="T36" s="85">
        <f>'N11'!T36+'K11'!T36</f>
        <v>116</v>
      </c>
      <c r="U36" s="83">
        <f>'N11'!U36+'K11'!U36</f>
        <v>0</v>
      </c>
      <c r="V36" s="83">
        <f>'N11'!V36+'K11'!V36</f>
        <v>0</v>
      </c>
      <c r="W36" s="83">
        <f>'N11'!W36+'K11'!W36</f>
        <v>0</v>
      </c>
      <c r="X36" s="84">
        <f>'N11'!X36+'K11'!X36</f>
        <v>0</v>
      </c>
      <c r="Y36" s="83">
        <f>'N11'!Y36+'K11'!Y36</f>
        <v>0</v>
      </c>
      <c r="Z36" s="84">
        <f>'N11'!Z36+'K11'!Z36</f>
        <v>0</v>
      </c>
      <c r="AA36" s="86">
        <f>'N11'!AA36+'K11'!AA36</f>
        <v>0</v>
      </c>
      <c r="AB36" s="86">
        <f>'N11'!AB36+'K11'!AB36</f>
        <v>0</v>
      </c>
      <c r="AC36" s="85">
        <f>'N11'!AC36+'K11'!AC36</f>
        <v>0</v>
      </c>
      <c r="AD36" s="87">
        <f>'N11'!AD36+'K11'!AD36</f>
        <v>6054</v>
      </c>
      <c r="AE36" s="66"/>
      <c r="AF36" s="66"/>
      <c r="AG36" s="66"/>
      <c r="AH36" s="66"/>
      <c r="AI36" s="66"/>
      <c r="AJ36" s="66"/>
    </row>
    <row r="37" spans="1:36" ht="8.1" customHeight="1" thickBot="1" x14ac:dyDescent="0.25">
      <c r="A37" s="6"/>
      <c r="B37"/>
      <c r="C37" s="2"/>
      <c r="D37" s="5"/>
      <c r="E37" s="5"/>
      <c r="F37" s="2"/>
      <c r="G37" s="2"/>
      <c r="H37" s="2"/>
      <c r="I37" s="5"/>
      <c r="J37" s="2"/>
      <c r="K37" s="2"/>
      <c r="L37" s="5"/>
      <c r="M37" s="2"/>
      <c r="N37" s="5"/>
      <c r="O37" s="5"/>
      <c r="P37" s="2"/>
      <c r="Q37" s="5"/>
      <c r="R37" s="42"/>
      <c r="S37" s="42"/>
      <c r="T37" s="2"/>
      <c r="U37" s="2"/>
      <c r="V37" s="2"/>
      <c r="W37" s="2"/>
      <c r="X37" s="5"/>
      <c r="Y37" s="2"/>
      <c r="Z37" s="2"/>
      <c r="AA37" s="39"/>
      <c r="AB37" s="39"/>
      <c r="AC37" s="5"/>
      <c r="AD37" s="40"/>
      <c r="AE37" s="40"/>
      <c r="AF37" s="40"/>
      <c r="AG37" s="40"/>
      <c r="AH37" s="40"/>
      <c r="AI37" s="40"/>
      <c r="AJ37" s="40"/>
    </row>
    <row r="38" spans="1:36" ht="24.95" customHeight="1" thickTop="1" x14ac:dyDescent="0.3">
      <c r="A38" s="6"/>
      <c r="B38"/>
      <c r="C38" s="171" t="str">
        <f>Kalenteri!E38</f>
        <v>Lippujen hinnat:</v>
      </c>
      <c r="D38" s="5"/>
      <c r="E38" s="5"/>
      <c r="F38" s="2"/>
      <c r="G38" s="2"/>
      <c r="H38" s="2"/>
      <c r="I38" s="5"/>
      <c r="J38" s="2"/>
      <c r="K38" s="2"/>
      <c r="L38" s="5"/>
      <c r="M38" s="2"/>
      <c r="N38" s="5"/>
      <c r="O38" s="5"/>
      <c r="P38" s="2"/>
      <c r="Q38"/>
      <c r="R38"/>
      <c r="S38"/>
      <c r="T38"/>
      <c r="U38" s="49" t="s">
        <v>12</v>
      </c>
      <c r="V38" s="50"/>
      <c r="W38" s="43"/>
      <c r="X38" s="44"/>
      <c r="Y38" s="43"/>
      <c r="Z38" s="43"/>
      <c r="AA38" s="44"/>
      <c r="AB38" s="44"/>
      <c r="AC38" s="47"/>
      <c r="AD38" s="45">
        <f>'N11'!AD38+'K11'!AD38</f>
        <v>6054</v>
      </c>
      <c r="AE38" s="41"/>
      <c r="AF38" s="41"/>
      <c r="AG38" s="41"/>
      <c r="AH38" s="41"/>
      <c r="AI38" s="41"/>
      <c r="AJ38" s="41"/>
    </row>
    <row r="39" spans="1:36" ht="24.95" customHeight="1" x14ac:dyDescent="0.3">
      <c r="A39" s="6"/>
      <c r="B39"/>
      <c r="C39" s="193" t="str">
        <f>Kalenteri!E39</f>
        <v>Mustikkamaan kautta: 1.9.-30.4. aik. 10 €, lapset 5 €, kimppalippu 30 €    1.5.-30.8. aik. 12 €, lapset 6 €, kimppalippu 36 €</v>
      </c>
      <c r="D39" s="89"/>
      <c r="E39" s="89"/>
      <c r="F39" s="90"/>
      <c r="G39" s="102"/>
      <c r="H39" s="174"/>
      <c r="I39" s="89"/>
      <c r="J39" s="90"/>
      <c r="K39" s="90"/>
      <c r="L39" s="89"/>
      <c r="M39" s="90"/>
      <c r="N39" s="89"/>
      <c r="O39" s="89"/>
      <c r="P39" s="89"/>
      <c r="Q39" s="104"/>
      <c r="R39" s="103"/>
      <c r="S39"/>
      <c r="T39"/>
      <c r="U39" s="62" t="s">
        <v>13</v>
      </c>
      <c r="V39" s="52"/>
      <c r="W39" s="53"/>
      <c r="X39" s="54"/>
      <c r="Y39" s="53"/>
      <c r="Z39" s="53"/>
      <c r="AA39" s="54"/>
      <c r="AB39" s="54"/>
      <c r="AC39" s="55"/>
      <c r="AD39" s="56">
        <f>'N11'!AD39+'K11'!AD39</f>
        <v>488</v>
      </c>
      <c r="AE39" s="67"/>
      <c r="AF39" s="67"/>
      <c r="AG39" s="67"/>
      <c r="AH39" s="67"/>
      <c r="AI39" s="67"/>
      <c r="AJ39" s="67"/>
    </row>
    <row r="40" spans="1:36" ht="24.95" customHeight="1" x14ac:dyDescent="0.3">
      <c r="A40" s="6"/>
      <c r="B40" s="6"/>
      <c r="C40" s="194" t="str">
        <f>Kalenteri!E40</f>
        <v xml:space="preserve">                                    Vuosikortti:     aik. 50 €, lapset 20 €, perhekortti 100 €</v>
      </c>
      <c r="D40" s="39"/>
      <c r="E40" s="39"/>
      <c r="F40" s="42"/>
      <c r="G40" s="65"/>
      <c r="H40" s="176"/>
      <c r="I40" s="39"/>
      <c r="J40" s="42"/>
      <c r="K40" s="42"/>
      <c r="L40" s="39"/>
      <c r="M40" s="42"/>
      <c r="N40" s="39"/>
      <c r="O40" s="39"/>
      <c r="P40" s="39"/>
      <c r="Q40" s="23"/>
      <c r="R40" s="97"/>
      <c r="S40"/>
      <c r="T40"/>
      <c r="U40" s="63" t="s">
        <v>14</v>
      </c>
      <c r="V40" s="37"/>
      <c r="W40" s="51"/>
      <c r="X40" s="41"/>
      <c r="Y40" s="51"/>
      <c r="Z40" s="41"/>
      <c r="AA40" s="41"/>
      <c r="AB40" s="41"/>
      <c r="AC40" s="48"/>
      <c r="AD40" s="46">
        <f>'N11'!AD40+'K11'!AD40</f>
        <v>493494</v>
      </c>
      <c r="AE40" s="41"/>
      <c r="AF40" s="41"/>
      <c r="AG40" s="41"/>
      <c r="AH40" s="41"/>
      <c r="AI40" s="41"/>
      <c r="AJ40" s="41"/>
    </row>
    <row r="41" spans="1:36" ht="24.95" customHeight="1" thickBot="1" x14ac:dyDescent="0.35">
      <c r="A41" s="4"/>
      <c r="B41" s="4"/>
      <c r="C41" s="195" t="str">
        <f>Kalenteri!E41</f>
        <v>Vesibusseilla:             1.9.-30.4. aik. 16 €, lapset 8 €, kimppalippu 47 €    1.5.-31.8. aik. 18 €, lapset 9 €, kimppalippu 53 €</v>
      </c>
      <c r="D41" s="93"/>
      <c r="E41" s="93"/>
      <c r="F41" s="94"/>
      <c r="G41" s="94"/>
      <c r="H41" s="175"/>
      <c r="I41" s="93"/>
      <c r="J41" s="96"/>
      <c r="K41" s="96"/>
      <c r="L41" s="93"/>
      <c r="M41" s="95"/>
      <c r="N41" s="95"/>
      <c r="O41" s="93"/>
      <c r="P41" s="93"/>
      <c r="Q41" s="95"/>
      <c r="R41" s="98"/>
      <c r="S41"/>
      <c r="T41"/>
      <c r="U41" s="64" t="s">
        <v>13</v>
      </c>
      <c r="V41" s="57"/>
      <c r="W41" s="58"/>
      <c r="X41" s="59"/>
      <c r="Y41" s="59"/>
      <c r="Z41" s="59"/>
      <c r="AA41" s="59"/>
      <c r="AB41" s="59"/>
      <c r="AC41" s="60"/>
      <c r="AD41" s="61">
        <f>'N11'!AD41+'K11'!AD41</f>
        <v>8880</v>
      </c>
      <c r="AE41" s="68"/>
      <c r="AF41" s="68"/>
      <c r="AG41" s="68"/>
      <c r="AH41" s="68"/>
      <c r="AI41" s="68"/>
      <c r="AJ41" s="68"/>
    </row>
    <row r="42" spans="1:36" ht="13.5" thickTop="1" x14ac:dyDescent="0.2"/>
  </sheetData>
  <sheetProtection password="C4AC" sheet="1" objects="1" scenarios="1"/>
  <phoneticPr fontId="4" type="noConversion"/>
  <pageMargins left="0" right="0" top="0.27559055118110237" bottom="0" header="0" footer="0"/>
  <pageSetup paperSize="9" scale="75" fitToHeight="0" orientation="landscape" horizontalDpi="4294967292" verticalDpi="4294967292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20833" r:id="rId4" name="Button 1">
              <controlPr defaultSize="0" print="0" autoFill="0" autoLine="0" autoPict="0" macro="[1]!TAMMI">
                <anchor moveWithCells="1" sizeWithCells="1">
                  <from>
                    <xdr:col>35</xdr:col>
                    <xdr:colOff>0</xdr:colOff>
                    <xdr:row>3</xdr:row>
                    <xdr:rowOff>9525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834" r:id="rId5" name="Button 2">
              <controlPr defaultSize="0" print="0" autoFill="0" autoLine="0" autoPict="0" macro="[1]KTMAKRO!$A$1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835" r:id="rId6" name="Button 3">
              <controlPr defaultSize="0" print="0" autoFill="0" autoLine="0" autoPict="0" macro="[1]!MAALIS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836" r:id="rId7" name="Button 4">
              <controlPr defaultSize="0" print="0" autoFill="0" autoLine="0" autoPict="0" macro="[1]KTMAKRO!$D$1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837" r:id="rId8" name="Button 5">
              <controlPr defaultSize="0" print="0" autoFill="0" autoLine="0" autoPict="0" macro="[1]KTMAKRO!$E$1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838" r:id="rId9" name="Button 6">
              <controlPr defaultSize="0" print="0" autoFill="0" autoLine="0" autoPict="0" macro="[1]!KESÄ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840" r:id="rId10" name="Button 8">
              <controlPr defaultSize="0" print="0" autoFill="0" autoLine="0" autoPict="0" macro="[1]KTMAKRO!$G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841" r:id="rId11" name="Button 9">
              <controlPr defaultSize="0" print="0" autoFill="0" autoLine="0" autoPict="0" macro="[1]KTMAKRO!$I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842" r:id="rId12" name="Button 10">
              <controlPr defaultSize="0" print="0" autoFill="0" autoLine="0" autoPict="0" macro="[1]KTMAKRO!$J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/>
  <dimension ref="A1:AJ42"/>
  <sheetViews>
    <sheetView showGridLines="0" zoomScale="80" zoomScaleNormal="80" workbookViewId="0"/>
  </sheetViews>
  <sheetFormatPr defaultColWidth="9.75" defaultRowHeight="12.75" x14ac:dyDescent="0.2"/>
  <cols>
    <col min="1" max="1" width="3.75" style="1" customWidth="1"/>
    <col min="2" max="2" width="2.75" style="1" customWidth="1"/>
    <col min="3" max="4" width="6.125" style="1" customWidth="1"/>
    <col min="5" max="5" width="4" style="1" customWidth="1"/>
    <col min="6" max="6" width="4.5" style="1" customWidth="1"/>
    <col min="7" max="10" width="6.125" style="1" customWidth="1"/>
    <col min="11" max="11" width="5.875" style="1" customWidth="1"/>
    <col min="12" max="13" width="6.125" style="1" customWidth="1"/>
    <col min="14" max="14" width="5.25" style="1" customWidth="1"/>
    <col min="15" max="15" width="4.5" style="1" customWidth="1"/>
    <col min="16" max="16" width="6.125" style="1" customWidth="1"/>
    <col min="17" max="17" width="5.5" style="1" customWidth="1"/>
    <col min="18" max="19" width="6.125" style="1" customWidth="1"/>
    <col min="20" max="20" width="5.875" style="1" customWidth="1"/>
    <col min="21" max="22" width="6.125" style="1" customWidth="1"/>
    <col min="23" max="23" width="4.375" style="1" customWidth="1"/>
    <col min="24" max="24" width="4.25" style="1" customWidth="1"/>
    <col min="25" max="29" width="6.125" style="1" customWidth="1"/>
    <col min="30" max="36" width="15.625" style="1" customWidth="1"/>
  </cols>
  <sheetData>
    <row r="1" spans="1:36" ht="30" customHeight="1" x14ac:dyDescent="0.35">
      <c r="A1" s="22"/>
      <c r="B1" s="4"/>
      <c r="C1" s="105" t="s">
        <v>15</v>
      </c>
      <c r="D1" s="106"/>
      <c r="E1" s="106"/>
      <c r="F1" s="106"/>
      <c r="G1" s="106"/>
      <c r="H1" s="106"/>
      <c r="I1" s="106"/>
      <c r="J1" s="106"/>
      <c r="K1" s="106"/>
      <c r="L1" s="105" t="str">
        <f>Kalenteri!$H$1</f>
        <v>KÄVIJÄTILASTO 2013</v>
      </c>
      <c r="M1" s="107"/>
      <c r="N1" s="107"/>
      <c r="O1" s="107"/>
      <c r="P1" s="106"/>
      <c r="Q1" s="106"/>
      <c r="R1" s="105" t="s">
        <v>81</v>
      </c>
      <c r="S1" s="108"/>
      <c r="T1" s="106"/>
      <c r="U1" s="109"/>
      <c r="V1" s="105" t="s">
        <v>42</v>
      </c>
      <c r="W1" s="109"/>
      <c r="X1" s="106"/>
      <c r="Y1" s="106"/>
      <c r="Z1" s="106"/>
      <c r="AA1" s="106"/>
      <c r="AB1" s="106"/>
      <c r="AC1" s="106"/>
      <c r="AD1" s="110"/>
      <c r="AE1" s="4"/>
      <c r="AF1" s="4"/>
      <c r="AG1" s="4"/>
      <c r="AH1" s="4"/>
      <c r="AI1" s="4"/>
      <c r="AJ1" s="4"/>
    </row>
    <row r="2" spans="1:36" ht="30" customHeight="1" x14ac:dyDescent="0.3">
      <c r="A2" s="3"/>
      <c r="B2" s="4"/>
      <c r="C2" s="72"/>
      <c r="D2" s="73"/>
      <c r="E2" s="74" t="s">
        <v>1</v>
      </c>
      <c r="F2" s="75"/>
      <c r="G2" s="75"/>
      <c r="H2" s="75"/>
      <c r="I2" s="75"/>
      <c r="J2" s="75"/>
      <c r="K2" s="76"/>
      <c r="L2" s="72"/>
      <c r="M2" s="77"/>
      <c r="N2" s="73"/>
      <c r="O2" s="74" t="s">
        <v>2</v>
      </c>
      <c r="P2" s="75"/>
      <c r="Q2" s="75"/>
      <c r="R2" s="75"/>
      <c r="S2" s="75"/>
      <c r="T2" s="76"/>
      <c r="U2" s="72"/>
      <c r="V2" s="75"/>
      <c r="W2" s="73"/>
      <c r="X2" s="74" t="s">
        <v>3</v>
      </c>
      <c r="Y2" s="75"/>
      <c r="Z2" s="75"/>
      <c r="AA2" s="75"/>
      <c r="AB2" s="75"/>
      <c r="AC2" s="76"/>
      <c r="AD2" s="13"/>
      <c r="AE2" s="35"/>
      <c r="AF2" s="69"/>
      <c r="AG2" s="69"/>
      <c r="AH2" s="69"/>
      <c r="AI2" s="69"/>
      <c r="AJ2" s="69"/>
    </row>
    <row r="3" spans="1:36" x14ac:dyDescent="0.2">
      <c r="A3" s="4"/>
      <c r="B3" s="4"/>
      <c r="C3" s="24" t="s">
        <v>4</v>
      </c>
      <c r="D3" s="25"/>
      <c r="E3" s="25"/>
      <c r="F3" s="26"/>
      <c r="G3" s="24" t="s">
        <v>5</v>
      </c>
      <c r="H3" s="26"/>
      <c r="I3" s="25" t="s">
        <v>6</v>
      </c>
      <c r="J3" s="25"/>
      <c r="K3" s="27"/>
      <c r="L3" s="24" t="s">
        <v>4</v>
      </c>
      <c r="M3" s="25"/>
      <c r="N3" s="25"/>
      <c r="O3" s="26"/>
      <c r="P3" s="24" t="s">
        <v>5</v>
      </c>
      <c r="Q3" s="26"/>
      <c r="R3" s="25" t="s">
        <v>6</v>
      </c>
      <c r="S3" s="25"/>
      <c r="T3" s="27"/>
      <c r="U3" s="24" t="s">
        <v>4</v>
      </c>
      <c r="V3" s="25"/>
      <c r="W3" s="25"/>
      <c r="X3" s="26"/>
      <c r="Y3" s="24" t="s">
        <v>5</v>
      </c>
      <c r="Z3" s="26"/>
      <c r="AA3" s="25" t="s">
        <v>6</v>
      </c>
      <c r="AB3" s="25"/>
      <c r="AC3" s="27"/>
      <c r="AD3" s="36" t="s">
        <v>7</v>
      </c>
      <c r="AE3" s="38"/>
      <c r="AF3" s="70"/>
      <c r="AG3" s="70"/>
      <c r="AH3" s="70"/>
      <c r="AI3" s="70"/>
      <c r="AJ3"/>
    </row>
    <row r="4" spans="1:36" x14ac:dyDescent="0.2">
      <c r="A4" s="6"/>
      <c r="B4" s="4"/>
      <c r="C4" s="7" t="s">
        <v>8</v>
      </c>
      <c r="D4" s="8" t="s">
        <v>9</v>
      </c>
      <c r="E4" s="8" t="s">
        <v>10</v>
      </c>
      <c r="F4" s="9" t="s">
        <v>11</v>
      </c>
      <c r="G4" s="7" t="s">
        <v>8</v>
      </c>
      <c r="H4" s="9" t="s">
        <v>9</v>
      </c>
      <c r="I4" s="8" t="s">
        <v>8</v>
      </c>
      <c r="J4" s="8" t="s">
        <v>9</v>
      </c>
      <c r="K4" s="14" t="s">
        <v>0</v>
      </c>
      <c r="L4" s="7" t="s">
        <v>8</v>
      </c>
      <c r="M4" s="8" t="s">
        <v>9</v>
      </c>
      <c r="N4" s="8" t="s">
        <v>10</v>
      </c>
      <c r="O4" s="9" t="s">
        <v>11</v>
      </c>
      <c r="P4" s="7" t="s">
        <v>8</v>
      </c>
      <c r="Q4" s="9" t="s">
        <v>9</v>
      </c>
      <c r="R4" s="8" t="s">
        <v>8</v>
      </c>
      <c r="S4" s="8" t="s">
        <v>9</v>
      </c>
      <c r="T4" s="14" t="s">
        <v>0</v>
      </c>
      <c r="U4" s="7" t="s">
        <v>8</v>
      </c>
      <c r="V4" s="8" t="s">
        <v>9</v>
      </c>
      <c r="W4" s="8" t="s">
        <v>10</v>
      </c>
      <c r="X4" s="9" t="s">
        <v>11</v>
      </c>
      <c r="Y4" s="7" t="s">
        <v>8</v>
      </c>
      <c r="Z4" s="9" t="s">
        <v>9</v>
      </c>
      <c r="AA4" s="8" t="s">
        <v>8</v>
      </c>
      <c r="AB4" s="8" t="s">
        <v>9</v>
      </c>
      <c r="AC4" s="14" t="s">
        <v>0</v>
      </c>
      <c r="AD4" s="28"/>
      <c r="AE4" s="23"/>
      <c r="AF4" s="23"/>
      <c r="AG4" s="23"/>
      <c r="AH4" s="23"/>
      <c r="AI4" s="23"/>
      <c r="AJ4"/>
    </row>
    <row r="5" spans="1:36" x14ac:dyDescent="0.2">
      <c r="A5" s="5">
        <f>DAY(Kalenteri!A335)</f>
        <v>1</v>
      </c>
      <c r="B5" s="3" t="str">
        <f>IF(Kalenteri!B335=1,"su",IF(Kalenteri!B335=2,"ma",IF(Kalenteri!B335=3,"ti",IF(Kalenteri!B335=4,"ke",IF(Kalenteri!B335=5,"to",IF(Kalenteri!B335=6,"pe",IF(Kalenteri!B335=7,"la",)))))))</f>
        <v>su</v>
      </c>
      <c r="C5" s="111">
        <f>'N12'!C5+'K12'!C5</f>
        <v>78</v>
      </c>
      <c r="D5" s="112">
        <f>'N12'!D5+'K12'!D5</f>
        <v>10</v>
      </c>
      <c r="E5" s="112">
        <f>'N12'!E5+'K12'!E5</f>
        <v>0</v>
      </c>
      <c r="F5" s="113">
        <f>'N12'!F5+'K12'!F5</f>
        <v>10</v>
      </c>
      <c r="G5" s="111">
        <f>'N12'!G5+'K12'!G5</f>
        <v>0</v>
      </c>
      <c r="H5" s="113">
        <f>'N12'!H5+'K12'!H5</f>
        <v>18</v>
      </c>
      <c r="I5" s="111">
        <f>'N12'!I5+'K12'!I5</f>
        <v>0</v>
      </c>
      <c r="J5" s="113">
        <f>'N12'!J5+'K12'!J5</f>
        <v>0</v>
      </c>
      <c r="K5" s="32">
        <f>'N12'!K5+'K12'!K5</f>
        <v>116</v>
      </c>
      <c r="L5" s="112">
        <f>'N12'!L5+'K12'!L5</f>
        <v>0</v>
      </c>
      <c r="M5" s="112">
        <f>'N12'!M5+'K12'!M5</f>
        <v>0</v>
      </c>
      <c r="N5" s="112">
        <f>'N12'!N5+'K12'!N5</f>
        <v>0</v>
      </c>
      <c r="O5" s="113">
        <f>'N12'!O5+'K12'!O5</f>
        <v>0</v>
      </c>
      <c r="P5" s="112">
        <f>'N12'!P5+'K12'!P5</f>
        <v>0</v>
      </c>
      <c r="Q5" s="113">
        <f>'N12'!Q5+'K12'!Q5</f>
        <v>0</v>
      </c>
      <c r="R5" s="120">
        <f>'N12'!R5+'K12'!R5</f>
        <v>0</v>
      </c>
      <c r="S5" s="120">
        <f>'N12'!S5+'K12'!S5</f>
        <v>0</v>
      </c>
      <c r="T5" s="32">
        <f>'N12'!T5+'K12'!T5</f>
        <v>0</v>
      </c>
      <c r="U5" s="112">
        <f>'N12'!U5+'K12'!U5</f>
        <v>0</v>
      </c>
      <c r="V5" s="112">
        <f>'N12'!V5+'K12'!V5</f>
        <v>0</v>
      </c>
      <c r="W5" s="112">
        <f>'N12'!W5+'K12'!W5</f>
        <v>0</v>
      </c>
      <c r="X5" s="113">
        <f>'N12'!X5+'K12'!X5</f>
        <v>0</v>
      </c>
      <c r="Y5" s="112">
        <f>'N12'!Y5+'K12'!Y5</f>
        <v>0</v>
      </c>
      <c r="Z5" s="113">
        <f>'N12'!Z5+'K12'!Z5</f>
        <v>0</v>
      </c>
      <c r="AA5" s="120">
        <f>'N12'!AA5+'K12'!AA5</f>
        <v>0</v>
      </c>
      <c r="AB5" s="120">
        <f>'N12'!AB5+'K12'!AB5</f>
        <v>0</v>
      </c>
      <c r="AC5" s="32">
        <f>'N12'!AC5+'K12'!AC5</f>
        <v>0</v>
      </c>
      <c r="AD5" s="17">
        <f>'N12'!AD5+'K12'!AD5</f>
        <v>116</v>
      </c>
      <c r="AE5" s="39"/>
      <c r="AF5" s="39"/>
      <c r="AG5" s="39"/>
      <c r="AH5" s="39"/>
      <c r="AI5" s="39"/>
      <c r="AJ5"/>
    </row>
    <row r="6" spans="1:36" x14ac:dyDescent="0.2">
      <c r="A6" s="5">
        <f>DAY(Kalenteri!A336)</f>
        <v>2</v>
      </c>
      <c r="B6" s="3" t="str">
        <f>IF(Kalenteri!B336=1,"su",IF(Kalenteri!B336=2,"ma",IF(Kalenteri!B336=3,"ti",IF(Kalenteri!B336=4,"ke",IF(Kalenteri!B336=5,"to",IF(Kalenteri!B336=6,"pe",IF(Kalenteri!B336=7,"la",)))))))</f>
        <v>ma</v>
      </c>
      <c r="C6" s="114">
        <f>'N12'!C6+'K12'!C6</f>
        <v>46</v>
      </c>
      <c r="D6" s="115">
        <f>'N12'!D6+'K12'!D6</f>
        <v>5</v>
      </c>
      <c r="E6" s="115">
        <f>'N12'!E6+'K12'!E6</f>
        <v>0</v>
      </c>
      <c r="F6" s="116">
        <f>'N12'!F6+'K12'!F6</f>
        <v>5</v>
      </c>
      <c r="G6" s="114">
        <f>'N12'!G6+'K12'!G6</f>
        <v>0</v>
      </c>
      <c r="H6" s="116">
        <f>'N12'!H6+'K12'!H6</f>
        <v>13</v>
      </c>
      <c r="I6" s="114">
        <f>'N12'!I6+'K12'!I6</f>
        <v>0</v>
      </c>
      <c r="J6" s="116">
        <f>'N12'!J6+'K12'!J6</f>
        <v>0</v>
      </c>
      <c r="K6" s="33">
        <f>'N12'!K6+'K12'!K6</f>
        <v>69</v>
      </c>
      <c r="L6" s="115">
        <f>'N12'!L6+'K12'!L6</f>
        <v>0</v>
      </c>
      <c r="M6" s="115">
        <f>'N12'!M6+'K12'!M6</f>
        <v>0</v>
      </c>
      <c r="N6" s="115">
        <f>'N12'!N6+'K12'!N6</f>
        <v>0</v>
      </c>
      <c r="O6" s="116">
        <f>'N12'!O6+'K12'!O6</f>
        <v>0</v>
      </c>
      <c r="P6" s="115">
        <f>'N12'!P6+'K12'!P6</f>
        <v>0</v>
      </c>
      <c r="Q6" s="116">
        <f>'N12'!Q6+'K12'!Q6</f>
        <v>0</v>
      </c>
      <c r="R6" s="121">
        <f>'N12'!R6+'K12'!R6</f>
        <v>0</v>
      </c>
      <c r="S6" s="121">
        <f>'N12'!S6+'K12'!S6</f>
        <v>0</v>
      </c>
      <c r="T6" s="33">
        <f>'N12'!T6+'K12'!T6</f>
        <v>0</v>
      </c>
      <c r="U6" s="115">
        <f>'N12'!U6+'K12'!U6</f>
        <v>0</v>
      </c>
      <c r="V6" s="115">
        <f>'N12'!V6+'K12'!V6</f>
        <v>0</v>
      </c>
      <c r="W6" s="115">
        <f>'N12'!W6+'K12'!W6</f>
        <v>0</v>
      </c>
      <c r="X6" s="116">
        <f>'N12'!X6+'K12'!X6</f>
        <v>0</v>
      </c>
      <c r="Y6" s="115">
        <f>'N12'!Y6+'K12'!Y6</f>
        <v>0</v>
      </c>
      <c r="Z6" s="116">
        <f>'N12'!Z6+'K12'!Z6</f>
        <v>0</v>
      </c>
      <c r="AA6" s="121">
        <f>'N12'!AA6+'K12'!AA6</f>
        <v>0</v>
      </c>
      <c r="AB6" s="121">
        <f>'N12'!AB6+'K12'!AB6</f>
        <v>0</v>
      </c>
      <c r="AC6" s="33">
        <f>'N12'!AC6+'K12'!AC6</f>
        <v>0</v>
      </c>
      <c r="AD6" s="12">
        <f>'N12'!AD6+'K12'!AD6</f>
        <v>69</v>
      </c>
      <c r="AE6" s="39"/>
      <c r="AF6" s="39"/>
      <c r="AG6" s="39"/>
      <c r="AH6" s="39"/>
      <c r="AI6" s="39"/>
      <c r="AJ6"/>
    </row>
    <row r="7" spans="1:36" x14ac:dyDescent="0.2">
      <c r="A7" s="5">
        <f>DAY(Kalenteri!A337)</f>
        <v>3</v>
      </c>
      <c r="B7" s="3" t="str">
        <f>IF(Kalenteri!B337=1,"su",IF(Kalenteri!B337=2,"ma",IF(Kalenteri!B337=3,"ti",IF(Kalenteri!B337=4,"ke",IF(Kalenteri!B337=5,"to",IF(Kalenteri!B337=6,"pe",IF(Kalenteri!B337=7,"la",)))))))</f>
        <v>ti</v>
      </c>
      <c r="C7" s="114">
        <f>'N12'!C7+'K12'!C7</f>
        <v>18</v>
      </c>
      <c r="D7" s="115">
        <f>'N12'!D7+'K12'!D7</f>
        <v>1</v>
      </c>
      <c r="E7" s="115">
        <f>'N12'!E7+'K12'!E7</f>
        <v>2</v>
      </c>
      <c r="F7" s="116">
        <f>'N12'!F7+'K12'!F7</f>
        <v>1</v>
      </c>
      <c r="G7" s="114">
        <f>'N12'!G7+'K12'!G7</f>
        <v>0</v>
      </c>
      <c r="H7" s="116">
        <f>'N12'!H7+'K12'!H7</f>
        <v>2</v>
      </c>
      <c r="I7" s="114">
        <f>'N12'!I7+'K12'!I7</f>
        <v>0</v>
      </c>
      <c r="J7" s="116">
        <f>'N12'!J7+'K12'!J7</f>
        <v>0</v>
      </c>
      <c r="K7" s="33">
        <f>'N12'!K7+'K12'!K7</f>
        <v>24</v>
      </c>
      <c r="L7" s="115">
        <f>'N12'!L7+'K12'!L7</f>
        <v>0</v>
      </c>
      <c r="M7" s="115">
        <f>'N12'!M7+'K12'!M7</f>
        <v>0</v>
      </c>
      <c r="N7" s="115">
        <f>'N12'!N7+'K12'!N7</f>
        <v>0</v>
      </c>
      <c r="O7" s="116">
        <f>'N12'!O7+'K12'!O7</f>
        <v>0</v>
      </c>
      <c r="P7" s="115">
        <f>'N12'!P7+'K12'!P7</f>
        <v>0</v>
      </c>
      <c r="Q7" s="116">
        <f>'N12'!Q7+'K12'!Q7</f>
        <v>0</v>
      </c>
      <c r="R7" s="121">
        <f>'N12'!R7+'K12'!R7</f>
        <v>0</v>
      </c>
      <c r="S7" s="121">
        <f>'N12'!S7+'K12'!S7</f>
        <v>0</v>
      </c>
      <c r="T7" s="33">
        <f>'N12'!T7+'K12'!T7</f>
        <v>0</v>
      </c>
      <c r="U7" s="115">
        <f>'N12'!U7+'K12'!U7</f>
        <v>0</v>
      </c>
      <c r="V7" s="115">
        <f>'N12'!V7+'K12'!V7</f>
        <v>0</v>
      </c>
      <c r="W7" s="115">
        <f>'N12'!W7+'K12'!W7</f>
        <v>0</v>
      </c>
      <c r="X7" s="116">
        <f>'N12'!X7+'K12'!X7</f>
        <v>0</v>
      </c>
      <c r="Y7" s="115">
        <f>'N12'!Y7+'K12'!Y7</f>
        <v>0</v>
      </c>
      <c r="Z7" s="116">
        <f>'N12'!Z7+'K12'!Z7</f>
        <v>0</v>
      </c>
      <c r="AA7" s="121">
        <f>'N12'!AA7+'K12'!AA7</f>
        <v>0</v>
      </c>
      <c r="AB7" s="121">
        <f>'N12'!AB7+'K12'!AB7</f>
        <v>0</v>
      </c>
      <c r="AC7" s="33">
        <f>'N12'!AC7+'K12'!AC7</f>
        <v>0</v>
      </c>
      <c r="AD7" s="12">
        <f>'N12'!AD7+'K12'!AD7</f>
        <v>24</v>
      </c>
      <c r="AE7" s="39"/>
      <c r="AF7" s="39"/>
      <c r="AG7" s="39"/>
      <c r="AH7" s="39"/>
      <c r="AI7" s="39"/>
      <c r="AJ7"/>
    </row>
    <row r="8" spans="1:36" x14ac:dyDescent="0.2">
      <c r="A8" s="5">
        <f>DAY(Kalenteri!A338)</f>
        <v>4</v>
      </c>
      <c r="B8" s="3" t="str">
        <f>IF(Kalenteri!B338=1,"su",IF(Kalenteri!B338=2,"ma",IF(Kalenteri!B338=3,"ti",IF(Kalenteri!B338=4,"ke",IF(Kalenteri!B338=5,"to",IF(Kalenteri!B338=6,"pe",IF(Kalenteri!B338=7,"la",)))))))</f>
        <v>ke</v>
      </c>
      <c r="C8" s="114">
        <f>'N12'!C8+'K12'!C8</f>
        <v>27</v>
      </c>
      <c r="D8" s="115">
        <f>'N12'!D8+'K12'!D8</f>
        <v>3</v>
      </c>
      <c r="E8" s="115">
        <f>'N12'!E8+'K12'!E8</f>
        <v>0</v>
      </c>
      <c r="F8" s="116">
        <f>'N12'!F8+'K12'!F8</f>
        <v>6</v>
      </c>
      <c r="G8" s="114">
        <f>'N12'!G8+'K12'!G8</f>
        <v>1</v>
      </c>
      <c r="H8" s="116">
        <f>'N12'!H8+'K12'!H8</f>
        <v>18</v>
      </c>
      <c r="I8" s="114">
        <f>'N12'!I8+'K12'!I8</f>
        <v>0</v>
      </c>
      <c r="J8" s="116">
        <f>'N12'!J8+'K12'!J8</f>
        <v>0</v>
      </c>
      <c r="K8" s="33">
        <f>'N12'!K8+'K12'!K8</f>
        <v>55</v>
      </c>
      <c r="L8" s="115">
        <f>'N12'!L8+'K12'!L8</f>
        <v>0</v>
      </c>
      <c r="M8" s="115">
        <f>'N12'!M8+'K12'!M8</f>
        <v>0</v>
      </c>
      <c r="N8" s="115">
        <f>'N12'!N8+'K12'!N8</f>
        <v>0</v>
      </c>
      <c r="O8" s="116">
        <f>'N12'!O8+'K12'!O8</f>
        <v>0</v>
      </c>
      <c r="P8" s="115">
        <f>'N12'!P8+'K12'!P8</f>
        <v>0</v>
      </c>
      <c r="Q8" s="116">
        <f>'N12'!Q8+'K12'!Q8</f>
        <v>0</v>
      </c>
      <c r="R8" s="121">
        <f>'N12'!R8+'K12'!R8</f>
        <v>0</v>
      </c>
      <c r="S8" s="121">
        <f>'N12'!S8+'K12'!S8</f>
        <v>0</v>
      </c>
      <c r="T8" s="33">
        <f>'N12'!T8+'K12'!T8</f>
        <v>0</v>
      </c>
      <c r="U8" s="115">
        <f>'N12'!U8+'K12'!U8</f>
        <v>0</v>
      </c>
      <c r="V8" s="115">
        <f>'N12'!V8+'K12'!V8</f>
        <v>0</v>
      </c>
      <c r="W8" s="115">
        <f>'N12'!W8+'K12'!W8</f>
        <v>0</v>
      </c>
      <c r="X8" s="116">
        <f>'N12'!X8+'K12'!X8</f>
        <v>0</v>
      </c>
      <c r="Y8" s="115">
        <f>'N12'!Y8+'K12'!Y8</f>
        <v>0</v>
      </c>
      <c r="Z8" s="116">
        <f>'N12'!Z8+'K12'!Z8</f>
        <v>0</v>
      </c>
      <c r="AA8" s="121">
        <f>'N12'!AA8+'K12'!AA8</f>
        <v>0</v>
      </c>
      <c r="AB8" s="121">
        <f>'N12'!AB8+'K12'!AB8</f>
        <v>0</v>
      </c>
      <c r="AC8" s="33">
        <f>'N12'!AC8+'K12'!AC8</f>
        <v>0</v>
      </c>
      <c r="AD8" s="12">
        <f>'N12'!AD8+'K12'!AD8</f>
        <v>55</v>
      </c>
      <c r="AE8" s="39"/>
      <c r="AF8" s="39"/>
      <c r="AG8" s="39"/>
      <c r="AH8" s="39"/>
      <c r="AI8" s="39"/>
      <c r="AJ8"/>
    </row>
    <row r="9" spans="1:36" x14ac:dyDescent="0.2">
      <c r="A9" s="5">
        <f>DAY(Kalenteri!A339)</f>
        <v>5</v>
      </c>
      <c r="B9" s="3" t="str">
        <f>IF(Kalenteri!B339=1,"su",IF(Kalenteri!B339=2,"ma",IF(Kalenteri!B339=3,"ti",IF(Kalenteri!B339=4,"ke",IF(Kalenteri!B339=5,"to",IF(Kalenteri!B339=6,"pe",IF(Kalenteri!B339=7,"la",)))))))</f>
        <v>to</v>
      </c>
      <c r="C9" s="114">
        <f>'N12'!C9+'K12'!C9</f>
        <v>37</v>
      </c>
      <c r="D9" s="115">
        <f>'N12'!D9+'K12'!D9</f>
        <v>3</v>
      </c>
      <c r="E9" s="115">
        <f>'N12'!E9+'K12'!E9</f>
        <v>1</v>
      </c>
      <c r="F9" s="116">
        <f>'N12'!F9+'K12'!F9</f>
        <v>2</v>
      </c>
      <c r="G9" s="114">
        <f>'N12'!G9+'K12'!G9</f>
        <v>0</v>
      </c>
      <c r="H9" s="116">
        <f>'N12'!H9+'K12'!H9</f>
        <v>11</v>
      </c>
      <c r="I9" s="114">
        <f>'N12'!I9+'K12'!I9</f>
        <v>0</v>
      </c>
      <c r="J9" s="116">
        <f>'N12'!J9+'K12'!J9</f>
        <v>0</v>
      </c>
      <c r="K9" s="33">
        <f>'N12'!K9+'K12'!K9</f>
        <v>54</v>
      </c>
      <c r="L9" s="115">
        <f>'N12'!L9+'K12'!L9</f>
        <v>0</v>
      </c>
      <c r="M9" s="115">
        <f>'N12'!M9+'K12'!M9</f>
        <v>0</v>
      </c>
      <c r="N9" s="115">
        <f>'N12'!N9+'K12'!N9</f>
        <v>0</v>
      </c>
      <c r="O9" s="116">
        <f>'N12'!O9+'K12'!O9</f>
        <v>0</v>
      </c>
      <c r="P9" s="115">
        <f>'N12'!P9+'K12'!P9</f>
        <v>0</v>
      </c>
      <c r="Q9" s="116">
        <f>'N12'!Q9+'K12'!Q9</f>
        <v>0</v>
      </c>
      <c r="R9" s="121">
        <f>'N12'!R9+'K12'!R9</f>
        <v>0</v>
      </c>
      <c r="S9" s="121">
        <f>'N12'!S9+'K12'!S9</f>
        <v>0</v>
      </c>
      <c r="T9" s="33">
        <f>'N12'!T9+'K12'!T9</f>
        <v>0</v>
      </c>
      <c r="U9" s="115">
        <f>'N12'!U9+'K12'!U9</f>
        <v>0</v>
      </c>
      <c r="V9" s="115">
        <f>'N12'!V9+'K12'!V9</f>
        <v>0</v>
      </c>
      <c r="W9" s="115">
        <f>'N12'!W9+'K12'!W9</f>
        <v>0</v>
      </c>
      <c r="X9" s="116">
        <f>'N12'!X9+'K12'!X9</f>
        <v>0</v>
      </c>
      <c r="Y9" s="115">
        <f>'N12'!Y9+'K12'!Y9</f>
        <v>0</v>
      </c>
      <c r="Z9" s="116">
        <f>'N12'!Z9+'K12'!Z9</f>
        <v>0</v>
      </c>
      <c r="AA9" s="121">
        <f>'N12'!AA9+'K12'!AA9</f>
        <v>0</v>
      </c>
      <c r="AB9" s="121">
        <f>'N12'!AB9+'K12'!AB9</f>
        <v>0</v>
      </c>
      <c r="AC9" s="33">
        <f>'N12'!AC9+'K12'!AC9</f>
        <v>0</v>
      </c>
      <c r="AD9" s="12">
        <f>'N12'!AD9+'K12'!AD9</f>
        <v>54</v>
      </c>
      <c r="AE9" s="39"/>
      <c r="AF9" s="39"/>
      <c r="AG9" s="39"/>
      <c r="AH9" s="39"/>
      <c r="AI9" s="39"/>
      <c r="AJ9"/>
    </row>
    <row r="10" spans="1:36" x14ac:dyDescent="0.2">
      <c r="A10" s="5">
        <f>DAY(Kalenteri!A340)</f>
        <v>6</v>
      </c>
      <c r="B10" s="3" t="str">
        <f>IF(Kalenteri!B340=1,"su",IF(Kalenteri!B340=2,"ma",IF(Kalenteri!B340=3,"ti",IF(Kalenteri!B340=4,"ke",IF(Kalenteri!B340=5,"to",IF(Kalenteri!B340=6,"pe",IF(Kalenteri!B340=7,"la",)))))))</f>
        <v>pe</v>
      </c>
      <c r="C10" s="114">
        <f>'N12'!C10+'K12'!C10</f>
        <v>119</v>
      </c>
      <c r="D10" s="115">
        <f>'N12'!D10+'K12'!D10</f>
        <v>31</v>
      </c>
      <c r="E10" s="115">
        <f>'N12'!E10+'K12'!E10</f>
        <v>0</v>
      </c>
      <c r="F10" s="116">
        <f>'N12'!F10+'K12'!F10</f>
        <v>10</v>
      </c>
      <c r="G10" s="114">
        <f>'N12'!G10+'K12'!G10</f>
        <v>1</v>
      </c>
      <c r="H10" s="116">
        <f>'N12'!H10+'K12'!H10</f>
        <v>46</v>
      </c>
      <c r="I10" s="114">
        <f>'N12'!I10+'K12'!I10</f>
        <v>0</v>
      </c>
      <c r="J10" s="116">
        <f>'N12'!J10+'K12'!J10</f>
        <v>0</v>
      </c>
      <c r="K10" s="33">
        <f>'N12'!K10+'K12'!K10</f>
        <v>207</v>
      </c>
      <c r="L10" s="115">
        <f>'N12'!L10+'K12'!L10</f>
        <v>0</v>
      </c>
      <c r="M10" s="115">
        <f>'N12'!M10+'K12'!M10</f>
        <v>0</v>
      </c>
      <c r="N10" s="115">
        <f>'N12'!N10+'K12'!N10</f>
        <v>0</v>
      </c>
      <c r="O10" s="116">
        <f>'N12'!O10+'K12'!O10</f>
        <v>0</v>
      </c>
      <c r="P10" s="115">
        <f>'N12'!P10+'K12'!P10</f>
        <v>0</v>
      </c>
      <c r="Q10" s="116">
        <f>'N12'!Q10+'K12'!Q10</f>
        <v>0</v>
      </c>
      <c r="R10" s="121">
        <f>'N12'!R10+'K12'!R10</f>
        <v>0</v>
      </c>
      <c r="S10" s="121">
        <f>'N12'!S10+'K12'!S10</f>
        <v>0</v>
      </c>
      <c r="T10" s="33">
        <f>'N12'!T10+'K12'!T10</f>
        <v>0</v>
      </c>
      <c r="U10" s="115">
        <f>'N12'!U10+'K12'!U10</f>
        <v>0</v>
      </c>
      <c r="V10" s="115">
        <f>'N12'!V10+'K12'!V10</f>
        <v>0</v>
      </c>
      <c r="W10" s="115">
        <f>'N12'!W10+'K12'!W10</f>
        <v>0</v>
      </c>
      <c r="X10" s="116">
        <f>'N12'!X10+'K12'!X10</f>
        <v>0</v>
      </c>
      <c r="Y10" s="115">
        <f>'N12'!Y10+'K12'!Y10</f>
        <v>0</v>
      </c>
      <c r="Z10" s="116">
        <f>'N12'!Z10+'K12'!Z10</f>
        <v>0</v>
      </c>
      <c r="AA10" s="121">
        <f>'N12'!AA10+'K12'!AA10</f>
        <v>0</v>
      </c>
      <c r="AB10" s="121">
        <f>'N12'!AB10+'K12'!AB10</f>
        <v>0</v>
      </c>
      <c r="AC10" s="33">
        <f>'N12'!AC10+'K12'!AC10</f>
        <v>0</v>
      </c>
      <c r="AD10" s="12">
        <f>'N12'!AD10+'K12'!AD10</f>
        <v>207</v>
      </c>
      <c r="AE10" s="39"/>
      <c r="AF10" s="39"/>
      <c r="AG10" s="39"/>
      <c r="AH10" s="39"/>
      <c r="AI10" s="39"/>
      <c r="AJ10"/>
    </row>
    <row r="11" spans="1:36" x14ac:dyDescent="0.2">
      <c r="A11" s="5">
        <f>DAY(Kalenteri!A341)</f>
        <v>7</v>
      </c>
      <c r="B11" s="3" t="str">
        <f>IF(Kalenteri!B341=1,"su",IF(Kalenteri!B341=2,"ma",IF(Kalenteri!B341=3,"ti",IF(Kalenteri!B341=4,"ke",IF(Kalenteri!B341=5,"to",IF(Kalenteri!B341=6,"pe",IF(Kalenteri!B341=7,"la",)))))))</f>
        <v>la</v>
      </c>
      <c r="C11" s="114">
        <f>'N12'!C11+'K12'!C11</f>
        <v>147</v>
      </c>
      <c r="D11" s="115">
        <f>'N12'!D11+'K12'!D11</f>
        <v>42</v>
      </c>
      <c r="E11" s="115">
        <f>'N12'!E11+'K12'!E11</f>
        <v>4</v>
      </c>
      <c r="F11" s="116">
        <f>'N12'!F11+'K12'!F11</f>
        <v>18</v>
      </c>
      <c r="G11" s="114">
        <f>'N12'!G11+'K12'!G11</f>
        <v>3</v>
      </c>
      <c r="H11" s="116">
        <f>'N12'!H11+'K12'!H11</f>
        <v>73</v>
      </c>
      <c r="I11" s="114">
        <f>'N12'!I11+'K12'!I11</f>
        <v>0</v>
      </c>
      <c r="J11" s="116">
        <f>'N12'!J11+'K12'!J11</f>
        <v>0</v>
      </c>
      <c r="K11" s="33">
        <f>'N12'!K11+'K12'!K11</f>
        <v>287</v>
      </c>
      <c r="L11" s="115">
        <f>'N12'!L11+'K12'!L11</f>
        <v>0</v>
      </c>
      <c r="M11" s="115">
        <f>'N12'!M11+'K12'!M11</f>
        <v>0</v>
      </c>
      <c r="N11" s="115">
        <f>'N12'!N11+'K12'!N11</f>
        <v>0</v>
      </c>
      <c r="O11" s="116">
        <f>'N12'!O11+'K12'!O11</f>
        <v>0</v>
      </c>
      <c r="P11" s="115">
        <f>'N12'!P11+'K12'!P11</f>
        <v>0</v>
      </c>
      <c r="Q11" s="116">
        <f>'N12'!Q11+'K12'!Q11</f>
        <v>0</v>
      </c>
      <c r="R11" s="121">
        <f>'N12'!R11+'K12'!R11</f>
        <v>0</v>
      </c>
      <c r="S11" s="121">
        <f>'N12'!S11+'K12'!S11</f>
        <v>0</v>
      </c>
      <c r="T11" s="33">
        <f>'N12'!T11+'K12'!T11</f>
        <v>0</v>
      </c>
      <c r="U11" s="115">
        <f>'N12'!U11+'K12'!U11</f>
        <v>0</v>
      </c>
      <c r="V11" s="115">
        <f>'N12'!V11+'K12'!V11</f>
        <v>0</v>
      </c>
      <c r="W11" s="115">
        <f>'N12'!W11+'K12'!W11</f>
        <v>0</v>
      </c>
      <c r="X11" s="116">
        <f>'N12'!X11+'K12'!X11</f>
        <v>0</v>
      </c>
      <c r="Y11" s="115">
        <f>'N12'!Y11+'K12'!Y11</f>
        <v>0</v>
      </c>
      <c r="Z11" s="116">
        <f>'N12'!Z11+'K12'!Z11</f>
        <v>0</v>
      </c>
      <c r="AA11" s="121">
        <f>'N12'!AA11+'K12'!AA11</f>
        <v>0</v>
      </c>
      <c r="AB11" s="121">
        <f>'N12'!AB11+'K12'!AB11</f>
        <v>0</v>
      </c>
      <c r="AC11" s="33">
        <f>'N12'!AC11+'K12'!AC11</f>
        <v>0</v>
      </c>
      <c r="AD11" s="12">
        <f>'N12'!AD11+'K12'!AD11</f>
        <v>287</v>
      </c>
      <c r="AE11" s="39"/>
      <c r="AF11" s="39"/>
      <c r="AG11" s="39"/>
      <c r="AH11" s="39"/>
      <c r="AI11" s="39"/>
      <c r="AJ11"/>
    </row>
    <row r="12" spans="1:36" x14ac:dyDescent="0.2">
      <c r="A12" s="5">
        <f>DAY(Kalenteri!A342)</f>
        <v>8</v>
      </c>
      <c r="B12" s="3" t="str">
        <f>IF(Kalenteri!B342=1,"su",IF(Kalenteri!B342=2,"ma",IF(Kalenteri!B342=3,"ti",IF(Kalenteri!B342=4,"ke",IF(Kalenteri!B342=5,"to",IF(Kalenteri!B342=6,"pe",IF(Kalenteri!B342=7,"la",)))))))</f>
        <v>su</v>
      </c>
      <c r="C12" s="114">
        <f>'N12'!C12+'K12'!C12</f>
        <v>147</v>
      </c>
      <c r="D12" s="115">
        <f>'N12'!D12+'K12'!D12</f>
        <v>33</v>
      </c>
      <c r="E12" s="115">
        <f>'N12'!E12+'K12'!E12</f>
        <v>0</v>
      </c>
      <c r="F12" s="116">
        <f>'N12'!F12+'K12'!F12</f>
        <v>20</v>
      </c>
      <c r="G12" s="114">
        <f>'N12'!G12+'K12'!G12</f>
        <v>7</v>
      </c>
      <c r="H12" s="116">
        <f>'N12'!H12+'K12'!H12</f>
        <v>53</v>
      </c>
      <c r="I12" s="114">
        <f>'N12'!I12+'K12'!I12</f>
        <v>2</v>
      </c>
      <c r="J12" s="116">
        <f>'N12'!J12+'K12'!J12</f>
        <v>3</v>
      </c>
      <c r="K12" s="33">
        <f>'N12'!K12+'K12'!K12</f>
        <v>265</v>
      </c>
      <c r="L12" s="115">
        <f>'N12'!L12+'K12'!L12</f>
        <v>0</v>
      </c>
      <c r="M12" s="115">
        <f>'N12'!M12+'K12'!M12</f>
        <v>0</v>
      </c>
      <c r="N12" s="115">
        <f>'N12'!N12+'K12'!N12</f>
        <v>0</v>
      </c>
      <c r="O12" s="116">
        <f>'N12'!O12+'K12'!O12</f>
        <v>0</v>
      </c>
      <c r="P12" s="115">
        <f>'N12'!P12+'K12'!P12</f>
        <v>0</v>
      </c>
      <c r="Q12" s="116">
        <f>'N12'!Q12+'K12'!Q12</f>
        <v>0</v>
      </c>
      <c r="R12" s="121">
        <f>'N12'!R12+'K12'!R12</f>
        <v>0</v>
      </c>
      <c r="S12" s="121">
        <f>'N12'!S12+'K12'!S12</f>
        <v>0</v>
      </c>
      <c r="T12" s="33">
        <f>'N12'!T12+'K12'!T12</f>
        <v>0</v>
      </c>
      <c r="U12" s="115">
        <f>'N12'!U12+'K12'!U12</f>
        <v>0</v>
      </c>
      <c r="V12" s="115">
        <f>'N12'!V12+'K12'!V12</f>
        <v>0</v>
      </c>
      <c r="W12" s="115">
        <f>'N12'!W12+'K12'!W12</f>
        <v>0</v>
      </c>
      <c r="X12" s="116">
        <f>'N12'!X12+'K12'!X12</f>
        <v>0</v>
      </c>
      <c r="Y12" s="115">
        <f>'N12'!Y12+'K12'!Y12</f>
        <v>0</v>
      </c>
      <c r="Z12" s="116">
        <f>'N12'!Z12+'K12'!Z12</f>
        <v>0</v>
      </c>
      <c r="AA12" s="121">
        <f>'N12'!AA12+'K12'!AA12</f>
        <v>0</v>
      </c>
      <c r="AB12" s="121">
        <f>'N12'!AB12+'K12'!AB12</f>
        <v>0</v>
      </c>
      <c r="AC12" s="33">
        <f>'N12'!AC12+'K12'!AC12</f>
        <v>0</v>
      </c>
      <c r="AD12" s="12">
        <f>'N12'!AD12+'K12'!AD12</f>
        <v>265</v>
      </c>
      <c r="AE12" s="39"/>
      <c r="AF12" s="39"/>
      <c r="AG12" s="39"/>
      <c r="AH12" s="39"/>
      <c r="AI12" s="39"/>
      <c r="AJ12"/>
    </row>
    <row r="13" spans="1:36" x14ac:dyDescent="0.2">
      <c r="A13" s="5">
        <f>DAY(Kalenteri!A343)</f>
        <v>9</v>
      </c>
      <c r="B13" s="3" t="str">
        <f>IF(Kalenteri!B343=1,"su",IF(Kalenteri!B343=2,"ma",IF(Kalenteri!B343=3,"ti",IF(Kalenteri!B343=4,"ke",IF(Kalenteri!B343=5,"to",IF(Kalenteri!B343=6,"pe",IF(Kalenteri!B343=7,"la",)))))))</f>
        <v>ma</v>
      </c>
      <c r="C13" s="114">
        <f>'N12'!C13+'K12'!C13</f>
        <v>47</v>
      </c>
      <c r="D13" s="115">
        <f>'N12'!D13+'K12'!D13</f>
        <v>13</v>
      </c>
      <c r="E13" s="115">
        <f>'N12'!E13+'K12'!E13</f>
        <v>2</v>
      </c>
      <c r="F13" s="116">
        <f>'N12'!F13+'K12'!F13</f>
        <v>2</v>
      </c>
      <c r="G13" s="114">
        <f>'N12'!G13+'K12'!G13</f>
        <v>1</v>
      </c>
      <c r="H13" s="116">
        <f>'N12'!H13+'K12'!H13</f>
        <v>21</v>
      </c>
      <c r="I13" s="114">
        <f>'N12'!I13+'K12'!I13</f>
        <v>0</v>
      </c>
      <c r="J13" s="116">
        <f>'N12'!J13+'K12'!J13</f>
        <v>0</v>
      </c>
      <c r="K13" s="33">
        <f>'N12'!K13+'K12'!K13</f>
        <v>86</v>
      </c>
      <c r="L13" s="115">
        <f>'N12'!L13+'K12'!L13</f>
        <v>0</v>
      </c>
      <c r="M13" s="115">
        <f>'N12'!M13+'K12'!M13</f>
        <v>0</v>
      </c>
      <c r="N13" s="115">
        <f>'N12'!N13+'K12'!N13</f>
        <v>0</v>
      </c>
      <c r="O13" s="116">
        <f>'N12'!O13+'K12'!O13</f>
        <v>0</v>
      </c>
      <c r="P13" s="115">
        <f>'N12'!P13+'K12'!P13</f>
        <v>0</v>
      </c>
      <c r="Q13" s="116">
        <f>'N12'!Q13+'K12'!Q13</f>
        <v>0</v>
      </c>
      <c r="R13" s="121">
        <f>'N12'!R13+'K12'!R13</f>
        <v>0</v>
      </c>
      <c r="S13" s="121">
        <f>'N12'!S13+'K12'!S13</f>
        <v>0</v>
      </c>
      <c r="T13" s="33">
        <f>'N12'!T13+'K12'!T13</f>
        <v>0</v>
      </c>
      <c r="U13" s="115">
        <f>'N12'!U13+'K12'!U13</f>
        <v>0</v>
      </c>
      <c r="V13" s="115">
        <f>'N12'!V13+'K12'!V13</f>
        <v>0</v>
      </c>
      <c r="W13" s="115">
        <f>'N12'!W13+'K12'!W13</f>
        <v>0</v>
      </c>
      <c r="X13" s="116">
        <f>'N12'!X13+'K12'!X13</f>
        <v>0</v>
      </c>
      <c r="Y13" s="115">
        <f>'N12'!Y13+'K12'!Y13</f>
        <v>0</v>
      </c>
      <c r="Z13" s="116">
        <f>'N12'!Z13+'K12'!Z13</f>
        <v>0</v>
      </c>
      <c r="AA13" s="121">
        <f>'N12'!AA13+'K12'!AA13</f>
        <v>0</v>
      </c>
      <c r="AB13" s="121">
        <f>'N12'!AB13+'K12'!AB13</f>
        <v>0</v>
      </c>
      <c r="AC13" s="33">
        <f>'N12'!AC13+'K12'!AC13</f>
        <v>0</v>
      </c>
      <c r="AD13" s="12">
        <f>'N12'!AD13+'K12'!AD13</f>
        <v>86</v>
      </c>
      <c r="AE13" s="39"/>
      <c r="AF13" s="39"/>
      <c r="AG13" s="39"/>
      <c r="AH13" s="39"/>
      <c r="AI13" s="39"/>
      <c r="AJ13"/>
    </row>
    <row r="14" spans="1:36" x14ac:dyDescent="0.2">
      <c r="A14" s="5">
        <f>DAY(Kalenteri!A344)</f>
        <v>10</v>
      </c>
      <c r="B14" s="3" t="str">
        <f>IF(Kalenteri!B344=1,"su",IF(Kalenteri!B344=2,"ma",IF(Kalenteri!B344=3,"ti",IF(Kalenteri!B344=4,"ke",IF(Kalenteri!B344=5,"to",IF(Kalenteri!B344=6,"pe",IF(Kalenteri!B344=7,"la",)))))))</f>
        <v>ti</v>
      </c>
      <c r="C14" s="114">
        <f>'N12'!C14+'K12'!C14</f>
        <v>28</v>
      </c>
      <c r="D14" s="115">
        <f>'N12'!D14+'K12'!D14</f>
        <v>5</v>
      </c>
      <c r="E14" s="115">
        <f>'N12'!E14+'K12'!E14</f>
        <v>0</v>
      </c>
      <c r="F14" s="116">
        <f>'N12'!F14+'K12'!F14</f>
        <v>2</v>
      </c>
      <c r="G14" s="114">
        <f>'N12'!G14+'K12'!G14</f>
        <v>1</v>
      </c>
      <c r="H14" s="116">
        <f>'N12'!H14+'K12'!H14</f>
        <v>16</v>
      </c>
      <c r="I14" s="114">
        <f>'N12'!I14+'K12'!I14</f>
        <v>0</v>
      </c>
      <c r="J14" s="116">
        <f>'N12'!J14+'K12'!J14</f>
        <v>0</v>
      </c>
      <c r="K14" s="33">
        <f>'N12'!K14+'K12'!K14</f>
        <v>52</v>
      </c>
      <c r="L14" s="115">
        <f>'N12'!L14+'K12'!L14</f>
        <v>0</v>
      </c>
      <c r="M14" s="115">
        <f>'N12'!M14+'K12'!M14</f>
        <v>0</v>
      </c>
      <c r="N14" s="115">
        <f>'N12'!N14+'K12'!N14</f>
        <v>0</v>
      </c>
      <c r="O14" s="116">
        <f>'N12'!O14+'K12'!O14</f>
        <v>0</v>
      </c>
      <c r="P14" s="115">
        <f>'N12'!P14+'K12'!P14</f>
        <v>0</v>
      </c>
      <c r="Q14" s="116">
        <f>'N12'!Q14+'K12'!Q14</f>
        <v>0</v>
      </c>
      <c r="R14" s="121">
        <f>'N12'!R14+'K12'!R14</f>
        <v>0</v>
      </c>
      <c r="S14" s="121">
        <f>'N12'!S14+'K12'!S14</f>
        <v>0</v>
      </c>
      <c r="T14" s="33">
        <f>'N12'!T14+'K12'!T14</f>
        <v>0</v>
      </c>
      <c r="U14" s="115">
        <f>'N12'!U14+'K12'!U14</f>
        <v>0</v>
      </c>
      <c r="V14" s="115">
        <f>'N12'!V14+'K12'!V14</f>
        <v>0</v>
      </c>
      <c r="W14" s="115">
        <f>'N12'!W14+'K12'!W14</f>
        <v>0</v>
      </c>
      <c r="X14" s="116">
        <f>'N12'!X14+'K12'!X14</f>
        <v>0</v>
      </c>
      <c r="Y14" s="115">
        <f>'N12'!Y14+'K12'!Y14</f>
        <v>0</v>
      </c>
      <c r="Z14" s="116">
        <f>'N12'!Z14+'K12'!Z14</f>
        <v>0</v>
      </c>
      <c r="AA14" s="121">
        <f>'N12'!AA14+'K12'!AA14</f>
        <v>0</v>
      </c>
      <c r="AB14" s="121">
        <f>'N12'!AB14+'K12'!AB14</f>
        <v>0</v>
      </c>
      <c r="AC14" s="33">
        <f>'N12'!AC14+'K12'!AC14</f>
        <v>0</v>
      </c>
      <c r="AD14" s="12">
        <f>'N12'!AD14+'K12'!AD14</f>
        <v>52</v>
      </c>
      <c r="AE14" s="39"/>
      <c r="AF14" s="39"/>
      <c r="AG14" s="39"/>
      <c r="AH14" s="39"/>
      <c r="AI14" s="39"/>
      <c r="AJ14"/>
    </row>
    <row r="15" spans="1:36" x14ac:dyDescent="0.2">
      <c r="A15" s="5">
        <f>DAY(Kalenteri!A345)</f>
        <v>11</v>
      </c>
      <c r="B15" s="3" t="str">
        <f>IF(Kalenteri!B345=1,"su",IF(Kalenteri!B345=2,"ma",IF(Kalenteri!B345=3,"ti",IF(Kalenteri!B345=4,"ke",IF(Kalenteri!B345=5,"to",IF(Kalenteri!B345=6,"pe",IF(Kalenteri!B345=7,"la",)))))))</f>
        <v>ke</v>
      </c>
      <c r="C15" s="114">
        <f>'N12'!C15+'K12'!C15</f>
        <v>21</v>
      </c>
      <c r="D15" s="115">
        <f>'N12'!D15+'K12'!D15</f>
        <v>0</v>
      </c>
      <c r="E15" s="115">
        <f>'N12'!E15+'K12'!E15</f>
        <v>0</v>
      </c>
      <c r="F15" s="116">
        <f>'N12'!F15+'K12'!F15</f>
        <v>1</v>
      </c>
      <c r="G15" s="114">
        <f>'N12'!G15+'K12'!G15</f>
        <v>29</v>
      </c>
      <c r="H15" s="116">
        <f>'N12'!H15+'K12'!H15</f>
        <v>74</v>
      </c>
      <c r="I15" s="114">
        <f>'N12'!I15+'K12'!I15</f>
        <v>2</v>
      </c>
      <c r="J15" s="116">
        <f>'N12'!J15+'K12'!J15</f>
        <v>3</v>
      </c>
      <c r="K15" s="33">
        <f>'N12'!K15+'K12'!K15</f>
        <v>130</v>
      </c>
      <c r="L15" s="115">
        <f>'N12'!L15+'K12'!L15</f>
        <v>0</v>
      </c>
      <c r="M15" s="115">
        <f>'N12'!M15+'K12'!M15</f>
        <v>0</v>
      </c>
      <c r="N15" s="115">
        <f>'N12'!N15+'K12'!N15</f>
        <v>0</v>
      </c>
      <c r="O15" s="116">
        <f>'N12'!O15+'K12'!O15</f>
        <v>0</v>
      </c>
      <c r="P15" s="115">
        <f>'N12'!P15+'K12'!P15</f>
        <v>0</v>
      </c>
      <c r="Q15" s="116">
        <f>'N12'!Q15+'K12'!Q15</f>
        <v>0</v>
      </c>
      <c r="R15" s="121">
        <f>'N12'!R15+'K12'!R15</f>
        <v>0</v>
      </c>
      <c r="S15" s="121">
        <f>'N12'!S15+'K12'!S15</f>
        <v>0</v>
      </c>
      <c r="T15" s="33">
        <f>'N12'!T15+'K12'!T15</f>
        <v>0</v>
      </c>
      <c r="U15" s="115">
        <f>'N12'!U15+'K12'!U15</f>
        <v>0</v>
      </c>
      <c r="V15" s="115">
        <f>'N12'!V15+'K12'!V15</f>
        <v>0</v>
      </c>
      <c r="W15" s="115">
        <f>'N12'!W15+'K12'!W15</f>
        <v>0</v>
      </c>
      <c r="X15" s="116">
        <f>'N12'!X15+'K12'!X15</f>
        <v>0</v>
      </c>
      <c r="Y15" s="115">
        <f>'N12'!Y15+'K12'!Y15</f>
        <v>0</v>
      </c>
      <c r="Z15" s="116">
        <f>'N12'!Z15+'K12'!Z15</f>
        <v>0</v>
      </c>
      <c r="AA15" s="121">
        <f>'N12'!AA15+'K12'!AA15</f>
        <v>0</v>
      </c>
      <c r="AB15" s="121">
        <f>'N12'!AB15+'K12'!AB15</f>
        <v>0</v>
      </c>
      <c r="AC15" s="33">
        <f>'N12'!AC15+'K12'!AC15</f>
        <v>0</v>
      </c>
      <c r="AD15" s="12">
        <f>'N12'!AD15+'K12'!AD15</f>
        <v>130</v>
      </c>
      <c r="AE15" s="39"/>
      <c r="AF15" s="39"/>
      <c r="AG15" s="39"/>
      <c r="AH15" s="39"/>
      <c r="AI15" s="39"/>
      <c r="AJ15"/>
    </row>
    <row r="16" spans="1:36" x14ac:dyDescent="0.2">
      <c r="A16" s="5">
        <f>DAY(Kalenteri!A346)</f>
        <v>12</v>
      </c>
      <c r="B16" s="3" t="str">
        <f>IF(Kalenteri!B346=1,"su",IF(Kalenteri!B346=2,"ma",IF(Kalenteri!B346=3,"ti",IF(Kalenteri!B346=4,"ke",IF(Kalenteri!B346=5,"to",IF(Kalenteri!B346=6,"pe",IF(Kalenteri!B346=7,"la",)))))))</f>
        <v>to</v>
      </c>
      <c r="C16" s="114">
        <f>'N12'!C16+'K12'!C16</f>
        <v>29</v>
      </c>
      <c r="D16" s="115">
        <f>'N12'!D16+'K12'!D16</f>
        <v>7</v>
      </c>
      <c r="E16" s="115">
        <f>'N12'!E16+'K12'!E16</f>
        <v>0</v>
      </c>
      <c r="F16" s="116">
        <f>'N12'!F16+'K12'!F16</f>
        <v>1</v>
      </c>
      <c r="G16" s="114">
        <f>'N12'!G16+'K12'!G16</f>
        <v>14</v>
      </c>
      <c r="H16" s="116">
        <f>'N12'!H16+'K12'!H16</f>
        <v>12</v>
      </c>
      <c r="I16" s="114">
        <f>'N12'!I16+'K12'!I16</f>
        <v>0</v>
      </c>
      <c r="J16" s="116">
        <f>'N12'!J16+'K12'!J16</f>
        <v>0</v>
      </c>
      <c r="K16" s="33">
        <f>'N12'!K16+'K12'!K16</f>
        <v>63</v>
      </c>
      <c r="L16" s="115">
        <f>'N12'!L16+'K12'!L16</f>
        <v>0</v>
      </c>
      <c r="M16" s="115">
        <f>'N12'!M16+'K12'!M16</f>
        <v>0</v>
      </c>
      <c r="N16" s="115">
        <f>'N12'!N16+'K12'!N16</f>
        <v>0</v>
      </c>
      <c r="O16" s="116">
        <f>'N12'!O16+'K12'!O16</f>
        <v>0</v>
      </c>
      <c r="P16" s="115">
        <f>'N12'!P16+'K12'!P16</f>
        <v>0</v>
      </c>
      <c r="Q16" s="116">
        <f>'N12'!Q16+'K12'!Q16</f>
        <v>0</v>
      </c>
      <c r="R16" s="121">
        <f>'N12'!R16+'K12'!R16</f>
        <v>0</v>
      </c>
      <c r="S16" s="121">
        <f>'N12'!S16+'K12'!S16</f>
        <v>0</v>
      </c>
      <c r="T16" s="33">
        <f>'N12'!T16+'K12'!T16</f>
        <v>0</v>
      </c>
      <c r="U16" s="115">
        <f>'N12'!U16+'K12'!U16</f>
        <v>0</v>
      </c>
      <c r="V16" s="115">
        <f>'N12'!V16+'K12'!V16</f>
        <v>0</v>
      </c>
      <c r="W16" s="115">
        <f>'N12'!W16+'K12'!W16</f>
        <v>0</v>
      </c>
      <c r="X16" s="116">
        <f>'N12'!X16+'K12'!X16</f>
        <v>0</v>
      </c>
      <c r="Y16" s="115">
        <f>'N12'!Y16+'K12'!Y16</f>
        <v>0</v>
      </c>
      <c r="Z16" s="116">
        <f>'N12'!Z16+'K12'!Z16</f>
        <v>0</v>
      </c>
      <c r="AA16" s="121">
        <f>'N12'!AA16+'K12'!AA16</f>
        <v>0</v>
      </c>
      <c r="AB16" s="121">
        <f>'N12'!AB16+'K12'!AB16</f>
        <v>0</v>
      </c>
      <c r="AC16" s="33">
        <f>'N12'!AC16+'K12'!AC16</f>
        <v>0</v>
      </c>
      <c r="AD16" s="12">
        <f>'N12'!AD16+'K12'!AD16</f>
        <v>63</v>
      </c>
      <c r="AE16" s="39"/>
      <c r="AF16" s="39"/>
      <c r="AG16" s="39"/>
      <c r="AH16" s="39"/>
      <c r="AI16" s="39"/>
      <c r="AJ16"/>
    </row>
    <row r="17" spans="1:36" x14ac:dyDescent="0.2">
      <c r="A17" s="5">
        <f>DAY(Kalenteri!A347)</f>
        <v>13</v>
      </c>
      <c r="B17" s="3" t="str">
        <f>IF(Kalenteri!B347=1,"su",IF(Kalenteri!B347=2,"ma",IF(Kalenteri!B347=3,"ti",IF(Kalenteri!B347=4,"ke",IF(Kalenteri!B347=5,"to",IF(Kalenteri!B347=6,"pe",IF(Kalenteri!B347=7,"la",)))))))</f>
        <v>pe</v>
      </c>
      <c r="C17" s="114">
        <f>'N12'!C17+'K12'!C17</f>
        <v>33</v>
      </c>
      <c r="D17" s="115">
        <f>'N12'!D17+'K12'!D17</f>
        <v>14</v>
      </c>
      <c r="E17" s="115">
        <f>'N12'!E17+'K12'!E17</f>
        <v>0</v>
      </c>
      <c r="F17" s="116">
        <f>'N12'!F17+'K12'!F17</f>
        <v>1</v>
      </c>
      <c r="G17" s="114">
        <f>'N12'!G17+'K12'!G17</f>
        <v>2</v>
      </c>
      <c r="H17" s="116">
        <f>'N12'!H17+'K12'!H17</f>
        <v>14</v>
      </c>
      <c r="I17" s="114">
        <f>'N12'!I17+'K12'!I17</f>
        <v>0</v>
      </c>
      <c r="J17" s="116">
        <f>'N12'!J17+'K12'!J17</f>
        <v>0</v>
      </c>
      <c r="K17" s="33">
        <f>'N12'!K17+'K12'!K17</f>
        <v>64</v>
      </c>
      <c r="L17" s="115">
        <f>'N12'!L17+'K12'!L17</f>
        <v>0</v>
      </c>
      <c r="M17" s="115">
        <f>'N12'!M17+'K12'!M17</f>
        <v>0</v>
      </c>
      <c r="N17" s="115">
        <f>'N12'!N17+'K12'!N17</f>
        <v>0</v>
      </c>
      <c r="O17" s="116">
        <f>'N12'!O17+'K12'!O17</f>
        <v>0</v>
      </c>
      <c r="P17" s="115">
        <f>'N12'!P17+'K12'!P17</f>
        <v>0</v>
      </c>
      <c r="Q17" s="116">
        <f>'N12'!Q17+'K12'!Q17</f>
        <v>0</v>
      </c>
      <c r="R17" s="121">
        <f>'N12'!R17+'K12'!R17</f>
        <v>0</v>
      </c>
      <c r="S17" s="121">
        <f>'N12'!S17+'K12'!S17</f>
        <v>0</v>
      </c>
      <c r="T17" s="33">
        <f>'N12'!T17+'K12'!T17</f>
        <v>0</v>
      </c>
      <c r="U17" s="115">
        <f>'N12'!U17+'K12'!U17</f>
        <v>0</v>
      </c>
      <c r="V17" s="115">
        <f>'N12'!V17+'K12'!V17</f>
        <v>0</v>
      </c>
      <c r="W17" s="115">
        <f>'N12'!W17+'K12'!W17</f>
        <v>0</v>
      </c>
      <c r="X17" s="116">
        <f>'N12'!X17+'K12'!X17</f>
        <v>0</v>
      </c>
      <c r="Y17" s="115">
        <f>'N12'!Y17+'K12'!Y17</f>
        <v>0</v>
      </c>
      <c r="Z17" s="116">
        <f>'N12'!Z17+'K12'!Z17</f>
        <v>0</v>
      </c>
      <c r="AA17" s="121">
        <f>'N12'!AA17+'K12'!AA17</f>
        <v>0</v>
      </c>
      <c r="AB17" s="121">
        <f>'N12'!AB17+'K12'!AB17</f>
        <v>0</v>
      </c>
      <c r="AC17" s="33">
        <f>'N12'!AC17+'K12'!AC17</f>
        <v>0</v>
      </c>
      <c r="AD17" s="12">
        <f>'N12'!AD17+'K12'!AD17</f>
        <v>64</v>
      </c>
      <c r="AE17" s="39"/>
      <c r="AF17" s="39"/>
      <c r="AG17" s="39"/>
      <c r="AH17" s="39"/>
      <c r="AI17" s="39"/>
      <c r="AJ17"/>
    </row>
    <row r="18" spans="1:36" x14ac:dyDescent="0.2">
      <c r="A18" s="5">
        <f>DAY(Kalenteri!A348)</f>
        <v>14</v>
      </c>
      <c r="B18" s="3" t="str">
        <f>IF(Kalenteri!B348=1,"su",IF(Kalenteri!B348=2,"ma",IF(Kalenteri!B348=3,"ti",IF(Kalenteri!B348=4,"ke",IF(Kalenteri!B348=5,"to",IF(Kalenteri!B348=6,"pe",IF(Kalenteri!B348=7,"la",)))))))</f>
        <v>la</v>
      </c>
      <c r="C18" s="114">
        <f>'N12'!C18+'K12'!C18</f>
        <v>108</v>
      </c>
      <c r="D18" s="115">
        <f>'N12'!D18+'K12'!D18</f>
        <v>37</v>
      </c>
      <c r="E18" s="115">
        <f>'N12'!E18+'K12'!E18</f>
        <v>0</v>
      </c>
      <c r="F18" s="116">
        <f>'N12'!F18+'K12'!F18</f>
        <v>24</v>
      </c>
      <c r="G18" s="114">
        <f>'N12'!G18+'K12'!G18</f>
        <v>3</v>
      </c>
      <c r="H18" s="116">
        <f>'N12'!H18+'K12'!H18</f>
        <v>38</v>
      </c>
      <c r="I18" s="114">
        <f>'N12'!I18+'K12'!I18</f>
        <v>2</v>
      </c>
      <c r="J18" s="116">
        <f>'N12'!J18+'K12'!J18</f>
        <v>3</v>
      </c>
      <c r="K18" s="33">
        <f>'N12'!K18+'K12'!K18</f>
        <v>215</v>
      </c>
      <c r="L18" s="115">
        <f>'N12'!L18+'K12'!L18</f>
        <v>0</v>
      </c>
      <c r="M18" s="115">
        <f>'N12'!M18+'K12'!M18</f>
        <v>0</v>
      </c>
      <c r="N18" s="115">
        <f>'N12'!N18+'K12'!N18</f>
        <v>0</v>
      </c>
      <c r="O18" s="116">
        <f>'N12'!O18+'K12'!O18</f>
        <v>0</v>
      </c>
      <c r="P18" s="115">
        <f>'N12'!P18+'K12'!P18</f>
        <v>0</v>
      </c>
      <c r="Q18" s="116">
        <f>'N12'!Q18+'K12'!Q18</f>
        <v>0</v>
      </c>
      <c r="R18" s="121">
        <f>'N12'!R18+'K12'!R18</f>
        <v>0</v>
      </c>
      <c r="S18" s="121">
        <f>'N12'!S18+'K12'!S18</f>
        <v>0</v>
      </c>
      <c r="T18" s="33">
        <f>'N12'!T18+'K12'!T18</f>
        <v>0</v>
      </c>
      <c r="U18" s="115">
        <f>'N12'!U18+'K12'!U18</f>
        <v>0</v>
      </c>
      <c r="V18" s="115">
        <f>'N12'!V18+'K12'!V18</f>
        <v>0</v>
      </c>
      <c r="W18" s="115">
        <f>'N12'!W18+'K12'!W18</f>
        <v>0</v>
      </c>
      <c r="X18" s="116">
        <f>'N12'!X18+'K12'!X18</f>
        <v>0</v>
      </c>
      <c r="Y18" s="115">
        <f>'N12'!Y18+'K12'!Y18</f>
        <v>0</v>
      </c>
      <c r="Z18" s="116">
        <f>'N12'!Z18+'K12'!Z18</f>
        <v>0</v>
      </c>
      <c r="AA18" s="121">
        <f>'N12'!AA18+'K12'!AA18</f>
        <v>0</v>
      </c>
      <c r="AB18" s="121">
        <f>'N12'!AB18+'K12'!AB18</f>
        <v>0</v>
      </c>
      <c r="AC18" s="33">
        <f>'N12'!AC18+'K12'!AC18</f>
        <v>0</v>
      </c>
      <c r="AD18" s="12">
        <f>'N12'!AD18+'K12'!AD18</f>
        <v>215</v>
      </c>
      <c r="AE18" s="39"/>
      <c r="AF18" s="39"/>
      <c r="AG18" s="39"/>
      <c r="AH18" s="39"/>
      <c r="AI18" s="39"/>
      <c r="AJ18"/>
    </row>
    <row r="19" spans="1:36" x14ac:dyDescent="0.2">
      <c r="A19" s="5">
        <f>DAY(Kalenteri!A349)</f>
        <v>15</v>
      </c>
      <c r="B19" s="3" t="str">
        <f>IF(Kalenteri!B349=1,"su",IF(Kalenteri!B349=2,"ma",IF(Kalenteri!B349=3,"ti",IF(Kalenteri!B349=4,"ke",IF(Kalenteri!B349=5,"to",IF(Kalenteri!B349=6,"pe",IF(Kalenteri!B349=7,"la",)))))))</f>
        <v>su</v>
      </c>
      <c r="C19" s="114">
        <f>'N12'!C19+'K12'!C19</f>
        <v>44</v>
      </c>
      <c r="D19" s="115">
        <f>'N12'!D19+'K12'!D19</f>
        <v>8</v>
      </c>
      <c r="E19" s="115">
        <f>'N12'!E19+'K12'!E19</f>
        <v>0</v>
      </c>
      <c r="F19" s="116">
        <f>'N12'!F19+'K12'!F19</f>
        <v>12</v>
      </c>
      <c r="G19" s="114">
        <f>'N12'!G19+'K12'!G19</f>
        <v>2</v>
      </c>
      <c r="H19" s="116">
        <f>'N12'!H19+'K12'!H19</f>
        <v>14</v>
      </c>
      <c r="I19" s="114">
        <f>'N12'!I19+'K12'!I19</f>
        <v>2</v>
      </c>
      <c r="J19" s="116">
        <f>'N12'!J19+'K12'!J19</f>
        <v>3</v>
      </c>
      <c r="K19" s="33">
        <f>'N12'!K19+'K12'!K19</f>
        <v>85</v>
      </c>
      <c r="L19" s="115">
        <f>'N12'!L19+'K12'!L19</f>
        <v>0</v>
      </c>
      <c r="M19" s="115">
        <f>'N12'!M19+'K12'!M19</f>
        <v>0</v>
      </c>
      <c r="N19" s="115">
        <f>'N12'!N19+'K12'!N19</f>
        <v>0</v>
      </c>
      <c r="O19" s="116">
        <f>'N12'!O19+'K12'!O19</f>
        <v>0</v>
      </c>
      <c r="P19" s="115">
        <f>'N12'!P19+'K12'!P19</f>
        <v>0</v>
      </c>
      <c r="Q19" s="116">
        <f>'N12'!Q19+'K12'!Q19</f>
        <v>0</v>
      </c>
      <c r="R19" s="121">
        <f>'N12'!R19+'K12'!R19</f>
        <v>0</v>
      </c>
      <c r="S19" s="121">
        <f>'N12'!S19+'K12'!S19</f>
        <v>0</v>
      </c>
      <c r="T19" s="33">
        <f>'N12'!T19+'K12'!T19</f>
        <v>0</v>
      </c>
      <c r="U19" s="115">
        <f>'N12'!U19+'K12'!U19</f>
        <v>0</v>
      </c>
      <c r="V19" s="115">
        <f>'N12'!V19+'K12'!V19</f>
        <v>0</v>
      </c>
      <c r="W19" s="115">
        <f>'N12'!W19+'K12'!W19</f>
        <v>0</v>
      </c>
      <c r="X19" s="116">
        <f>'N12'!X19+'K12'!X19</f>
        <v>0</v>
      </c>
      <c r="Y19" s="115">
        <f>'N12'!Y19+'K12'!Y19</f>
        <v>0</v>
      </c>
      <c r="Z19" s="116">
        <f>'N12'!Z19+'K12'!Z19</f>
        <v>0</v>
      </c>
      <c r="AA19" s="121">
        <f>'N12'!AA19+'K12'!AA19</f>
        <v>0</v>
      </c>
      <c r="AB19" s="121">
        <f>'N12'!AB19+'K12'!AB19</f>
        <v>0</v>
      </c>
      <c r="AC19" s="33">
        <f>'N12'!AC19+'K12'!AC19</f>
        <v>0</v>
      </c>
      <c r="AD19" s="12">
        <f>'N12'!AD19+'K12'!AD19</f>
        <v>85</v>
      </c>
      <c r="AE19" s="39"/>
      <c r="AF19" s="39"/>
      <c r="AG19" s="39"/>
      <c r="AH19" s="39"/>
      <c r="AI19" s="39"/>
      <c r="AJ19"/>
    </row>
    <row r="20" spans="1:36" x14ac:dyDescent="0.2">
      <c r="A20" s="5">
        <f>DAY(Kalenteri!A350)</f>
        <v>16</v>
      </c>
      <c r="B20" s="3" t="str">
        <f>IF(Kalenteri!B350=1,"su",IF(Kalenteri!B350=2,"ma",IF(Kalenteri!B350=3,"ti",IF(Kalenteri!B350=4,"ke",IF(Kalenteri!B350=5,"to",IF(Kalenteri!B350=6,"pe",IF(Kalenteri!B350=7,"la",)))))))</f>
        <v>ma</v>
      </c>
      <c r="C20" s="114">
        <f>'N12'!C20+'K12'!C20</f>
        <v>37</v>
      </c>
      <c r="D20" s="115">
        <f>'N12'!D20+'K12'!D20</f>
        <v>9</v>
      </c>
      <c r="E20" s="115">
        <f>'N12'!E20+'K12'!E20</f>
        <v>0</v>
      </c>
      <c r="F20" s="116">
        <f>'N12'!F20+'K12'!F20</f>
        <v>2</v>
      </c>
      <c r="G20" s="114">
        <f>'N12'!G20+'K12'!G20</f>
        <v>1</v>
      </c>
      <c r="H20" s="116">
        <f>'N12'!H20+'K12'!H20</f>
        <v>18</v>
      </c>
      <c r="I20" s="114">
        <f>'N12'!I20+'K12'!I20</f>
        <v>0</v>
      </c>
      <c r="J20" s="116">
        <f>'N12'!J20+'K12'!J20</f>
        <v>0</v>
      </c>
      <c r="K20" s="33">
        <f>'N12'!K20+'K12'!K20</f>
        <v>67</v>
      </c>
      <c r="L20" s="115">
        <f>'N12'!L20+'K12'!L20</f>
        <v>0</v>
      </c>
      <c r="M20" s="115">
        <f>'N12'!M20+'K12'!M20</f>
        <v>0</v>
      </c>
      <c r="N20" s="115">
        <f>'N12'!N20+'K12'!N20</f>
        <v>0</v>
      </c>
      <c r="O20" s="116">
        <f>'N12'!O20+'K12'!O20</f>
        <v>0</v>
      </c>
      <c r="P20" s="115">
        <f>'N12'!P20+'K12'!P20</f>
        <v>0</v>
      </c>
      <c r="Q20" s="116">
        <f>'N12'!Q20+'K12'!Q20</f>
        <v>0</v>
      </c>
      <c r="R20" s="121">
        <f>'N12'!R20+'K12'!R20</f>
        <v>0</v>
      </c>
      <c r="S20" s="121">
        <f>'N12'!S20+'K12'!S20</f>
        <v>0</v>
      </c>
      <c r="T20" s="33">
        <f>'N12'!T20+'K12'!T20</f>
        <v>0</v>
      </c>
      <c r="U20" s="115">
        <f>'N12'!U20+'K12'!U20</f>
        <v>0</v>
      </c>
      <c r="V20" s="115">
        <f>'N12'!V20+'K12'!V20</f>
        <v>0</v>
      </c>
      <c r="W20" s="115">
        <f>'N12'!W20+'K12'!W20</f>
        <v>0</v>
      </c>
      <c r="X20" s="116">
        <f>'N12'!X20+'K12'!X20</f>
        <v>0</v>
      </c>
      <c r="Y20" s="115">
        <f>'N12'!Y20+'K12'!Y20</f>
        <v>0</v>
      </c>
      <c r="Z20" s="116">
        <f>'N12'!Z20+'K12'!Z20</f>
        <v>0</v>
      </c>
      <c r="AA20" s="121">
        <f>'N12'!AA20+'K12'!AA20</f>
        <v>0</v>
      </c>
      <c r="AB20" s="121">
        <f>'N12'!AB20+'K12'!AB20</f>
        <v>0</v>
      </c>
      <c r="AC20" s="33">
        <f>'N12'!AC20+'K12'!AC20</f>
        <v>0</v>
      </c>
      <c r="AD20" s="12">
        <f>'N12'!AD20+'K12'!AD20</f>
        <v>67</v>
      </c>
      <c r="AE20" s="39"/>
      <c r="AF20" s="39"/>
      <c r="AG20" s="39"/>
      <c r="AH20" s="39"/>
      <c r="AI20" s="39"/>
      <c r="AJ20"/>
    </row>
    <row r="21" spans="1:36" x14ac:dyDescent="0.2">
      <c r="A21" s="5">
        <f>DAY(Kalenteri!A351)</f>
        <v>17</v>
      </c>
      <c r="B21" s="3" t="str">
        <f>IF(Kalenteri!B351=1,"su",IF(Kalenteri!B351=2,"ma",IF(Kalenteri!B351=3,"ti",IF(Kalenteri!B351=4,"ke",IF(Kalenteri!B351=5,"to",IF(Kalenteri!B351=6,"pe",IF(Kalenteri!B351=7,"la",)))))))</f>
        <v>ti</v>
      </c>
      <c r="C21" s="114">
        <f>'N12'!C21+'K12'!C21</f>
        <v>52</v>
      </c>
      <c r="D21" s="115">
        <f>'N12'!D21+'K12'!D21</f>
        <v>5</v>
      </c>
      <c r="E21" s="115">
        <f>'N12'!E21+'K12'!E21</f>
        <v>0</v>
      </c>
      <c r="F21" s="116">
        <f>'N12'!F21+'K12'!F21</f>
        <v>5</v>
      </c>
      <c r="G21" s="114">
        <f>'N12'!G21+'K12'!G21</f>
        <v>0</v>
      </c>
      <c r="H21" s="116">
        <f>'N12'!H21+'K12'!H21</f>
        <v>21</v>
      </c>
      <c r="I21" s="114">
        <f>'N12'!I21+'K12'!I21</f>
        <v>0</v>
      </c>
      <c r="J21" s="116">
        <f>'N12'!J21+'K12'!J21</f>
        <v>0</v>
      </c>
      <c r="K21" s="33">
        <f>'N12'!K21+'K12'!K21</f>
        <v>83</v>
      </c>
      <c r="L21" s="115">
        <f>'N12'!L21+'K12'!L21</f>
        <v>0</v>
      </c>
      <c r="M21" s="115">
        <f>'N12'!M21+'K12'!M21</f>
        <v>0</v>
      </c>
      <c r="N21" s="115">
        <f>'N12'!N21+'K12'!N21</f>
        <v>0</v>
      </c>
      <c r="O21" s="116">
        <f>'N12'!O21+'K12'!O21</f>
        <v>0</v>
      </c>
      <c r="P21" s="115">
        <f>'N12'!P21+'K12'!P21</f>
        <v>0</v>
      </c>
      <c r="Q21" s="116">
        <f>'N12'!Q21+'K12'!Q21</f>
        <v>0</v>
      </c>
      <c r="R21" s="121">
        <f>'N12'!R21+'K12'!R21</f>
        <v>0</v>
      </c>
      <c r="S21" s="121">
        <f>'N12'!S21+'K12'!S21</f>
        <v>0</v>
      </c>
      <c r="T21" s="33">
        <f>'N12'!T21+'K12'!T21</f>
        <v>0</v>
      </c>
      <c r="U21" s="115">
        <f>'N12'!U21+'K12'!U21</f>
        <v>0</v>
      </c>
      <c r="V21" s="115">
        <f>'N12'!V21+'K12'!V21</f>
        <v>0</v>
      </c>
      <c r="W21" s="115">
        <f>'N12'!W21+'K12'!W21</f>
        <v>0</v>
      </c>
      <c r="X21" s="116">
        <f>'N12'!X21+'K12'!X21</f>
        <v>0</v>
      </c>
      <c r="Y21" s="115">
        <f>'N12'!Y21+'K12'!Y21</f>
        <v>0</v>
      </c>
      <c r="Z21" s="116">
        <f>'N12'!Z21+'K12'!Z21</f>
        <v>0</v>
      </c>
      <c r="AA21" s="121">
        <f>'N12'!AA21+'K12'!AA21</f>
        <v>0</v>
      </c>
      <c r="AB21" s="121">
        <f>'N12'!AB21+'K12'!AB21</f>
        <v>0</v>
      </c>
      <c r="AC21" s="33">
        <f>'N12'!AC21+'K12'!AC21</f>
        <v>0</v>
      </c>
      <c r="AD21" s="12">
        <f>'N12'!AD21+'K12'!AD21</f>
        <v>83</v>
      </c>
      <c r="AE21" s="39"/>
      <c r="AF21" s="39"/>
      <c r="AG21" s="39"/>
      <c r="AH21" s="39"/>
      <c r="AI21" s="39"/>
      <c r="AJ21"/>
    </row>
    <row r="22" spans="1:36" x14ac:dyDescent="0.2">
      <c r="A22" s="5">
        <f>DAY(Kalenteri!A352)</f>
        <v>18</v>
      </c>
      <c r="B22" s="3" t="str">
        <f>IF(Kalenteri!B352=1,"su",IF(Kalenteri!B352=2,"ma",IF(Kalenteri!B352=3,"ti",IF(Kalenteri!B352=4,"ke",IF(Kalenteri!B352=5,"to",IF(Kalenteri!B352=6,"pe",IF(Kalenteri!B352=7,"la",)))))))</f>
        <v>ke</v>
      </c>
      <c r="C22" s="114">
        <f>'N12'!C22+'K12'!C22</f>
        <v>37</v>
      </c>
      <c r="D22" s="115">
        <f>'N12'!D22+'K12'!D22</f>
        <v>2</v>
      </c>
      <c r="E22" s="115">
        <f>'N12'!E22+'K12'!E22</f>
        <v>0</v>
      </c>
      <c r="F22" s="116">
        <f>'N12'!F22+'K12'!F22</f>
        <v>7</v>
      </c>
      <c r="G22" s="114">
        <f>'N12'!G22+'K12'!G22</f>
        <v>3</v>
      </c>
      <c r="H22" s="116">
        <f>'N12'!H22+'K12'!H22</f>
        <v>18</v>
      </c>
      <c r="I22" s="114">
        <f>'N12'!I22+'K12'!I22</f>
        <v>0</v>
      </c>
      <c r="J22" s="116">
        <f>'N12'!J22+'K12'!J22</f>
        <v>0</v>
      </c>
      <c r="K22" s="33">
        <f>'N12'!K22+'K12'!K22</f>
        <v>67</v>
      </c>
      <c r="L22" s="115">
        <f>'N12'!L22+'K12'!L22</f>
        <v>0</v>
      </c>
      <c r="M22" s="115">
        <f>'N12'!M22+'K12'!M22</f>
        <v>0</v>
      </c>
      <c r="N22" s="115">
        <f>'N12'!N22+'K12'!N22</f>
        <v>0</v>
      </c>
      <c r="O22" s="116">
        <f>'N12'!O22+'K12'!O22</f>
        <v>0</v>
      </c>
      <c r="P22" s="115">
        <f>'N12'!P22+'K12'!P22</f>
        <v>0</v>
      </c>
      <c r="Q22" s="116">
        <f>'N12'!Q22+'K12'!Q22</f>
        <v>0</v>
      </c>
      <c r="R22" s="121">
        <f>'N12'!R22+'K12'!R22</f>
        <v>0</v>
      </c>
      <c r="S22" s="121">
        <f>'N12'!S22+'K12'!S22</f>
        <v>0</v>
      </c>
      <c r="T22" s="33">
        <f>'N12'!T22+'K12'!T22</f>
        <v>0</v>
      </c>
      <c r="U22" s="115">
        <f>'N12'!U22+'K12'!U22</f>
        <v>0</v>
      </c>
      <c r="V22" s="115">
        <f>'N12'!V22+'K12'!V22</f>
        <v>0</v>
      </c>
      <c r="W22" s="115">
        <f>'N12'!W22+'K12'!W22</f>
        <v>0</v>
      </c>
      <c r="X22" s="116">
        <f>'N12'!X22+'K12'!X22</f>
        <v>0</v>
      </c>
      <c r="Y22" s="115">
        <f>'N12'!Y22+'K12'!Y22</f>
        <v>0</v>
      </c>
      <c r="Z22" s="116">
        <f>'N12'!Z22+'K12'!Z22</f>
        <v>0</v>
      </c>
      <c r="AA22" s="121">
        <f>'N12'!AA22+'K12'!AA22</f>
        <v>0</v>
      </c>
      <c r="AB22" s="121">
        <f>'N12'!AB22+'K12'!AB22</f>
        <v>0</v>
      </c>
      <c r="AC22" s="33">
        <f>'N12'!AC22+'K12'!AC22</f>
        <v>0</v>
      </c>
      <c r="AD22" s="12">
        <f>'N12'!AD22+'K12'!AD22</f>
        <v>67</v>
      </c>
      <c r="AE22" s="39"/>
      <c r="AF22" s="39"/>
      <c r="AG22" s="39"/>
      <c r="AH22" s="39"/>
      <c r="AI22" s="39"/>
      <c r="AJ22"/>
    </row>
    <row r="23" spans="1:36" x14ac:dyDescent="0.2">
      <c r="A23" s="5">
        <f>DAY(Kalenteri!A353)</f>
        <v>19</v>
      </c>
      <c r="B23" s="3" t="str">
        <f>IF(Kalenteri!B353=1,"su",IF(Kalenteri!B353=2,"ma",IF(Kalenteri!B353=3,"ti",IF(Kalenteri!B353=4,"ke",IF(Kalenteri!B353=5,"to",IF(Kalenteri!B353=6,"pe",IF(Kalenteri!B353=7,"la",)))))))</f>
        <v>to</v>
      </c>
      <c r="C23" s="114">
        <f>'N12'!C23+'K12'!C23</f>
        <v>12</v>
      </c>
      <c r="D23" s="115">
        <f>'N12'!D23+'K12'!D23</f>
        <v>3</v>
      </c>
      <c r="E23" s="115">
        <f>'N12'!E23+'K12'!E23</f>
        <v>0</v>
      </c>
      <c r="F23" s="116">
        <f>'N12'!F23+'K12'!F23</f>
        <v>0</v>
      </c>
      <c r="G23" s="114">
        <f>'N12'!G23+'K12'!G23</f>
        <v>0</v>
      </c>
      <c r="H23" s="116">
        <f>'N12'!H23+'K12'!H23</f>
        <v>4</v>
      </c>
      <c r="I23" s="114">
        <f>'N12'!I23+'K12'!I23</f>
        <v>0</v>
      </c>
      <c r="J23" s="116">
        <f>'N12'!J23+'K12'!J23</f>
        <v>0</v>
      </c>
      <c r="K23" s="33">
        <f>'N12'!K23+'K12'!K23</f>
        <v>19</v>
      </c>
      <c r="L23" s="115">
        <f>'N12'!L23+'K12'!L23</f>
        <v>0</v>
      </c>
      <c r="M23" s="115">
        <f>'N12'!M23+'K12'!M23</f>
        <v>0</v>
      </c>
      <c r="N23" s="115">
        <f>'N12'!N23+'K12'!N23</f>
        <v>0</v>
      </c>
      <c r="O23" s="116">
        <f>'N12'!O23+'K12'!O23</f>
        <v>0</v>
      </c>
      <c r="P23" s="115">
        <f>'N12'!P23+'K12'!P23</f>
        <v>0</v>
      </c>
      <c r="Q23" s="116">
        <f>'N12'!Q23+'K12'!Q23</f>
        <v>0</v>
      </c>
      <c r="R23" s="121">
        <f>'N12'!R23+'K12'!R23</f>
        <v>0</v>
      </c>
      <c r="S23" s="121">
        <f>'N12'!S23+'K12'!S23</f>
        <v>0</v>
      </c>
      <c r="T23" s="33">
        <f>'N12'!T23+'K12'!T23</f>
        <v>0</v>
      </c>
      <c r="U23" s="115">
        <f>'N12'!U23+'K12'!U23</f>
        <v>0</v>
      </c>
      <c r="V23" s="115">
        <f>'N12'!V23+'K12'!V23</f>
        <v>0</v>
      </c>
      <c r="W23" s="115">
        <f>'N12'!W23+'K12'!W23</f>
        <v>0</v>
      </c>
      <c r="X23" s="116">
        <f>'N12'!X23+'K12'!X23</f>
        <v>0</v>
      </c>
      <c r="Y23" s="115">
        <f>'N12'!Y23+'K12'!Y23</f>
        <v>0</v>
      </c>
      <c r="Z23" s="116">
        <f>'N12'!Z23+'K12'!Z23</f>
        <v>0</v>
      </c>
      <c r="AA23" s="121">
        <f>'N12'!AA23+'K12'!AA23</f>
        <v>0</v>
      </c>
      <c r="AB23" s="121">
        <f>'N12'!AB23+'K12'!AB23</f>
        <v>0</v>
      </c>
      <c r="AC23" s="33">
        <f>'N12'!AC23+'K12'!AC23</f>
        <v>0</v>
      </c>
      <c r="AD23" s="12">
        <f>'N12'!AD23+'K12'!AD23</f>
        <v>19</v>
      </c>
      <c r="AE23" s="39"/>
      <c r="AF23" s="39"/>
      <c r="AG23" s="39"/>
      <c r="AH23" s="39"/>
      <c r="AI23" s="39"/>
      <c r="AJ23"/>
    </row>
    <row r="24" spans="1:36" x14ac:dyDescent="0.2">
      <c r="A24" s="5">
        <f>DAY(Kalenteri!A354)</f>
        <v>20</v>
      </c>
      <c r="B24" s="3" t="str">
        <f>IF(Kalenteri!B354=1,"su",IF(Kalenteri!B354=2,"ma",IF(Kalenteri!B354=3,"ti",IF(Kalenteri!B354=4,"ke",IF(Kalenteri!B354=5,"to",IF(Kalenteri!B354=6,"pe",IF(Kalenteri!B354=7,"la",)))))))</f>
        <v>pe</v>
      </c>
      <c r="C24" s="114">
        <f>'N12'!C24+'K12'!C24</f>
        <v>13</v>
      </c>
      <c r="D24" s="115">
        <f>'N12'!D24+'K12'!D24</f>
        <v>0</v>
      </c>
      <c r="E24" s="115">
        <f>'N12'!E24+'K12'!E24</f>
        <v>0</v>
      </c>
      <c r="F24" s="116">
        <f>'N12'!F24+'K12'!F24</f>
        <v>2</v>
      </c>
      <c r="G24" s="114">
        <f>'N12'!G24+'K12'!G24</f>
        <v>5</v>
      </c>
      <c r="H24" s="116">
        <f>'N12'!H24+'K12'!H24</f>
        <v>44</v>
      </c>
      <c r="I24" s="114">
        <f>'N12'!I24+'K12'!I24</f>
        <v>0</v>
      </c>
      <c r="J24" s="116">
        <f>'N12'!J24+'K12'!J24</f>
        <v>0</v>
      </c>
      <c r="K24" s="33">
        <f>'N12'!K24+'K12'!K24</f>
        <v>64</v>
      </c>
      <c r="L24" s="115">
        <f>'N12'!L24+'K12'!L24</f>
        <v>0</v>
      </c>
      <c r="M24" s="115">
        <f>'N12'!M24+'K12'!M24</f>
        <v>0</v>
      </c>
      <c r="N24" s="115">
        <f>'N12'!N24+'K12'!N24</f>
        <v>0</v>
      </c>
      <c r="O24" s="116">
        <f>'N12'!O24+'K12'!O24</f>
        <v>0</v>
      </c>
      <c r="P24" s="115">
        <f>'N12'!P24+'K12'!P24</f>
        <v>0</v>
      </c>
      <c r="Q24" s="116">
        <f>'N12'!Q24+'K12'!Q24</f>
        <v>0</v>
      </c>
      <c r="R24" s="121">
        <f>'N12'!R24+'K12'!R24</f>
        <v>0</v>
      </c>
      <c r="S24" s="121">
        <f>'N12'!S24+'K12'!S24</f>
        <v>0</v>
      </c>
      <c r="T24" s="33">
        <f>'N12'!T24+'K12'!T24</f>
        <v>0</v>
      </c>
      <c r="U24" s="115">
        <f>'N12'!U24+'K12'!U24</f>
        <v>0</v>
      </c>
      <c r="V24" s="115">
        <f>'N12'!V24+'K12'!V24</f>
        <v>0</v>
      </c>
      <c r="W24" s="115">
        <f>'N12'!W24+'K12'!W24</f>
        <v>0</v>
      </c>
      <c r="X24" s="116">
        <f>'N12'!X24+'K12'!X24</f>
        <v>0</v>
      </c>
      <c r="Y24" s="115">
        <f>'N12'!Y24+'K12'!Y24</f>
        <v>0</v>
      </c>
      <c r="Z24" s="116">
        <f>'N12'!Z24+'K12'!Z24</f>
        <v>0</v>
      </c>
      <c r="AA24" s="121">
        <f>'N12'!AA24+'K12'!AA24</f>
        <v>0</v>
      </c>
      <c r="AB24" s="121">
        <f>'N12'!AB24+'K12'!AB24</f>
        <v>0</v>
      </c>
      <c r="AC24" s="33">
        <f>'N12'!AC24+'K12'!AC24</f>
        <v>0</v>
      </c>
      <c r="AD24" s="12">
        <f>'N12'!AD24+'K12'!AD24</f>
        <v>64</v>
      </c>
      <c r="AE24" s="39"/>
      <c r="AF24" s="39"/>
      <c r="AG24" s="39"/>
      <c r="AH24" s="39"/>
      <c r="AI24" s="39"/>
      <c r="AJ24" s="39"/>
    </row>
    <row r="25" spans="1:36" x14ac:dyDescent="0.2">
      <c r="A25" s="5">
        <f>DAY(Kalenteri!A355)</f>
        <v>21</v>
      </c>
      <c r="B25" s="3" t="str">
        <f>IF(Kalenteri!B355=1,"su",IF(Kalenteri!B355=2,"ma",IF(Kalenteri!B355=3,"ti",IF(Kalenteri!B355=4,"ke",IF(Kalenteri!B355=5,"to",IF(Kalenteri!B355=6,"pe",IF(Kalenteri!B355=7,"la",)))))))</f>
        <v>la</v>
      </c>
      <c r="C25" s="114">
        <f>'N12'!C25+'K12'!C25</f>
        <v>139</v>
      </c>
      <c r="D25" s="115">
        <f>'N12'!D25+'K12'!D25</f>
        <v>24</v>
      </c>
      <c r="E25" s="115">
        <f>'N12'!E25+'K12'!E25</f>
        <v>2</v>
      </c>
      <c r="F25" s="116">
        <f>'N12'!F25+'K12'!F25</f>
        <v>5</v>
      </c>
      <c r="G25" s="114">
        <f>'N12'!G25+'K12'!G25</f>
        <v>1</v>
      </c>
      <c r="H25" s="116">
        <f>'N12'!H25+'K12'!H25</f>
        <v>44</v>
      </c>
      <c r="I25" s="114">
        <f>'N12'!I25+'K12'!I25</f>
        <v>0</v>
      </c>
      <c r="J25" s="116">
        <f>'N12'!J25+'K12'!J25</f>
        <v>0</v>
      </c>
      <c r="K25" s="33">
        <f>'N12'!K25+'K12'!K25</f>
        <v>215</v>
      </c>
      <c r="L25" s="115">
        <f>'N12'!L25+'K12'!L25</f>
        <v>0</v>
      </c>
      <c r="M25" s="115">
        <f>'N12'!M25+'K12'!M25</f>
        <v>0</v>
      </c>
      <c r="N25" s="115">
        <f>'N12'!N25+'K12'!N25</f>
        <v>0</v>
      </c>
      <c r="O25" s="116">
        <f>'N12'!O25+'K12'!O25</f>
        <v>0</v>
      </c>
      <c r="P25" s="115">
        <f>'N12'!P25+'K12'!P25</f>
        <v>0</v>
      </c>
      <c r="Q25" s="116">
        <f>'N12'!Q25+'K12'!Q25</f>
        <v>0</v>
      </c>
      <c r="R25" s="121">
        <f>'N12'!R25+'K12'!R25</f>
        <v>0</v>
      </c>
      <c r="S25" s="121">
        <f>'N12'!S25+'K12'!S25</f>
        <v>0</v>
      </c>
      <c r="T25" s="33">
        <f>'N12'!T25+'K12'!T25</f>
        <v>0</v>
      </c>
      <c r="U25" s="115">
        <f>'N12'!U25+'K12'!U25</f>
        <v>0</v>
      </c>
      <c r="V25" s="115">
        <f>'N12'!V25+'K12'!V25</f>
        <v>0</v>
      </c>
      <c r="W25" s="115">
        <f>'N12'!W25+'K12'!W25</f>
        <v>0</v>
      </c>
      <c r="X25" s="116">
        <f>'N12'!X25+'K12'!X25</f>
        <v>0</v>
      </c>
      <c r="Y25" s="115">
        <f>'N12'!Y25+'K12'!Y25</f>
        <v>0</v>
      </c>
      <c r="Z25" s="116">
        <f>'N12'!Z25+'K12'!Z25</f>
        <v>0</v>
      </c>
      <c r="AA25" s="121">
        <f>'N12'!AA25+'K12'!AA25</f>
        <v>0</v>
      </c>
      <c r="AB25" s="121">
        <f>'N12'!AB25+'K12'!AB25</f>
        <v>0</v>
      </c>
      <c r="AC25" s="33">
        <f>'N12'!AC25+'K12'!AC25</f>
        <v>0</v>
      </c>
      <c r="AD25" s="12">
        <f>'N12'!AD25+'K12'!AD25</f>
        <v>215</v>
      </c>
      <c r="AE25" s="39"/>
      <c r="AF25" s="39"/>
      <c r="AG25" s="39"/>
      <c r="AH25" s="39"/>
      <c r="AI25" s="39"/>
      <c r="AJ25" s="39"/>
    </row>
    <row r="26" spans="1:36" x14ac:dyDescent="0.2">
      <c r="A26" s="5">
        <f>DAY(Kalenteri!A356)</f>
        <v>22</v>
      </c>
      <c r="B26" s="3" t="str">
        <f>IF(Kalenteri!B356=1,"su",IF(Kalenteri!B356=2,"ma",IF(Kalenteri!B356=3,"ti",IF(Kalenteri!B356=4,"ke",IF(Kalenteri!B356=5,"to",IF(Kalenteri!B356=6,"pe",IF(Kalenteri!B356=7,"la",)))))))</f>
        <v>su</v>
      </c>
      <c r="C26" s="114">
        <f>'N12'!C26+'K12'!C26</f>
        <v>85</v>
      </c>
      <c r="D26" s="115">
        <f>'N12'!D26+'K12'!D26</f>
        <v>8</v>
      </c>
      <c r="E26" s="115">
        <f>'N12'!E26+'K12'!E26</f>
        <v>0</v>
      </c>
      <c r="F26" s="116">
        <f>'N12'!F26+'K12'!F26</f>
        <v>9</v>
      </c>
      <c r="G26" s="114">
        <f>'N12'!G26+'K12'!G26</f>
        <v>0</v>
      </c>
      <c r="H26" s="116">
        <f>'N12'!H26+'K12'!H26</f>
        <v>24</v>
      </c>
      <c r="I26" s="114">
        <f>'N12'!I26+'K12'!I26</f>
        <v>2</v>
      </c>
      <c r="J26" s="116">
        <f>'N12'!J26+'K12'!J26</f>
        <v>3</v>
      </c>
      <c r="K26" s="33">
        <f>'N12'!K26+'K12'!K26</f>
        <v>131</v>
      </c>
      <c r="L26" s="115">
        <f>'N12'!L26+'K12'!L26</f>
        <v>0</v>
      </c>
      <c r="M26" s="115">
        <f>'N12'!M26+'K12'!M26</f>
        <v>0</v>
      </c>
      <c r="N26" s="115">
        <f>'N12'!N26+'K12'!N26</f>
        <v>0</v>
      </c>
      <c r="O26" s="116">
        <f>'N12'!O26+'K12'!O26</f>
        <v>0</v>
      </c>
      <c r="P26" s="115">
        <f>'N12'!P26+'K12'!P26</f>
        <v>0</v>
      </c>
      <c r="Q26" s="116">
        <f>'N12'!Q26+'K12'!Q26</f>
        <v>0</v>
      </c>
      <c r="R26" s="121">
        <f>'N12'!R26+'K12'!R26</f>
        <v>0</v>
      </c>
      <c r="S26" s="121">
        <f>'N12'!S26+'K12'!S26</f>
        <v>0</v>
      </c>
      <c r="T26" s="33">
        <f>'N12'!T26+'K12'!T26</f>
        <v>0</v>
      </c>
      <c r="U26" s="115">
        <f>'N12'!U26+'K12'!U26</f>
        <v>0</v>
      </c>
      <c r="V26" s="115">
        <f>'N12'!V26+'K12'!V26</f>
        <v>0</v>
      </c>
      <c r="W26" s="115">
        <f>'N12'!W26+'K12'!W26</f>
        <v>0</v>
      </c>
      <c r="X26" s="116">
        <f>'N12'!X26+'K12'!X26</f>
        <v>0</v>
      </c>
      <c r="Y26" s="115">
        <f>'N12'!Y26+'K12'!Y26</f>
        <v>0</v>
      </c>
      <c r="Z26" s="116">
        <f>'N12'!Z26+'K12'!Z26</f>
        <v>0</v>
      </c>
      <c r="AA26" s="121">
        <f>'N12'!AA26+'K12'!AA26</f>
        <v>0</v>
      </c>
      <c r="AB26" s="121">
        <f>'N12'!AB26+'K12'!AB26</f>
        <v>0</v>
      </c>
      <c r="AC26" s="33">
        <f>'N12'!AC26+'K12'!AC26</f>
        <v>0</v>
      </c>
      <c r="AD26" s="12">
        <f>'N12'!AD26+'K12'!AD26</f>
        <v>131</v>
      </c>
      <c r="AE26" s="39"/>
      <c r="AF26" s="39"/>
      <c r="AG26" s="39"/>
      <c r="AH26" s="39"/>
      <c r="AI26" s="39"/>
      <c r="AJ26" s="39"/>
    </row>
    <row r="27" spans="1:36" x14ac:dyDescent="0.2">
      <c r="A27" s="5">
        <f>DAY(Kalenteri!A357)</f>
        <v>23</v>
      </c>
      <c r="B27" s="3" t="str">
        <f>IF(Kalenteri!B357=1,"su",IF(Kalenteri!B357=2,"ma",IF(Kalenteri!B357=3,"ti",IF(Kalenteri!B357=4,"ke",IF(Kalenteri!B357=5,"to",IF(Kalenteri!B357=6,"pe",IF(Kalenteri!B357=7,"la",)))))))</f>
        <v>ma</v>
      </c>
      <c r="C27" s="114">
        <f>'N12'!C27+'K12'!C27</f>
        <v>91</v>
      </c>
      <c r="D27" s="115">
        <f>'N12'!D27+'K12'!D27</f>
        <v>29</v>
      </c>
      <c r="E27" s="115">
        <f>'N12'!E27+'K12'!E27</f>
        <v>0</v>
      </c>
      <c r="F27" s="116">
        <f>'N12'!F27+'K12'!F27</f>
        <v>5</v>
      </c>
      <c r="G27" s="114">
        <f>'N12'!G27+'K12'!G27</f>
        <v>1</v>
      </c>
      <c r="H27" s="116">
        <f>'N12'!H27+'K12'!H27</f>
        <v>34</v>
      </c>
      <c r="I27" s="114">
        <f>'N12'!I27+'K12'!I27</f>
        <v>0</v>
      </c>
      <c r="J27" s="116">
        <f>'N12'!J27+'K12'!J27</f>
        <v>0</v>
      </c>
      <c r="K27" s="33">
        <f>'N12'!K27+'K12'!K27</f>
        <v>160</v>
      </c>
      <c r="L27" s="115">
        <f>'N12'!L27+'K12'!L27</f>
        <v>0</v>
      </c>
      <c r="M27" s="115">
        <f>'N12'!M27+'K12'!M27</f>
        <v>0</v>
      </c>
      <c r="N27" s="115">
        <f>'N12'!N27+'K12'!N27</f>
        <v>0</v>
      </c>
      <c r="O27" s="116">
        <f>'N12'!O27+'K12'!O27</f>
        <v>0</v>
      </c>
      <c r="P27" s="115">
        <f>'N12'!P27+'K12'!P27</f>
        <v>0</v>
      </c>
      <c r="Q27" s="116">
        <f>'N12'!Q27+'K12'!Q27</f>
        <v>0</v>
      </c>
      <c r="R27" s="121">
        <f>'N12'!R27+'K12'!R27</f>
        <v>0</v>
      </c>
      <c r="S27" s="121">
        <f>'N12'!S27+'K12'!S27</f>
        <v>0</v>
      </c>
      <c r="T27" s="33">
        <f>'N12'!T27+'K12'!T27</f>
        <v>0</v>
      </c>
      <c r="U27" s="115">
        <f>'N12'!U27+'K12'!U27</f>
        <v>0</v>
      </c>
      <c r="V27" s="115">
        <f>'N12'!V27+'K12'!V27</f>
        <v>0</v>
      </c>
      <c r="W27" s="115">
        <f>'N12'!W27+'K12'!W27</f>
        <v>0</v>
      </c>
      <c r="X27" s="116">
        <f>'N12'!X27+'K12'!X27</f>
        <v>0</v>
      </c>
      <c r="Y27" s="115">
        <f>'N12'!Y27+'K12'!Y27</f>
        <v>0</v>
      </c>
      <c r="Z27" s="116">
        <f>'N12'!Z27+'K12'!Z27</f>
        <v>0</v>
      </c>
      <c r="AA27" s="121">
        <f>'N12'!AA27+'K12'!AA27</f>
        <v>0</v>
      </c>
      <c r="AB27" s="121">
        <f>'N12'!AB27+'K12'!AB27</f>
        <v>0</v>
      </c>
      <c r="AC27" s="33">
        <f>'N12'!AC27+'K12'!AC27</f>
        <v>0</v>
      </c>
      <c r="AD27" s="12">
        <f>'N12'!AD27+'K12'!AD27</f>
        <v>160</v>
      </c>
      <c r="AE27" s="39"/>
      <c r="AF27" s="39"/>
      <c r="AG27" s="39"/>
      <c r="AH27" s="39"/>
      <c r="AI27" s="39"/>
      <c r="AJ27" s="39"/>
    </row>
    <row r="28" spans="1:36" x14ac:dyDescent="0.2">
      <c r="A28" s="5">
        <f>DAY(Kalenteri!A358)</f>
        <v>24</v>
      </c>
      <c r="B28" s="3" t="str">
        <f>IF(Kalenteri!B358=1,"su",IF(Kalenteri!B358=2,"ma",IF(Kalenteri!B358=3,"ti",IF(Kalenteri!B358=4,"ke",IF(Kalenteri!B358=5,"to",IF(Kalenteri!B358=6,"pe",IF(Kalenteri!B358=7,"la",)))))))</f>
        <v>ti</v>
      </c>
      <c r="C28" s="114">
        <f>'N12'!C28+'K12'!C28</f>
        <v>0</v>
      </c>
      <c r="D28" s="115">
        <f>'N12'!D28+'K12'!D28</f>
        <v>0</v>
      </c>
      <c r="E28" s="115">
        <f>'N12'!E28+'K12'!E28</f>
        <v>0</v>
      </c>
      <c r="F28" s="116">
        <f>'N12'!F28+'K12'!F28</f>
        <v>0</v>
      </c>
      <c r="G28" s="114">
        <f>'N12'!G28+'K12'!G28</f>
        <v>22</v>
      </c>
      <c r="H28" s="116">
        <f>'N12'!H28+'K12'!H28</f>
        <v>16</v>
      </c>
      <c r="I28" s="114">
        <f>'N12'!I28+'K12'!I28</f>
        <v>0</v>
      </c>
      <c r="J28" s="116">
        <f>'N12'!J28+'K12'!J28</f>
        <v>0</v>
      </c>
      <c r="K28" s="33">
        <f>'N12'!K28+'K12'!K28</f>
        <v>38</v>
      </c>
      <c r="L28" s="115">
        <f>'N12'!L28+'K12'!L28</f>
        <v>0</v>
      </c>
      <c r="M28" s="115">
        <f>'N12'!M28+'K12'!M28</f>
        <v>0</v>
      </c>
      <c r="N28" s="115">
        <f>'N12'!N28+'K12'!N28</f>
        <v>0</v>
      </c>
      <c r="O28" s="116">
        <f>'N12'!O28+'K12'!O28</f>
        <v>0</v>
      </c>
      <c r="P28" s="115">
        <f>'N12'!P28+'K12'!P28</f>
        <v>0</v>
      </c>
      <c r="Q28" s="116">
        <f>'N12'!Q28+'K12'!Q28</f>
        <v>0</v>
      </c>
      <c r="R28" s="121">
        <f>'N12'!R28+'K12'!R28</f>
        <v>0</v>
      </c>
      <c r="S28" s="121">
        <f>'N12'!S28+'K12'!S28</f>
        <v>0</v>
      </c>
      <c r="T28" s="33">
        <f>'N12'!T28+'K12'!T28</f>
        <v>0</v>
      </c>
      <c r="U28" s="115">
        <f>'N12'!U28+'K12'!U28</f>
        <v>0</v>
      </c>
      <c r="V28" s="115">
        <f>'N12'!V28+'K12'!V28</f>
        <v>0</v>
      </c>
      <c r="W28" s="115">
        <f>'N12'!W28+'K12'!W28</f>
        <v>0</v>
      </c>
      <c r="X28" s="116">
        <f>'N12'!X28+'K12'!X28</f>
        <v>0</v>
      </c>
      <c r="Y28" s="115">
        <f>'N12'!Y28+'K12'!Y28</f>
        <v>0</v>
      </c>
      <c r="Z28" s="116">
        <f>'N12'!Z28+'K12'!Z28</f>
        <v>0</v>
      </c>
      <c r="AA28" s="121">
        <f>'N12'!AA28+'K12'!AA28</f>
        <v>0</v>
      </c>
      <c r="AB28" s="121">
        <f>'N12'!AB28+'K12'!AB28</f>
        <v>0</v>
      </c>
      <c r="AC28" s="33">
        <f>'N12'!AC28+'K12'!AC28</f>
        <v>0</v>
      </c>
      <c r="AD28" s="12">
        <f>'N12'!AD28+'K12'!AD28</f>
        <v>38</v>
      </c>
      <c r="AE28" s="39"/>
      <c r="AF28" s="39"/>
      <c r="AG28" s="39"/>
      <c r="AH28" s="39"/>
      <c r="AI28" s="39"/>
      <c r="AJ28" s="39"/>
    </row>
    <row r="29" spans="1:36" x14ac:dyDescent="0.2">
      <c r="A29" s="5">
        <f>DAY(Kalenteri!A359)</f>
        <v>25</v>
      </c>
      <c r="B29" s="3" t="str">
        <f>IF(Kalenteri!B359=1,"su",IF(Kalenteri!B359=2,"ma",IF(Kalenteri!B359=3,"ti",IF(Kalenteri!B359=4,"ke",IF(Kalenteri!B359=5,"to",IF(Kalenteri!B359=6,"pe",IF(Kalenteri!B359=7,"la",)))))))</f>
        <v>ke</v>
      </c>
      <c r="C29" s="114">
        <f>'N12'!C29+'K12'!C29</f>
        <v>172</v>
      </c>
      <c r="D29" s="115">
        <f>'N12'!D29+'K12'!D29</f>
        <v>48</v>
      </c>
      <c r="E29" s="115">
        <f>'N12'!E29+'K12'!E29</f>
        <v>0</v>
      </c>
      <c r="F29" s="116">
        <f>'N12'!F29+'K12'!F29</f>
        <v>17</v>
      </c>
      <c r="G29" s="114">
        <f>'N12'!G29+'K12'!G29</f>
        <v>5</v>
      </c>
      <c r="H29" s="116">
        <f>'N12'!H29+'K12'!H29</f>
        <v>36</v>
      </c>
      <c r="I29" s="114">
        <f>'N12'!I29+'K12'!I29</f>
        <v>10</v>
      </c>
      <c r="J29" s="116">
        <f>'N12'!J29+'K12'!J29</f>
        <v>15</v>
      </c>
      <c r="K29" s="33">
        <f>'N12'!K29+'K12'!K29</f>
        <v>303</v>
      </c>
      <c r="L29" s="115">
        <f>'N12'!L29+'K12'!L29</f>
        <v>0</v>
      </c>
      <c r="M29" s="115">
        <f>'N12'!M29+'K12'!M29</f>
        <v>0</v>
      </c>
      <c r="N29" s="115">
        <f>'N12'!N29+'K12'!N29</f>
        <v>0</v>
      </c>
      <c r="O29" s="116">
        <f>'N12'!O29+'K12'!O29</f>
        <v>0</v>
      </c>
      <c r="P29" s="115">
        <f>'N12'!P29+'K12'!P29</f>
        <v>0</v>
      </c>
      <c r="Q29" s="116">
        <f>'N12'!Q29+'K12'!Q29</f>
        <v>0</v>
      </c>
      <c r="R29" s="121">
        <f>'N12'!R29+'K12'!R29</f>
        <v>0</v>
      </c>
      <c r="S29" s="121">
        <f>'N12'!S29+'K12'!S29</f>
        <v>0</v>
      </c>
      <c r="T29" s="33">
        <f>'N12'!T29+'K12'!T29</f>
        <v>0</v>
      </c>
      <c r="U29" s="115">
        <f>'N12'!U29+'K12'!U29</f>
        <v>0</v>
      </c>
      <c r="V29" s="115">
        <f>'N12'!V29+'K12'!V29</f>
        <v>0</v>
      </c>
      <c r="W29" s="115">
        <f>'N12'!W29+'K12'!W29</f>
        <v>0</v>
      </c>
      <c r="X29" s="116">
        <f>'N12'!X29+'K12'!X29</f>
        <v>0</v>
      </c>
      <c r="Y29" s="115">
        <f>'N12'!Y29+'K12'!Y29</f>
        <v>0</v>
      </c>
      <c r="Z29" s="116">
        <f>'N12'!Z29+'K12'!Z29</f>
        <v>0</v>
      </c>
      <c r="AA29" s="121">
        <f>'N12'!AA29+'K12'!AA29</f>
        <v>0</v>
      </c>
      <c r="AB29" s="121">
        <f>'N12'!AB29+'K12'!AB29</f>
        <v>0</v>
      </c>
      <c r="AC29" s="33">
        <f>'N12'!AC29+'K12'!AC29</f>
        <v>0</v>
      </c>
      <c r="AD29" s="12">
        <f>'N12'!AD29+'K12'!AD29</f>
        <v>303</v>
      </c>
      <c r="AE29" s="39"/>
      <c r="AF29" s="39"/>
      <c r="AG29" s="39"/>
      <c r="AH29" s="39"/>
      <c r="AI29" s="39"/>
      <c r="AJ29" s="39"/>
    </row>
    <row r="30" spans="1:36" x14ac:dyDescent="0.2">
      <c r="A30" s="5">
        <f>DAY(Kalenteri!A360)</f>
        <v>26</v>
      </c>
      <c r="B30" s="3" t="str">
        <f>IF(Kalenteri!B360=1,"su",IF(Kalenteri!B360=2,"ma",IF(Kalenteri!B360=3,"ti",IF(Kalenteri!B360=4,"ke",IF(Kalenteri!B360=5,"to",IF(Kalenteri!B360=6,"pe",IF(Kalenteri!B360=7,"la",)))))))</f>
        <v>to</v>
      </c>
      <c r="C30" s="114">
        <f>'N12'!C30+'K12'!C30</f>
        <v>267</v>
      </c>
      <c r="D30" s="115">
        <f>'N12'!D30+'K12'!D30</f>
        <v>62</v>
      </c>
      <c r="E30" s="115">
        <f>'N12'!E30+'K12'!E30</f>
        <v>0</v>
      </c>
      <c r="F30" s="116">
        <f>'N12'!F30+'K12'!F30</f>
        <v>19</v>
      </c>
      <c r="G30" s="114">
        <f>'N12'!G30+'K12'!G30</f>
        <v>3</v>
      </c>
      <c r="H30" s="116">
        <f>'N12'!H30+'K12'!H30</f>
        <v>83</v>
      </c>
      <c r="I30" s="114">
        <f>'N12'!I30+'K12'!I30</f>
        <v>10</v>
      </c>
      <c r="J30" s="116">
        <f>'N12'!J30+'K12'!J30</f>
        <v>15</v>
      </c>
      <c r="K30" s="33">
        <f>'N12'!K30+'K12'!K30</f>
        <v>459</v>
      </c>
      <c r="L30" s="115">
        <f>'N12'!L30+'K12'!L30</f>
        <v>0</v>
      </c>
      <c r="M30" s="115">
        <f>'N12'!M30+'K12'!M30</f>
        <v>0</v>
      </c>
      <c r="N30" s="115">
        <f>'N12'!N30+'K12'!N30</f>
        <v>0</v>
      </c>
      <c r="O30" s="116">
        <f>'N12'!O30+'K12'!O30</f>
        <v>0</v>
      </c>
      <c r="P30" s="115">
        <f>'N12'!P30+'K12'!P30</f>
        <v>0</v>
      </c>
      <c r="Q30" s="116">
        <f>'N12'!Q30+'K12'!Q30</f>
        <v>0</v>
      </c>
      <c r="R30" s="121">
        <f>'N12'!R30+'K12'!R30</f>
        <v>0</v>
      </c>
      <c r="S30" s="121">
        <f>'N12'!S30+'K12'!S30</f>
        <v>0</v>
      </c>
      <c r="T30" s="33">
        <f>'N12'!T30+'K12'!T30</f>
        <v>0</v>
      </c>
      <c r="U30" s="115">
        <f>'N12'!U30+'K12'!U30</f>
        <v>0</v>
      </c>
      <c r="V30" s="115">
        <f>'N12'!V30+'K12'!V30</f>
        <v>0</v>
      </c>
      <c r="W30" s="115">
        <f>'N12'!W30+'K12'!W30</f>
        <v>0</v>
      </c>
      <c r="X30" s="116">
        <f>'N12'!X30+'K12'!X30</f>
        <v>0</v>
      </c>
      <c r="Y30" s="115">
        <f>'N12'!Y30+'K12'!Y30</f>
        <v>0</v>
      </c>
      <c r="Z30" s="116">
        <f>'N12'!Z30+'K12'!Z30</f>
        <v>0</v>
      </c>
      <c r="AA30" s="121">
        <f>'N12'!AA30+'K12'!AA30</f>
        <v>0</v>
      </c>
      <c r="AB30" s="121">
        <f>'N12'!AB30+'K12'!AB30</f>
        <v>0</v>
      </c>
      <c r="AC30" s="33">
        <f>'N12'!AC30+'K12'!AC30</f>
        <v>0</v>
      </c>
      <c r="AD30" s="12">
        <f>'N12'!AD30+'K12'!AD30</f>
        <v>459</v>
      </c>
      <c r="AE30" s="39"/>
      <c r="AF30" s="39"/>
      <c r="AG30" s="39"/>
      <c r="AH30" s="39"/>
      <c r="AI30" s="39"/>
      <c r="AJ30" s="39"/>
    </row>
    <row r="31" spans="1:36" x14ac:dyDescent="0.2">
      <c r="A31" s="5">
        <f>DAY(Kalenteri!A361)</f>
        <v>27</v>
      </c>
      <c r="B31" s="3" t="str">
        <f>IF(Kalenteri!B361=1,"su",IF(Kalenteri!B361=2,"ma",IF(Kalenteri!B361=3,"ti",IF(Kalenteri!B361=4,"ke",IF(Kalenteri!B361=5,"to",IF(Kalenteri!B361=6,"pe",IF(Kalenteri!B361=7,"la",)))))))</f>
        <v>pe</v>
      </c>
      <c r="C31" s="114">
        <f>'N12'!C31+'K12'!C31</f>
        <v>89</v>
      </c>
      <c r="D31" s="115">
        <f>'N12'!D31+'K12'!D31</f>
        <v>41</v>
      </c>
      <c r="E31" s="115">
        <f>'N12'!E31+'K12'!E31</f>
        <v>1</v>
      </c>
      <c r="F31" s="116">
        <f>'N12'!F31+'K12'!F31</f>
        <v>4</v>
      </c>
      <c r="G31" s="114">
        <f>'N12'!G31+'K12'!G31</f>
        <v>0</v>
      </c>
      <c r="H31" s="116">
        <f>'N12'!H31+'K12'!H31</f>
        <v>48</v>
      </c>
      <c r="I31" s="114">
        <f>'N12'!I31+'K12'!I31</f>
        <v>8</v>
      </c>
      <c r="J31" s="116">
        <f>'N12'!J31+'K12'!J31</f>
        <v>12</v>
      </c>
      <c r="K31" s="33">
        <f>'N12'!K31+'K12'!K31</f>
        <v>203</v>
      </c>
      <c r="L31" s="115">
        <f>'N12'!L31+'K12'!L31</f>
        <v>0</v>
      </c>
      <c r="M31" s="115">
        <f>'N12'!M31+'K12'!M31</f>
        <v>0</v>
      </c>
      <c r="N31" s="115">
        <f>'N12'!N31+'K12'!N31</f>
        <v>0</v>
      </c>
      <c r="O31" s="116">
        <f>'N12'!O31+'K12'!O31</f>
        <v>0</v>
      </c>
      <c r="P31" s="115">
        <f>'N12'!P31+'K12'!P31</f>
        <v>0</v>
      </c>
      <c r="Q31" s="116">
        <f>'N12'!Q31+'K12'!Q31</f>
        <v>0</v>
      </c>
      <c r="R31" s="121">
        <f>'N12'!R31+'K12'!R31</f>
        <v>0</v>
      </c>
      <c r="S31" s="121">
        <f>'N12'!S31+'K12'!S31</f>
        <v>0</v>
      </c>
      <c r="T31" s="33">
        <f>'N12'!T31+'K12'!T31</f>
        <v>0</v>
      </c>
      <c r="U31" s="115">
        <f>'N12'!U31+'K12'!U31</f>
        <v>0</v>
      </c>
      <c r="V31" s="115">
        <f>'N12'!V31+'K12'!V31</f>
        <v>0</v>
      </c>
      <c r="W31" s="115">
        <f>'N12'!W31+'K12'!W31</f>
        <v>0</v>
      </c>
      <c r="X31" s="116">
        <f>'N12'!X31+'K12'!X31</f>
        <v>0</v>
      </c>
      <c r="Y31" s="115">
        <f>'N12'!Y31+'K12'!Y31</f>
        <v>0</v>
      </c>
      <c r="Z31" s="116">
        <f>'N12'!Z31+'K12'!Z31</f>
        <v>0</v>
      </c>
      <c r="AA31" s="121">
        <f>'N12'!AA31+'K12'!AA31</f>
        <v>0</v>
      </c>
      <c r="AB31" s="121">
        <f>'N12'!AB31+'K12'!AB31</f>
        <v>0</v>
      </c>
      <c r="AC31" s="33">
        <f>'N12'!AC31+'K12'!AC31</f>
        <v>0</v>
      </c>
      <c r="AD31" s="12">
        <f>'N12'!AD31+'K12'!AD31</f>
        <v>203</v>
      </c>
      <c r="AE31" s="39"/>
      <c r="AF31" s="39"/>
      <c r="AG31" s="39"/>
      <c r="AH31" s="39"/>
      <c r="AI31" s="39"/>
      <c r="AJ31" s="39"/>
    </row>
    <row r="32" spans="1:36" x14ac:dyDescent="0.2">
      <c r="A32" s="5">
        <f>DAY(Kalenteri!A362)</f>
        <v>28</v>
      </c>
      <c r="B32" s="3" t="str">
        <f>IF(Kalenteri!B362=1,"su",IF(Kalenteri!B362=2,"ma",IF(Kalenteri!B362=3,"ti",IF(Kalenteri!B362=4,"ke",IF(Kalenteri!B362=5,"to",IF(Kalenteri!B362=6,"pe",IF(Kalenteri!B362=7,"la",)))))))</f>
        <v>la</v>
      </c>
      <c r="C32" s="114">
        <f>'N12'!C32+'K12'!C32</f>
        <v>159</v>
      </c>
      <c r="D32" s="115">
        <f>'N12'!D32+'K12'!D32</f>
        <v>39</v>
      </c>
      <c r="E32" s="115">
        <f>'N12'!E32+'K12'!E32</f>
        <v>2</v>
      </c>
      <c r="F32" s="116">
        <f>'N12'!F32+'K12'!F32</f>
        <v>19</v>
      </c>
      <c r="G32" s="114">
        <f>'N12'!G32+'K12'!G32</f>
        <v>1</v>
      </c>
      <c r="H32" s="116">
        <f>'N12'!H32+'K12'!H32</f>
        <v>53</v>
      </c>
      <c r="I32" s="114">
        <f>'N12'!I32+'K12'!I32</f>
        <v>2</v>
      </c>
      <c r="J32" s="116">
        <f>'N12'!J32+'K12'!J32</f>
        <v>3</v>
      </c>
      <c r="K32" s="33">
        <f>'N12'!K32+'K12'!K32</f>
        <v>278</v>
      </c>
      <c r="L32" s="115">
        <f>'N12'!L32+'K12'!L32</f>
        <v>0</v>
      </c>
      <c r="M32" s="115">
        <f>'N12'!M32+'K12'!M32</f>
        <v>0</v>
      </c>
      <c r="N32" s="115">
        <f>'N12'!N32+'K12'!N32</f>
        <v>0</v>
      </c>
      <c r="O32" s="116">
        <f>'N12'!O32+'K12'!O32</f>
        <v>0</v>
      </c>
      <c r="P32" s="115">
        <f>'N12'!P32+'K12'!P32</f>
        <v>0</v>
      </c>
      <c r="Q32" s="116">
        <f>'N12'!Q32+'K12'!Q32</f>
        <v>0</v>
      </c>
      <c r="R32" s="121">
        <f>'N12'!R32+'K12'!R32</f>
        <v>0</v>
      </c>
      <c r="S32" s="121">
        <f>'N12'!S32+'K12'!S32</f>
        <v>0</v>
      </c>
      <c r="T32" s="33">
        <f>'N12'!T32+'K12'!T32</f>
        <v>0</v>
      </c>
      <c r="U32" s="115">
        <f>'N12'!U32+'K12'!U32</f>
        <v>0</v>
      </c>
      <c r="V32" s="115">
        <f>'N12'!V32+'K12'!V32</f>
        <v>0</v>
      </c>
      <c r="W32" s="115">
        <f>'N12'!W32+'K12'!W32</f>
        <v>0</v>
      </c>
      <c r="X32" s="116">
        <f>'N12'!X32+'K12'!X32</f>
        <v>0</v>
      </c>
      <c r="Y32" s="115">
        <f>'N12'!Y32+'K12'!Y32</f>
        <v>0</v>
      </c>
      <c r="Z32" s="116">
        <f>'N12'!Z32+'K12'!Z32</f>
        <v>0</v>
      </c>
      <c r="AA32" s="121">
        <f>'N12'!AA32+'K12'!AA32</f>
        <v>0</v>
      </c>
      <c r="AB32" s="121">
        <f>'N12'!AB32+'K12'!AB32</f>
        <v>0</v>
      </c>
      <c r="AC32" s="33">
        <f>'N12'!AC32+'K12'!AC32</f>
        <v>0</v>
      </c>
      <c r="AD32" s="12">
        <f>'N12'!AD32+'K12'!AD32</f>
        <v>278</v>
      </c>
      <c r="AE32" s="39"/>
      <c r="AF32" s="39"/>
      <c r="AG32" s="39"/>
      <c r="AH32" s="39"/>
      <c r="AI32" s="39"/>
      <c r="AJ32" s="39"/>
    </row>
    <row r="33" spans="1:36" x14ac:dyDescent="0.2">
      <c r="A33" s="5">
        <f>DAY(Kalenteri!A363)</f>
        <v>29</v>
      </c>
      <c r="B33" s="3" t="str">
        <f>IF(Kalenteri!B363=1,"su",IF(Kalenteri!B363=2,"ma",IF(Kalenteri!B363=3,"ti",IF(Kalenteri!B363=4,"ke",IF(Kalenteri!B363=5,"to",IF(Kalenteri!B363=6,"pe",IF(Kalenteri!B363=7,"la",)))))))</f>
        <v>su</v>
      </c>
      <c r="C33" s="114">
        <f>'N12'!C33+'K12'!C33</f>
        <v>367</v>
      </c>
      <c r="D33" s="115">
        <f>'N12'!D33+'K12'!D33</f>
        <v>110</v>
      </c>
      <c r="E33" s="115">
        <f>'N12'!E33+'K12'!E33</f>
        <v>2</v>
      </c>
      <c r="F33" s="116">
        <f>'N12'!F33+'K12'!F33</f>
        <v>25</v>
      </c>
      <c r="G33" s="114">
        <f>'N12'!G33+'K12'!G33</f>
        <v>8</v>
      </c>
      <c r="H33" s="116">
        <f>'N12'!H33+'K12'!H33</f>
        <v>103</v>
      </c>
      <c r="I33" s="114">
        <f>'N12'!I33+'K12'!I33</f>
        <v>10</v>
      </c>
      <c r="J33" s="116">
        <f>'N12'!J33+'K12'!J33</f>
        <v>15</v>
      </c>
      <c r="K33" s="33">
        <f>'N12'!K33+'K12'!K33</f>
        <v>640</v>
      </c>
      <c r="L33" s="115">
        <f>'N12'!L33+'K12'!L33</f>
        <v>0</v>
      </c>
      <c r="M33" s="115">
        <f>'N12'!M33+'K12'!M33</f>
        <v>0</v>
      </c>
      <c r="N33" s="115">
        <f>'N12'!N33+'K12'!N33</f>
        <v>0</v>
      </c>
      <c r="O33" s="116">
        <f>'N12'!O33+'K12'!O33</f>
        <v>0</v>
      </c>
      <c r="P33" s="115">
        <f>'N12'!P33+'K12'!P33</f>
        <v>0</v>
      </c>
      <c r="Q33" s="116">
        <f>'N12'!Q33+'K12'!Q33</f>
        <v>0</v>
      </c>
      <c r="R33" s="121">
        <f>'N12'!R33+'K12'!R33</f>
        <v>0</v>
      </c>
      <c r="S33" s="121">
        <f>'N12'!S33+'K12'!S33</f>
        <v>0</v>
      </c>
      <c r="T33" s="33">
        <f>'N12'!T33+'K12'!T33</f>
        <v>0</v>
      </c>
      <c r="U33" s="115">
        <f>'N12'!U33+'K12'!U33</f>
        <v>0</v>
      </c>
      <c r="V33" s="115">
        <f>'N12'!V33+'K12'!V33</f>
        <v>0</v>
      </c>
      <c r="W33" s="115">
        <f>'N12'!W33+'K12'!W33</f>
        <v>0</v>
      </c>
      <c r="X33" s="116">
        <f>'N12'!X33+'K12'!X33</f>
        <v>0</v>
      </c>
      <c r="Y33" s="115">
        <f>'N12'!Y33+'K12'!Y33</f>
        <v>0</v>
      </c>
      <c r="Z33" s="116">
        <f>'N12'!Z33+'K12'!Z33</f>
        <v>0</v>
      </c>
      <c r="AA33" s="121">
        <f>'N12'!AA33+'K12'!AA33</f>
        <v>0</v>
      </c>
      <c r="AB33" s="121">
        <f>'N12'!AB33+'K12'!AB33</f>
        <v>0</v>
      </c>
      <c r="AC33" s="33">
        <f>'N12'!AC33+'K12'!AC33</f>
        <v>0</v>
      </c>
      <c r="AD33" s="12">
        <f>'N12'!AD33+'K12'!AD33</f>
        <v>640</v>
      </c>
      <c r="AE33" s="39"/>
      <c r="AF33" s="39"/>
      <c r="AG33" s="39"/>
      <c r="AH33" s="39"/>
      <c r="AI33" s="39"/>
      <c r="AJ33" s="39"/>
    </row>
    <row r="34" spans="1:36" x14ac:dyDescent="0.2">
      <c r="A34" s="5">
        <f>DAY(Kalenteri!A364)</f>
        <v>30</v>
      </c>
      <c r="B34" s="3" t="str">
        <f>IF(Kalenteri!B364=1,"su",IF(Kalenteri!B364=2,"ma",IF(Kalenteri!B364=3,"ti",IF(Kalenteri!B364=4,"ke",IF(Kalenteri!B364=5,"to",IF(Kalenteri!B364=6,"pe",IF(Kalenteri!B364=7,"la",)))))))</f>
        <v>ma</v>
      </c>
      <c r="C34" s="114">
        <f>'N12'!C34+'K12'!C34</f>
        <v>344</v>
      </c>
      <c r="D34" s="115">
        <f>'N12'!D34+'K12'!D34</f>
        <v>138</v>
      </c>
      <c r="E34" s="115">
        <f>'N12'!E34+'K12'!E34</f>
        <v>0</v>
      </c>
      <c r="F34" s="116">
        <f>'N12'!F34+'K12'!F34</f>
        <v>13</v>
      </c>
      <c r="G34" s="114">
        <f>'N12'!G34+'K12'!G34</f>
        <v>6</v>
      </c>
      <c r="H34" s="116">
        <f>'N12'!H34+'K12'!H34</f>
        <v>152</v>
      </c>
      <c r="I34" s="114">
        <f>'N12'!I34+'K12'!I34</f>
        <v>7</v>
      </c>
      <c r="J34" s="116">
        <f>'N12'!J34+'K12'!J34</f>
        <v>3</v>
      </c>
      <c r="K34" s="33">
        <f>'N12'!K34+'K12'!K34</f>
        <v>663</v>
      </c>
      <c r="L34" s="115">
        <f>'N12'!L34+'K12'!L34</f>
        <v>0</v>
      </c>
      <c r="M34" s="115">
        <f>'N12'!M34+'K12'!M34</f>
        <v>0</v>
      </c>
      <c r="N34" s="115">
        <f>'N12'!N34+'K12'!N34</f>
        <v>0</v>
      </c>
      <c r="O34" s="116">
        <f>'N12'!O34+'K12'!O34</f>
        <v>0</v>
      </c>
      <c r="P34" s="115">
        <f>'N12'!P34+'K12'!P34</f>
        <v>0</v>
      </c>
      <c r="Q34" s="116">
        <f>'N12'!Q34+'K12'!Q34</f>
        <v>0</v>
      </c>
      <c r="R34" s="121">
        <f>'N12'!R34+'K12'!R34</f>
        <v>0</v>
      </c>
      <c r="S34" s="121">
        <f>'N12'!S34+'K12'!S34</f>
        <v>0</v>
      </c>
      <c r="T34" s="33">
        <f>'N12'!T34+'K12'!T34</f>
        <v>0</v>
      </c>
      <c r="U34" s="115">
        <f>'N12'!U34+'K12'!U34</f>
        <v>0</v>
      </c>
      <c r="V34" s="115">
        <f>'N12'!V34+'K12'!V34</f>
        <v>0</v>
      </c>
      <c r="W34" s="115">
        <f>'N12'!W34+'K12'!W34</f>
        <v>0</v>
      </c>
      <c r="X34" s="116">
        <f>'N12'!X34+'K12'!X34</f>
        <v>0</v>
      </c>
      <c r="Y34" s="115">
        <f>'N12'!Y34+'K12'!Y34</f>
        <v>0</v>
      </c>
      <c r="Z34" s="116">
        <f>'N12'!Z34+'K12'!Z34</f>
        <v>0</v>
      </c>
      <c r="AA34" s="121">
        <f>'N12'!AA34+'K12'!AA34</f>
        <v>0</v>
      </c>
      <c r="AB34" s="121">
        <f>'N12'!AB34+'K12'!AB34</f>
        <v>0</v>
      </c>
      <c r="AC34" s="33">
        <f>'N12'!AC34+'K12'!AC34</f>
        <v>0</v>
      </c>
      <c r="AD34" s="12">
        <f>'N12'!AD34+'K12'!AD34</f>
        <v>663</v>
      </c>
      <c r="AE34" s="39"/>
      <c r="AF34" s="39"/>
      <c r="AG34" s="39"/>
      <c r="AH34" s="39"/>
      <c r="AI34" s="39"/>
      <c r="AJ34" s="39"/>
    </row>
    <row r="35" spans="1:36" x14ac:dyDescent="0.2">
      <c r="A35" s="5">
        <f>DAY(Kalenteri!A365)</f>
        <v>31</v>
      </c>
      <c r="B35" s="3" t="str">
        <f>IF(Kalenteri!B365=1,"su",IF(Kalenteri!B365=2,"ma",IF(Kalenteri!B365=3,"ti",IF(Kalenteri!B365=4,"ke",IF(Kalenteri!B365=5,"to",IF(Kalenteri!B365=6,"pe",IF(Kalenteri!B365=7,"la",)))))))</f>
        <v>ti</v>
      </c>
      <c r="C35" s="117">
        <f>'N12'!C35+'K12'!C35</f>
        <v>185</v>
      </c>
      <c r="D35" s="118">
        <f>'N12'!D35+'K12'!D35</f>
        <v>51</v>
      </c>
      <c r="E35" s="118">
        <f>'N12'!E35+'K12'!E35</f>
        <v>0</v>
      </c>
      <c r="F35" s="119">
        <f>'N12'!F35+'K12'!F35</f>
        <v>9</v>
      </c>
      <c r="G35" s="117">
        <f>'N12'!G35+'K12'!G35</f>
        <v>2</v>
      </c>
      <c r="H35" s="119">
        <f>'N12'!H35+'K12'!H35</f>
        <v>59</v>
      </c>
      <c r="I35" s="117">
        <f>'N12'!I35+'K12'!I35</f>
        <v>1280</v>
      </c>
      <c r="J35" s="119">
        <f>'N12'!J35+'K12'!J35</f>
        <v>1920</v>
      </c>
      <c r="K35" s="34">
        <f>'N12'!K35+'K12'!K35</f>
        <v>3506</v>
      </c>
      <c r="L35" s="122">
        <f>'N12'!L35+'K12'!L35</f>
        <v>0</v>
      </c>
      <c r="M35" s="122">
        <f>'N12'!M35+'K12'!M35</f>
        <v>0</v>
      </c>
      <c r="N35" s="122">
        <f>'N12'!N35+'K12'!N35</f>
        <v>0</v>
      </c>
      <c r="O35" s="123">
        <f>'N12'!O35+'K12'!O35</f>
        <v>0</v>
      </c>
      <c r="P35" s="122">
        <f>'N12'!P35+'K12'!P35</f>
        <v>0</v>
      </c>
      <c r="Q35" s="123">
        <f>'N12'!Q35+'K12'!Q35</f>
        <v>0</v>
      </c>
      <c r="R35" s="124">
        <f>'N12'!R35+'K12'!R35</f>
        <v>0</v>
      </c>
      <c r="S35" s="124">
        <f>'N12'!S35+'K12'!S35</f>
        <v>0</v>
      </c>
      <c r="T35" s="34">
        <f>'N12'!T35+'K12'!T35</f>
        <v>0</v>
      </c>
      <c r="U35" s="122">
        <f>'N12'!U35+'K12'!U35</f>
        <v>0</v>
      </c>
      <c r="V35" s="122">
        <f>'N12'!V35+'K12'!V35</f>
        <v>0</v>
      </c>
      <c r="W35" s="122">
        <f>'N12'!W35+'K12'!W35</f>
        <v>0</v>
      </c>
      <c r="X35" s="123">
        <f>'N12'!X35+'K12'!X35</f>
        <v>0</v>
      </c>
      <c r="Y35" s="122">
        <f>'N12'!Y35+'K12'!Y35</f>
        <v>0</v>
      </c>
      <c r="Z35" s="123">
        <f>'N12'!Z35+'K12'!Z35</f>
        <v>0</v>
      </c>
      <c r="AA35" s="124">
        <f>'N12'!AA35+'K12'!AA35</f>
        <v>0</v>
      </c>
      <c r="AB35" s="124">
        <f>'N12'!AB35+'K12'!AB35</f>
        <v>0</v>
      </c>
      <c r="AC35" s="34">
        <f>'N12'!AC35+'K12'!AC35</f>
        <v>0</v>
      </c>
      <c r="AD35" s="19">
        <f>'N12'!AD35+'K12'!AD35</f>
        <v>3506</v>
      </c>
      <c r="AE35" s="39"/>
      <c r="AF35" s="39"/>
      <c r="AG35" s="39"/>
      <c r="AH35" s="39"/>
      <c r="AI35" s="39"/>
      <c r="AJ35" s="39"/>
    </row>
    <row r="36" spans="1:36" x14ac:dyDescent="0.2">
      <c r="A36" s="6"/>
      <c r="B36"/>
      <c r="C36" s="82">
        <f>'N12'!C36+'K12'!C36</f>
        <v>2978</v>
      </c>
      <c r="D36" s="83">
        <f>'N12'!D36+'K12'!D36</f>
        <v>781</v>
      </c>
      <c r="E36" s="83">
        <f>'N12'!E36+'K12'!E36</f>
        <v>16</v>
      </c>
      <c r="F36" s="84">
        <f>'N12'!F36+'K12'!F36</f>
        <v>256</v>
      </c>
      <c r="G36" s="83">
        <f>'N12'!G36+'K12'!G36</f>
        <v>122</v>
      </c>
      <c r="H36" s="84">
        <f>'N12'!H36+'K12'!H36</f>
        <v>1180</v>
      </c>
      <c r="I36" s="83">
        <f>'N12'!I36+'K12'!I36</f>
        <v>1337</v>
      </c>
      <c r="J36" s="84">
        <f>'N12'!J36+'K12'!J36</f>
        <v>1998</v>
      </c>
      <c r="K36" s="85">
        <f>'N12'!K36+'K12'!K36</f>
        <v>8668</v>
      </c>
      <c r="L36" s="83">
        <f>'N12'!L36+'K12'!L36</f>
        <v>0</v>
      </c>
      <c r="M36" s="83">
        <f>'N12'!M36+'K12'!M36</f>
        <v>0</v>
      </c>
      <c r="N36" s="83">
        <f>'N12'!N36+'K12'!N36</f>
        <v>0</v>
      </c>
      <c r="O36" s="84">
        <f>'N12'!O36+'K12'!O36</f>
        <v>0</v>
      </c>
      <c r="P36" s="83">
        <f>'N12'!P36+'K12'!P36</f>
        <v>0</v>
      </c>
      <c r="Q36" s="84">
        <f>'N12'!Q36+'K12'!Q36</f>
        <v>0</v>
      </c>
      <c r="R36" s="86">
        <f>'N12'!R36+'K12'!R36</f>
        <v>0</v>
      </c>
      <c r="S36" s="86">
        <f>'N12'!S36+'K12'!S36</f>
        <v>0</v>
      </c>
      <c r="T36" s="85">
        <f>'N12'!T36+'K12'!T36</f>
        <v>0</v>
      </c>
      <c r="U36" s="83">
        <f>'N12'!U36+'K12'!U36</f>
        <v>0</v>
      </c>
      <c r="V36" s="83">
        <f>'N12'!V36+'K12'!V36</f>
        <v>0</v>
      </c>
      <c r="W36" s="83">
        <f>'N12'!W36+'K12'!W36</f>
        <v>0</v>
      </c>
      <c r="X36" s="84">
        <f>'N12'!X36+'K12'!X36</f>
        <v>0</v>
      </c>
      <c r="Y36" s="83">
        <f>'N12'!Y36+'K12'!Y36</f>
        <v>0</v>
      </c>
      <c r="Z36" s="84">
        <f>'N12'!Z36+'K12'!Z36</f>
        <v>0</v>
      </c>
      <c r="AA36" s="86">
        <f>'N12'!AA36+'K12'!AA36</f>
        <v>0</v>
      </c>
      <c r="AB36" s="86">
        <f>'N12'!AB36+'K12'!AB36</f>
        <v>0</v>
      </c>
      <c r="AC36" s="85">
        <f>'N12'!AC36+'K12'!AC36</f>
        <v>0</v>
      </c>
      <c r="AD36" s="87">
        <f>'N12'!AD36+'K12'!AD36</f>
        <v>8668</v>
      </c>
      <c r="AE36" s="66"/>
      <c r="AF36" s="66"/>
      <c r="AG36" s="66"/>
      <c r="AH36" s="66"/>
      <c r="AI36" s="66"/>
      <c r="AJ36" s="66"/>
    </row>
    <row r="37" spans="1:36" ht="8.1" customHeight="1" thickBot="1" x14ac:dyDescent="0.25">
      <c r="A37" s="6"/>
      <c r="B37"/>
      <c r="C37" s="2"/>
      <c r="D37" s="5"/>
      <c r="E37" s="5"/>
      <c r="F37" s="2"/>
      <c r="G37" s="2"/>
      <c r="H37" s="2"/>
      <c r="I37" s="5"/>
      <c r="J37" s="2"/>
      <c r="K37" s="2"/>
      <c r="L37" s="5"/>
      <c r="M37" s="2"/>
      <c r="N37" s="5"/>
      <c r="O37" s="5"/>
      <c r="P37" s="2"/>
      <c r="Q37" s="5"/>
      <c r="R37" s="42"/>
      <c r="S37" s="42"/>
      <c r="T37" s="2"/>
      <c r="U37" s="2"/>
      <c r="V37" s="2"/>
      <c r="W37" s="2"/>
      <c r="X37" s="5"/>
      <c r="Y37" s="2"/>
      <c r="Z37" s="2"/>
      <c r="AA37" s="39"/>
      <c r="AB37" s="39"/>
      <c r="AC37" s="5"/>
      <c r="AD37" s="40"/>
      <c r="AE37" s="40"/>
      <c r="AF37" s="40"/>
      <c r="AG37" s="40"/>
      <c r="AH37" s="40"/>
      <c r="AI37" s="40"/>
      <c r="AJ37" s="40"/>
    </row>
    <row r="38" spans="1:36" ht="24.95" customHeight="1" thickTop="1" x14ac:dyDescent="0.3">
      <c r="A38" s="6"/>
      <c r="B38"/>
      <c r="C38" s="171" t="str">
        <f>Kalenteri!E38</f>
        <v>Lippujen hinnat:</v>
      </c>
      <c r="D38" s="5"/>
      <c r="E38" s="5"/>
      <c r="F38" s="2"/>
      <c r="G38" s="2"/>
      <c r="H38" s="2"/>
      <c r="I38" s="5"/>
      <c r="J38" s="2"/>
      <c r="K38" s="2"/>
      <c r="L38" s="5"/>
      <c r="M38" s="2"/>
      <c r="N38" s="5"/>
      <c r="O38" s="5"/>
      <c r="P38" s="2"/>
      <c r="Q38"/>
      <c r="R38"/>
      <c r="S38"/>
      <c r="T38"/>
      <c r="U38" s="49" t="s">
        <v>12</v>
      </c>
      <c r="V38" s="50"/>
      <c r="W38" s="43"/>
      <c r="X38" s="44"/>
      <c r="Y38" s="43"/>
      <c r="Z38" s="43"/>
      <c r="AA38" s="44"/>
      <c r="AB38" s="44"/>
      <c r="AC38" s="47"/>
      <c r="AD38" s="45">
        <f>'N12'!AD38+'K12'!AD38</f>
        <v>8668</v>
      </c>
      <c r="AE38" s="41"/>
      <c r="AF38" s="41"/>
      <c r="AG38" s="41"/>
      <c r="AH38" s="41"/>
      <c r="AI38" s="41"/>
      <c r="AJ38" s="41"/>
    </row>
    <row r="39" spans="1:36" ht="24.95" customHeight="1" x14ac:dyDescent="0.3">
      <c r="A39" s="6"/>
      <c r="B39"/>
      <c r="C39" s="193" t="str">
        <f>Kalenteri!E39</f>
        <v>Mustikkamaan kautta: 1.9.-30.4. aik. 10 €, lapset 5 €, kimppalippu 30 €    1.5.-30.8. aik. 12 €, lapset 6 €, kimppalippu 36 €</v>
      </c>
      <c r="D39" s="89"/>
      <c r="E39" s="89"/>
      <c r="F39" s="90"/>
      <c r="G39" s="102"/>
      <c r="H39" s="174"/>
      <c r="I39" s="89"/>
      <c r="J39" s="90"/>
      <c r="K39" s="90"/>
      <c r="L39" s="89"/>
      <c r="M39" s="90"/>
      <c r="N39" s="89"/>
      <c r="O39" s="89"/>
      <c r="P39" s="89"/>
      <c r="Q39" s="104"/>
      <c r="R39" s="103"/>
      <c r="S39"/>
      <c r="T39"/>
      <c r="U39" s="62" t="s">
        <v>13</v>
      </c>
      <c r="V39" s="52"/>
      <c r="W39" s="53"/>
      <c r="X39" s="54"/>
      <c r="Y39" s="53"/>
      <c r="Z39" s="53"/>
      <c r="AA39" s="54"/>
      <c r="AB39" s="54"/>
      <c r="AC39" s="55"/>
      <c r="AD39" s="56">
        <f>'N12'!AD39+'K12'!AD39</f>
        <v>4545</v>
      </c>
      <c r="AE39" s="67"/>
      <c r="AF39" s="67"/>
      <c r="AG39" s="67"/>
      <c r="AH39" s="67"/>
      <c r="AI39" s="67"/>
      <c r="AJ39" s="67"/>
    </row>
    <row r="40" spans="1:36" ht="24.95" customHeight="1" x14ac:dyDescent="0.3">
      <c r="A40" s="6"/>
      <c r="B40" s="6"/>
      <c r="C40" s="194" t="str">
        <f>Kalenteri!E40</f>
        <v xml:space="preserve">                                    Vuosikortti:     aik. 50 €, lapset 20 €, perhekortti 100 €</v>
      </c>
      <c r="D40" s="39"/>
      <c r="E40" s="39"/>
      <c r="F40" s="42"/>
      <c r="G40" s="65"/>
      <c r="H40" s="176"/>
      <c r="I40" s="39"/>
      <c r="J40" s="42"/>
      <c r="K40" s="42"/>
      <c r="L40" s="39"/>
      <c r="M40" s="42"/>
      <c r="N40" s="39"/>
      <c r="O40" s="39"/>
      <c r="P40" s="39"/>
      <c r="Q40" s="23"/>
      <c r="R40" s="97"/>
      <c r="S40"/>
      <c r="T40"/>
      <c r="U40" s="63" t="s">
        <v>14</v>
      </c>
      <c r="V40" s="37"/>
      <c r="W40" s="51"/>
      <c r="X40" s="41"/>
      <c r="Y40" s="51"/>
      <c r="Z40" s="41"/>
      <c r="AA40" s="41"/>
      <c r="AB40" s="41"/>
      <c r="AC40" s="48"/>
      <c r="AD40" s="46">
        <f>'N12'!AD40+'K12'!AD40</f>
        <v>502162</v>
      </c>
      <c r="AE40" s="41"/>
      <c r="AF40" s="41"/>
      <c r="AG40" s="41"/>
      <c r="AH40" s="41"/>
      <c r="AI40" s="41"/>
      <c r="AJ40" s="41"/>
    </row>
    <row r="41" spans="1:36" ht="24.95" customHeight="1" thickBot="1" x14ac:dyDescent="0.35">
      <c r="A41" s="4"/>
      <c r="B41" s="4"/>
      <c r="C41" s="195" t="str">
        <f>Kalenteri!E41</f>
        <v>Vesibusseilla:             1.9.-30.4. aik. 16 €, lapset 8 €, kimppalippu 47 €    1.5.-31.8. aik. 18 €, lapset 9 €, kimppalippu 53 €</v>
      </c>
      <c r="D41" s="93"/>
      <c r="E41" s="93"/>
      <c r="F41" s="94"/>
      <c r="G41" s="94"/>
      <c r="H41" s="175"/>
      <c r="I41" s="93"/>
      <c r="J41" s="96"/>
      <c r="K41" s="96"/>
      <c r="L41" s="93"/>
      <c r="M41" s="95"/>
      <c r="N41" s="95"/>
      <c r="O41" s="93"/>
      <c r="P41" s="93"/>
      <c r="Q41" s="95"/>
      <c r="R41" s="98"/>
      <c r="S41"/>
      <c r="T41"/>
      <c r="U41" s="64" t="s">
        <v>13</v>
      </c>
      <c r="V41" s="57"/>
      <c r="W41" s="58"/>
      <c r="X41" s="59"/>
      <c r="Y41" s="59"/>
      <c r="Z41" s="59"/>
      <c r="AA41" s="59"/>
      <c r="AB41" s="59"/>
      <c r="AC41" s="60"/>
      <c r="AD41" s="61">
        <f>'N12'!AD41+'K12'!AD41</f>
        <v>13425</v>
      </c>
      <c r="AE41" s="68"/>
      <c r="AF41" s="68"/>
      <c r="AG41" s="68"/>
      <c r="AH41" s="68"/>
      <c r="AI41" s="68"/>
      <c r="AJ41" s="68"/>
    </row>
    <row r="42" spans="1:36" ht="13.5" thickTop="1" x14ac:dyDescent="0.2"/>
  </sheetData>
  <sheetProtection password="C4AC" sheet="1" objects="1" scenarios="1"/>
  <phoneticPr fontId="4" type="noConversion"/>
  <pageMargins left="0" right="0" top="0.27559055118110237" bottom="0" header="0" footer="0"/>
  <pageSetup paperSize="9" scale="75" fitToHeight="0" orientation="landscape" horizontalDpi="4294967292" verticalDpi="4294967292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23905" r:id="rId4" name="Button 1">
              <controlPr defaultSize="0" print="0" autoFill="0" autoLine="0" autoPict="0" macro="[1]!TAMMI">
                <anchor moveWithCells="1" sizeWithCells="1">
                  <from>
                    <xdr:col>35</xdr:col>
                    <xdr:colOff>0</xdr:colOff>
                    <xdr:row>3</xdr:row>
                    <xdr:rowOff>9525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906" r:id="rId5" name="Button 2">
              <controlPr defaultSize="0" print="0" autoFill="0" autoLine="0" autoPict="0" macro="[1]KTMAKRO!$A$1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907" r:id="rId6" name="Button 3">
              <controlPr defaultSize="0" print="0" autoFill="0" autoLine="0" autoPict="0" macro="[1]!MAALIS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908" r:id="rId7" name="Button 4">
              <controlPr defaultSize="0" print="0" autoFill="0" autoLine="0" autoPict="0" macro="[1]KTMAKRO!$D$1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909" r:id="rId8" name="Button 5">
              <controlPr defaultSize="0" print="0" autoFill="0" autoLine="0" autoPict="0" macro="[1]KTMAKRO!$E$1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910" r:id="rId9" name="Button 6">
              <controlPr defaultSize="0" print="0" autoFill="0" autoLine="0" autoPict="0" macro="[1]!KESÄ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911" r:id="rId10" name="Button 7">
              <controlPr defaultSize="0" print="0" autoFill="0" autoLine="0" autoPict="0" macro="[1]!HELMI">
                <anchor moveWithCells="1" sizeWithCells="1">
                  <from>
                    <xdr:col>35</xdr:col>
                    <xdr:colOff>0</xdr:colOff>
                    <xdr:row>3</xdr:row>
                    <xdr:rowOff>9525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912" r:id="rId11" name="Button 8">
              <controlPr defaultSize="0" print="0" autoFill="0" autoLine="0" autoPict="0" macro="[1]KTMAKRO!$G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913" r:id="rId12" name="Button 9">
              <controlPr defaultSize="0" print="0" autoFill="0" autoLine="0" autoPict="0" macro="[1]KTMAKRO!$I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914" r:id="rId13" name="Button 10">
              <controlPr defaultSize="0" print="0" autoFill="0" autoLine="0" autoPict="0" macro="[1]KTMAKRO!$J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915" r:id="rId14" name="Button 11">
              <controlPr defaultSize="0" print="0" autoFill="0" autoLine="0" autoPict="0" macro="[1]KTMAKRO!$K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916" r:id="rId15" name="Button 12">
              <controlPr defaultSize="0" print="0" autoFill="0" autoLine="0" autoPict="0" macro="[1]KTMAKRO!$L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917" r:id="rId16" name="Button 13">
              <controlPr defaultSize="0" print="0" autoFill="0" autoLine="0" autoPict="0" macro="[1]KTMAKRO!$H$1">
                <anchor moveWithCells="1" sizeWithCells="1">
                  <from>
                    <xdr:col>35</xdr:col>
                    <xdr:colOff>0</xdr:colOff>
                    <xdr:row>5</xdr:row>
                    <xdr:rowOff>0</xdr:rowOff>
                  </from>
                  <to>
                    <xdr:col>35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918" r:id="rId17" name="Button 14">
              <controlPr defaultSize="0" print="0" autoFill="0" autoLine="0" autoPict="0" macro="[1]!Yhteenveto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5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919" r:id="rId18" name="Button 15">
              <controlPr defaultSize="0" print="0" autoFill="0" autoLine="0" autoPict="0" macro="[1]!GRAFIIKKA1">
                <anchor moveWithCells="1" sizeWithCells="1">
                  <from>
                    <xdr:col>35</xdr:col>
                    <xdr:colOff>0</xdr:colOff>
                    <xdr:row>8</xdr:row>
                    <xdr:rowOff>142875</xdr:rowOff>
                  </from>
                  <to>
                    <xdr:col>35</xdr:col>
                    <xdr:colOff>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920" r:id="rId19" name="Button 16">
              <controlPr defaultSize="0" print="0" autoFill="0" autoLine="0" autoPict="0" macro="[1]!Grafiikka2">
                <anchor moveWithCells="1" sizeWithCells="1">
                  <from>
                    <xdr:col>35</xdr:col>
                    <xdr:colOff>0</xdr:colOff>
                    <xdr:row>8</xdr:row>
                    <xdr:rowOff>152400</xdr:rowOff>
                  </from>
                  <to>
                    <xdr:col>35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921" r:id="rId20" name="Button 17">
              <controlPr defaultSize="0" print="0" autoFill="0" autoLine="0" autoPict="0" macro="[1]!Grafiikka4">
                <anchor moveWithCells="1" sizeWithCells="1">
                  <from>
                    <xdr:col>35</xdr:col>
                    <xdr:colOff>0</xdr:colOff>
                    <xdr:row>8</xdr:row>
                    <xdr:rowOff>142875</xdr:rowOff>
                  </from>
                  <to>
                    <xdr:col>35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922" r:id="rId21" name="Button 18">
              <controlPr defaultSize="0" print="0" autoFill="0" autoLine="0" autoPict="0" macro="[1]!Grafiikka4">
                <anchor moveWithCells="1" sizeWithCells="1">
                  <from>
                    <xdr:col>35</xdr:col>
                    <xdr:colOff>0</xdr:colOff>
                    <xdr:row>8</xdr:row>
                    <xdr:rowOff>152400</xdr:rowOff>
                  </from>
                  <to>
                    <xdr:col>35</xdr:col>
                    <xdr:colOff>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923" r:id="rId22" name="Button 19">
              <controlPr defaultSize="0" print="0" autoFill="0" autoLine="0" autoPict="0" macro="[1]!Grafiikka5">
                <anchor moveWithCells="1" sizeWithCells="1">
                  <from>
                    <xdr:col>35</xdr:col>
                    <xdr:colOff>0</xdr:colOff>
                    <xdr:row>8</xdr:row>
                    <xdr:rowOff>152400</xdr:rowOff>
                  </from>
                  <to>
                    <xdr:col>35</xdr:col>
                    <xdr:colOff>0</xdr:colOff>
                    <xdr:row>12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924" r:id="rId23" name="Button 20">
              <controlPr defaultSize="0" print="0" autoFill="0" autoLine="0" autoPict="0" macro="[1]!Perusikkuna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12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5"/>
  <sheetViews>
    <sheetView zoomScale="75" workbookViewId="0">
      <selection activeCell="E4" sqref="E4"/>
    </sheetView>
  </sheetViews>
  <sheetFormatPr defaultRowHeight="12" x14ac:dyDescent="0.15"/>
  <cols>
    <col min="1" max="1" width="10.25" bestFit="1" customWidth="1"/>
    <col min="2" max="2" width="14" customWidth="1"/>
  </cols>
  <sheetData>
    <row r="1" spans="1:10" ht="20.25" x14ac:dyDescent="0.3">
      <c r="A1" s="130">
        <f>DATE(2013,1,1)</f>
        <v>41275</v>
      </c>
      <c r="B1">
        <f t="shared" ref="B1:B64" si="0">WEEKDAY(A1)</f>
        <v>3</v>
      </c>
      <c r="C1">
        <f t="shared" ref="C1:C64" si="1">MONTH(A1)</f>
        <v>1</v>
      </c>
      <c r="D1" t="s">
        <v>123</v>
      </c>
      <c r="E1" s="169">
        <v>2013</v>
      </c>
      <c r="G1" t="s">
        <v>85</v>
      </c>
      <c r="H1" s="168" t="s">
        <v>163</v>
      </c>
    </row>
    <row r="2" spans="1:10" ht="20.25" x14ac:dyDescent="0.3">
      <c r="A2">
        <f t="shared" ref="A2:A65" si="2">+A1+1</f>
        <v>41276</v>
      </c>
      <c r="B2">
        <f t="shared" si="0"/>
        <v>4</v>
      </c>
      <c r="C2">
        <f t="shared" si="1"/>
        <v>1</v>
      </c>
      <c r="D2" t="s">
        <v>124</v>
      </c>
      <c r="E2" s="156">
        <f>$E$1-1</f>
        <v>2012</v>
      </c>
      <c r="G2" s="131"/>
      <c r="H2" s="105" t="s">
        <v>168</v>
      </c>
      <c r="I2" s="131"/>
      <c r="J2" s="131"/>
    </row>
    <row r="3" spans="1:10" ht="15" x14ac:dyDescent="0.2">
      <c r="A3">
        <f t="shared" si="2"/>
        <v>41277</v>
      </c>
      <c r="B3">
        <f t="shared" si="0"/>
        <v>5</v>
      </c>
      <c r="C3">
        <f t="shared" si="1"/>
        <v>1</v>
      </c>
      <c r="E3" t="s">
        <v>125</v>
      </c>
      <c r="G3" s="131"/>
      <c r="H3" s="131"/>
      <c r="I3" s="131"/>
      <c r="J3" s="131"/>
    </row>
    <row r="4" spans="1:10" x14ac:dyDescent="0.15">
      <c r="A4">
        <f t="shared" si="2"/>
        <v>41278</v>
      </c>
      <c r="B4">
        <f t="shared" si="0"/>
        <v>6</v>
      </c>
      <c r="C4">
        <f t="shared" si="1"/>
        <v>1</v>
      </c>
    </row>
    <row r="5" spans="1:10" x14ac:dyDescent="0.15">
      <c r="A5">
        <f t="shared" si="2"/>
        <v>41279</v>
      </c>
      <c r="B5">
        <f t="shared" si="0"/>
        <v>7</v>
      </c>
      <c r="C5">
        <f t="shared" si="1"/>
        <v>1</v>
      </c>
    </row>
    <row r="6" spans="1:10" x14ac:dyDescent="0.15">
      <c r="A6">
        <f t="shared" si="2"/>
        <v>41280</v>
      </c>
      <c r="B6">
        <f t="shared" si="0"/>
        <v>1</v>
      </c>
      <c r="C6">
        <f t="shared" si="1"/>
        <v>1</v>
      </c>
    </row>
    <row r="7" spans="1:10" x14ac:dyDescent="0.15">
      <c r="A7">
        <f t="shared" si="2"/>
        <v>41281</v>
      </c>
      <c r="B7">
        <f t="shared" si="0"/>
        <v>2</v>
      </c>
      <c r="C7">
        <f t="shared" si="1"/>
        <v>1</v>
      </c>
      <c r="G7" s="167" t="s">
        <v>140</v>
      </c>
    </row>
    <row r="8" spans="1:10" x14ac:dyDescent="0.15">
      <c r="A8">
        <f t="shared" si="2"/>
        <v>41282</v>
      </c>
      <c r="B8">
        <f t="shared" si="0"/>
        <v>3</v>
      </c>
      <c r="C8">
        <f t="shared" si="1"/>
        <v>1</v>
      </c>
    </row>
    <row r="9" spans="1:10" x14ac:dyDescent="0.15">
      <c r="A9">
        <f t="shared" si="2"/>
        <v>41283</v>
      </c>
      <c r="B9">
        <f t="shared" si="0"/>
        <v>4</v>
      </c>
      <c r="C9">
        <f t="shared" si="1"/>
        <v>1</v>
      </c>
      <c r="G9" s="167" t="s">
        <v>156</v>
      </c>
    </row>
    <row r="10" spans="1:10" x14ac:dyDescent="0.15">
      <c r="A10">
        <f t="shared" si="2"/>
        <v>41284</v>
      </c>
      <c r="B10">
        <f t="shared" si="0"/>
        <v>5</v>
      </c>
      <c r="C10">
        <f t="shared" si="1"/>
        <v>1</v>
      </c>
    </row>
    <row r="11" spans="1:10" x14ac:dyDescent="0.15">
      <c r="A11">
        <f t="shared" si="2"/>
        <v>41285</v>
      </c>
      <c r="B11">
        <f t="shared" si="0"/>
        <v>6</v>
      </c>
      <c r="C11">
        <f t="shared" si="1"/>
        <v>1</v>
      </c>
    </row>
    <row r="12" spans="1:10" ht="15" x14ac:dyDescent="0.2">
      <c r="A12">
        <f t="shared" si="2"/>
        <v>41286</v>
      </c>
      <c r="B12">
        <f t="shared" si="0"/>
        <v>7</v>
      </c>
      <c r="C12">
        <f t="shared" si="1"/>
        <v>1</v>
      </c>
      <c r="G12" s="131" t="s">
        <v>149</v>
      </c>
    </row>
    <row r="13" spans="1:10" ht="15" x14ac:dyDescent="0.2">
      <c r="A13">
        <f t="shared" si="2"/>
        <v>41287</v>
      </c>
      <c r="B13">
        <f t="shared" si="0"/>
        <v>1</v>
      </c>
      <c r="C13">
        <f t="shared" si="1"/>
        <v>1</v>
      </c>
      <c r="G13" s="131" t="s">
        <v>90</v>
      </c>
      <c r="H13" s="131" t="s">
        <v>86</v>
      </c>
    </row>
    <row r="14" spans="1:10" ht="15" x14ac:dyDescent="0.2">
      <c r="A14">
        <f t="shared" si="2"/>
        <v>41288</v>
      </c>
      <c r="B14">
        <f t="shared" si="0"/>
        <v>2</v>
      </c>
      <c r="C14">
        <f t="shared" si="1"/>
        <v>1</v>
      </c>
      <c r="G14" s="131"/>
      <c r="H14" s="131" t="s">
        <v>87</v>
      </c>
    </row>
    <row r="15" spans="1:10" ht="15" x14ac:dyDescent="0.2">
      <c r="A15">
        <f t="shared" si="2"/>
        <v>41289</v>
      </c>
      <c r="B15">
        <f t="shared" si="0"/>
        <v>3</v>
      </c>
      <c r="C15">
        <f t="shared" si="1"/>
        <v>1</v>
      </c>
      <c r="G15" s="131" t="s">
        <v>91</v>
      </c>
      <c r="H15" s="131" t="s">
        <v>88</v>
      </c>
    </row>
    <row r="16" spans="1:10" ht="15" x14ac:dyDescent="0.2">
      <c r="A16">
        <f t="shared" si="2"/>
        <v>41290</v>
      </c>
      <c r="B16">
        <f t="shared" si="0"/>
        <v>4</v>
      </c>
      <c r="C16">
        <f t="shared" si="1"/>
        <v>1</v>
      </c>
      <c r="G16" s="131"/>
      <c r="H16" s="131" t="s">
        <v>89</v>
      </c>
    </row>
    <row r="17" spans="1:8" ht="15" x14ac:dyDescent="0.2">
      <c r="A17">
        <f t="shared" si="2"/>
        <v>41291</v>
      </c>
      <c r="B17">
        <f t="shared" si="0"/>
        <v>5</v>
      </c>
      <c r="C17">
        <f t="shared" si="1"/>
        <v>1</v>
      </c>
      <c r="G17" s="167" t="s">
        <v>92</v>
      </c>
      <c r="H17" s="165" t="s">
        <v>146</v>
      </c>
    </row>
    <row r="18" spans="1:8" ht="15" x14ac:dyDescent="0.2">
      <c r="A18">
        <f t="shared" si="2"/>
        <v>41292</v>
      </c>
      <c r="B18">
        <f t="shared" si="0"/>
        <v>6</v>
      </c>
      <c r="C18">
        <f t="shared" si="1"/>
        <v>1</v>
      </c>
      <c r="G18" s="165" t="s">
        <v>147</v>
      </c>
    </row>
    <row r="19" spans="1:8" ht="15" x14ac:dyDescent="0.2">
      <c r="A19">
        <f t="shared" si="2"/>
        <v>41293</v>
      </c>
      <c r="B19">
        <f t="shared" si="0"/>
        <v>7</v>
      </c>
      <c r="C19">
        <f t="shared" si="1"/>
        <v>1</v>
      </c>
      <c r="G19" s="131" t="s">
        <v>121</v>
      </c>
      <c r="H19" s="131" t="s">
        <v>122</v>
      </c>
    </row>
    <row r="20" spans="1:8" ht="15" x14ac:dyDescent="0.2">
      <c r="A20">
        <f t="shared" si="2"/>
        <v>41294</v>
      </c>
      <c r="B20">
        <f t="shared" si="0"/>
        <v>1</v>
      </c>
      <c r="C20">
        <f t="shared" si="1"/>
        <v>1</v>
      </c>
      <c r="H20" s="131" t="s">
        <v>148</v>
      </c>
    </row>
    <row r="21" spans="1:8" ht="15" x14ac:dyDescent="0.2">
      <c r="A21">
        <f t="shared" si="2"/>
        <v>41295</v>
      </c>
      <c r="B21">
        <f t="shared" si="0"/>
        <v>2</v>
      </c>
      <c r="C21">
        <f t="shared" si="1"/>
        <v>1</v>
      </c>
      <c r="G21" s="131" t="s">
        <v>134</v>
      </c>
      <c r="H21" s="131" t="s">
        <v>135</v>
      </c>
    </row>
    <row r="22" spans="1:8" ht="15" x14ac:dyDescent="0.2">
      <c r="A22">
        <f t="shared" si="2"/>
        <v>41296</v>
      </c>
      <c r="B22">
        <f t="shared" si="0"/>
        <v>3</v>
      </c>
      <c r="C22">
        <f t="shared" si="1"/>
        <v>1</v>
      </c>
      <c r="G22" s="131" t="s">
        <v>136</v>
      </c>
      <c r="H22" s="131" t="s">
        <v>153</v>
      </c>
    </row>
    <row r="23" spans="1:8" ht="15" x14ac:dyDescent="0.2">
      <c r="A23">
        <f t="shared" si="2"/>
        <v>41297</v>
      </c>
      <c r="B23">
        <f t="shared" si="0"/>
        <v>4</v>
      </c>
      <c r="C23">
        <f t="shared" si="1"/>
        <v>1</v>
      </c>
      <c r="G23" s="131" t="s">
        <v>154</v>
      </c>
      <c r="H23" s="131" t="s">
        <v>155</v>
      </c>
    </row>
    <row r="24" spans="1:8" ht="15" x14ac:dyDescent="0.2">
      <c r="A24">
        <f t="shared" si="2"/>
        <v>41298</v>
      </c>
      <c r="B24">
        <f t="shared" si="0"/>
        <v>5</v>
      </c>
      <c r="C24">
        <f t="shared" si="1"/>
        <v>1</v>
      </c>
      <c r="H24" s="131" t="s">
        <v>160</v>
      </c>
    </row>
    <row r="25" spans="1:8" ht="15" x14ac:dyDescent="0.2">
      <c r="A25">
        <f t="shared" si="2"/>
        <v>41299</v>
      </c>
      <c r="B25">
        <f t="shared" si="0"/>
        <v>6</v>
      </c>
      <c r="C25">
        <f t="shared" si="1"/>
        <v>1</v>
      </c>
      <c r="G25" t="s">
        <v>158</v>
      </c>
      <c r="H25" s="131" t="s">
        <v>161</v>
      </c>
    </row>
    <row r="26" spans="1:8" x14ac:dyDescent="0.15">
      <c r="A26">
        <f t="shared" si="2"/>
        <v>41300</v>
      </c>
      <c r="B26">
        <f t="shared" si="0"/>
        <v>7</v>
      </c>
      <c r="C26">
        <f t="shared" si="1"/>
        <v>1</v>
      </c>
    </row>
    <row r="27" spans="1:8" x14ac:dyDescent="0.15">
      <c r="A27">
        <f t="shared" si="2"/>
        <v>41301</v>
      </c>
      <c r="B27">
        <f t="shared" si="0"/>
        <v>1</v>
      </c>
      <c r="C27">
        <f t="shared" si="1"/>
        <v>1</v>
      </c>
    </row>
    <row r="28" spans="1:8" x14ac:dyDescent="0.15">
      <c r="A28">
        <f t="shared" si="2"/>
        <v>41302</v>
      </c>
      <c r="B28">
        <f t="shared" si="0"/>
        <v>2</v>
      </c>
      <c r="C28">
        <f t="shared" si="1"/>
        <v>1</v>
      </c>
    </row>
    <row r="29" spans="1:8" x14ac:dyDescent="0.15">
      <c r="A29">
        <f t="shared" si="2"/>
        <v>41303</v>
      </c>
      <c r="B29">
        <f t="shared" si="0"/>
        <v>3</v>
      </c>
      <c r="C29">
        <f t="shared" si="1"/>
        <v>1</v>
      </c>
    </row>
    <row r="30" spans="1:8" x14ac:dyDescent="0.15">
      <c r="A30">
        <f t="shared" si="2"/>
        <v>41304</v>
      </c>
      <c r="B30">
        <f t="shared" si="0"/>
        <v>4</v>
      </c>
      <c r="C30">
        <f t="shared" si="1"/>
        <v>1</v>
      </c>
    </row>
    <row r="31" spans="1:8" x14ac:dyDescent="0.15">
      <c r="A31">
        <f t="shared" si="2"/>
        <v>41305</v>
      </c>
      <c r="B31">
        <f t="shared" si="0"/>
        <v>5</v>
      </c>
      <c r="C31">
        <f t="shared" si="1"/>
        <v>1</v>
      </c>
    </row>
    <row r="32" spans="1:8" x14ac:dyDescent="0.15">
      <c r="A32">
        <f t="shared" si="2"/>
        <v>41306</v>
      </c>
      <c r="B32">
        <f t="shared" si="0"/>
        <v>6</v>
      </c>
      <c r="C32">
        <f t="shared" si="1"/>
        <v>2</v>
      </c>
    </row>
    <row r="33" spans="1:14" x14ac:dyDescent="0.15">
      <c r="A33">
        <f t="shared" si="2"/>
        <v>41307</v>
      </c>
      <c r="B33">
        <f t="shared" si="0"/>
        <v>7</v>
      </c>
      <c r="C33">
        <f t="shared" si="1"/>
        <v>2</v>
      </c>
    </row>
    <row r="34" spans="1:14" x14ac:dyDescent="0.15">
      <c r="A34">
        <f t="shared" si="2"/>
        <v>41308</v>
      </c>
      <c r="B34">
        <f t="shared" si="0"/>
        <v>1</v>
      </c>
      <c r="C34">
        <f t="shared" si="1"/>
        <v>2</v>
      </c>
    </row>
    <row r="35" spans="1:14" x14ac:dyDescent="0.15">
      <c r="A35">
        <f t="shared" si="2"/>
        <v>41309</v>
      </c>
      <c r="B35">
        <f t="shared" si="0"/>
        <v>2</v>
      </c>
      <c r="C35">
        <f t="shared" si="1"/>
        <v>2</v>
      </c>
    </row>
    <row r="36" spans="1:14" x14ac:dyDescent="0.15">
      <c r="A36">
        <f t="shared" si="2"/>
        <v>41310</v>
      </c>
      <c r="B36">
        <f t="shared" si="0"/>
        <v>3</v>
      </c>
      <c r="C36">
        <f t="shared" si="1"/>
        <v>2</v>
      </c>
    </row>
    <row r="37" spans="1:14" x14ac:dyDescent="0.15">
      <c r="A37">
        <f t="shared" si="2"/>
        <v>41311</v>
      </c>
      <c r="B37">
        <f t="shared" si="0"/>
        <v>4</v>
      </c>
      <c r="C37">
        <f t="shared" si="1"/>
        <v>2</v>
      </c>
    </row>
    <row r="38" spans="1:14" ht="15.75" x14ac:dyDescent="0.25">
      <c r="A38">
        <f t="shared" si="2"/>
        <v>41312</v>
      </c>
      <c r="B38">
        <f t="shared" si="0"/>
        <v>5</v>
      </c>
      <c r="C38">
        <f t="shared" si="1"/>
        <v>2</v>
      </c>
      <c r="E38" s="71" t="s">
        <v>16</v>
      </c>
    </row>
    <row r="39" spans="1:14" ht="15.75" x14ac:dyDescent="0.25">
      <c r="A39">
        <f t="shared" si="2"/>
        <v>41313</v>
      </c>
      <c r="B39">
        <f t="shared" si="0"/>
        <v>6</v>
      </c>
      <c r="C39">
        <f t="shared" si="1"/>
        <v>2</v>
      </c>
      <c r="E39" s="176" t="s">
        <v>164</v>
      </c>
      <c r="F39" s="39"/>
      <c r="G39" s="39"/>
      <c r="H39" s="100"/>
      <c r="I39" s="65"/>
      <c r="J39" s="100"/>
      <c r="K39" s="39"/>
      <c r="L39" s="42"/>
      <c r="M39" s="42"/>
      <c r="N39" s="39"/>
    </row>
    <row r="40" spans="1:14" ht="15.75" x14ac:dyDescent="0.25">
      <c r="A40">
        <f t="shared" si="2"/>
        <v>41314</v>
      </c>
      <c r="B40">
        <f t="shared" si="0"/>
        <v>7</v>
      </c>
      <c r="C40">
        <f t="shared" si="1"/>
        <v>2</v>
      </c>
      <c r="E40" s="176" t="s">
        <v>167</v>
      </c>
      <c r="F40" s="39"/>
      <c r="G40" s="39"/>
      <c r="H40" s="100"/>
      <c r="I40" s="65"/>
      <c r="J40" s="100"/>
      <c r="K40" s="39"/>
      <c r="L40" s="42"/>
      <c r="M40" s="42"/>
      <c r="N40" s="39"/>
    </row>
    <row r="41" spans="1:14" ht="15.75" x14ac:dyDescent="0.25">
      <c r="A41">
        <f t="shared" si="2"/>
        <v>41315</v>
      </c>
      <c r="B41">
        <f t="shared" si="0"/>
        <v>1</v>
      </c>
      <c r="C41">
        <f t="shared" si="1"/>
        <v>2</v>
      </c>
      <c r="E41" s="196" t="s">
        <v>165</v>
      </c>
      <c r="F41" s="69"/>
      <c r="G41" s="69"/>
      <c r="H41" s="197"/>
      <c r="I41" s="65"/>
      <c r="J41" s="197"/>
      <c r="K41" s="69"/>
      <c r="L41" s="198"/>
      <c r="M41" s="198"/>
      <c r="N41" s="69"/>
    </row>
    <row r="42" spans="1:14" x14ac:dyDescent="0.15">
      <c r="A42">
        <f t="shared" si="2"/>
        <v>41316</v>
      </c>
      <c r="B42">
        <f t="shared" si="0"/>
        <v>2</v>
      </c>
      <c r="C42">
        <f t="shared" si="1"/>
        <v>2</v>
      </c>
    </row>
    <row r="43" spans="1:14" x14ac:dyDescent="0.15">
      <c r="A43">
        <f t="shared" si="2"/>
        <v>41317</v>
      </c>
      <c r="B43">
        <f t="shared" si="0"/>
        <v>3</v>
      </c>
      <c r="C43">
        <f t="shared" si="1"/>
        <v>2</v>
      </c>
      <c r="E43" s="189"/>
    </row>
    <row r="44" spans="1:14" x14ac:dyDescent="0.15">
      <c r="A44">
        <f t="shared" si="2"/>
        <v>41318</v>
      </c>
      <c r="B44">
        <f t="shared" si="0"/>
        <v>4</v>
      </c>
      <c r="C44">
        <f t="shared" si="1"/>
        <v>2</v>
      </c>
    </row>
    <row r="45" spans="1:14" x14ac:dyDescent="0.15">
      <c r="A45">
        <f t="shared" si="2"/>
        <v>41319</v>
      </c>
      <c r="B45">
        <f t="shared" si="0"/>
        <v>5</v>
      </c>
      <c r="C45">
        <f t="shared" si="1"/>
        <v>2</v>
      </c>
    </row>
    <row r="46" spans="1:14" x14ac:dyDescent="0.15">
      <c r="A46">
        <f t="shared" si="2"/>
        <v>41320</v>
      </c>
      <c r="B46">
        <f t="shared" si="0"/>
        <v>6</v>
      </c>
      <c r="C46">
        <f t="shared" si="1"/>
        <v>2</v>
      </c>
    </row>
    <row r="47" spans="1:14" x14ac:dyDescent="0.15">
      <c r="A47">
        <f t="shared" si="2"/>
        <v>41321</v>
      </c>
      <c r="B47">
        <f t="shared" si="0"/>
        <v>7</v>
      </c>
      <c r="C47">
        <f t="shared" si="1"/>
        <v>2</v>
      </c>
    </row>
    <row r="48" spans="1:14" x14ac:dyDescent="0.15">
      <c r="A48">
        <f t="shared" si="2"/>
        <v>41322</v>
      </c>
      <c r="B48">
        <f t="shared" si="0"/>
        <v>1</v>
      </c>
      <c r="C48">
        <f t="shared" si="1"/>
        <v>2</v>
      </c>
    </row>
    <row r="49" spans="1:3" x14ac:dyDescent="0.15">
      <c r="A49">
        <f t="shared" si="2"/>
        <v>41323</v>
      </c>
      <c r="B49">
        <f t="shared" si="0"/>
        <v>2</v>
      </c>
      <c r="C49">
        <f t="shared" si="1"/>
        <v>2</v>
      </c>
    </row>
    <row r="50" spans="1:3" x14ac:dyDescent="0.15">
      <c r="A50">
        <f t="shared" si="2"/>
        <v>41324</v>
      </c>
      <c r="B50">
        <f t="shared" si="0"/>
        <v>3</v>
      </c>
      <c r="C50">
        <f t="shared" si="1"/>
        <v>2</v>
      </c>
    </row>
    <row r="51" spans="1:3" x14ac:dyDescent="0.15">
      <c r="A51">
        <f t="shared" si="2"/>
        <v>41325</v>
      </c>
      <c r="B51">
        <f t="shared" si="0"/>
        <v>4</v>
      </c>
      <c r="C51">
        <f t="shared" si="1"/>
        <v>2</v>
      </c>
    </row>
    <row r="52" spans="1:3" x14ac:dyDescent="0.15">
      <c r="A52">
        <f t="shared" si="2"/>
        <v>41326</v>
      </c>
      <c r="B52">
        <f t="shared" si="0"/>
        <v>5</v>
      </c>
      <c r="C52">
        <f t="shared" si="1"/>
        <v>2</v>
      </c>
    </row>
    <row r="53" spans="1:3" x14ac:dyDescent="0.15">
      <c r="A53">
        <f t="shared" si="2"/>
        <v>41327</v>
      </c>
      <c r="B53">
        <f t="shared" si="0"/>
        <v>6</v>
      </c>
      <c r="C53">
        <f t="shared" si="1"/>
        <v>2</v>
      </c>
    </row>
    <row r="54" spans="1:3" x14ac:dyDescent="0.15">
      <c r="A54">
        <f t="shared" si="2"/>
        <v>41328</v>
      </c>
      <c r="B54">
        <f t="shared" si="0"/>
        <v>7</v>
      </c>
      <c r="C54">
        <f t="shared" si="1"/>
        <v>2</v>
      </c>
    </row>
    <row r="55" spans="1:3" x14ac:dyDescent="0.15">
      <c r="A55">
        <f t="shared" si="2"/>
        <v>41329</v>
      </c>
      <c r="B55">
        <f t="shared" si="0"/>
        <v>1</v>
      </c>
      <c r="C55">
        <f t="shared" si="1"/>
        <v>2</v>
      </c>
    </row>
    <row r="56" spans="1:3" x14ac:dyDescent="0.15">
      <c r="A56">
        <f t="shared" si="2"/>
        <v>41330</v>
      </c>
      <c r="B56">
        <f t="shared" si="0"/>
        <v>2</v>
      </c>
      <c r="C56">
        <f t="shared" si="1"/>
        <v>2</v>
      </c>
    </row>
    <row r="57" spans="1:3" x14ac:dyDescent="0.15">
      <c r="A57">
        <f t="shared" si="2"/>
        <v>41331</v>
      </c>
      <c r="B57">
        <f t="shared" si="0"/>
        <v>3</v>
      </c>
      <c r="C57">
        <f t="shared" si="1"/>
        <v>2</v>
      </c>
    </row>
    <row r="58" spans="1:3" x14ac:dyDescent="0.15">
      <c r="A58">
        <f t="shared" si="2"/>
        <v>41332</v>
      </c>
      <c r="B58">
        <f t="shared" si="0"/>
        <v>4</v>
      </c>
      <c r="C58">
        <f t="shared" si="1"/>
        <v>2</v>
      </c>
    </row>
    <row r="59" spans="1:3" x14ac:dyDescent="0.15">
      <c r="A59">
        <f t="shared" si="2"/>
        <v>41333</v>
      </c>
      <c r="B59">
        <f t="shared" si="0"/>
        <v>5</v>
      </c>
      <c r="C59">
        <f t="shared" si="1"/>
        <v>2</v>
      </c>
    </row>
    <row r="60" spans="1:3" x14ac:dyDescent="0.15">
      <c r="A60">
        <f t="shared" si="2"/>
        <v>41334</v>
      </c>
      <c r="B60">
        <f t="shared" si="0"/>
        <v>6</v>
      </c>
      <c r="C60">
        <f t="shared" si="1"/>
        <v>3</v>
      </c>
    </row>
    <row r="61" spans="1:3" x14ac:dyDescent="0.15">
      <c r="A61">
        <f t="shared" si="2"/>
        <v>41335</v>
      </c>
      <c r="B61">
        <f t="shared" si="0"/>
        <v>7</v>
      </c>
      <c r="C61">
        <f t="shared" si="1"/>
        <v>3</v>
      </c>
    </row>
    <row r="62" spans="1:3" x14ac:dyDescent="0.15">
      <c r="A62">
        <f t="shared" si="2"/>
        <v>41336</v>
      </c>
      <c r="B62">
        <f t="shared" si="0"/>
        <v>1</v>
      </c>
      <c r="C62">
        <f t="shared" si="1"/>
        <v>3</v>
      </c>
    </row>
    <row r="63" spans="1:3" x14ac:dyDescent="0.15">
      <c r="A63">
        <f t="shared" si="2"/>
        <v>41337</v>
      </c>
      <c r="B63">
        <f t="shared" si="0"/>
        <v>2</v>
      </c>
      <c r="C63">
        <f t="shared" si="1"/>
        <v>3</v>
      </c>
    </row>
    <row r="64" spans="1:3" x14ac:dyDescent="0.15">
      <c r="A64">
        <f t="shared" si="2"/>
        <v>41338</v>
      </c>
      <c r="B64">
        <f t="shared" si="0"/>
        <v>3</v>
      </c>
      <c r="C64">
        <f t="shared" si="1"/>
        <v>3</v>
      </c>
    </row>
    <row r="65" spans="1:3" x14ac:dyDescent="0.15">
      <c r="A65">
        <f t="shared" si="2"/>
        <v>41339</v>
      </c>
      <c r="B65">
        <f t="shared" ref="B65:B128" si="3">WEEKDAY(A65)</f>
        <v>4</v>
      </c>
      <c r="C65">
        <f t="shared" ref="C65:C128" si="4">MONTH(A65)</f>
        <v>3</v>
      </c>
    </row>
    <row r="66" spans="1:3" x14ac:dyDescent="0.15">
      <c r="A66">
        <f t="shared" ref="A66:A129" si="5">+A65+1</f>
        <v>41340</v>
      </c>
      <c r="B66">
        <f t="shared" si="3"/>
        <v>5</v>
      </c>
      <c r="C66">
        <f t="shared" si="4"/>
        <v>3</v>
      </c>
    </row>
    <row r="67" spans="1:3" x14ac:dyDescent="0.15">
      <c r="A67">
        <f t="shared" si="5"/>
        <v>41341</v>
      </c>
      <c r="B67">
        <f t="shared" si="3"/>
        <v>6</v>
      </c>
      <c r="C67">
        <f t="shared" si="4"/>
        <v>3</v>
      </c>
    </row>
    <row r="68" spans="1:3" x14ac:dyDescent="0.15">
      <c r="A68">
        <f t="shared" si="5"/>
        <v>41342</v>
      </c>
      <c r="B68">
        <f t="shared" si="3"/>
        <v>7</v>
      </c>
      <c r="C68">
        <f t="shared" si="4"/>
        <v>3</v>
      </c>
    </row>
    <row r="69" spans="1:3" x14ac:dyDescent="0.15">
      <c r="A69">
        <f t="shared" si="5"/>
        <v>41343</v>
      </c>
      <c r="B69">
        <f t="shared" si="3"/>
        <v>1</v>
      </c>
      <c r="C69">
        <f t="shared" si="4"/>
        <v>3</v>
      </c>
    </row>
    <row r="70" spans="1:3" x14ac:dyDescent="0.15">
      <c r="A70">
        <f t="shared" si="5"/>
        <v>41344</v>
      </c>
      <c r="B70">
        <f t="shared" si="3"/>
        <v>2</v>
      </c>
      <c r="C70">
        <f t="shared" si="4"/>
        <v>3</v>
      </c>
    </row>
    <row r="71" spans="1:3" x14ac:dyDescent="0.15">
      <c r="A71">
        <f t="shared" si="5"/>
        <v>41345</v>
      </c>
      <c r="B71">
        <f t="shared" si="3"/>
        <v>3</v>
      </c>
      <c r="C71">
        <f t="shared" si="4"/>
        <v>3</v>
      </c>
    </row>
    <row r="72" spans="1:3" x14ac:dyDescent="0.15">
      <c r="A72">
        <f t="shared" si="5"/>
        <v>41346</v>
      </c>
      <c r="B72">
        <f t="shared" si="3"/>
        <v>4</v>
      </c>
      <c r="C72">
        <f t="shared" si="4"/>
        <v>3</v>
      </c>
    </row>
    <row r="73" spans="1:3" x14ac:dyDescent="0.15">
      <c r="A73">
        <f t="shared" si="5"/>
        <v>41347</v>
      </c>
      <c r="B73">
        <f t="shared" si="3"/>
        <v>5</v>
      </c>
      <c r="C73">
        <f t="shared" si="4"/>
        <v>3</v>
      </c>
    </row>
    <row r="74" spans="1:3" x14ac:dyDescent="0.15">
      <c r="A74">
        <f t="shared" si="5"/>
        <v>41348</v>
      </c>
      <c r="B74">
        <f t="shared" si="3"/>
        <v>6</v>
      </c>
      <c r="C74">
        <f t="shared" si="4"/>
        <v>3</v>
      </c>
    </row>
    <row r="75" spans="1:3" x14ac:dyDescent="0.15">
      <c r="A75">
        <f t="shared" si="5"/>
        <v>41349</v>
      </c>
      <c r="B75">
        <f t="shared" si="3"/>
        <v>7</v>
      </c>
      <c r="C75">
        <f t="shared" si="4"/>
        <v>3</v>
      </c>
    </row>
    <row r="76" spans="1:3" x14ac:dyDescent="0.15">
      <c r="A76">
        <f t="shared" si="5"/>
        <v>41350</v>
      </c>
      <c r="B76">
        <f t="shared" si="3"/>
        <v>1</v>
      </c>
      <c r="C76">
        <f t="shared" si="4"/>
        <v>3</v>
      </c>
    </row>
    <row r="77" spans="1:3" x14ac:dyDescent="0.15">
      <c r="A77">
        <f t="shared" si="5"/>
        <v>41351</v>
      </c>
      <c r="B77">
        <f t="shared" si="3"/>
        <v>2</v>
      </c>
      <c r="C77">
        <f t="shared" si="4"/>
        <v>3</v>
      </c>
    </row>
    <row r="78" spans="1:3" x14ac:dyDescent="0.15">
      <c r="A78">
        <f t="shared" si="5"/>
        <v>41352</v>
      </c>
      <c r="B78">
        <f t="shared" si="3"/>
        <v>3</v>
      </c>
      <c r="C78">
        <f t="shared" si="4"/>
        <v>3</v>
      </c>
    </row>
    <row r="79" spans="1:3" x14ac:dyDescent="0.15">
      <c r="A79">
        <f t="shared" si="5"/>
        <v>41353</v>
      </c>
      <c r="B79">
        <f t="shared" si="3"/>
        <v>4</v>
      </c>
      <c r="C79">
        <f t="shared" si="4"/>
        <v>3</v>
      </c>
    </row>
    <row r="80" spans="1:3" x14ac:dyDescent="0.15">
      <c r="A80">
        <f t="shared" si="5"/>
        <v>41354</v>
      </c>
      <c r="B80">
        <f t="shared" si="3"/>
        <v>5</v>
      </c>
      <c r="C80">
        <f t="shared" si="4"/>
        <v>3</v>
      </c>
    </row>
    <row r="81" spans="1:3" x14ac:dyDescent="0.15">
      <c r="A81">
        <f t="shared" si="5"/>
        <v>41355</v>
      </c>
      <c r="B81">
        <f t="shared" si="3"/>
        <v>6</v>
      </c>
      <c r="C81">
        <f t="shared" si="4"/>
        <v>3</v>
      </c>
    </row>
    <row r="82" spans="1:3" x14ac:dyDescent="0.15">
      <c r="A82">
        <f t="shared" si="5"/>
        <v>41356</v>
      </c>
      <c r="B82">
        <f t="shared" si="3"/>
        <v>7</v>
      </c>
      <c r="C82">
        <f t="shared" si="4"/>
        <v>3</v>
      </c>
    </row>
    <row r="83" spans="1:3" x14ac:dyDescent="0.15">
      <c r="A83">
        <f t="shared" si="5"/>
        <v>41357</v>
      </c>
      <c r="B83">
        <f t="shared" si="3"/>
        <v>1</v>
      </c>
      <c r="C83">
        <f t="shared" si="4"/>
        <v>3</v>
      </c>
    </row>
    <row r="84" spans="1:3" x14ac:dyDescent="0.15">
      <c r="A84">
        <f t="shared" si="5"/>
        <v>41358</v>
      </c>
      <c r="B84">
        <f t="shared" si="3"/>
        <v>2</v>
      </c>
      <c r="C84">
        <f t="shared" si="4"/>
        <v>3</v>
      </c>
    </row>
    <row r="85" spans="1:3" x14ac:dyDescent="0.15">
      <c r="A85">
        <f t="shared" si="5"/>
        <v>41359</v>
      </c>
      <c r="B85">
        <f t="shared" si="3"/>
        <v>3</v>
      </c>
      <c r="C85">
        <f t="shared" si="4"/>
        <v>3</v>
      </c>
    </row>
    <row r="86" spans="1:3" x14ac:dyDescent="0.15">
      <c r="A86">
        <f t="shared" si="5"/>
        <v>41360</v>
      </c>
      <c r="B86">
        <f t="shared" si="3"/>
        <v>4</v>
      </c>
      <c r="C86">
        <f t="shared" si="4"/>
        <v>3</v>
      </c>
    </row>
    <row r="87" spans="1:3" x14ac:dyDescent="0.15">
      <c r="A87">
        <f t="shared" si="5"/>
        <v>41361</v>
      </c>
      <c r="B87">
        <f t="shared" si="3"/>
        <v>5</v>
      </c>
      <c r="C87">
        <f t="shared" si="4"/>
        <v>3</v>
      </c>
    </row>
    <row r="88" spans="1:3" x14ac:dyDescent="0.15">
      <c r="A88">
        <f t="shared" si="5"/>
        <v>41362</v>
      </c>
      <c r="B88">
        <f t="shared" si="3"/>
        <v>6</v>
      </c>
      <c r="C88">
        <f t="shared" si="4"/>
        <v>3</v>
      </c>
    </row>
    <row r="89" spans="1:3" x14ac:dyDescent="0.15">
      <c r="A89">
        <f t="shared" si="5"/>
        <v>41363</v>
      </c>
      <c r="B89">
        <f t="shared" si="3"/>
        <v>7</v>
      </c>
      <c r="C89">
        <f t="shared" si="4"/>
        <v>3</v>
      </c>
    </row>
    <row r="90" spans="1:3" x14ac:dyDescent="0.15">
      <c r="A90">
        <f t="shared" si="5"/>
        <v>41364</v>
      </c>
      <c r="B90">
        <f t="shared" si="3"/>
        <v>1</v>
      </c>
      <c r="C90">
        <f t="shared" si="4"/>
        <v>3</v>
      </c>
    </row>
    <row r="91" spans="1:3" x14ac:dyDescent="0.15">
      <c r="A91">
        <f t="shared" si="5"/>
        <v>41365</v>
      </c>
      <c r="B91">
        <f t="shared" si="3"/>
        <v>2</v>
      </c>
      <c r="C91">
        <f t="shared" si="4"/>
        <v>4</v>
      </c>
    </row>
    <row r="92" spans="1:3" x14ac:dyDescent="0.15">
      <c r="A92">
        <f t="shared" si="5"/>
        <v>41366</v>
      </c>
      <c r="B92">
        <f t="shared" si="3"/>
        <v>3</v>
      </c>
      <c r="C92">
        <f t="shared" si="4"/>
        <v>4</v>
      </c>
    </row>
    <row r="93" spans="1:3" x14ac:dyDescent="0.15">
      <c r="A93">
        <f t="shared" si="5"/>
        <v>41367</v>
      </c>
      <c r="B93">
        <f t="shared" si="3"/>
        <v>4</v>
      </c>
      <c r="C93">
        <f t="shared" si="4"/>
        <v>4</v>
      </c>
    </row>
    <row r="94" spans="1:3" x14ac:dyDescent="0.15">
      <c r="A94">
        <f t="shared" si="5"/>
        <v>41368</v>
      </c>
      <c r="B94">
        <f t="shared" si="3"/>
        <v>5</v>
      </c>
      <c r="C94">
        <f t="shared" si="4"/>
        <v>4</v>
      </c>
    </row>
    <row r="95" spans="1:3" x14ac:dyDescent="0.15">
      <c r="A95">
        <f t="shared" si="5"/>
        <v>41369</v>
      </c>
      <c r="B95">
        <f t="shared" si="3"/>
        <v>6</v>
      </c>
      <c r="C95">
        <f t="shared" si="4"/>
        <v>4</v>
      </c>
    </row>
    <row r="96" spans="1:3" x14ac:dyDescent="0.15">
      <c r="A96">
        <f t="shared" si="5"/>
        <v>41370</v>
      </c>
      <c r="B96">
        <f t="shared" si="3"/>
        <v>7</v>
      </c>
      <c r="C96">
        <f t="shared" si="4"/>
        <v>4</v>
      </c>
    </row>
    <row r="97" spans="1:3" x14ac:dyDescent="0.15">
      <c r="A97">
        <f t="shared" si="5"/>
        <v>41371</v>
      </c>
      <c r="B97">
        <f t="shared" si="3"/>
        <v>1</v>
      </c>
      <c r="C97">
        <f t="shared" si="4"/>
        <v>4</v>
      </c>
    </row>
    <row r="98" spans="1:3" x14ac:dyDescent="0.15">
      <c r="A98">
        <f t="shared" si="5"/>
        <v>41372</v>
      </c>
      <c r="B98">
        <f t="shared" si="3"/>
        <v>2</v>
      </c>
      <c r="C98">
        <f t="shared" si="4"/>
        <v>4</v>
      </c>
    </row>
    <row r="99" spans="1:3" x14ac:dyDescent="0.15">
      <c r="A99">
        <f t="shared" si="5"/>
        <v>41373</v>
      </c>
      <c r="B99">
        <f t="shared" si="3"/>
        <v>3</v>
      </c>
      <c r="C99">
        <f t="shared" si="4"/>
        <v>4</v>
      </c>
    </row>
    <row r="100" spans="1:3" x14ac:dyDescent="0.15">
      <c r="A100">
        <f t="shared" si="5"/>
        <v>41374</v>
      </c>
      <c r="B100">
        <f t="shared" si="3"/>
        <v>4</v>
      </c>
      <c r="C100">
        <f t="shared" si="4"/>
        <v>4</v>
      </c>
    </row>
    <row r="101" spans="1:3" x14ac:dyDescent="0.15">
      <c r="A101">
        <f t="shared" si="5"/>
        <v>41375</v>
      </c>
      <c r="B101">
        <f t="shared" si="3"/>
        <v>5</v>
      </c>
      <c r="C101">
        <f t="shared" si="4"/>
        <v>4</v>
      </c>
    </row>
    <row r="102" spans="1:3" x14ac:dyDescent="0.15">
      <c r="A102">
        <f t="shared" si="5"/>
        <v>41376</v>
      </c>
      <c r="B102">
        <f t="shared" si="3"/>
        <v>6</v>
      </c>
      <c r="C102">
        <f t="shared" si="4"/>
        <v>4</v>
      </c>
    </row>
    <row r="103" spans="1:3" x14ac:dyDescent="0.15">
      <c r="A103">
        <f t="shared" si="5"/>
        <v>41377</v>
      </c>
      <c r="B103">
        <f t="shared" si="3"/>
        <v>7</v>
      </c>
      <c r="C103">
        <f t="shared" si="4"/>
        <v>4</v>
      </c>
    </row>
    <row r="104" spans="1:3" x14ac:dyDescent="0.15">
      <c r="A104">
        <f t="shared" si="5"/>
        <v>41378</v>
      </c>
      <c r="B104">
        <f t="shared" si="3"/>
        <v>1</v>
      </c>
      <c r="C104">
        <f t="shared" si="4"/>
        <v>4</v>
      </c>
    </row>
    <row r="105" spans="1:3" x14ac:dyDescent="0.15">
      <c r="A105">
        <f t="shared" si="5"/>
        <v>41379</v>
      </c>
      <c r="B105">
        <f t="shared" si="3"/>
        <v>2</v>
      </c>
      <c r="C105">
        <f t="shared" si="4"/>
        <v>4</v>
      </c>
    </row>
    <row r="106" spans="1:3" x14ac:dyDescent="0.15">
      <c r="A106">
        <f t="shared" si="5"/>
        <v>41380</v>
      </c>
      <c r="B106">
        <f t="shared" si="3"/>
        <v>3</v>
      </c>
      <c r="C106">
        <f t="shared" si="4"/>
        <v>4</v>
      </c>
    </row>
    <row r="107" spans="1:3" x14ac:dyDescent="0.15">
      <c r="A107">
        <f t="shared" si="5"/>
        <v>41381</v>
      </c>
      <c r="B107">
        <f t="shared" si="3"/>
        <v>4</v>
      </c>
      <c r="C107">
        <f t="shared" si="4"/>
        <v>4</v>
      </c>
    </row>
    <row r="108" spans="1:3" x14ac:dyDescent="0.15">
      <c r="A108">
        <f t="shared" si="5"/>
        <v>41382</v>
      </c>
      <c r="B108">
        <f t="shared" si="3"/>
        <v>5</v>
      </c>
      <c r="C108">
        <f t="shared" si="4"/>
        <v>4</v>
      </c>
    </row>
    <row r="109" spans="1:3" x14ac:dyDescent="0.15">
      <c r="A109">
        <f t="shared" si="5"/>
        <v>41383</v>
      </c>
      <c r="B109">
        <f t="shared" si="3"/>
        <v>6</v>
      </c>
      <c r="C109">
        <f t="shared" si="4"/>
        <v>4</v>
      </c>
    </row>
    <row r="110" spans="1:3" x14ac:dyDescent="0.15">
      <c r="A110">
        <f t="shared" si="5"/>
        <v>41384</v>
      </c>
      <c r="B110">
        <f t="shared" si="3"/>
        <v>7</v>
      </c>
      <c r="C110">
        <f t="shared" si="4"/>
        <v>4</v>
      </c>
    </row>
    <row r="111" spans="1:3" x14ac:dyDescent="0.15">
      <c r="A111">
        <f t="shared" si="5"/>
        <v>41385</v>
      </c>
      <c r="B111">
        <f t="shared" si="3"/>
        <v>1</v>
      </c>
      <c r="C111">
        <f t="shared" si="4"/>
        <v>4</v>
      </c>
    </row>
    <row r="112" spans="1:3" x14ac:dyDescent="0.15">
      <c r="A112">
        <f t="shared" si="5"/>
        <v>41386</v>
      </c>
      <c r="B112">
        <f t="shared" si="3"/>
        <v>2</v>
      </c>
      <c r="C112">
        <f t="shared" si="4"/>
        <v>4</v>
      </c>
    </row>
    <row r="113" spans="1:3" x14ac:dyDescent="0.15">
      <c r="A113">
        <f t="shared" si="5"/>
        <v>41387</v>
      </c>
      <c r="B113">
        <f t="shared" si="3"/>
        <v>3</v>
      </c>
      <c r="C113">
        <f t="shared" si="4"/>
        <v>4</v>
      </c>
    </row>
    <row r="114" spans="1:3" x14ac:dyDescent="0.15">
      <c r="A114">
        <f t="shared" si="5"/>
        <v>41388</v>
      </c>
      <c r="B114">
        <f t="shared" si="3"/>
        <v>4</v>
      </c>
      <c r="C114">
        <f t="shared" si="4"/>
        <v>4</v>
      </c>
    </row>
    <row r="115" spans="1:3" x14ac:dyDescent="0.15">
      <c r="A115">
        <f t="shared" si="5"/>
        <v>41389</v>
      </c>
      <c r="B115">
        <f t="shared" si="3"/>
        <v>5</v>
      </c>
      <c r="C115">
        <f t="shared" si="4"/>
        <v>4</v>
      </c>
    </row>
    <row r="116" spans="1:3" x14ac:dyDescent="0.15">
      <c r="A116">
        <f t="shared" si="5"/>
        <v>41390</v>
      </c>
      <c r="B116">
        <f t="shared" si="3"/>
        <v>6</v>
      </c>
      <c r="C116">
        <f t="shared" si="4"/>
        <v>4</v>
      </c>
    </row>
    <row r="117" spans="1:3" x14ac:dyDescent="0.15">
      <c r="A117">
        <f t="shared" si="5"/>
        <v>41391</v>
      </c>
      <c r="B117">
        <f t="shared" si="3"/>
        <v>7</v>
      </c>
      <c r="C117">
        <f t="shared" si="4"/>
        <v>4</v>
      </c>
    </row>
    <row r="118" spans="1:3" x14ac:dyDescent="0.15">
      <c r="A118">
        <f t="shared" si="5"/>
        <v>41392</v>
      </c>
      <c r="B118">
        <f t="shared" si="3"/>
        <v>1</v>
      </c>
      <c r="C118">
        <f t="shared" si="4"/>
        <v>4</v>
      </c>
    </row>
    <row r="119" spans="1:3" x14ac:dyDescent="0.15">
      <c r="A119">
        <f t="shared" si="5"/>
        <v>41393</v>
      </c>
      <c r="B119">
        <f t="shared" si="3"/>
        <v>2</v>
      </c>
      <c r="C119">
        <f t="shared" si="4"/>
        <v>4</v>
      </c>
    </row>
    <row r="120" spans="1:3" x14ac:dyDescent="0.15">
      <c r="A120">
        <f t="shared" si="5"/>
        <v>41394</v>
      </c>
      <c r="B120">
        <f t="shared" si="3"/>
        <v>3</v>
      </c>
      <c r="C120">
        <f t="shared" si="4"/>
        <v>4</v>
      </c>
    </row>
    <row r="121" spans="1:3" x14ac:dyDescent="0.15">
      <c r="A121">
        <f t="shared" si="5"/>
        <v>41395</v>
      </c>
      <c r="B121">
        <f t="shared" si="3"/>
        <v>4</v>
      </c>
      <c r="C121">
        <f t="shared" si="4"/>
        <v>5</v>
      </c>
    </row>
    <row r="122" spans="1:3" x14ac:dyDescent="0.15">
      <c r="A122">
        <f t="shared" si="5"/>
        <v>41396</v>
      </c>
      <c r="B122">
        <f t="shared" si="3"/>
        <v>5</v>
      </c>
      <c r="C122">
        <f t="shared" si="4"/>
        <v>5</v>
      </c>
    </row>
    <row r="123" spans="1:3" x14ac:dyDescent="0.15">
      <c r="A123">
        <f t="shared" si="5"/>
        <v>41397</v>
      </c>
      <c r="B123">
        <f t="shared" si="3"/>
        <v>6</v>
      </c>
      <c r="C123">
        <f t="shared" si="4"/>
        <v>5</v>
      </c>
    </row>
    <row r="124" spans="1:3" x14ac:dyDescent="0.15">
      <c r="A124">
        <f t="shared" si="5"/>
        <v>41398</v>
      </c>
      <c r="B124">
        <f t="shared" si="3"/>
        <v>7</v>
      </c>
      <c r="C124">
        <f t="shared" si="4"/>
        <v>5</v>
      </c>
    </row>
    <row r="125" spans="1:3" x14ac:dyDescent="0.15">
      <c r="A125">
        <f t="shared" si="5"/>
        <v>41399</v>
      </c>
      <c r="B125">
        <f t="shared" si="3"/>
        <v>1</v>
      </c>
      <c r="C125">
        <f t="shared" si="4"/>
        <v>5</v>
      </c>
    </row>
    <row r="126" spans="1:3" x14ac:dyDescent="0.15">
      <c r="A126">
        <f t="shared" si="5"/>
        <v>41400</v>
      </c>
      <c r="B126">
        <f t="shared" si="3"/>
        <v>2</v>
      </c>
      <c r="C126">
        <f t="shared" si="4"/>
        <v>5</v>
      </c>
    </row>
    <row r="127" spans="1:3" x14ac:dyDescent="0.15">
      <c r="A127">
        <f t="shared" si="5"/>
        <v>41401</v>
      </c>
      <c r="B127">
        <f t="shared" si="3"/>
        <v>3</v>
      </c>
      <c r="C127">
        <f t="shared" si="4"/>
        <v>5</v>
      </c>
    </row>
    <row r="128" spans="1:3" x14ac:dyDescent="0.15">
      <c r="A128">
        <f t="shared" si="5"/>
        <v>41402</v>
      </c>
      <c r="B128">
        <f t="shared" si="3"/>
        <v>4</v>
      </c>
      <c r="C128">
        <f t="shared" si="4"/>
        <v>5</v>
      </c>
    </row>
    <row r="129" spans="1:3" x14ac:dyDescent="0.15">
      <c r="A129">
        <f t="shared" si="5"/>
        <v>41403</v>
      </c>
      <c r="B129">
        <f t="shared" ref="B129:B192" si="6">WEEKDAY(A129)</f>
        <v>5</v>
      </c>
      <c r="C129">
        <f t="shared" ref="C129:C192" si="7">MONTH(A129)</f>
        <v>5</v>
      </c>
    </row>
    <row r="130" spans="1:3" x14ac:dyDescent="0.15">
      <c r="A130">
        <f t="shared" ref="A130:A193" si="8">+A129+1</f>
        <v>41404</v>
      </c>
      <c r="B130">
        <f t="shared" si="6"/>
        <v>6</v>
      </c>
      <c r="C130">
        <f t="shared" si="7"/>
        <v>5</v>
      </c>
    </row>
    <row r="131" spans="1:3" x14ac:dyDescent="0.15">
      <c r="A131">
        <f t="shared" si="8"/>
        <v>41405</v>
      </c>
      <c r="B131">
        <f t="shared" si="6"/>
        <v>7</v>
      </c>
      <c r="C131">
        <f t="shared" si="7"/>
        <v>5</v>
      </c>
    </row>
    <row r="132" spans="1:3" x14ac:dyDescent="0.15">
      <c r="A132">
        <f t="shared" si="8"/>
        <v>41406</v>
      </c>
      <c r="B132">
        <f t="shared" si="6"/>
        <v>1</v>
      </c>
      <c r="C132">
        <f t="shared" si="7"/>
        <v>5</v>
      </c>
    </row>
    <row r="133" spans="1:3" x14ac:dyDescent="0.15">
      <c r="A133">
        <f t="shared" si="8"/>
        <v>41407</v>
      </c>
      <c r="B133">
        <f t="shared" si="6"/>
        <v>2</v>
      </c>
      <c r="C133">
        <f t="shared" si="7"/>
        <v>5</v>
      </c>
    </row>
    <row r="134" spans="1:3" x14ac:dyDescent="0.15">
      <c r="A134">
        <f t="shared" si="8"/>
        <v>41408</v>
      </c>
      <c r="B134">
        <f t="shared" si="6"/>
        <v>3</v>
      </c>
      <c r="C134">
        <f t="shared" si="7"/>
        <v>5</v>
      </c>
    </row>
    <row r="135" spans="1:3" x14ac:dyDescent="0.15">
      <c r="A135">
        <f t="shared" si="8"/>
        <v>41409</v>
      </c>
      <c r="B135">
        <f t="shared" si="6"/>
        <v>4</v>
      </c>
      <c r="C135">
        <f t="shared" si="7"/>
        <v>5</v>
      </c>
    </row>
    <row r="136" spans="1:3" x14ac:dyDescent="0.15">
      <c r="A136">
        <f t="shared" si="8"/>
        <v>41410</v>
      </c>
      <c r="B136">
        <f t="shared" si="6"/>
        <v>5</v>
      </c>
      <c r="C136">
        <f t="shared" si="7"/>
        <v>5</v>
      </c>
    </row>
    <row r="137" spans="1:3" x14ac:dyDescent="0.15">
      <c r="A137">
        <f t="shared" si="8"/>
        <v>41411</v>
      </c>
      <c r="B137">
        <f t="shared" si="6"/>
        <v>6</v>
      </c>
      <c r="C137">
        <f t="shared" si="7"/>
        <v>5</v>
      </c>
    </row>
    <row r="138" spans="1:3" x14ac:dyDescent="0.15">
      <c r="A138">
        <f t="shared" si="8"/>
        <v>41412</v>
      </c>
      <c r="B138">
        <f t="shared" si="6"/>
        <v>7</v>
      </c>
      <c r="C138">
        <f t="shared" si="7"/>
        <v>5</v>
      </c>
    </row>
    <row r="139" spans="1:3" x14ac:dyDescent="0.15">
      <c r="A139">
        <f t="shared" si="8"/>
        <v>41413</v>
      </c>
      <c r="B139">
        <f t="shared" si="6"/>
        <v>1</v>
      </c>
      <c r="C139">
        <f t="shared" si="7"/>
        <v>5</v>
      </c>
    </row>
    <row r="140" spans="1:3" x14ac:dyDescent="0.15">
      <c r="A140">
        <f t="shared" si="8"/>
        <v>41414</v>
      </c>
      <c r="B140">
        <f t="shared" si="6"/>
        <v>2</v>
      </c>
      <c r="C140">
        <f t="shared" si="7"/>
        <v>5</v>
      </c>
    </row>
    <row r="141" spans="1:3" x14ac:dyDescent="0.15">
      <c r="A141">
        <f t="shared" si="8"/>
        <v>41415</v>
      </c>
      <c r="B141">
        <f t="shared" si="6"/>
        <v>3</v>
      </c>
      <c r="C141">
        <f t="shared" si="7"/>
        <v>5</v>
      </c>
    </row>
    <row r="142" spans="1:3" x14ac:dyDescent="0.15">
      <c r="A142">
        <f t="shared" si="8"/>
        <v>41416</v>
      </c>
      <c r="B142">
        <f t="shared" si="6"/>
        <v>4</v>
      </c>
      <c r="C142">
        <f t="shared" si="7"/>
        <v>5</v>
      </c>
    </row>
    <row r="143" spans="1:3" x14ac:dyDescent="0.15">
      <c r="A143">
        <f t="shared" si="8"/>
        <v>41417</v>
      </c>
      <c r="B143">
        <f t="shared" si="6"/>
        <v>5</v>
      </c>
      <c r="C143">
        <f t="shared" si="7"/>
        <v>5</v>
      </c>
    </row>
    <row r="144" spans="1:3" x14ac:dyDescent="0.15">
      <c r="A144">
        <f t="shared" si="8"/>
        <v>41418</v>
      </c>
      <c r="B144">
        <f t="shared" si="6"/>
        <v>6</v>
      </c>
      <c r="C144">
        <f t="shared" si="7"/>
        <v>5</v>
      </c>
    </row>
    <row r="145" spans="1:3" x14ac:dyDescent="0.15">
      <c r="A145">
        <f t="shared" si="8"/>
        <v>41419</v>
      </c>
      <c r="B145">
        <f t="shared" si="6"/>
        <v>7</v>
      </c>
      <c r="C145">
        <f t="shared" si="7"/>
        <v>5</v>
      </c>
    </row>
    <row r="146" spans="1:3" x14ac:dyDescent="0.15">
      <c r="A146">
        <f t="shared" si="8"/>
        <v>41420</v>
      </c>
      <c r="B146">
        <f t="shared" si="6"/>
        <v>1</v>
      </c>
      <c r="C146">
        <f t="shared" si="7"/>
        <v>5</v>
      </c>
    </row>
    <row r="147" spans="1:3" x14ac:dyDescent="0.15">
      <c r="A147">
        <f t="shared" si="8"/>
        <v>41421</v>
      </c>
      <c r="B147">
        <f t="shared" si="6"/>
        <v>2</v>
      </c>
      <c r="C147">
        <f t="shared" si="7"/>
        <v>5</v>
      </c>
    </row>
    <row r="148" spans="1:3" x14ac:dyDescent="0.15">
      <c r="A148">
        <f t="shared" si="8"/>
        <v>41422</v>
      </c>
      <c r="B148">
        <f t="shared" si="6"/>
        <v>3</v>
      </c>
      <c r="C148">
        <f t="shared" si="7"/>
        <v>5</v>
      </c>
    </row>
    <row r="149" spans="1:3" x14ac:dyDescent="0.15">
      <c r="A149">
        <f t="shared" si="8"/>
        <v>41423</v>
      </c>
      <c r="B149">
        <f t="shared" si="6"/>
        <v>4</v>
      </c>
      <c r="C149">
        <f t="shared" si="7"/>
        <v>5</v>
      </c>
    </row>
    <row r="150" spans="1:3" x14ac:dyDescent="0.15">
      <c r="A150">
        <f t="shared" si="8"/>
        <v>41424</v>
      </c>
      <c r="B150">
        <f t="shared" si="6"/>
        <v>5</v>
      </c>
      <c r="C150">
        <f t="shared" si="7"/>
        <v>5</v>
      </c>
    </row>
    <row r="151" spans="1:3" x14ac:dyDescent="0.15">
      <c r="A151">
        <f t="shared" si="8"/>
        <v>41425</v>
      </c>
      <c r="B151">
        <f t="shared" si="6"/>
        <v>6</v>
      </c>
      <c r="C151">
        <f t="shared" si="7"/>
        <v>5</v>
      </c>
    </row>
    <row r="152" spans="1:3" x14ac:dyDescent="0.15">
      <c r="A152">
        <f t="shared" si="8"/>
        <v>41426</v>
      </c>
      <c r="B152">
        <f t="shared" si="6"/>
        <v>7</v>
      </c>
      <c r="C152">
        <f t="shared" si="7"/>
        <v>6</v>
      </c>
    </row>
    <row r="153" spans="1:3" x14ac:dyDescent="0.15">
      <c r="A153">
        <f t="shared" si="8"/>
        <v>41427</v>
      </c>
      <c r="B153">
        <f t="shared" si="6"/>
        <v>1</v>
      </c>
      <c r="C153">
        <f t="shared" si="7"/>
        <v>6</v>
      </c>
    </row>
    <row r="154" spans="1:3" x14ac:dyDescent="0.15">
      <c r="A154">
        <f t="shared" si="8"/>
        <v>41428</v>
      </c>
      <c r="B154">
        <f t="shared" si="6"/>
        <v>2</v>
      </c>
      <c r="C154">
        <f t="shared" si="7"/>
        <v>6</v>
      </c>
    </row>
    <row r="155" spans="1:3" x14ac:dyDescent="0.15">
      <c r="A155">
        <f t="shared" si="8"/>
        <v>41429</v>
      </c>
      <c r="B155">
        <f t="shared" si="6"/>
        <v>3</v>
      </c>
      <c r="C155">
        <f t="shared" si="7"/>
        <v>6</v>
      </c>
    </row>
    <row r="156" spans="1:3" x14ac:dyDescent="0.15">
      <c r="A156">
        <f t="shared" si="8"/>
        <v>41430</v>
      </c>
      <c r="B156">
        <f t="shared" si="6"/>
        <v>4</v>
      </c>
      <c r="C156">
        <f t="shared" si="7"/>
        <v>6</v>
      </c>
    </row>
    <row r="157" spans="1:3" x14ac:dyDescent="0.15">
      <c r="A157">
        <f t="shared" si="8"/>
        <v>41431</v>
      </c>
      <c r="B157">
        <f t="shared" si="6"/>
        <v>5</v>
      </c>
      <c r="C157">
        <f t="shared" si="7"/>
        <v>6</v>
      </c>
    </row>
    <row r="158" spans="1:3" x14ac:dyDescent="0.15">
      <c r="A158">
        <f t="shared" si="8"/>
        <v>41432</v>
      </c>
      <c r="B158">
        <f t="shared" si="6"/>
        <v>6</v>
      </c>
      <c r="C158">
        <f t="shared" si="7"/>
        <v>6</v>
      </c>
    </row>
    <row r="159" spans="1:3" x14ac:dyDescent="0.15">
      <c r="A159">
        <f t="shared" si="8"/>
        <v>41433</v>
      </c>
      <c r="B159">
        <f t="shared" si="6"/>
        <v>7</v>
      </c>
      <c r="C159">
        <f t="shared" si="7"/>
        <v>6</v>
      </c>
    </row>
    <row r="160" spans="1:3" x14ac:dyDescent="0.15">
      <c r="A160">
        <f t="shared" si="8"/>
        <v>41434</v>
      </c>
      <c r="B160">
        <f t="shared" si="6"/>
        <v>1</v>
      </c>
      <c r="C160">
        <f t="shared" si="7"/>
        <v>6</v>
      </c>
    </row>
    <row r="161" spans="1:3" x14ac:dyDescent="0.15">
      <c r="A161">
        <f t="shared" si="8"/>
        <v>41435</v>
      </c>
      <c r="B161">
        <f t="shared" si="6"/>
        <v>2</v>
      </c>
      <c r="C161">
        <f t="shared" si="7"/>
        <v>6</v>
      </c>
    </row>
    <row r="162" spans="1:3" x14ac:dyDescent="0.15">
      <c r="A162">
        <f t="shared" si="8"/>
        <v>41436</v>
      </c>
      <c r="B162">
        <f t="shared" si="6"/>
        <v>3</v>
      </c>
      <c r="C162">
        <f t="shared" si="7"/>
        <v>6</v>
      </c>
    </row>
    <row r="163" spans="1:3" x14ac:dyDescent="0.15">
      <c r="A163">
        <f t="shared" si="8"/>
        <v>41437</v>
      </c>
      <c r="B163">
        <f t="shared" si="6"/>
        <v>4</v>
      </c>
      <c r="C163">
        <f t="shared" si="7"/>
        <v>6</v>
      </c>
    </row>
    <row r="164" spans="1:3" x14ac:dyDescent="0.15">
      <c r="A164">
        <f t="shared" si="8"/>
        <v>41438</v>
      </c>
      <c r="B164">
        <f t="shared" si="6"/>
        <v>5</v>
      </c>
      <c r="C164">
        <f t="shared" si="7"/>
        <v>6</v>
      </c>
    </row>
    <row r="165" spans="1:3" x14ac:dyDescent="0.15">
      <c r="A165">
        <f t="shared" si="8"/>
        <v>41439</v>
      </c>
      <c r="B165">
        <f t="shared" si="6"/>
        <v>6</v>
      </c>
      <c r="C165">
        <f t="shared" si="7"/>
        <v>6</v>
      </c>
    </row>
    <row r="166" spans="1:3" x14ac:dyDescent="0.15">
      <c r="A166">
        <f t="shared" si="8"/>
        <v>41440</v>
      </c>
      <c r="B166">
        <f t="shared" si="6"/>
        <v>7</v>
      </c>
      <c r="C166">
        <f t="shared" si="7"/>
        <v>6</v>
      </c>
    </row>
    <row r="167" spans="1:3" x14ac:dyDescent="0.15">
      <c r="A167">
        <f t="shared" si="8"/>
        <v>41441</v>
      </c>
      <c r="B167">
        <f t="shared" si="6"/>
        <v>1</v>
      </c>
      <c r="C167">
        <f t="shared" si="7"/>
        <v>6</v>
      </c>
    </row>
    <row r="168" spans="1:3" x14ac:dyDescent="0.15">
      <c r="A168">
        <f t="shared" si="8"/>
        <v>41442</v>
      </c>
      <c r="B168">
        <f t="shared" si="6"/>
        <v>2</v>
      </c>
      <c r="C168">
        <f t="shared" si="7"/>
        <v>6</v>
      </c>
    </row>
    <row r="169" spans="1:3" x14ac:dyDescent="0.15">
      <c r="A169">
        <f t="shared" si="8"/>
        <v>41443</v>
      </c>
      <c r="B169">
        <f t="shared" si="6"/>
        <v>3</v>
      </c>
      <c r="C169">
        <f t="shared" si="7"/>
        <v>6</v>
      </c>
    </row>
    <row r="170" spans="1:3" x14ac:dyDescent="0.15">
      <c r="A170">
        <f t="shared" si="8"/>
        <v>41444</v>
      </c>
      <c r="B170">
        <f t="shared" si="6"/>
        <v>4</v>
      </c>
      <c r="C170">
        <f t="shared" si="7"/>
        <v>6</v>
      </c>
    </row>
    <row r="171" spans="1:3" x14ac:dyDescent="0.15">
      <c r="A171">
        <f t="shared" si="8"/>
        <v>41445</v>
      </c>
      <c r="B171">
        <f t="shared" si="6"/>
        <v>5</v>
      </c>
      <c r="C171">
        <f t="shared" si="7"/>
        <v>6</v>
      </c>
    </row>
    <row r="172" spans="1:3" x14ac:dyDescent="0.15">
      <c r="A172">
        <f t="shared" si="8"/>
        <v>41446</v>
      </c>
      <c r="B172">
        <f t="shared" si="6"/>
        <v>6</v>
      </c>
      <c r="C172">
        <f t="shared" si="7"/>
        <v>6</v>
      </c>
    </row>
    <row r="173" spans="1:3" x14ac:dyDescent="0.15">
      <c r="A173">
        <f t="shared" si="8"/>
        <v>41447</v>
      </c>
      <c r="B173">
        <f t="shared" si="6"/>
        <v>7</v>
      </c>
      <c r="C173">
        <f t="shared" si="7"/>
        <v>6</v>
      </c>
    </row>
    <row r="174" spans="1:3" x14ac:dyDescent="0.15">
      <c r="A174">
        <f t="shared" si="8"/>
        <v>41448</v>
      </c>
      <c r="B174">
        <f t="shared" si="6"/>
        <v>1</v>
      </c>
      <c r="C174">
        <f t="shared" si="7"/>
        <v>6</v>
      </c>
    </row>
    <row r="175" spans="1:3" x14ac:dyDescent="0.15">
      <c r="A175">
        <f t="shared" si="8"/>
        <v>41449</v>
      </c>
      <c r="B175">
        <f t="shared" si="6"/>
        <v>2</v>
      </c>
      <c r="C175">
        <f t="shared" si="7"/>
        <v>6</v>
      </c>
    </row>
    <row r="176" spans="1:3" x14ac:dyDescent="0.15">
      <c r="A176">
        <f t="shared" si="8"/>
        <v>41450</v>
      </c>
      <c r="B176">
        <f t="shared" si="6"/>
        <v>3</v>
      </c>
      <c r="C176">
        <f t="shared" si="7"/>
        <v>6</v>
      </c>
    </row>
    <row r="177" spans="1:3" x14ac:dyDescent="0.15">
      <c r="A177">
        <f t="shared" si="8"/>
        <v>41451</v>
      </c>
      <c r="B177">
        <f t="shared" si="6"/>
        <v>4</v>
      </c>
      <c r="C177">
        <f t="shared" si="7"/>
        <v>6</v>
      </c>
    </row>
    <row r="178" spans="1:3" x14ac:dyDescent="0.15">
      <c r="A178">
        <f t="shared" si="8"/>
        <v>41452</v>
      </c>
      <c r="B178">
        <f t="shared" si="6"/>
        <v>5</v>
      </c>
      <c r="C178">
        <f t="shared" si="7"/>
        <v>6</v>
      </c>
    </row>
    <row r="179" spans="1:3" x14ac:dyDescent="0.15">
      <c r="A179">
        <f t="shared" si="8"/>
        <v>41453</v>
      </c>
      <c r="B179">
        <f t="shared" si="6"/>
        <v>6</v>
      </c>
      <c r="C179">
        <f t="shared" si="7"/>
        <v>6</v>
      </c>
    </row>
    <row r="180" spans="1:3" x14ac:dyDescent="0.15">
      <c r="A180">
        <f t="shared" si="8"/>
        <v>41454</v>
      </c>
      <c r="B180">
        <f t="shared" si="6"/>
        <v>7</v>
      </c>
      <c r="C180">
        <f t="shared" si="7"/>
        <v>6</v>
      </c>
    </row>
    <row r="181" spans="1:3" x14ac:dyDescent="0.15">
      <c r="A181">
        <f t="shared" si="8"/>
        <v>41455</v>
      </c>
      <c r="B181">
        <f t="shared" si="6"/>
        <v>1</v>
      </c>
      <c r="C181">
        <f t="shared" si="7"/>
        <v>6</v>
      </c>
    </row>
    <row r="182" spans="1:3" x14ac:dyDescent="0.15">
      <c r="A182">
        <f t="shared" si="8"/>
        <v>41456</v>
      </c>
      <c r="B182">
        <f t="shared" si="6"/>
        <v>2</v>
      </c>
      <c r="C182">
        <f t="shared" si="7"/>
        <v>7</v>
      </c>
    </row>
    <row r="183" spans="1:3" x14ac:dyDescent="0.15">
      <c r="A183">
        <f t="shared" si="8"/>
        <v>41457</v>
      </c>
      <c r="B183">
        <f t="shared" si="6"/>
        <v>3</v>
      </c>
      <c r="C183">
        <f t="shared" si="7"/>
        <v>7</v>
      </c>
    </row>
    <row r="184" spans="1:3" x14ac:dyDescent="0.15">
      <c r="A184">
        <f t="shared" si="8"/>
        <v>41458</v>
      </c>
      <c r="B184">
        <f t="shared" si="6"/>
        <v>4</v>
      </c>
      <c r="C184">
        <f t="shared" si="7"/>
        <v>7</v>
      </c>
    </row>
    <row r="185" spans="1:3" x14ac:dyDescent="0.15">
      <c r="A185">
        <f t="shared" si="8"/>
        <v>41459</v>
      </c>
      <c r="B185">
        <f t="shared" si="6"/>
        <v>5</v>
      </c>
      <c r="C185">
        <f t="shared" si="7"/>
        <v>7</v>
      </c>
    </row>
    <row r="186" spans="1:3" x14ac:dyDescent="0.15">
      <c r="A186">
        <f t="shared" si="8"/>
        <v>41460</v>
      </c>
      <c r="B186">
        <f t="shared" si="6"/>
        <v>6</v>
      </c>
      <c r="C186">
        <f t="shared" si="7"/>
        <v>7</v>
      </c>
    </row>
    <row r="187" spans="1:3" x14ac:dyDescent="0.15">
      <c r="A187">
        <f t="shared" si="8"/>
        <v>41461</v>
      </c>
      <c r="B187">
        <f t="shared" si="6"/>
        <v>7</v>
      </c>
      <c r="C187">
        <f t="shared" si="7"/>
        <v>7</v>
      </c>
    </row>
    <row r="188" spans="1:3" x14ac:dyDescent="0.15">
      <c r="A188">
        <f t="shared" si="8"/>
        <v>41462</v>
      </c>
      <c r="B188">
        <f t="shared" si="6"/>
        <v>1</v>
      </c>
      <c r="C188">
        <f t="shared" si="7"/>
        <v>7</v>
      </c>
    </row>
    <row r="189" spans="1:3" x14ac:dyDescent="0.15">
      <c r="A189">
        <f t="shared" si="8"/>
        <v>41463</v>
      </c>
      <c r="B189">
        <f t="shared" si="6"/>
        <v>2</v>
      </c>
      <c r="C189">
        <f t="shared" si="7"/>
        <v>7</v>
      </c>
    </row>
    <row r="190" spans="1:3" x14ac:dyDescent="0.15">
      <c r="A190">
        <f t="shared" si="8"/>
        <v>41464</v>
      </c>
      <c r="B190">
        <f t="shared" si="6"/>
        <v>3</v>
      </c>
      <c r="C190">
        <f t="shared" si="7"/>
        <v>7</v>
      </c>
    </row>
    <row r="191" spans="1:3" x14ac:dyDescent="0.15">
      <c r="A191">
        <f t="shared" si="8"/>
        <v>41465</v>
      </c>
      <c r="B191">
        <f t="shared" si="6"/>
        <v>4</v>
      </c>
      <c r="C191">
        <f t="shared" si="7"/>
        <v>7</v>
      </c>
    </row>
    <row r="192" spans="1:3" x14ac:dyDescent="0.15">
      <c r="A192">
        <f t="shared" si="8"/>
        <v>41466</v>
      </c>
      <c r="B192">
        <f t="shared" si="6"/>
        <v>5</v>
      </c>
      <c r="C192">
        <f t="shared" si="7"/>
        <v>7</v>
      </c>
    </row>
    <row r="193" spans="1:3" x14ac:dyDescent="0.15">
      <c r="A193">
        <f t="shared" si="8"/>
        <v>41467</v>
      </c>
      <c r="B193">
        <f t="shared" ref="B193:B256" si="9">WEEKDAY(A193)</f>
        <v>6</v>
      </c>
      <c r="C193">
        <f t="shared" ref="C193:C256" si="10">MONTH(A193)</f>
        <v>7</v>
      </c>
    </row>
    <row r="194" spans="1:3" x14ac:dyDescent="0.15">
      <c r="A194">
        <f t="shared" ref="A194:A257" si="11">+A193+1</f>
        <v>41468</v>
      </c>
      <c r="B194">
        <f t="shared" si="9"/>
        <v>7</v>
      </c>
      <c r="C194">
        <f t="shared" si="10"/>
        <v>7</v>
      </c>
    </row>
    <row r="195" spans="1:3" x14ac:dyDescent="0.15">
      <c r="A195">
        <f t="shared" si="11"/>
        <v>41469</v>
      </c>
      <c r="B195">
        <f t="shared" si="9"/>
        <v>1</v>
      </c>
      <c r="C195">
        <f t="shared" si="10"/>
        <v>7</v>
      </c>
    </row>
    <row r="196" spans="1:3" x14ac:dyDescent="0.15">
      <c r="A196">
        <f t="shared" si="11"/>
        <v>41470</v>
      </c>
      <c r="B196">
        <f t="shared" si="9"/>
        <v>2</v>
      </c>
      <c r="C196">
        <f t="shared" si="10"/>
        <v>7</v>
      </c>
    </row>
    <row r="197" spans="1:3" x14ac:dyDescent="0.15">
      <c r="A197">
        <f t="shared" si="11"/>
        <v>41471</v>
      </c>
      <c r="B197">
        <f t="shared" si="9"/>
        <v>3</v>
      </c>
      <c r="C197">
        <f t="shared" si="10"/>
        <v>7</v>
      </c>
    </row>
    <row r="198" spans="1:3" x14ac:dyDescent="0.15">
      <c r="A198">
        <f t="shared" si="11"/>
        <v>41472</v>
      </c>
      <c r="B198">
        <f t="shared" si="9"/>
        <v>4</v>
      </c>
      <c r="C198">
        <f t="shared" si="10"/>
        <v>7</v>
      </c>
    </row>
    <row r="199" spans="1:3" x14ac:dyDescent="0.15">
      <c r="A199">
        <f t="shared" si="11"/>
        <v>41473</v>
      </c>
      <c r="B199">
        <f t="shared" si="9"/>
        <v>5</v>
      </c>
      <c r="C199">
        <f t="shared" si="10"/>
        <v>7</v>
      </c>
    </row>
    <row r="200" spans="1:3" x14ac:dyDescent="0.15">
      <c r="A200">
        <f t="shared" si="11"/>
        <v>41474</v>
      </c>
      <c r="B200">
        <f t="shared" si="9"/>
        <v>6</v>
      </c>
      <c r="C200">
        <f t="shared" si="10"/>
        <v>7</v>
      </c>
    </row>
    <row r="201" spans="1:3" x14ac:dyDescent="0.15">
      <c r="A201">
        <f t="shared" si="11"/>
        <v>41475</v>
      </c>
      <c r="B201">
        <f t="shared" si="9"/>
        <v>7</v>
      </c>
      <c r="C201">
        <f t="shared" si="10"/>
        <v>7</v>
      </c>
    </row>
    <row r="202" spans="1:3" x14ac:dyDescent="0.15">
      <c r="A202">
        <f t="shared" si="11"/>
        <v>41476</v>
      </c>
      <c r="B202">
        <f t="shared" si="9"/>
        <v>1</v>
      </c>
      <c r="C202">
        <f t="shared" si="10"/>
        <v>7</v>
      </c>
    </row>
    <row r="203" spans="1:3" x14ac:dyDescent="0.15">
      <c r="A203">
        <f t="shared" si="11"/>
        <v>41477</v>
      </c>
      <c r="B203">
        <f t="shared" si="9"/>
        <v>2</v>
      </c>
      <c r="C203">
        <f t="shared" si="10"/>
        <v>7</v>
      </c>
    </row>
    <row r="204" spans="1:3" x14ac:dyDescent="0.15">
      <c r="A204">
        <f t="shared" si="11"/>
        <v>41478</v>
      </c>
      <c r="B204">
        <f t="shared" si="9"/>
        <v>3</v>
      </c>
      <c r="C204">
        <f t="shared" si="10"/>
        <v>7</v>
      </c>
    </row>
    <row r="205" spans="1:3" x14ac:dyDescent="0.15">
      <c r="A205">
        <f t="shared" si="11"/>
        <v>41479</v>
      </c>
      <c r="B205">
        <f t="shared" si="9"/>
        <v>4</v>
      </c>
      <c r="C205">
        <f t="shared" si="10"/>
        <v>7</v>
      </c>
    </row>
    <row r="206" spans="1:3" x14ac:dyDescent="0.15">
      <c r="A206">
        <f t="shared" si="11"/>
        <v>41480</v>
      </c>
      <c r="B206">
        <f t="shared" si="9"/>
        <v>5</v>
      </c>
      <c r="C206">
        <f t="shared" si="10"/>
        <v>7</v>
      </c>
    </row>
    <row r="207" spans="1:3" x14ac:dyDescent="0.15">
      <c r="A207">
        <f t="shared" si="11"/>
        <v>41481</v>
      </c>
      <c r="B207">
        <f t="shared" si="9"/>
        <v>6</v>
      </c>
      <c r="C207">
        <f t="shared" si="10"/>
        <v>7</v>
      </c>
    </row>
    <row r="208" spans="1:3" x14ac:dyDescent="0.15">
      <c r="A208">
        <f t="shared" si="11"/>
        <v>41482</v>
      </c>
      <c r="B208">
        <f t="shared" si="9"/>
        <v>7</v>
      </c>
      <c r="C208">
        <f t="shared" si="10"/>
        <v>7</v>
      </c>
    </row>
    <row r="209" spans="1:3" x14ac:dyDescent="0.15">
      <c r="A209">
        <f t="shared" si="11"/>
        <v>41483</v>
      </c>
      <c r="B209">
        <f t="shared" si="9"/>
        <v>1</v>
      </c>
      <c r="C209">
        <f t="shared" si="10"/>
        <v>7</v>
      </c>
    </row>
    <row r="210" spans="1:3" x14ac:dyDescent="0.15">
      <c r="A210">
        <f t="shared" si="11"/>
        <v>41484</v>
      </c>
      <c r="B210">
        <f t="shared" si="9"/>
        <v>2</v>
      </c>
      <c r="C210">
        <f t="shared" si="10"/>
        <v>7</v>
      </c>
    </row>
    <row r="211" spans="1:3" x14ac:dyDescent="0.15">
      <c r="A211">
        <f t="shared" si="11"/>
        <v>41485</v>
      </c>
      <c r="B211">
        <f t="shared" si="9"/>
        <v>3</v>
      </c>
      <c r="C211">
        <f t="shared" si="10"/>
        <v>7</v>
      </c>
    </row>
    <row r="212" spans="1:3" x14ac:dyDescent="0.15">
      <c r="A212">
        <f t="shared" si="11"/>
        <v>41486</v>
      </c>
      <c r="B212">
        <f t="shared" si="9"/>
        <v>4</v>
      </c>
      <c r="C212">
        <f t="shared" si="10"/>
        <v>7</v>
      </c>
    </row>
    <row r="213" spans="1:3" x14ac:dyDescent="0.15">
      <c r="A213">
        <f t="shared" si="11"/>
        <v>41487</v>
      </c>
      <c r="B213">
        <f t="shared" si="9"/>
        <v>5</v>
      </c>
      <c r="C213">
        <f t="shared" si="10"/>
        <v>8</v>
      </c>
    </row>
    <row r="214" spans="1:3" x14ac:dyDescent="0.15">
      <c r="A214">
        <f t="shared" si="11"/>
        <v>41488</v>
      </c>
      <c r="B214">
        <f t="shared" si="9"/>
        <v>6</v>
      </c>
      <c r="C214">
        <f t="shared" si="10"/>
        <v>8</v>
      </c>
    </row>
    <row r="215" spans="1:3" x14ac:dyDescent="0.15">
      <c r="A215">
        <f t="shared" si="11"/>
        <v>41489</v>
      </c>
      <c r="B215">
        <f t="shared" si="9"/>
        <v>7</v>
      </c>
      <c r="C215">
        <f t="shared" si="10"/>
        <v>8</v>
      </c>
    </row>
    <row r="216" spans="1:3" x14ac:dyDescent="0.15">
      <c r="A216">
        <f t="shared" si="11"/>
        <v>41490</v>
      </c>
      <c r="B216">
        <f t="shared" si="9"/>
        <v>1</v>
      </c>
      <c r="C216">
        <f t="shared" si="10"/>
        <v>8</v>
      </c>
    </row>
    <row r="217" spans="1:3" x14ac:dyDescent="0.15">
      <c r="A217">
        <f t="shared" si="11"/>
        <v>41491</v>
      </c>
      <c r="B217">
        <f t="shared" si="9"/>
        <v>2</v>
      </c>
      <c r="C217">
        <f t="shared" si="10"/>
        <v>8</v>
      </c>
    </row>
    <row r="218" spans="1:3" x14ac:dyDescent="0.15">
      <c r="A218">
        <f t="shared" si="11"/>
        <v>41492</v>
      </c>
      <c r="B218">
        <f t="shared" si="9"/>
        <v>3</v>
      </c>
      <c r="C218">
        <f t="shared" si="10"/>
        <v>8</v>
      </c>
    </row>
    <row r="219" spans="1:3" x14ac:dyDescent="0.15">
      <c r="A219">
        <f t="shared" si="11"/>
        <v>41493</v>
      </c>
      <c r="B219">
        <f t="shared" si="9"/>
        <v>4</v>
      </c>
      <c r="C219">
        <f t="shared" si="10"/>
        <v>8</v>
      </c>
    </row>
    <row r="220" spans="1:3" x14ac:dyDescent="0.15">
      <c r="A220">
        <f t="shared" si="11"/>
        <v>41494</v>
      </c>
      <c r="B220">
        <f t="shared" si="9"/>
        <v>5</v>
      </c>
      <c r="C220">
        <f t="shared" si="10"/>
        <v>8</v>
      </c>
    </row>
    <row r="221" spans="1:3" x14ac:dyDescent="0.15">
      <c r="A221">
        <f t="shared" si="11"/>
        <v>41495</v>
      </c>
      <c r="B221">
        <f t="shared" si="9"/>
        <v>6</v>
      </c>
      <c r="C221">
        <f t="shared" si="10"/>
        <v>8</v>
      </c>
    </row>
    <row r="222" spans="1:3" x14ac:dyDescent="0.15">
      <c r="A222">
        <f t="shared" si="11"/>
        <v>41496</v>
      </c>
      <c r="B222">
        <f t="shared" si="9"/>
        <v>7</v>
      </c>
      <c r="C222">
        <f t="shared" si="10"/>
        <v>8</v>
      </c>
    </row>
    <row r="223" spans="1:3" x14ac:dyDescent="0.15">
      <c r="A223">
        <f t="shared" si="11"/>
        <v>41497</v>
      </c>
      <c r="B223">
        <f t="shared" si="9"/>
        <v>1</v>
      </c>
      <c r="C223">
        <f t="shared" si="10"/>
        <v>8</v>
      </c>
    </row>
    <row r="224" spans="1:3" x14ac:dyDescent="0.15">
      <c r="A224">
        <f t="shared" si="11"/>
        <v>41498</v>
      </c>
      <c r="B224">
        <f t="shared" si="9"/>
        <v>2</v>
      </c>
      <c r="C224">
        <f t="shared" si="10"/>
        <v>8</v>
      </c>
    </row>
    <row r="225" spans="1:3" x14ac:dyDescent="0.15">
      <c r="A225">
        <f t="shared" si="11"/>
        <v>41499</v>
      </c>
      <c r="B225">
        <f t="shared" si="9"/>
        <v>3</v>
      </c>
      <c r="C225">
        <f t="shared" si="10"/>
        <v>8</v>
      </c>
    </row>
    <row r="226" spans="1:3" x14ac:dyDescent="0.15">
      <c r="A226">
        <f t="shared" si="11"/>
        <v>41500</v>
      </c>
      <c r="B226">
        <f t="shared" si="9"/>
        <v>4</v>
      </c>
      <c r="C226">
        <f t="shared" si="10"/>
        <v>8</v>
      </c>
    </row>
    <row r="227" spans="1:3" x14ac:dyDescent="0.15">
      <c r="A227">
        <f t="shared" si="11"/>
        <v>41501</v>
      </c>
      <c r="B227">
        <f t="shared" si="9"/>
        <v>5</v>
      </c>
      <c r="C227">
        <f t="shared" si="10"/>
        <v>8</v>
      </c>
    </row>
    <row r="228" spans="1:3" x14ac:dyDescent="0.15">
      <c r="A228">
        <f t="shared" si="11"/>
        <v>41502</v>
      </c>
      <c r="B228">
        <f t="shared" si="9"/>
        <v>6</v>
      </c>
      <c r="C228">
        <f t="shared" si="10"/>
        <v>8</v>
      </c>
    </row>
    <row r="229" spans="1:3" x14ac:dyDescent="0.15">
      <c r="A229">
        <f t="shared" si="11"/>
        <v>41503</v>
      </c>
      <c r="B229">
        <f t="shared" si="9"/>
        <v>7</v>
      </c>
      <c r="C229">
        <f t="shared" si="10"/>
        <v>8</v>
      </c>
    </row>
    <row r="230" spans="1:3" x14ac:dyDescent="0.15">
      <c r="A230">
        <f t="shared" si="11"/>
        <v>41504</v>
      </c>
      <c r="B230">
        <f t="shared" si="9"/>
        <v>1</v>
      </c>
      <c r="C230">
        <f t="shared" si="10"/>
        <v>8</v>
      </c>
    </row>
    <row r="231" spans="1:3" x14ac:dyDescent="0.15">
      <c r="A231">
        <f t="shared" si="11"/>
        <v>41505</v>
      </c>
      <c r="B231">
        <f t="shared" si="9"/>
        <v>2</v>
      </c>
      <c r="C231">
        <f t="shared" si="10"/>
        <v>8</v>
      </c>
    </row>
    <row r="232" spans="1:3" x14ac:dyDescent="0.15">
      <c r="A232">
        <f t="shared" si="11"/>
        <v>41506</v>
      </c>
      <c r="B232">
        <f t="shared" si="9"/>
        <v>3</v>
      </c>
      <c r="C232">
        <f t="shared" si="10"/>
        <v>8</v>
      </c>
    </row>
    <row r="233" spans="1:3" x14ac:dyDescent="0.15">
      <c r="A233">
        <f t="shared" si="11"/>
        <v>41507</v>
      </c>
      <c r="B233">
        <f t="shared" si="9"/>
        <v>4</v>
      </c>
      <c r="C233">
        <f t="shared" si="10"/>
        <v>8</v>
      </c>
    </row>
    <row r="234" spans="1:3" x14ac:dyDescent="0.15">
      <c r="A234">
        <f t="shared" si="11"/>
        <v>41508</v>
      </c>
      <c r="B234">
        <f t="shared" si="9"/>
        <v>5</v>
      </c>
      <c r="C234">
        <f t="shared" si="10"/>
        <v>8</v>
      </c>
    </row>
    <row r="235" spans="1:3" x14ac:dyDescent="0.15">
      <c r="A235">
        <f t="shared" si="11"/>
        <v>41509</v>
      </c>
      <c r="B235">
        <f t="shared" si="9"/>
        <v>6</v>
      </c>
      <c r="C235">
        <f t="shared" si="10"/>
        <v>8</v>
      </c>
    </row>
    <row r="236" spans="1:3" x14ac:dyDescent="0.15">
      <c r="A236">
        <f t="shared" si="11"/>
        <v>41510</v>
      </c>
      <c r="B236">
        <f t="shared" si="9"/>
        <v>7</v>
      </c>
      <c r="C236">
        <f t="shared" si="10"/>
        <v>8</v>
      </c>
    </row>
    <row r="237" spans="1:3" x14ac:dyDescent="0.15">
      <c r="A237">
        <f t="shared" si="11"/>
        <v>41511</v>
      </c>
      <c r="B237">
        <f t="shared" si="9"/>
        <v>1</v>
      </c>
      <c r="C237">
        <f t="shared" si="10"/>
        <v>8</v>
      </c>
    </row>
    <row r="238" spans="1:3" x14ac:dyDescent="0.15">
      <c r="A238">
        <f t="shared" si="11"/>
        <v>41512</v>
      </c>
      <c r="B238">
        <f t="shared" si="9"/>
        <v>2</v>
      </c>
      <c r="C238">
        <f t="shared" si="10"/>
        <v>8</v>
      </c>
    </row>
    <row r="239" spans="1:3" x14ac:dyDescent="0.15">
      <c r="A239">
        <f t="shared" si="11"/>
        <v>41513</v>
      </c>
      <c r="B239">
        <f t="shared" si="9"/>
        <v>3</v>
      </c>
      <c r="C239">
        <f t="shared" si="10"/>
        <v>8</v>
      </c>
    </row>
    <row r="240" spans="1:3" x14ac:dyDescent="0.15">
      <c r="A240">
        <f t="shared" si="11"/>
        <v>41514</v>
      </c>
      <c r="B240">
        <f t="shared" si="9"/>
        <v>4</v>
      </c>
      <c r="C240">
        <f t="shared" si="10"/>
        <v>8</v>
      </c>
    </row>
    <row r="241" spans="1:3" x14ac:dyDescent="0.15">
      <c r="A241">
        <f t="shared" si="11"/>
        <v>41515</v>
      </c>
      <c r="B241">
        <f t="shared" si="9"/>
        <v>5</v>
      </c>
      <c r="C241">
        <f t="shared" si="10"/>
        <v>8</v>
      </c>
    </row>
    <row r="242" spans="1:3" x14ac:dyDescent="0.15">
      <c r="A242">
        <f t="shared" si="11"/>
        <v>41516</v>
      </c>
      <c r="B242">
        <f t="shared" si="9"/>
        <v>6</v>
      </c>
      <c r="C242">
        <f t="shared" si="10"/>
        <v>8</v>
      </c>
    </row>
    <row r="243" spans="1:3" x14ac:dyDescent="0.15">
      <c r="A243">
        <f t="shared" si="11"/>
        <v>41517</v>
      </c>
      <c r="B243">
        <f t="shared" si="9"/>
        <v>7</v>
      </c>
      <c r="C243">
        <f t="shared" si="10"/>
        <v>8</v>
      </c>
    </row>
    <row r="244" spans="1:3" x14ac:dyDescent="0.15">
      <c r="A244">
        <f t="shared" si="11"/>
        <v>41518</v>
      </c>
      <c r="B244">
        <f t="shared" si="9"/>
        <v>1</v>
      </c>
      <c r="C244">
        <f t="shared" si="10"/>
        <v>9</v>
      </c>
    </row>
    <row r="245" spans="1:3" x14ac:dyDescent="0.15">
      <c r="A245">
        <f t="shared" si="11"/>
        <v>41519</v>
      </c>
      <c r="B245">
        <f t="shared" si="9"/>
        <v>2</v>
      </c>
      <c r="C245">
        <f t="shared" si="10"/>
        <v>9</v>
      </c>
    </row>
    <row r="246" spans="1:3" x14ac:dyDescent="0.15">
      <c r="A246">
        <f t="shared" si="11"/>
        <v>41520</v>
      </c>
      <c r="B246">
        <f t="shared" si="9"/>
        <v>3</v>
      </c>
      <c r="C246">
        <f t="shared" si="10"/>
        <v>9</v>
      </c>
    </row>
    <row r="247" spans="1:3" x14ac:dyDescent="0.15">
      <c r="A247">
        <f t="shared" si="11"/>
        <v>41521</v>
      </c>
      <c r="B247">
        <f t="shared" si="9"/>
        <v>4</v>
      </c>
      <c r="C247">
        <f t="shared" si="10"/>
        <v>9</v>
      </c>
    </row>
    <row r="248" spans="1:3" x14ac:dyDescent="0.15">
      <c r="A248">
        <f t="shared" si="11"/>
        <v>41522</v>
      </c>
      <c r="B248">
        <f t="shared" si="9"/>
        <v>5</v>
      </c>
      <c r="C248">
        <f t="shared" si="10"/>
        <v>9</v>
      </c>
    </row>
    <row r="249" spans="1:3" x14ac:dyDescent="0.15">
      <c r="A249">
        <f t="shared" si="11"/>
        <v>41523</v>
      </c>
      <c r="B249">
        <f t="shared" si="9"/>
        <v>6</v>
      </c>
      <c r="C249">
        <f t="shared" si="10"/>
        <v>9</v>
      </c>
    </row>
    <row r="250" spans="1:3" x14ac:dyDescent="0.15">
      <c r="A250">
        <f t="shared" si="11"/>
        <v>41524</v>
      </c>
      <c r="B250">
        <f t="shared" si="9"/>
        <v>7</v>
      </c>
      <c r="C250">
        <f t="shared" si="10"/>
        <v>9</v>
      </c>
    </row>
    <row r="251" spans="1:3" x14ac:dyDescent="0.15">
      <c r="A251">
        <f t="shared" si="11"/>
        <v>41525</v>
      </c>
      <c r="B251">
        <f t="shared" si="9"/>
        <v>1</v>
      </c>
      <c r="C251">
        <f t="shared" si="10"/>
        <v>9</v>
      </c>
    </row>
    <row r="252" spans="1:3" x14ac:dyDescent="0.15">
      <c r="A252">
        <f t="shared" si="11"/>
        <v>41526</v>
      </c>
      <c r="B252">
        <f t="shared" si="9"/>
        <v>2</v>
      </c>
      <c r="C252">
        <f t="shared" si="10"/>
        <v>9</v>
      </c>
    </row>
    <row r="253" spans="1:3" x14ac:dyDescent="0.15">
      <c r="A253">
        <f t="shared" si="11"/>
        <v>41527</v>
      </c>
      <c r="B253">
        <f t="shared" si="9"/>
        <v>3</v>
      </c>
      <c r="C253">
        <f t="shared" si="10"/>
        <v>9</v>
      </c>
    </row>
    <row r="254" spans="1:3" x14ac:dyDescent="0.15">
      <c r="A254">
        <f t="shared" si="11"/>
        <v>41528</v>
      </c>
      <c r="B254">
        <f t="shared" si="9"/>
        <v>4</v>
      </c>
      <c r="C254">
        <f t="shared" si="10"/>
        <v>9</v>
      </c>
    </row>
    <row r="255" spans="1:3" x14ac:dyDescent="0.15">
      <c r="A255">
        <f t="shared" si="11"/>
        <v>41529</v>
      </c>
      <c r="B255">
        <f t="shared" si="9"/>
        <v>5</v>
      </c>
      <c r="C255">
        <f t="shared" si="10"/>
        <v>9</v>
      </c>
    </row>
    <row r="256" spans="1:3" x14ac:dyDescent="0.15">
      <c r="A256">
        <f t="shared" si="11"/>
        <v>41530</v>
      </c>
      <c r="B256">
        <f t="shared" si="9"/>
        <v>6</v>
      </c>
      <c r="C256">
        <f t="shared" si="10"/>
        <v>9</v>
      </c>
    </row>
    <row r="257" spans="1:3" x14ac:dyDescent="0.15">
      <c r="A257">
        <f t="shared" si="11"/>
        <v>41531</v>
      </c>
      <c r="B257">
        <f t="shared" ref="B257:B320" si="12">WEEKDAY(A257)</f>
        <v>7</v>
      </c>
      <c r="C257">
        <f t="shared" ref="C257:C320" si="13">MONTH(A257)</f>
        <v>9</v>
      </c>
    </row>
    <row r="258" spans="1:3" x14ac:dyDescent="0.15">
      <c r="A258">
        <f t="shared" ref="A258:A321" si="14">+A257+1</f>
        <v>41532</v>
      </c>
      <c r="B258">
        <f t="shared" si="12"/>
        <v>1</v>
      </c>
      <c r="C258">
        <f t="shared" si="13"/>
        <v>9</v>
      </c>
    </row>
    <row r="259" spans="1:3" x14ac:dyDescent="0.15">
      <c r="A259">
        <f t="shared" si="14"/>
        <v>41533</v>
      </c>
      <c r="B259">
        <f t="shared" si="12"/>
        <v>2</v>
      </c>
      <c r="C259">
        <f t="shared" si="13"/>
        <v>9</v>
      </c>
    </row>
    <row r="260" spans="1:3" x14ac:dyDescent="0.15">
      <c r="A260">
        <f t="shared" si="14"/>
        <v>41534</v>
      </c>
      <c r="B260">
        <f t="shared" si="12"/>
        <v>3</v>
      </c>
      <c r="C260">
        <f t="shared" si="13"/>
        <v>9</v>
      </c>
    </row>
    <row r="261" spans="1:3" x14ac:dyDescent="0.15">
      <c r="A261">
        <f t="shared" si="14"/>
        <v>41535</v>
      </c>
      <c r="B261">
        <f t="shared" si="12"/>
        <v>4</v>
      </c>
      <c r="C261">
        <f t="shared" si="13"/>
        <v>9</v>
      </c>
    </row>
    <row r="262" spans="1:3" x14ac:dyDescent="0.15">
      <c r="A262">
        <f t="shared" si="14"/>
        <v>41536</v>
      </c>
      <c r="B262">
        <f t="shared" si="12"/>
        <v>5</v>
      </c>
      <c r="C262">
        <f t="shared" si="13"/>
        <v>9</v>
      </c>
    </row>
    <row r="263" spans="1:3" x14ac:dyDescent="0.15">
      <c r="A263">
        <f t="shared" si="14"/>
        <v>41537</v>
      </c>
      <c r="B263">
        <f t="shared" si="12"/>
        <v>6</v>
      </c>
      <c r="C263">
        <f t="shared" si="13"/>
        <v>9</v>
      </c>
    </row>
    <row r="264" spans="1:3" x14ac:dyDescent="0.15">
      <c r="A264">
        <f t="shared" si="14"/>
        <v>41538</v>
      </c>
      <c r="B264">
        <f t="shared" si="12"/>
        <v>7</v>
      </c>
      <c r="C264">
        <f t="shared" si="13"/>
        <v>9</v>
      </c>
    </row>
    <row r="265" spans="1:3" x14ac:dyDescent="0.15">
      <c r="A265">
        <f t="shared" si="14"/>
        <v>41539</v>
      </c>
      <c r="B265">
        <f t="shared" si="12"/>
        <v>1</v>
      </c>
      <c r="C265">
        <f t="shared" si="13"/>
        <v>9</v>
      </c>
    </row>
    <row r="266" spans="1:3" x14ac:dyDescent="0.15">
      <c r="A266">
        <f t="shared" si="14"/>
        <v>41540</v>
      </c>
      <c r="B266">
        <f t="shared" si="12"/>
        <v>2</v>
      </c>
      <c r="C266">
        <f t="shared" si="13"/>
        <v>9</v>
      </c>
    </row>
    <row r="267" spans="1:3" x14ac:dyDescent="0.15">
      <c r="A267">
        <f t="shared" si="14"/>
        <v>41541</v>
      </c>
      <c r="B267">
        <f t="shared" si="12"/>
        <v>3</v>
      </c>
      <c r="C267">
        <f t="shared" si="13"/>
        <v>9</v>
      </c>
    </row>
    <row r="268" spans="1:3" x14ac:dyDescent="0.15">
      <c r="A268">
        <f t="shared" si="14"/>
        <v>41542</v>
      </c>
      <c r="B268">
        <f t="shared" si="12"/>
        <v>4</v>
      </c>
      <c r="C268">
        <f t="shared" si="13"/>
        <v>9</v>
      </c>
    </row>
    <row r="269" spans="1:3" x14ac:dyDescent="0.15">
      <c r="A269">
        <f t="shared" si="14"/>
        <v>41543</v>
      </c>
      <c r="B269">
        <f t="shared" si="12"/>
        <v>5</v>
      </c>
      <c r="C269">
        <f t="shared" si="13"/>
        <v>9</v>
      </c>
    </row>
    <row r="270" spans="1:3" x14ac:dyDescent="0.15">
      <c r="A270">
        <f t="shared" si="14"/>
        <v>41544</v>
      </c>
      <c r="B270">
        <f t="shared" si="12"/>
        <v>6</v>
      </c>
      <c r="C270">
        <f t="shared" si="13"/>
        <v>9</v>
      </c>
    </row>
    <row r="271" spans="1:3" x14ac:dyDescent="0.15">
      <c r="A271">
        <f t="shared" si="14"/>
        <v>41545</v>
      </c>
      <c r="B271">
        <f t="shared" si="12"/>
        <v>7</v>
      </c>
      <c r="C271">
        <f t="shared" si="13"/>
        <v>9</v>
      </c>
    </row>
    <row r="272" spans="1:3" x14ac:dyDescent="0.15">
      <c r="A272">
        <f t="shared" si="14"/>
        <v>41546</v>
      </c>
      <c r="B272">
        <f t="shared" si="12"/>
        <v>1</v>
      </c>
      <c r="C272">
        <f t="shared" si="13"/>
        <v>9</v>
      </c>
    </row>
    <row r="273" spans="1:3" x14ac:dyDescent="0.15">
      <c r="A273">
        <f t="shared" si="14"/>
        <v>41547</v>
      </c>
      <c r="B273">
        <f t="shared" si="12"/>
        <v>2</v>
      </c>
      <c r="C273">
        <f t="shared" si="13"/>
        <v>9</v>
      </c>
    </row>
    <row r="274" spans="1:3" x14ac:dyDescent="0.15">
      <c r="A274">
        <f t="shared" si="14"/>
        <v>41548</v>
      </c>
      <c r="B274">
        <f t="shared" si="12"/>
        <v>3</v>
      </c>
      <c r="C274">
        <f t="shared" si="13"/>
        <v>10</v>
      </c>
    </row>
    <row r="275" spans="1:3" x14ac:dyDescent="0.15">
      <c r="A275">
        <f t="shared" si="14"/>
        <v>41549</v>
      </c>
      <c r="B275">
        <f t="shared" si="12"/>
        <v>4</v>
      </c>
      <c r="C275">
        <f t="shared" si="13"/>
        <v>10</v>
      </c>
    </row>
    <row r="276" spans="1:3" x14ac:dyDescent="0.15">
      <c r="A276">
        <f t="shared" si="14"/>
        <v>41550</v>
      </c>
      <c r="B276">
        <f t="shared" si="12"/>
        <v>5</v>
      </c>
      <c r="C276">
        <f t="shared" si="13"/>
        <v>10</v>
      </c>
    </row>
    <row r="277" spans="1:3" x14ac:dyDescent="0.15">
      <c r="A277">
        <f t="shared" si="14"/>
        <v>41551</v>
      </c>
      <c r="B277">
        <f t="shared" si="12"/>
        <v>6</v>
      </c>
      <c r="C277">
        <f t="shared" si="13"/>
        <v>10</v>
      </c>
    </row>
    <row r="278" spans="1:3" x14ac:dyDescent="0.15">
      <c r="A278">
        <f t="shared" si="14"/>
        <v>41552</v>
      </c>
      <c r="B278">
        <f t="shared" si="12"/>
        <v>7</v>
      </c>
      <c r="C278">
        <f t="shared" si="13"/>
        <v>10</v>
      </c>
    </row>
    <row r="279" spans="1:3" x14ac:dyDescent="0.15">
      <c r="A279">
        <f t="shared" si="14"/>
        <v>41553</v>
      </c>
      <c r="B279">
        <f t="shared" si="12"/>
        <v>1</v>
      </c>
      <c r="C279">
        <f t="shared" si="13"/>
        <v>10</v>
      </c>
    </row>
    <row r="280" spans="1:3" x14ac:dyDescent="0.15">
      <c r="A280">
        <f t="shared" si="14"/>
        <v>41554</v>
      </c>
      <c r="B280">
        <f t="shared" si="12"/>
        <v>2</v>
      </c>
      <c r="C280">
        <f t="shared" si="13"/>
        <v>10</v>
      </c>
    </row>
    <row r="281" spans="1:3" x14ac:dyDescent="0.15">
      <c r="A281">
        <f t="shared" si="14"/>
        <v>41555</v>
      </c>
      <c r="B281">
        <f t="shared" si="12"/>
        <v>3</v>
      </c>
      <c r="C281">
        <f t="shared" si="13"/>
        <v>10</v>
      </c>
    </row>
    <row r="282" spans="1:3" x14ac:dyDescent="0.15">
      <c r="A282">
        <f t="shared" si="14"/>
        <v>41556</v>
      </c>
      <c r="B282">
        <f t="shared" si="12"/>
        <v>4</v>
      </c>
      <c r="C282">
        <f t="shared" si="13"/>
        <v>10</v>
      </c>
    </row>
    <row r="283" spans="1:3" x14ac:dyDescent="0.15">
      <c r="A283">
        <f t="shared" si="14"/>
        <v>41557</v>
      </c>
      <c r="B283">
        <f t="shared" si="12"/>
        <v>5</v>
      </c>
      <c r="C283">
        <f t="shared" si="13"/>
        <v>10</v>
      </c>
    </row>
    <row r="284" spans="1:3" x14ac:dyDescent="0.15">
      <c r="A284">
        <f t="shared" si="14"/>
        <v>41558</v>
      </c>
      <c r="B284">
        <f t="shared" si="12"/>
        <v>6</v>
      </c>
      <c r="C284">
        <f t="shared" si="13"/>
        <v>10</v>
      </c>
    </row>
    <row r="285" spans="1:3" x14ac:dyDescent="0.15">
      <c r="A285">
        <f t="shared" si="14"/>
        <v>41559</v>
      </c>
      <c r="B285">
        <f t="shared" si="12"/>
        <v>7</v>
      </c>
      <c r="C285">
        <f t="shared" si="13"/>
        <v>10</v>
      </c>
    </row>
    <row r="286" spans="1:3" x14ac:dyDescent="0.15">
      <c r="A286">
        <f t="shared" si="14"/>
        <v>41560</v>
      </c>
      <c r="B286">
        <f t="shared" si="12"/>
        <v>1</v>
      </c>
      <c r="C286">
        <f t="shared" si="13"/>
        <v>10</v>
      </c>
    </row>
    <row r="287" spans="1:3" x14ac:dyDescent="0.15">
      <c r="A287">
        <f t="shared" si="14"/>
        <v>41561</v>
      </c>
      <c r="B287">
        <f t="shared" si="12"/>
        <v>2</v>
      </c>
      <c r="C287">
        <f t="shared" si="13"/>
        <v>10</v>
      </c>
    </row>
    <row r="288" spans="1:3" x14ac:dyDescent="0.15">
      <c r="A288">
        <f t="shared" si="14"/>
        <v>41562</v>
      </c>
      <c r="B288">
        <f t="shared" si="12"/>
        <v>3</v>
      </c>
      <c r="C288">
        <f t="shared" si="13"/>
        <v>10</v>
      </c>
    </row>
    <row r="289" spans="1:3" x14ac:dyDescent="0.15">
      <c r="A289">
        <f t="shared" si="14"/>
        <v>41563</v>
      </c>
      <c r="B289">
        <f t="shared" si="12"/>
        <v>4</v>
      </c>
      <c r="C289">
        <f t="shared" si="13"/>
        <v>10</v>
      </c>
    </row>
    <row r="290" spans="1:3" x14ac:dyDescent="0.15">
      <c r="A290">
        <f t="shared" si="14"/>
        <v>41564</v>
      </c>
      <c r="B290">
        <f t="shared" si="12"/>
        <v>5</v>
      </c>
      <c r="C290">
        <f t="shared" si="13"/>
        <v>10</v>
      </c>
    </row>
    <row r="291" spans="1:3" x14ac:dyDescent="0.15">
      <c r="A291">
        <f t="shared" si="14"/>
        <v>41565</v>
      </c>
      <c r="B291">
        <f t="shared" si="12"/>
        <v>6</v>
      </c>
      <c r="C291">
        <f t="shared" si="13"/>
        <v>10</v>
      </c>
    </row>
    <row r="292" spans="1:3" x14ac:dyDescent="0.15">
      <c r="A292">
        <f t="shared" si="14"/>
        <v>41566</v>
      </c>
      <c r="B292">
        <f t="shared" si="12"/>
        <v>7</v>
      </c>
      <c r="C292">
        <f t="shared" si="13"/>
        <v>10</v>
      </c>
    </row>
    <row r="293" spans="1:3" x14ac:dyDescent="0.15">
      <c r="A293">
        <f t="shared" si="14"/>
        <v>41567</v>
      </c>
      <c r="B293">
        <f t="shared" si="12"/>
        <v>1</v>
      </c>
      <c r="C293">
        <f t="shared" si="13"/>
        <v>10</v>
      </c>
    </row>
    <row r="294" spans="1:3" x14ac:dyDescent="0.15">
      <c r="A294">
        <f t="shared" si="14"/>
        <v>41568</v>
      </c>
      <c r="B294">
        <f t="shared" si="12"/>
        <v>2</v>
      </c>
      <c r="C294">
        <f t="shared" si="13"/>
        <v>10</v>
      </c>
    </row>
    <row r="295" spans="1:3" x14ac:dyDescent="0.15">
      <c r="A295">
        <f t="shared" si="14"/>
        <v>41569</v>
      </c>
      <c r="B295">
        <f t="shared" si="12"/>
        <v>3</v>
      </c>
      <c r="C295">
        <f t="shared" si="13"/>
        <v>10</v>
      </c>
    </row>
    <row r="296" spans="1:3" x14ac:dyDescent="0.15">
      <c r="A296">
        <f t="shared" si="14"/>
        <v>41570</v>
      </c>
      <c r="B296">
        <f t="shared" si="12"/>
        <v>4</v>
      </c>
      <c r="C296">
        <f t="shared" si="13"/>
        <v>10</v>
      </c>
    </row>
    <row r="297" spans="1:3" x14ac:dyDescent="0.15">
      <c r="A297">
        <f t="shared" si="14"/>
        <v>41571</v>
      </c>
      <c r="B297">
        <f t="shared" si="12"/>
        <v>5</v>
      </c>
      <c r="C297">
        <f t="shared" si="13"/>
        <v>10</v>
      </c>
    </row>
    <row r="298" spans="1:3" x14ac:dyDescent="0.15">
      <c r="A298">
        <f t="shared" si="14"/>
        <v>41572</v>
      </c>
      <c r="B298">
        <f t="shared" si="12"/>
        <v>6</v>
      </c>
      <c r="C298">
        <f t="shared" si="13"/>
        <v>10</v>
      </c>
    </row>
    <row r="299" spans="1:3" x14ac:dyDescent="0.15">
      <c r="A299">
        <f t="shared" si="14"/>
        <v>41573</v>
      </c>
      <c r="B299">
        <f t="shared" si="12"/>
        <v>7</v>
      </c>
      <c r="C299">
        <f t="shared" si="13"/>
        <v>10</v>
      </c>
    </row>
    <row r="300" spans="1:3" x14ac:dyDescent="0.15">
      <c r="A300">
        <f t="shared" si="14"/>
        <v>41574</v>
      </c>
      <c r="B300">
        <f t="shared" si="12"/>
        <v>1</v>
      </c>
      <c r="C300">
        <f t="shared" si="13"/>
        <v>10</v>
      </c>
    </row>
    <row r="301" spans="1:3" x14ac:dyDescent="0.15">
      <c r="A301">
        <f t="shared" si="14"/>
        <v>41575</v>
      </c>
      <c r="B301">
        <f t="shared" si="12"/>
        <v>2</v>
      </c>
      <c r="C301">
        <f t="shared" si="13"/>
        <v>10</v>
      </c>
    </row>
    <row r="302" spans="1:3" x14ac:dyDescent="0.15">
      <c r="A302">
        <f t="shared" si="14"/>
        <v>41576</v>
      </c>
      <c r="B302">
        <f t="shared" si="12"/>
        <v>3</v>
      </c>
      <c r="C302">
        <f t="shared" si="13"/>
        <v>10</v>
      </c>
    </row>
    <row r="303" spans="1:3" x14ac:dyDescent="0.15">
      <c r="A303">
        <f t="shared" si="14"/>
        <v>41577</v>
      </c>
      <c r="B303">
        <f t="shared" si="12"/>
        <v>4</v>
      </c>
      <c r="C303">
        <f t="shared" si="13"/>
        <v>10</v>
      </c>
    </row>
    <row r="304" spans="1:3" x14ac:dyDescent="0.15">
      <c r="A304">
        <f t="shared" si="14"/>
        <v>41578</v>
      </c>
      <c r="B304">
        <f t="shared" si="12"/>
        <v>5</v>
      </c>
      <c r="C304">
        <f t="shared" si="13"/>
        <v>10</v>
      </c>
    </row>
    <row r="305" spans="1:3" x14ac:dyDescent="0.15">
      <c r="A305">
        <f t="shared" si="14"/>
        <v>41579</v>
      </c>
      <c r="B305">
        <f t="shared" si="12"/>
        <v>6</v>
      </c>
      <c r="C305">
        <f t="shared" si="13"/>
        <v>11</v>
      </c>
    </row>
    <row r="306" spans="1:3" x14ac:dyDescent="0.15">
      <c r="A306">
        <f t="shared" si="14"/>
        <v>41580</v>
      </c>
      <c r="B306">
        <f t="shared" si="12"/>
        <v>7</v>
      </c>
      <c r="C306">
        <f t="shared" si="13"/>
        <v>11</v>
      </c>
    </row>
    <row r="307" spans="1:3" x14ac:dyDescent="0.15">
      <c r="A307">
        <f t="shared" si="14"/>
        <v>41581</v>
      </c>
      <c r="B307">
        <f t="shared" si="12"/>
        <v>1</v>
      </c>
      <c r="C307">
        <f t="shared" si="13"/>
        <v>11</v>
      </c>
    </row>
    <row r="308" spans="1:3" x14ac:dyDescent="0.15">
      <c r="A308">
        <f t="shared" si="14"/>
        <v>41582</v>
      </c>
      <c r="B308">
        <f t="shared" si="12"/>
        <v>2</v>
      </c>
      <c r="C308">
        <f t="shared" si="13"/>
        <v>11</v>
      </c>
    </row>
    <row r="309" spans="1:3" x14ac:dyDescent="0.15">
      <c r="A309">
        <f t="shared" si="14"/>
        <v>41583</v>
      </c>
      <c r="B309">
        <f t="shared" si="12"/>
        <v>3</v>
      </c>
      <c r="C309">
        <f t="shared" si="13"/>
        <v>11</v>
      </c>
    </row>
    <row r="310" spans="1:3" x14ac:dyDescent="0.15">
      <c r="A310">
        <f t="shared" si="14"/>
        <v>41584</v>
      </c>
      <c r="B310">
        <f t="shared" si="12"/>
        <v>4</v>
      </c>
      <c r="C310">
        <f t="shared" si="13"/>
        <v>11</v>
      </c>
    </row>
    <row r="311" spans="1:3" x14ac:dyDescent="0.15">
      <c r="A311">
        <f t="shared" si="14"/>
        <v>41585</v>
      </c>
      <c r="B311">
        <f t="shared" si="12"/>
        <v>5</v>
      </c>
      <c r="C311">
        <f t="shared" si="13"/>
        <v>11</v>
      </c>
    </row>
    <row r="312" spans="1:3" x14ac:dyDescent="0.15">
      <c r="A312">
        <f t="shared" si="14"/>
        <v>41586</v>
      </c>
      <c r="B312">
        <f t="shared" si="12"/>
        <v>6</v>
      </c>
      <c r="C312">
        <f t="shared" si="13"/>
        <v>11</v>
      </c>
    </row>
    <row r="313" spans="1:3" x14ac:dyDescent="0.15">
      <c r="A313">
        <f t="shared" si="14"/>
        <v>41587</v>
      </c>
      <c r="B313">
        <f t="shared" si="12"/>
        <v>7</v>
      </c>
      <c r="C313">
        <f t="shared" si="13"/>
        <v>11</v>
      </c>
    </row>
    <row r="314" spans="1:3" x14ac:dyDescent="0.15">
      <c r="A314">
        <f t="shared" si="14"/>
        <v>41588</v>
      </c>
      <c r="B314">
        <f t="shared" si="12"/>
        <v>1</v>
      </c>
      <c r="C314">
        <f t="shared" si="13"/>
        <v>11</v>
      </c>
    </row>
    <row r="315" spans="1:3" x14ac:dyDescent="0.15">
      <c r="A315">
        <f t="shared" si="14"/>
        <v>41589</v>
      </c>
      <c r="B315">
        <f t="shared" si="12"/>
        <v>2</v>
      </c>
      <c r="C315">
        <f t="shared" si="13"/>
        <v>11</v>
      </c>
    </row>
    <row r="316" spans="1:3" x14ac:dyDescent="0.15">
      <c r="A316">
        <f t="shared" si="14"/>
        <v>41590</v>
      </c>
      <c r="B316">
        <f t="shared" si="12"/>
        <v>3</v>
      </c>
      <c r="C316">
        <f t="shared" si="13"/>
        <v>11</v>
      </c>
    </row>
    <row r="317" spans="1:3" x14ac:dyDescent="0.15">
      <c r="A317">
        <f t="shared" si="14"/>
        <v>41591</v>
      </c>
      <c r="B317">
        <f t="shared" si="12"/>
        <v>4</v>
      </c>
      <c r="C317">
        <f t="shared" si="13"/>
        <v>11</v>
      </c>
    </row>
    <row r="318" spans="1:3" x14ac:dyDescent="0.15">
      <c r="A318">
        <f t="shared" si="14"/>
        <v>41592</v>
      </c>
      <c r="B318">
        <f t="shared" si="12"/>
        <v>5</v>
      </c>
      <c r="C318">
        <f t="shared" si="13"/>
        <v>11</v>
      </c>
    </row>
    <row r="319" spans="1:3" x14ac:dyDescent="0.15">
      <c r="A319">
        <f t="shared" si="14"/>
        <v>41593</v>
      </c>
      <c r="B319">
        <f t="shared" si="12"/>
        <v>6</v>
      </c>
      <c r="C319">
        <f t="shared" si="13"/>
        <v>11</v>
      </c>
    </row>
    <row r="320" spans="1:3" x14ac:dyDescent="0.15">
      <c r="A320">
        <f t="shared" si="14"/>
        <v>41594</v>
      </c>
      <c r="B320">
        <f t="shared" si="12"/>
        <v>7</v>
      </c>
      <c r="C320">
        <f t="shared" si="13"/>
        <v>11</v>
      </c>
    </row>
    <row r="321" spans="1:3" x14ac:dyDescent="0.15">
      <c r="A321">
        <f t="shared" si="14"/>
        <v>41595</v>
      </c>
      <c r="B321">
        <f t="shared" ref="B321:B365" si="15">WEEKDAY(A321)</f>
        <v>1</v>
      </c>
      <c r="C321">
        <f t="shared" ref="C321:C365" si="16">MONTH(A321)</f>
        <v>11</v>
      </c>
    </row>
    <row r="322" spans="1:3" x14ac:dyDescent="0.15">
      <c r="A322">
        <f t="shared" ref="A322:A365" si="17">+A321+1</f>
        <v>41596</v>
      </c>
      <c r="B322">
        <f t="shared" si="15"/>
        <v>2</v>
      </c>
      <c r="C322">
        <f t="shared" si="16"/>
        <v>11</v>
      </c>
    </row>
    <row r="323" spans="1:3" x14ac:dyDescent="0.15">
      <c r="A323">
        <f t="shared" si="17"/>
        <v>41597</v>
      </c>
      <c r="B323">
        <f t="shared" si="15"/>
        <v>3</v>
      </c>
      <c r="C323">
        <f t="shared" si="16"/>
        <v>11</v>
      </c>
    </row>
    <row r="324" spans="1:3" x14ac:dyDescent="0.15">
      <c r="A324">
        <f t="shared" si="17"/>
        <v>41598</v>
      </c>
      <c r="B324">
        <f t="shared" si="15"/>
        <v>4</v>
      </c>
      <c r="C324">
        <f t="shared" si="16"/>
        <v>11</v>
      </c>
    </row>
    <row r="325" spans="1:3" x14ac:dyDescent="0.15">
      <c r="A325">
        <f t="shared" si="17"/>
        <v>41599</v>
      </c>
      <c r="B325">
        <f t="shared" si="15"/>
        <v>5</v>
      </c>
      <c r="C325">
        <f t="shared" si="16"/>
        <v>11</v>
      </c>
    </row>
    <row r="326" spans="1:3" x14ac:dyDescent="0.15">
      <c r="A326">
        <f t="shared" si="17"/>
        <v>41600</v>
      </c>
      <c r="B326">
        <f t="shared" si="15"/>
        <v>6</v>
      </c>
      <c r="C326">
        <f t="shared" si="16"/>
        <v>11</v>
      </c>
    </row>
    <row r="327" spans="1:3" x14ac:dyDescent="0.15">
      <c r="A327">
        <f t="shared" si="17"/>
        <v>41601</v>
      </c>
      <c r="B327">
        <f t="shared" si="15"/>
        <v>7</v>
      </c>
      <c r="C327">
        <f t="shared" si="16"/>
        <v>11</v>
      </c>
    </row>
    <row r="328" spans="1:3" x14ac:dyDescent="0.15">
      <c r="A328">
        <f t="shared" si="17"/>
        <v>41602</v>
      </c>
      <c r="B328">
        <f t="shared" si="15"/>
        <v>1</v>
      </c>
      <c r="C328">
        <f t="shared" si="16"/>
        <v>11</v>
      </c>
    </row>
    <row r="329" spans="1:3" x14ac:dyDescent="0.15">
      <c r="A329">
        <f t="shared" si="17"/>
        <v>41603</v>
      </c>
      <c r="B329">
        <f t="shared" si="15"/>
        <v>2</v>
      </c>
      <c r="C329">
        <f t="shared" si="16"/>
        <v>11</v>
      </c>
    </row>
    <row r="330" spans="1:3" x14ac:dyDescent="0.15">
      <c r="A330">
        <f t="shared" si="17"/>
        <v>41604</v>
      </c>
      <c r="B330">
        <f t="shared" si="15"/>
        <v>3</v>
      </c>
      <c r="C330">
        <f t="shared" si="16"/>
        <v>11</v>
      </c>
    </row>
    <row r="331" spans="1:3" x14ac:dyDescent="0.15">
      <c r="A331">
        <f t="shared" si="17"/>
        <v>41605</v>
      </c>
      <c r="B331">
        <f t="shared" si="15"/>
        <v>4</v>
      </c>
      <c r="C331">
        <f t="shared" si="16"/>
        <v>11</v>
      </c>
    </row>
    <row r="332" spans="1:3" x14ac:dyDescent="0.15">
      <c r="A332">
        <f t="shared" si="17"/>
        <v>41606</v>
      </c>
      <c r="B332">
        <f t="shared" si="15"/>
        <v>5</v>
      </c>
      <c r="C332">
        <f t="shared" si="16"/>
        <v>11</v>
      </c>
    </row>
    <row r="333" spans="1:3" x14ac:dyDescent="0.15">
      <c r="A333">
        <f t="shared" si="17"/>
        <v>41607</v>
      </c>
      <c r="B333">
        <f t="shared" si="15"/>
        <v>6</v>
      </c>
      <c r="C333">
        <f t="shared" si="16"/>
        <v>11</v>
      </c>
    </row>
    <row r="334" spans="1:3" x14ac:dyDescent="0.15">
      <c r="A334">
        <f t="shared" si="17"/>
        <v>41608</v>
      </c>
      <c r="B334">
        <f t="shared" si="15"/>
        <v>7</v>
      </c>
      <c r="C334">
        <f t="shared" si="16"/>
        <v>11</v>
      </c>
    </row>
    <row r="335" spans="1:3" x14ac:dyDescent="0.15">
      <c r="A335">
        <f t="shared" si="17"/>
        <v>41609</v>
      </c>
      <c r="B335">
        <f t="shared" si="15"/>
        <v>1</v>
      </c>
      <c r="C335">
        <f t="shared" si="16"/>
        <v>12</v>
      </c>
    </row>
    <row r="336" spans="1:3" x14ac:dyDescent="0.15">
      <c r="A336">
        <f t="shared" si="17"/>
        <v>41610</v>
      </c>
      <c r="B336">
        <f t="shared" si="15"/>
        <v>2</v>
      </c>
      <c r="C336">
        <f t="shared" si="16"/>
        <v>12</v>
      </c>
    </row>
    <row r="337" spans="1:3" x14ac:dyDescent="0.15">
      <c r="A337">
        <f t="shared" si="17"/>
        <v>41611</v>
      </c>
      <c r="B337">
        <f t="shared" si="15"/>
        <v>3</v>
      </c>
      <c r="C337">
        <f t="shared" si="16"/>
        <v>12</v>
      </c>
    </row>
    <row r="338" spans="1:3" x14ac:dyDescent="0.15">
      <c r="A338">
        <f t="shared" si="17"/>
        <v>41612</v>
      </c>
      <c r="B338">
        <f t="shared" si="15"/>
        <v>4</v>
      </c>
      <c r="C338">
        <f t="shared" si="16"/>
        <v>12</v>
      </c>
    </row>
    <row r="339" spans="1:3" x14ac:dyDescent="0.15">
      <c r="A339">
        <f t="shared" si="17"/>
        <v>41613</v>
      </c>
      <c r="B339">
        <f t="shared" si="15"/>
        <v>5</v>
      </c>
      <c r="C339">
        <f t="shared" si="16"/>
        <v>12</v>
      </c>
    </row>
    <row r="340" spans="1:3" x14ac:dyDescent="0.15">
      <c r="A340">
        <f t="shared" si="17"/>
        <v>41614</v>
      </c>
      <c r="B340">
        <f t="shared" si="15"/>
        <v>6</v>
      </c>
      <c r="C340">
        <f t="shared" si="16"/>
        <v>12</v>
      </c>
    </row>
    <row r="341" spans="1:3" x14ac:dyDescent="0.15">
      <c r="A341">
        <f t="shared" si="17"/>
        <v>41615</v>
      </c>
      <c r="B341">
        <f t="shared" si="15"/>
        <v>7</v>
      </c>
      <c r="C341">
        <f t="shared" si="16"/>
        <v>12</v>
      </c>
    </row>
    <row r="342" spans="1:3" x14ac:dyDescent="0.15">
      <c r="A342">
        <f t="shared" si="17"/>
        <v>41616</v>
      </c>
      <c r="B342">
        <f t="shared" si="15"/>
        <v>1</v>
      </c>
      <c r="C342">
        <f t="shared" si="16"/>
        <v>12</v>
      </c>
    </row>
    <row r="343" spans="1:3" x14ac:dyDescent="0.15">
      <c r="A343">
        <f t="shared" si="17"/>
        <v>41617</v>
      </c>
      <c r="B343">
        <f t="shared" si="15"/>
        <v>2</v>
      </c>
      <c r="C343">
        <f t="shared" si="16"/>
        <v>12</v>
      </c>
    </row>
    <row r="344" spans="1:3" x14ac:dyDescent="0.15">
      <c r="A344">
        <f t="shared" si="17"/>
        <v>41618</v>
      </c>
      <c r="B344">
        <f t="shared" si="15"/>
        <v>3</v>
      </c>
      <c r="C344">
        <f t="shared" si="16"/>
        <v>12</v>
      </c>
    </row>
    <row r="345" spans="1:3" x14ac:dyDescent="0.15">
      <c r="A345">
        <f t="shared" si="17"/>
        <v>41619</v>
      </c>
      <c r="B345">
        <f t="shared" si="15"/>
        <v>4</v>
      </c>
      <c r="C345">
        <f t="shared" si="16"/>
        <v>12</v>
      </c>
    </row>
    <row r="346" spans="1:3" x14ac:dyDescent="0.15">
      <c r="A346">
        <f t="shared" si="17"/>
        <v>41620</v>
      </c>
      <c r="B346">
        <f t="shared" si="15"/>
        <v>5</v>
      </c>
      <c r="C346">
        <f t="shared" si="16"/>
        <v>12</v>
      </c>
    </row>
    <row r="347" spans="1:3" x14ac:dyDescent="0.15">
      <c r="A347">
        <f t="shared" si="17"/>
        <v>41621</v>
      </c>
      <c r="B347">
        <f t="shared" si="15"/>
        <v>6</v>
      </c>
      <c r="C347">
        <f t="shared" si="16"/>
        <v>12</v>
      </c>
    </row>
    <row r="348" spans="1:3" x14ac:dyDescent="0.15">
      <c r="A348">
        <f t="shared" si="17"/>
        <v>41622</v>
      </c>
      <c r="B348">
        <f t="shared" si="15"/>
        <v>7</v>
      </c>
      <c r="C348">
        <f t="shared" si="16"/>
        <v>12</v>
      </c>
    </row>
    <row r="349" spans="1:3" x14ac:dyDescent="0.15">
      <c r="A349">
        <f t="shared" si="17"/>
        <v>41623</v>
      </c>
      <c r="B349">
        <f t="shared" si="15"/>
        <v>1</v>
      </c>
      <c r="C349">
        <f t="shared" si="16"/>
        <v>12</v>
      </c>
    </row>
    <row r="350" spans="1:3" x14ac:dyDescent="0.15">
      <c r="A350">
        <f t="shared" si="17"/>
        <v>41624</v>
      </c>
      <c r="B350">
        <f t="shared" si="15"/>
        <v>2</v>
      </c>
      <c r="C350">
        <f t="shared" si="16"/>
        <v>12</v>
      </c>
    </row>
    <row r="351" spans="1:3" x14ac:dyDescent="0.15">
      <c r="A351">
        <f t="shared" si="17"/>
        <v>41625</v>
      </c>
      <c r="B351">
        <f t="shared" si="15"/>
        <v>3</v>
      </c>
      <c r="C351">
        <f t="shared" si="16"/>
        <v>12</v>
      </c>
    </row>
    <row r="352" spans="1:3" x14ac:dyDescent="0.15">
      <c r="A352">
        <f t="shared" si="17"/>
        <v>41626</v>
      </c>
      <c r="B352">
        <f t="shared" si="15"/>
        <v>4</v>
      </c>
      <c r="C352">
        <f t="shared" si="16"/>
        <v>12</v>
      </c>
    </row>
    <row r="353" spans="1:3" x14ac:dyDescent="0.15">
      <c r="A353">
        <f t="shared" si="17"/>
        <v>41627</v>
      </c>
      <c r="B353">
        <f t="shared" si="15"/>
        <v>5</v>
      </c>
      <c r="C353">
        <f t="shared" si="16"/>
        <v>12</v>
      </c>
    </row>
    <row r="354" spans="1:3" x14ac:dyDescent="0.15">
      <c r="A354">
        <f t="shared" si="17"/>
        <v>41628</v>
      </c>
      <c r="B354">
        <f t="shared" si="15"/>
        <v>6</v>
      </c>
      <c r="C354">
        <f t="shared" si="16"/>
        <v>12</v>
      </c>
    </row>
    <row r="355" spans="1:3" x14ac:dyDescent="0.15">
      <c r="A355">
        <f t="shared" si="17"/>
        <v>41629</v>
      </c>
      <c r="B355">
        <f t="shared" si="15"/>
        <v>7</v>
      </c>
      <c r="C355">
        <f t="shared" si="16"/>
        <v>12</v>
      </c>
    </row>
    <row r="356" spans="1:3" x14ac:dyDescent="0.15">
      <c r="A356">
        <f t="shared" si="17"/>
        <v>41630</v>
      </c>
      <c r="B356">
        <f t="shared" si="15"/>
        <v>1</v>
      </c>
      <c r="C356">
        <f t="shared" si="16"/>
        <v>12</v>
      </c>
    </row>
    <row r="357" spans="1:3" x14ac:dyDescent="0.15">
      <c r="A357">
        <f t="shared" si="17"/>
        <v>41631</v>
      </c>
      <c r="B357">
        <f t="shared" si="15"/>
        <v>2</v>
      </c>
      <c r="C357">
        <f t="shared" si="16"/>
        <v>12</v>
      </c>
    </row>
    <row r="358" spans="1:3" x14ac:dyDescent="0.15">
      <c r="A358">
        <f t="shared" si="17"/>
        <v>41632</v>
      </c>
      <c r="B358">
        <f t="shared" si="15"/>
        <v>3</v>
      </c>
      <c r="C358">
        <f t="shared" si="16"/>
        <v>12</v>
      </c>
    </row>
    <row r="359" spans="1:3" x14ac:dyDescent="0.15">
      <c r="A359">
        <f t="shared" si="17"/>
        <v>41633</v>
      </c>
      <c r="B359">
        <f t="shared" si="15"/>
        <v>4</v>
      </c>
      <c r="C359">
        <f t="shared" si="16"/>
        <v>12</v>
      </c>
    </row>
    <row r="360" spans="1:3" x14ac:dyDescent="0.15">
      <c r="A360">
        <f t="shared" si="17"/>
        <v>41634</v>
      </c>
      <c r="B360">
        <f t="shared" si="15"/>
        <v>5</v>
      </c>
      <c r="C360">
        <f t="shared" si="16"/>
        <v>12</v>
      </c>
    </row>
    <row r="361" spans="1:3" x14ac:dyDescent="0.15">
      <c r="A361">
        <f t="shared" si="17"/>
        <v>41635</v>
      </c>
      <c r="B361">
        <f t="shared" si="15"/>
        <v>6</v>
      </c>
      <c r="C361">
        <f t="shared" si="16"/>
        <v>12</v>
      </c>
    </row>
    <row r="362" spans="1:3" x14ac:dyDescent="0.15">
      <c r="A362">
        <f t="shared" si="17"/>
        <v>41636</v>
      </c>
      <c r="B362">
        <f t="shared" si="15"/>
        <v>7</v>
      </c>
      <c r="C362">
        <f t="shared" si="16"/>
        <v>12</v>
      </c>
    </row>
    <row r="363" spans="1:3" x14ac:dyDescent="0.15">
      <c r="A363">
        <f t="shared" si="17"/>
        <v>41637</v>
      </c>
      <c r="B363">
        <f t="shared" si="15"/>
        <v>1</v>
      </c>
      <c r="C363">
        <f t="shared" si="16"/>
        <v>12</v>
      </c>
    </row>
    <row r="364" spans="1:3" x14ac:dyDescent="0.15">
      <c r="A364">
        <f t="shared" si="17"/>
        <v>41638</v>
      </c>
      <c r="B364">
        <f t="shared" si="15"/>
        <v>2</v>
      </c>
      <c r="C364">
        <f t="shared" si="16"/>
        <v>12</v>
      </c>
    </row>
    <row r="365" spans="1:3" x14ac:dyDescent="0.15">
      <c r="A365">
        <f t="shared" si="17"/>
        <v>41639</v>
      </c>
      <c r="B365">
        <f t="shared" si="15"/>
        <v>3</v>
      </c>
      <c r="C365">
        <f t="shared" si="16"/>
        <v>12</v>
      </c>
    </row>
  </sheetData>
  <sheetProtection password="C4AC" sheet="1" objects="1" scenarios="1"/>
  <phoneticPr fontId="4" type="noConversion"/>
  <pageMargins left="0.75" right="0.75" top="1" bottom="1" header="0.4921259845" footer="0.4921259845"/>
  <pageSetup paperSize="9" orientation="portrait" horizontalDpi="300" r:id="rId1"/>
  <headerFooter alignWithMargins="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5"/>
  <sheetViews>
    <sheetView zoomScale="75" workbookViewId="0">
      <selection activeCell="E4" sqref="E4"/>
    </sheetView>
  </sheetViews>
  <sheetFormatPr defaultRowHeight="12" x14ac:dyDescent="0.15"/>
  <cols>
    <col min="1" max="1" width="10.25" bestFit="1" customWidth="1"/>
    <col min="2" max="2" width="14" customWidth="1"/>
  </cols>
  <sheetData>
    <row r="1" spans="1:10" ht="20.25" x14ac:dyDescent="0.3">
      <c r="A1" s="130">
        <f>DATE(2013,1,1)</f>
        <v>41275</v>
      </c>
      <c r="B1">
        <f t="shared" ref="B1:B64" si="0">WEEKDAY(A1)</f>
        <v>3</v>
      </c>
      <c r="C1">
        <f t="shared" ref="C1:C64" si="1">MONTH(A1)</f>
        <v>1</v>
      </c>
      <c r="D1" t="s">
        <v>123</v>
      </c>
      <c r="E1" s="169">
        <v>2013</v>
      </c>
      <c r="G1" t="s">
        <v>85</v>
      </c>
      <c r="H1" s="168" t="s">
        <v>163</v>
      </c>
    </row>
    <row r="2" spans="1:10" ht="20.25" x14ac:dyDescent="0.3">
      <c r="A2">
        <f t="shared" ref="A2:A65" si="2">+A1+1</f>
        <v>41276</v>
      </c>
      <c r="B2">
        <f t="shared" si="0"/>
        <v>4</v>
      </c>
      <c r="C2">
        <f t="shared" si="1"/>
        <v>1</v>
      </c>
      <c r="D2" t="s">
        <v>124</v>
      </c>
      <c r="E2" s="156">
        <f>$E$1-1</f>
        <v>2012</v>
      </c>
      <c r="G2" s="131"/>
      <c r="H2" s="131"/>
      <c r="I2" s="131"/>
      <c r="J2" s="131"/>
    </row>
    <row r="3" spans="1:10" ht="15" x14ac:dyDescent="0.2">
      <c r="A3">
        <f t="shared" si="2"/>
        <v>41277</v>
      </c>
      <c r="B3">
        <f t="shared" si="0"/>
        <v>5</v>
      </c>
      <c r="C3">
        <f t="shared" si="1"/>
        <v>1</v>
      </c>
      <c r="E3" t="s">
        <v>125</v>
      </c>
      <c r="G3" s="131"/>
      <c r="H3" s="131"/>
      <c r="I3" s="131"/>
      <c r="J3" s="131"/>
    </row>
    <row r="4" spans="1:10" x14ac:dyDescent="0.15">
      <c r="A4">
        <f t="shared" si="2"/>
        <v>41278</v>
      </c>
      <c r="B4">
        <f t="shared" si="0"/>
        <v>6</v>
      </c>
      <c r="C4">
        <f t="shared" si="1"/>
        <v>1</v>
      </c>
    </row>
    <row r="5" spans="1:10" x14ac:dyDescent="0.15">
      <c r="A5">
        <f t="shared" si="2"/>
        <v>41279</v>
      </c>
      <c r="B5">
        <f t="shared" si="0"/>
        <v>7</v>
      </c>
      <c r="C5">
        <f t="shared" si="1"/>
        <v>1</v>
      </c>
    </row>
    <row r="6" spans="1:10" x14ac:dyDescent="0.15">
      <c r="A6">
        <f t="shared" si="2"/>
        <v>41280</v>
      </c>
      <c r="B6">
        <f t="shared" si="0"/>
        <v>1</v>
      </c>
      <c r="C6">
        <f t="shared" si="1"/>
        <v>1</v>
      </c>
    </row>
    <row r="7" spans="1:10" x14ac:dyDescent="0.15">
      <c r="A7">
        <f t="shared" si="2"/>
        <v>41281</v>
      </c>
      <c r="B7">
        <f t="shared" si="0"/>
        <v>2</v>
      </c>
      <c r="C7">
        <f t="shared" si="1"/>
        <v>1</v>
      </c>
      <c r="G7" s="167" t="s">
        <v>140</v>
      </c>
    </row>
    <row r="8" spans="1:10" x14ac:dyDescent="0.15">
      <c r="A8">
        <f t="shared" si="2"/>
        <v>41282</v>
      </c>
      <c r="B8">
        <f t="shared" si="0"/>
        <v>3</v>
      </c>
      <c r="C8">
        <f t="shared" si="1"/>
        <v>1</v>
      </c>
    </row>
    <row r="9" spans="1:10" x14ac:dyDescent="0.15">
      <c r="A9">
        <f t="shared" si="2"/>
        <v>41283</v>
      </c>
      <c r="B9">
        <f t="shared" si="0"/>
        <v>4</v>
      </c>
      <c r="C9">
        <f t="shared" si="1"/>
        <v>1</v>
      </c>
      <c r="G9" s="167" t="s">
        <v>156</v>
      </c>
    </row>
    <row r="10" spans="1:10" x14ac:dyDescent="0.15">
      <c r="A10">
        <f t="shared" si="2"/>
        <v>41284</v>
      </c>
      <c r="B10">
        <f t="shared" si="0"/>
        <v>5</v>
      </c>
      <c r="C10">
        <f t="shared" si="1"/>
        <v>1</v>
      </c>
    </row>
    <row r="11" spans="1:10" x14ac:dyDescent="0.15">
      <c r="A11">
        <f t="shared" si="2"/>
        <v>41285</v>
      </c>
      <c r="B11">
        <f t="shared" si="0"/>
        <v>6</v>
      </c>
      <c r="C11">
        <f t="shared" si="1"/>
        <v>1</v>
      </c>
    </row>
    <row r="12" spans="1:10" ht="15" x14ac:dyDescent="0.2">
      <c r="A12">
        <f t="shared" si="2"/>
        <v>41286</v>
      </c>
      <c r="B12">
        <f t="shared" si="0"/>
        <v>7</v>
      </c>
      <c r="C12">
        <f t="shared" si="1"/>
        <v>1</v>
      </c>
      <c r="G12" s="131" t="s">
        <v>149</v>
      </c>
    </row>
    <row r="13" spans="1:10" ht="15" x14ac:dyDescent="0.2">
      <c r="A13">
        <f t="shared" si="2"/>
        <v>41287</v>
      </c>
      <c r="B13">
        <f t="shared" si="0"/>
        <v>1</v>
      </c>
      <c r="C13">
        <f t="shared" si="1"/>
        <v>1</v>
      </c>
      <c r="G13" s="131" t="s">
        <v>90</v>
      </c>
      <c r="H13" s="131" t="s">
        <v>86</v>
      </c>
    </row>
    <row r="14" spans="1:10" ht="15" x14ac:dyDescent="0.2">
      <c r="A14">
        <f t="shared" si="2"/>
        <v>41288</v>
      </c>
      <c r="B14">
        <f t="shared" si="0"/>
        <v>2</v>
      </c>
      <c r="C14">
        <f t="shared" si="1"/>
        <v>1</v>
      </c>
      <c r="G14" s="131"/>
      <c r="H14" s="131" t="s">
        <v>87</v>
      </c>
    </row>
    <row r="15" spans="1:10" ht="15" x14ac:dyDescent="0.2">
      <c r="A15">
        <f t="shared" si="2"/>
        <v>41289</v>
      </c>
      <c r="B15">
        <f t="shared" si="0"/>
        <v>3</v>
      </c>
      <c r="C15">
        <f t="shared" si="1"/>
        <v>1</v>
      </c>
      <c r="G15" s="131" t="s">
        <v>91</v>
      </c>
      <c r="H15" s="131" t="s">
        <v>88</v>
      </c>
    </row>
    <row r="16" spans="1:10" ht="15" x14ac:dyDescent="0.2">
      <c r="A16">
        <f t="shared" si="2"/>
        <v>41290</v>
      </c>
      <c r="B16">
        <f t="shared" si="0"/>
        <v>4</v>
      </c>
      <c r="C16">
        <f t="shared" si="1"/>
        <v>1</v>
      </c>
      <c r="G16" s="131"/>
      <c r="H16" s="131" t="s">
        <v>89</v>
      </c>
    </row>
    <row r="17" spans="1:8" ht="15" x14ac:dyDescent="0.2">
      <c r="A17">
        <f t="shared" si="2"/>
        <v>41291</v>
      </c>
      <c r="B17">
        <f t="shared" si="0"/>
        <v>5</v>
      </c>
      <c r="C17">
        <f t="shared" si="1"/>
        <v>1</v>
      </c>
      <c r="G17" s="167" t="s">
        <v>92</v>
      </c>
      <c r="H17" s="165" t="s">
        <v>146</v>
      </c>
    </row>
    <row r="18" spans="1:8" ht="15" x14ac:dyDescent="0.2">
      <c r="A18">
        <f t="shared" si="2"/>
        <v>41292</v>
      </c>
      <c r="B18">
        <f t="shared" si="0"/>
        <v>6</v>
      </c>
      <c r="C18">
        <f t="shared" si="1"/>
        <v>1</v>
      </c>
      <c r="G18" s="165" t="s">
        <v>147</v>
      </c>
    </row>
    <row r="19" spans="1:8" ht="15" x14ac:dyDescent="0.2">
      <c r="A19">
        <f t="shared" si="2"/>
        <v>41293</v>
      </c>
      <c r="B19">
        <f t="shared" si="0"/>
        <v>7</v>
      </c>
      <c r="C19">
        <f t="shared" si="1"/>
        <v>1</v>
      </c>
      <c r="G19" s="131" t="s">
        <v>121</v>
      </c>
      <c r="H19" s="131" t="s">
        <v>122</v>
      </c>
    </row>
    <row r="20" spans="1:8" ht="15" x14ac:dyDescent="0.2">
      <c r="A20">
        <f t="shared" si="2"/>
        <v>41294</v>
      </c>
      <c r="B20">
        <f t="shared" si="0"/>
        <v>1</v>
      </c>
      <c r="C20">
        <f t="shared" si="1"/>
        <v>1</v>
      </c>
      <c r="H20" s="131" t="s">
        <v>148</v>
      </c>
    </row>
    <row r="21" spans="1:8" ht="15" x14ac:dyDescent="0.2">
      <c r="A21">
        <f t="shared" si="2"/>
        <v>41295</v>
      </c>
      <c r="B21">
        <f t="shared" si="0"/>
        <v>2</v>
      </c>
      <c r="C21">
        <f t="shared" si="1"/>
        <v>1</v>
      </c>
      <c r="G21" s="131" t="s">
        <v>134</v>
      </c>
      <c r="H21" s="131" t="s">
        <v>135</v>
      </c>
    </row>
    <row r="22" spans="1:8" ht="15" x14ac:dyDescent="0.2">
      <c r="A22">
        <f t="shared" si="2"/>
        <v>41296</v>
      </c>
      <c r="B22">
        <f t="shared" si="0"/>
        <v>3</v>
      </c>
      <c r="C22">
        <f t="shared" si="1"/>
        <v>1</v>
      </c>
      <c r="G22" s="189" t="s">
        <v>136</v>
      </c>
      <c r="H22" s="131" t="s">
        <v>153</v>
      </c>
    </row>
    <row r="23" spans="1:8" ht="15" x14ac:dyDescent="0.2">
      <c r="A23">
        <f t="shared" si="2"/>
        <v>41297</v>
      </c>
      <c r="B23">
        <f t="shared" si="0"/>
        <v>4</v>
      </c>
      <c r="C23">
        <f t="shared" si="1"/>
        <v>1</v>
      </c>
      <c r="G23" s="131" t="s">
        <v>154</v>
      </c>
      <c r="H23" s="131" t="s">
        <v>155</v>
      </c>
    </row>
    <row r="24" spans="1:8" ht="15" x14ac:dyDescent="0.2">
      <c r="A24">
        <f t="shared" si="2"/>
        <v>41298</v>
      </c>
      <c r="B24">
        <f t="shared" si="0"/>
        <v>5</v>
      </c>
      <c r="C24">
        <f t="shared" si="1"/>
        <v>1</v>
      </c>
      <c r="H24" s="131" t="s">
        <v>160</v>
      </c>
    </row>
    <row r="25" spans="1:8" ht="15" x14ac:dyDescent="0.2">
      <c r="A25">
        <f t="shared" si="2"/>
        <v>41299</v>
      </c>
      <c r="B25">
        <f t="shared" si="0"/>
        <v>6</v>
      </c>
      <c r="C25">
        <f t="shared" si="1"/>
        <v>1</v>
      </c>
      <c r="G25" t="s">
        <v>158</v>
      </c>
      <c r="H25" s="131" t="s">
        <v>161</v>
      </c>
    </row>
    <row r="26" spans="1:8" x14ac:dyDescent="0.15">
      <c r="A26">
        <f t="shared" si="2"/>
        <v>41300</v>
      </c>
      <c r="B26">
        <f t="shared" si="0"/>
        <v>7</v>
      </c>
      <c r="C26">
        <f t="shared" si="1"/>
        <v>1</v>
      </c>
    </row>
    <row r="27" spans="1:8" x14ac:dyDescent="0.15">
      <c r="A27">
        <f t="shared" si="2"/>
        <v>41301</v>
      </c>
      <c r="B27">
        <f t="shared" si="0"/>
        <v>1</v>
      </c>
      <c r="C27">
        <f t="shared" si="1"/>
        <v>1</v>
      </c>
    </row>
    <row r="28" spans="1:8" x14ac:dyDescent="0.15">
      <c r="A28">
        <f t="shared" si="2"/>
        <v>41302</v>
      </c>
      <c r="B28">
        <f t="shared" si="0"/>
        <v>2</v>
      </c>
      <c r="C28">
        <f t="shared" si="1"/>
        <v>1</v>
      </c>
    </row>
    <row r="29" spans="1:8" x14ac:dyDescent="0.15">
      <c r="A29">
        <f t="shared" si="2"/>
        <v>41303</v>
      </c>
      <c r="B29">
        <f t="shared" si="0"/>
        <v>3</v>
      </c>
      <c r="C29">
        <f t="shared" si="1"/>
        <v>1</v>
      </c>
    </row>
    <row r="30" spans="1:8" x14ac:dyDescent="0.15">
      <c r="A30">
        <f t="shared" si="2"/>
        <v>41304</v>
      </c>
      <c r="B30">
        <f t="shared" si="0"/>
        <v>4</v>
      </c>
      <c r="C30">
        <f t="shared" si="1"/>
        <v>1</v>
      </c>
    </row>
    <row r="31" spans="1:8" x14ac:dyDescent="0.15">
      <c r="A31">
        <f t="shared" si="2"/>
        <v>41305</v>
      </c>
      <c r="B31">
        <f t="shared" si="0"/>
        <v>5</v>
      </c>
      <c r="C31">
        <f t="shared" si="1"/>
        <v>1</v>
      </c>
    </row>
    <row r="32" spans="1:8" x14ac:dyDescent="0.15">
      <c r="A32">
        <f t="shared" si="2"/>
        <v>41306</v>
      </c>
      <c r="B32">
        <f t="shared" si="0"/>
        <v>6</v>
      </c>
      <c r="C32">
        <f t="shared" si="1"/>
        <v>2</v>
      </c>
    </row>
    <row r="33" spans="1:14" x14ac:dyDescent="0.15">
      <c r="A33">
        <f t="shared" si="2"/>
        <v>41307</v>
      </c>
      <c r="B33">
        <f t="shared" si="0"/>
        <v>7</v>
      </c>
      <c r="C33">
        <f t="shared" si="1"/>
        <v>2</v>
      </c>
    </row>
    <row r="34" spans="1:14" x14ac:dyDescent="0.15">
      <c r="A34">
        <f t="shared" si="2"/>
        <v>41308</v>
      </c>
      <c r="B34">
        <f t="shared" si="0"/>
        <v>1</v>
      </c>
      <c r="C34">
        <f t="shared" si="1"/>
        <v>2</v>
      </c>
    </row>
    <row r="35" spans="1:14" x14ac:dyDescent="0.15">
      <c r="A35">
        <f t="shared" si="2"/>
        <v>41309</v>
      </c>
      <c r="B35">
        <f t="shared" si="0"/>
        <v>2</v>
      </c>
      <c r="C35">
        <f t="shared" si="1"/>
        <v>2</v>
      </c>
    </row>
    <row r="36" spans="1:14" x14ac:dyDescent="0.15">
      <c r="A36">
        <f t="shared" si="2"/>
        <v>41310</v>
      </c>
      <c r="B36">
        <f t="shared" si="0"/>
        <v>3</v>
      </c>
      <c r="C36">
        <f t="shared" si="1"/>
        <v>2</v>
      </c>
    </row>
    <row r="37" spans="1:14" x14ac:dyDescent="0.15">
      <c r="A37">
        <f t="shared" si="2"/>
        <v>41311</v>
      </c>
      <c r="B37">
        <f t="shared" si="0"/>
        <v>4</v>
      </c>
      <c r="C37">
        <f t="shared" si="1"/>
        <v>2</v>
      </c>
    </row>
    <row r="38" spans="1:14" ht="15.75" x14ac:dyDescent="0.25">
      <c r="A38">
        <f t="shared" si="2"/>
        <v>41312</v>
      </c>
      <c r="B38">
        <f t="shared" si="0"/>
        <v>5</v>
      </c>
      <c r="C38">
        <f t="shared" si="1"/>
        <v>2</v>
      </c>
      <c r="E38" s="71" t="s">
        <v>16</v>
      </c>
    </row>
    <row r="39" spans="1:14" ht="15.75" x14ac:dyDescent="0.25">
      <c r="A39">
        <f t="shared" si="2"/>
        <v>41313</v>
      </c>
      <c r="B39">
        <f t="shared" si="0"/>
        <v>6</v>
      </c>
      <c r="C39">
        <f t="shared" si="1"/>
        <v>2</v>
      </c>
      <c r="E39" s="176" t="s">
        <v>164</v>
      </c>
      <c r="F39" s="39"/>
      <c r="G39" s="39"/>
      <c r="H39" s="100"/>
      <c r="I39" s="65"/>
      <c r="J39" s="100"/>
      <c r="K39" s="39"/>
      <c r="L39" s="42"/>
      <c r="M39" s="42"/>
      <c r="N39" s="39"/>
    </row>
    <row r="40" spans="1:14" ht="15.75" x14ac:dyDescent="0.25">
      <c r="A40">
        <f t="shared" si="2"/>
        <v>41314</v>
      </c>
      <c r="B40">
        <f t="shared" si="0"/>
        <v>7</v>
      </c>
      <c r="C40">
        <f t="shared" si="1"/>
        <v>2</v>
      </c>
      <c r="E40" s="176" t="s">
        <v>166</v>
      </c>
      <c r="F40" s="39"/>
      <c r="G40" s="39"/>
      <c r="H40" s="100"/>
      <c r="I40" s="65"/>
      <c r="J40" s="100"/>
      <c r="K40" s="39"/>
      <c r="L40" s="42"/>
      <c r="M40" s="42"/>
      <c r="N40" s="39"/>
    </row>
    <row r="41" spans="1:14" ht="15.75" x14ac:dyDescent="0.25">
      <c r="A41">
        <f t="shared" si="2"/>
        <v>41315</v>
      </c>
      <c r="B41">
        <f t="shared" si="0"/>
        <v>1</v>
      </c>
      <c r="C41">
        <f t="shared" si="1"/>
        <v>2</v>
      </c>
      <c r="E41" s="196" t="s">
        <v>165</v>
      </c>
      <c r="F41" s="69"/>
      <c r="G41" s="69"/>
      <c r="H41" s="197"/>
      <c r="I41" s="65"/>
      <c r="J41" s="197"/>
      <c r="K41" s="69"/>
      <c r="L41" s="198"/>
      <c r="M41" s="198"/>
      <c r="N41" s="69"/>
    </row>
    <row r="42" spans="1:14" x14ac:dyDescent="0.15">
      <c r="A42">
        <f t="shared" si="2"/>
        <v>41316</v>
      </c>
      <c r="B42">
        <f t="shared" si="0"/>
        <v>2</v>
      </c>
      <c r="C42">
        <f t="shared" si="1"/>
        <v>2</v>
      </c>
    </row>
    <row r="43" spans="1:14" x14ac:dyDescent="0.15">
      <c r="A43">
        <f t="shared" si="2"/>
        <v>41317</v>
      </c>
      <c r="B43">
        <f t="shared" si="0"/>
        <v>3</v>
      </c>
      <c r="C43">
        <f t="shared" si="1"/>
        <v>2</v>
      </c>
    </row>
    <row r="44" spans="1:14" x14ac:dyDescent="0.15">
      <c r="A44">
        <f t="shared" si="2"/>
        <v>41318</v>
      </c>
      <c r="B44">
        <f t="shared" si="0"/>
        <v>4</v>
      </c>
      <c r="C44">
        <f t="shared" si="1"/>
        <v>2</v>
      </c>
    </row>
    <row r="45" spans="1:14" x14ac:dyDescent="0.15">
      <c r="A45">
        <f t="shared" si="2"/>
        <v>41319</v>
      </c>
      <c r="B45">
        <f t="shared" si="0"/>
        <v>5</v>
      </c>
      <c r="C45">
        <f t="shared" si="1"/>
        <v>2</v>
      </c>
    </row>
    <row r="46" spans="1:14" x14ac:dyDescent="0.15">
      <c r="A46">
        <f t="shared" si="2"/>
        <v>41320</v>
      </c>
      <c r="B46">
        <f t="shared" si="0"/>
        <v>6</v>
      </c>
      <c r="C46">
        <f t="shared" si="1"/>
        <v>2</v>
      </c>
    </row>
    <row r="47" spans="1:14" x14ac:dyDescent="0.15">
      <c r="A47">
        <f t="shared" si="2"/>
        <v>41321</v>
      </c>
      <c r="B47">
        <f t="shared" si="0"/>
        <v>7</v>
      </c>
      <c r="C47">
        <f t="shared" si="1"/>
        <v>2</v>
      </c>
    </row>
    <row r="48" spans="1:14" x14ac:dyDescent="0.15">
      <c r="A48">
        <f t="shared" si="2"/>
        <v>41322</v>
      </c>
      <c r="B48">
        <f t="shared" si="0"/>
        <v>1</v>
      </c>
      <c r="C48">
        <f t="shared" si="1"/>
        <v>2</v>
      </c>
    </row>
    <row r="49" spans="1:3" x14ac:dyDescent="0.15">
      <c r="A49">
        <f t="shared" si="2"/>
        <v>41323</v>
      </c>
      <c r="B49">
        <f t="shared" si="0"/>
        <v>2</v>
      </c>
      <c r="C49">
        <f t="shared" si="1"/>
        <v>2</v>
      </c>
    </row>
    <row r="50" spans="1:3" x14ac:dyDescent="0.15">
      <c r="A50">
        <f t="shared" si="2"/>
        <v>41324</v>
      </c>
      <c r="B50">
        <f t="shared" si="0"/>
        <v>3</v>
      </c>
      <c r="C50">
        <f t="shared" si="1"/>
        <v>2</v>
      </c>
    </row>
    <row r="51" spans="1:3" x14ac:dyDescent="0.15">
      <c r="A51">
        <f t="shared" si="2"/>
        <v>41325</v>
      </c>
      <c r="B51">
        <f t="shared" si="0"/>
        <v>4</v>
      </c>
      <c r="C51">
        <f t="shared" si="1"/>
        <v>2</v>
      </c>
    </row>
    <row r="52" spans="1:3" x14ac:dyDescent="0.15">
      <c r="A52">
        <f t="shared" si="2"/>
        <v>41326</v>
      </c>
      <c r="B52">
        <f t="shared" si="0"/>
        <v>5</v>
      </c>
      <c r="C52">
        <f t="shared" si="1"/>
        <v>2</v>
      </c>
    </row>
    <row r="53" spans="1:3" x14ac:dyDescent="0.15">
      <c r="A53">
        <f t="shared" si="2"/>
        <v>41327</v>
      </c>
      <c r="B53">
        <f t="shared" si="0"/>
        <v>6</v>
      </c>
      <c r="C53">
        <f t="shared" si="1"/>
        <v>2</v>
      </c>
    </row>
    <row r="54" spans="1:3" x14ac:dyDescent="0.15">
      <c r="A54">
        <f t="shared" si="2"/>
        <v>41328</v>
      </c>
      <c r="B54">
        <f t="shared" si="0"/>
        <v>7</v>
      </c>
      <c r="C54">
        <f t="shared" si="1"/>
        <v>2</v>
      </c>
    </row>
    <row r="55" spans="1:3" x14ac:dyDescent="0.15">
      <c r="A55">
        <f t="shared" si="2"/>
        <v>41329</v>
      </c>
      <c r="B55">
        <f t="shared" si="0"/>
        <v>1</v>
      </c>
      <c r="C55">
        <f t="shared" si="1"/>
        <v>2</v>
      </c>
    </row>
    <row r="56" spans="1:3" x14ac:dyDescent="0.15">
      <c r="A56">
        <f t="shared" si="2"/>
        <v>41330</v>
      </c>
      <c r="B56">
        <f t="shared" si="0"/>
        <v>2</v>
      </c>
      <c r="C56">
        <f t="shared" si="1"/>
        <v>2</v>
      </c>
    </row>
    <row r="57" spans="1:3" x14ac:dyDescent="0.15">
      <c r="A57">
        <f t="shared" si="2"/>
        <v>41331</v>
      </c>
      <c r="B57">
        <f t="shared" si="0"/>
        <v>3</v>
      </c>
      <c r="C57">
        <f t="shared" si="1"/>
        <v>2</v>
      </c>
    </row>
    <row r="58" spans="1:3" x14ac:dyDescent="0.15">
      <c r="A58">
        <f t="shared" si="2"/>
        <v>41332</v>
      </c>
      <c r="B58">
        <f t="shared" si="0"/>
        <v>4</v>
      </c>
      <c r="C58">
        <f t="shared" si="1"/>
        <v>2</v>
      </c>
    </row>
    <row r="59" spans="1:3" x14ac:dyDescent="0.15">
      <c r="A59">
        <f t="shared" si="2"/>
        <v>41333</v>
      </c>
      <c r="B59">
        <f t="shared" si="0"/>
        <v>5</v>
      </c>
      <c r="C59">
        <f t="shared" si="1"/>
        <v>2</v>
      </c>
    </row>
    <row r="60" spans="1:3" x14ac:dyDescent="0.15">
      <c r="A60">
        <f t="shared" si="2"/>
        <v>41334</v>
      </c>
      <c r="B60">
        <f t="shared" si="0"/>
        <v>6</v>
      </c>
      <c r="C60">
        <f t="shared" si="1"/>
        <v>3</v>
      </c>
    </row>
    <row r="61" spans="1:3" x14ac:dyDescent="0.15">
      <c r="A61">
        <f t="shared" si="2"/>
        <v>41335</v>
      </c>
      <c r="B61">
        <f t="shared" si="0"/>
        <v>7</v>
      </c>
      <c r="C61">
        <f t="shared" si="1"/>
        <v>3</v>
      </c>
    </row>
    <row r="62" spans="1:3" x14ac:dyDescent="0.15">
      <c r="A62">
        <f t="shared" si="2"/>
        <v>41336</v>
      </c>
      <c r="B62">
        <f t="shared" si="0"/>
        <v>1</v>
      </c>
      <c r="C62">
        <f t="shared" si="1"/>
        <v>3</v>
      </c>
    </row>
    <row r="63" spans="1:3" x14ac:dyDescent="0.15">
      <c r="A63">
        <f t="shared" si="2"/>
        <v>41337</v>
      </c>
      <c r="B63">
        <f t="shared" si="0"/>
        <v>2</v>
      </c>
      <c r="C63">
        <f t="shared" si="1"/>
        <v>3</v>
      </c>
    </row>
    <row r="64" spans="1:3" x14ac:dyDescent="0.15">
      <c r="A64">
        <f t="shared" si="2"/>
        <v>41338</v>
      </c>
      <c r="B64">
        <f t="shared" si="0"/>
        <v>3</v>
      </c>
      <c r="C64">
        <f t="shared" si="1"/>
        <v>3</v>
      </c>
    </row>
    <row r="65" spans="1:3" x14ac:dyDescent="0.15">
      <c r="A65">
        <f t="shared" si="2"/>
        <v>41339</v>
      </c>
      <c r="B65">
        <f t="shared" ref="B65:B128" si="3">WEEKDAY(A65)</f>
        <v>4</v>
      </c>
      <c r="C65">
        <f t="shared" ref="C65:C128" si="4">MONTH(A65)</f>
        <v>3</v>
      </c>
    </row>
    <row r="66" spans="1:3" x14ac:dyDescent="0.15">
      <c r="A66">
        <f t="shared" ref="A66:A129" si="5">+A65+1</f>
        <v>41340</v>
      </c>
      <c r="B66">
        <f t="shared" si="3"/>
        <v>5</v>
      </c>
      <c r="C66">
        <f t="shared" si="4"/>
        <v>3</v>
      </c>
    </row>
    <row r="67" spans="1:3" x14ac:dyDescent="0.15">
      <c r="A67">
        <f t="shared" si="5"/>
        <v>41341</v>
      </c>
      <c r="B67">
        <f t="shared" si="3"/>
        <v>6</v>
      </c>
      <c r="C67">
        <f t="shared" si="4"/>
        <v>3</v>
      </c>
    </row>
    <row r="68" spans="1:3" x14ac:dyDescent="0.15">
      <c r="A68">
        <f t="shared" si="5"/>
        <v>41342</v>
      </c>
      <c r="B68">
        <f t="shared" si="3"/>
        <v>7</v>
      </c>
      <c r="C68">
        <f t="shared" si="4"/>
        <v>3</v>
      </c>
    </row>
    <row r="69" spans="1:3" x14ac:dyDescent="0.15">
      <c r="A69">
        <f t="shared" si="5"/>
        <v>41343</v>
      </c>
      <c r="B69">
        <f t="shared" si="3"/>
        <v>1</v>
      </c>
      <c r="C69">
        <f t="shared" si="4"/>
        <v>3</v>
      </c>
    </row>
    <row r="70" spans="1:3" x14ac:dyDescent="0.15">
      <c r="A70">
        <f t="shared" si="5"/>
        <v>41344</v>
      </c>
      <c r="B70">
        <f t="shared" si="3"/>
        <v>2</v>
      </c>
      <c r="C70">
        <f t="shared" si="4"/>
        <v>3</v>
      </c>
    </row>
    <row r="71" spans="1:3" x14ac:dyDescent="0.15">
      <c r="A71">
        <f t="shared" si="5"/>
        <v>41345</v>
      </c>
      <c r="B71">
        <f t="shared" si="3"/>
        <v>3</v>
      </c>
      <c r="C71">
        <f t="shared" si="4"/>
        <v>3</v>
      </c>
    </row>
    <row r="72" spans="1:3" x14ac:dyDescent="0.15">
      <c r="A72">
        <f t="shared" si="5"/>
        <v>41346</v>
      </c>
      <c r="B72">
        <f t="shared" si="3"/>
        <v>4</v>
      </c>
      <c r="C72">
        <f t="shared" si="4"/>
        <v>3</v>
      </c>
    </row>
    <row r="73" spans="1:3" x14ac:dyDescent="0.15">
      <c r="A73">
        <f t="shared" si="5"/>
        <v>41347</v>
      </c>
      <c r="B73">
        <f t="shared" si="3"/>
        <v>5</v>
      </c>
      <c r="C73">
        <f t="shared" si="4"/>
        <v>3</v>
      </c>
    </row>
    <row r="74" spans="1:3" x14ac:dyDescent="0.15">
      <c r="A74">
        <f t="shared" si="5"/>
        <v>41348</v>
      </c>
      <c r="B74">
        <f t="shared" si="3"/>
        <v>6</v>
      </c>
      <c r="C74">
        <f t="shared" si="4"/>
        <v>3</v>
      </c>
    </row>
    <row r="75" spans="1:3" x14ac:dyDescent="0.15">
      <c r="A75">
        <f t="shared" si="5"/>
        <v>41349</v>
      </c>
      <c r="B75">
        <f t="shared" si="3"/>
        <v>7</v>
      </c>
      <c r="C75">
        <f t="shared" si="4"/>
        <v>3</v>
      </c>
    </row>
    <row r="76" spans="1:3" x14ac:dyDescent="0.15">
      <c r="A76">
        <f t="shared" si="5"/>
        <v>41350</v>
      </c>
      <c r="B76">
        <f t="shared" si="3"/>
        <v>1</v>
      </c>
      <c r="C76">
        <f t="shared" si="4"/>
        <v>3</v>
      </c>
    </row>
    <row r="77" spans="1:3" x14ac:dyDescent="0.15">
      <c r="A77">
        <f t="shared" si="5"/>
        <v>41351</v>
      </c>
      <c r="B77">
        <f t="shared" si="3"/>
        <v>2</v>
      </c>
      <c r="C77">
        <f t="shared" si="4"/>
        <v>3</v>
      </c>
    </row>
    <row r="78" spans="1:3" x14ac:dyDescent="0.15">
      <c r="A78">
        <f t="shared" si="5"/>
        <v>41352</v>
      </c>
      <c r="B78">
        <f t="shared" si="3"/>
        <v>3</v>
      </c>
      <c r="C78">
        <f t="shared" si="4"/>
        <v>3</v>
      </c>
    </row>
    <row r="79" spans="1:3" x14ac:dyDescent="0.15">
      <c r="A79">
        <f t="shared" si="5"/>
        <v>41353</v>
      </c>
      <c r="B79">
        <f t="shared" si="3"/>
        <v>4</v>
      </c>
      <c r="C79">
        <f t="shared" si="4"/>
        <v>3</v>
      </c>
    </row>
    <row r="80" spans="1:3" x14ac:dyDescent="0.15">
      <c r="A80">
        <f t="shared" si="5"/>
        <v>41354</v>
      </c>
      <c r="B80">
        <f t="shared" si="3"/>
        <v>5</v>
      </c>
      <c r="C80">
        <f t="shared" si="4"/>
        <v>3</v>
      </c>
    </row>
    <row r="81" spans="1:3" x14ac:dyDescent="0.15">
      <c r="A81">
        <f t="shared" si="5"/>
        <v>41355</v>
      </c>
      <c r="B81">
        <f t="shared" si="3"/>
        <v>6</v>
      </c>
      <c r="C81">
        <f t="shared" si="4"/>
        <v>3</v>
      </c>
    </row>
    <row r="82" spans="1:3" x14ac:dyDescent="0.15">
      <c r="A82">
        <f t="shared" si="5"/>
        <v>41356</v>
      </c>
      <c r="B82">
        <f t="shared" si="3"/>
        <v>7</v>
      </c>
      <c r="C82">
        <f t="shared" si="4"/>
        <v>3</v>
      </c>
    </row>
    <row r="83" spans="1:3" x14ac:dyDescent="0.15">
      <c r="A83">
        <f t="shared" si="5"/>
        <v>41357</v>
      </c>
      <c r="B83">
        <f t="shared" si="3"/>
        <v>1</v>
      </c>
      <c r="C83">
        <f t="shared" si="4"/>
        <v>3</v>
      </c>
    </row>
    <row r="84" spans="1:3" x14ac:dyDescent="0.15">
      <c r="A84">
        <f t="shared" si="5"/>
        <v>41358</v>
      </c>
      <c r="B84">
        <f t="shared" si="3"/>
        <v>2</v>
      </c>
      <c r="C84">
        <f t="shared" si="4"/>
        <v>3</v>
      </c>
    </row>
    <row r="85" spans="1:3" x14ac:dyDescent="0.15">
      <c r="A85">
        <f t="shared" si="5"/>
        <v>41359</v>
      </c>
      <c r="B85">
        <f t="shared" si="3"/>
        <v>3</v>
      </c>
      <c r="C85">
        <f t="shared" si="4"/>
        <v>3</v>
      </c>
    </row>
    <row r="86" spans="1:3" x14ac:dyDescent="0.15">
      <c r="A86">
        <f t="shared" si="5"/>
        <v>41360</v>
      </c>
      <c r="B86">
        <f t="shared" si="3"/>
        <v>4</v>
      </c>
      <c r="C86">
        <f t="shared" si="4"/>
        <v>3</v>
      </c>
    </row>
    <row r="87" spans="1:3" x14ac:dyDescent="0.15">
      <c r="A87">
        <f t="shared" si="5"/>
        <v>41361</v>
      </c>
      <c r="B87">
        <f t="shared" si="3"/>
        <v>5</v>
      </c>
      <c r="C87">
        <f t="shared" si="4"/>
        <v>3</v>
      </c>
    </row>
    <row r="88" spans="1:3" x14ac:dyDescent="0.15">
      <c r="A88">
        <f t="shared" si="5"/>
        <v>41362</v>
      </c>
      <c r="B88">
        <f t="shared" si="3"/>
        <v>6</v>
      </c>
      <c r="C88">
        <f t="shared" si="4"/>
        <v>3</v>
      </c>
    </row>
    <row r="89" spans="1:3" x14ac:dyDescent="0.15">
      <c r="A89">
        <f t="shared" si="5"/>
        <v>41363</v>
      </c>
      <c r="B89">
        <f t="shared" si="3"/>
        <v>7</v>
      </c>
      <c r="C89">
        <f t="shared" si="4"/>
        <v>3</v>
      </c>
    </row>
    <row r="90" spans="1:3" x14ac:dyDescent="0.15">
      <c r="A90">
        <f t="shared" si="5"/>
        <v>41364</v>
      </c>
      <c r="B90">
        <f t="shared" si="3"/>
        <v>1</v>
      </c>
      <c r="C90">
        <f t="shared" si="4"/>
        <v>3</v>
      </c>
    </row>
    <row r="91" spans="1:3" x14ac:dyDescent="0.15">
      <c r="A91">
        <f t="shared" si="5"/>
        <v>41365</v>
      </c>
      <c r="B91">
        <f t="shared" si="3"/>
        <v>2</v>
      </c>
      <c r="C91">
        <f t="shared" si="4"/>
        <v>4</v>
      </c>
    </row>
    <row r="92" spans="1:3" x14ac:dyDescent="0.15">
      <c r="A92">
        <f t="shared" si="5"/>
        <v>41366</v>
      </c>
      <c r="B92">
        <f t="shared" si="3"/>
        <v>3</v>
      </c>
      <c r="C92">
        <f t="shared" si="4"/>
        <v>4</v>
      </c>
    </row>
    <row r="93" spans="1:3" x14ac:dyDescent="0.15">
      <c r="A93">
        <f t="shared" si="5"/>
        <v>41367</v>
      </c>
      <c r="B93">
        <f t="shared" si="3"/>
        <v>4</v>
      </c>
      <c r="C93">
        <f t="shared" si="4"/>
        <v>4</v>
      </c>
    </row>
    <row r="94" spans="1:3" x14ac:dyDescent="0.15">
      <c r="A94">
        <f t="shared" si="5"/>
        <v>41368</v>
      </c>
      <c r="B94">
        <f t="shared" si="3"/>
        <v>5</v>
      </c>
      <c r="C94">
        <f t="shared" si="4"/>
        <v>4</v>
      </c>
    </row>
    <row r="95" spans="1:3" x14ac:dyDescent="0.15">
      <c r="A95">
        <f t="shared" si="5"/>
        <v>41369</v>
      </c>
      <c r="B95">
        <f t="shared" si="3"/>
        <v>6</v>
      </c>
      <c r="C95">
        <f t="shared" si="4"/>
        <v>4</v>
      </c>
    </row>
    <row r="96" spans="1:3" x14ac:dyDescent="0.15">
      <c r="A96">
        <f t="shared" si="5"/>
        <v>41370</v>
      </c>
      <c r="B96">
        <f t="shared" si="3"/>
        <v>7</v>
      </c>
      <c r="C96">
        <f t="shared" si="4"/>
        <v>4</v>
      </c>
    </row>
    <row r="97" spans="1:3" x14ac:dyDescent="0.15">
      <c r="A97">
        <f t="shared" si="5"/>
        <v>41371</v>
      </c>
      <c r="B97">
        <f t="shared" si="3"/>
        <v>1</v>
      </c>
      <c r="C97">
        <f t="shared" si="4"/>
        <v>4</v>
      </c>
    </row>
    <row r="98" spans="1:3" x14ac:dyDescent="0.15">
      <c r="A98">
        <f t="shared" si="5"/>
        <v>41372</v>
      </c>
      <c r="B98">
        <f t="shared" si="3"/>
        <v>2</v>
      </c>
      <c r="C98">
        <f t="shared" si="4"/>
        <v>4</v>
      </c>
    </row>
    <row r="99" spans="1:3" x14ac:dyDescent="0.15">
      <c r="A99">
        <f t="shared" si="5"/>
        <v>41373</v>
      </c>
      <c r="B99">
        <f t="shared" si="3"/>
        <v>3</v>
      </c>
      <c r="C99">
        <f t="shared" si="4"/>
        <v>4</v>
      </c>
    </row>
    <row r="100" spans="1:3" x14ac:dyDescent="0.15">
      <c r="A100">
        <f t="shared" si="5"/>
        <v>41374</v>
      </c>
      <c r="B100">
        <f t="shared" si="3"/>
        <v>4</v>
      </c>
      <c r="C100">
        <f t="shared" si="4"/>
        <v>4</v>
      </c>
    </row>
    <row r="101" spans="1:3" x14ac:dyDescent="0.15">
      <c r="A101">
        <f t="shared" si="5"/>
        <v>41375</v>
      </c>
      <c r="B101">
        <f t="shared" si="3"/>
        <v>5</v>
      </c>
      <c r="C101">
        <f t="shared" si="4"/>
        <v>4</v>
      </c>
    </row>
    <row r="102" spans="1:3" x14ac:dyDescent="0.15">
      <c r="A102">
        <f t="shared" si="5"/>
        <v>41376</v>
      </c>
      <c r="B102">
        <f t="shared" si="3"/>
        <v>6</v>
      </c>
      <c r="C102">
        <f t="shared" si="4"/>
        <v>4</v>
      </c>
    </row>
    <row r="103" spans="1:3" x14ac:dyDescent="0.15">
      <c r="A103">
        <f t="shared" si="5"/>
        <v>41377</v>
      </c>
      <c r="B103">
        <f t="shared" si="3"/>
        <v>7</v>
      </c>
      <c r="C103">
        <f t="shared" si="4"/>
        <v>4</v>
      </c>
    </row>
    <row r="104" spans="1:3" x14ac:dyDescent="0.15">
      <c r="A104">
        <f t="shared" si="5"/>
        <v>41378</v>
      </c>
      <c r="B104">
        <f t="shared" si="3"/>
        <v>1</v>
      </c>
      <c r="C104">
        <f t="shared" si="4"/>
        <v>4</v>
      </c>
    </row>
    <row r="105" spans="1:3" x14ac:dyDescent="0.15">
      <c r="A105">
        <f t="shared" si="5"/>
        <v>41379</v>
      </c>
      <c r="B105">
        <f t="shared" si="3"/>
        <v>2</v>
      </c>
      <c r="C105">
        <f t="shared" si="4"/>
        <v>4</v>
      </c>
    </row>
    <row r="106" spans="1:3" x14ac:dyDescent="0.15">
      <c r="A106">
        <f t="shared" si="5"/>
        <v>41380</v>
      </c>
      <c r="B106">
        <f t="shared" si="3"/>
        <v>3</v>
      </c>
      <c r="C106">
        <f t="shared" si="4"/>
        <v>4</v>
      </c>
    </row>
    <row r="107" spans="1:3" x14ac:dyDescent="0.15">
      <c r="A107">
        <f t="shared" si="5"/>
        <v>41381</v>
      </c>
      <c r="B107">
        <f t="shared" si="3"/>
        <v>4</v>
      </c>
      <c r="C107">
        <f t="shared" si="4"/>
        <v>4</v>
      </c>
    </row>
    <row r="108" spans="1:3" x14ac:dyDescent="0.15">
      <c r="A108">
        <f t="shared" si="5"/>
        <v>41382</v>
      </c>
      <c r="B108">
        <f t="shared" si="3"/>
        <v>5</v>
      </c>
      <c r="C108">
        <f t="shared" si="4"/>
        <v>4</v>
      </c>
    </row>
    <row r="109" spans="1:3" x14ac:dyDescent="0.15">
      <c r="A109">
        <f t="shared" si="5"/>
        <v>41383</v>
      </c>
      <c r="B109">
        <f t="shared" si="3"/>
        <v>6</v>
      </c>
      <c r="C109">
        <f t="shared" si="4"/>
        <v>4</v>
      </c>
    </row>
    <row r="110" spans="1:3" x14ac:dyDescent="0.15">
      <c r="A110">
        <f t="shared" si="5"/>
        <v>41384</v>
      </c>
      <c r="B110">
        <f t="shared" si="3"/>
        <v>7</v>
      </c>
      <c r="C110">
        <f t="shared" si="4"/>
        <v>4</v>
      </c>
    </row>
    <row r="111" spans="1:3" x14ac:dyDescent="0.15">
      <c r="A111">
        <f t="shared" si="5"/>
        <v>41385</v>
      </c>
      <c r="B111">
        <f t="shared" si="3"/>
        <v>1</v>
      </c>
      <c r="C111">
        <f t="shared" si="4"/>
        <v>4</v>
      </c>
    </row>
    <row r="112" spans="1:3" x14ac:dyDescent="0.15">
      <c r="A112">
        <f t="shared" si="5"/>
        <v>41386</v>
      </c>
      <c r="B112">
        <f t="shared" si="3"/>
        <v>2</v>
      </c>
      <c r="C112">
        <f t="shared" si="4"/>
        <v>4</v>
      </c>
    </row>
    <row r="113" spans="1:3" x14ac:dyDescent="0.15">
      <c r="A113">
        <f t="shared" si="5"/>
        <v>41387</v>
      </c>
      <c r="B113">
        <f t="shared" si="3"/>
        <v>3</v>
      </c>
      <c r="C113">
        <f t="shared" si="4"/>
        <v>4</v>
      </c>
    </row>
    <row r="114" spans="1:3" x14ac:dyDescent="0.15">
      <c r="A114">
        <f t="shared" si="5"/>
        <v>41388</v>
      </c>
      <c r="B114">
        <f t="shared" si="3"/>
        <v>4</v>
      </c>
      <c r="C114">
        <f t="shared" si="4"/>
        <v>4</v>
      </c>
    </row>
    <row r="115" spans="1:3" x14ac:dyDescent="0.15">
      <c r="A115">
        <f t="shared" si="5"/>
        <v>41389</v>
      </c>
      <c r="B115">
        <f t="shared" si="3"/>
        <v>5</v>
      </c>
      <c r="C115">
        <f t="shared" si="4"/>
        <v>4</v>
      </c>
    </row>
    <row r="116" spans="1:3" x14ac:dyDescent="0.15">
      <c r="A116">
        <f t="shared" si="5"/>
        <v>41390</v>
      </c>
      <c r="B116">
        <f t="shared" si="3"/>
        <v>6</v>
      </c>
      <c r="C116">
        <f t="shared" si="4"/>
        <v>4</v>
      </c>
    </row>
    <row r="117" spans="1:3" x14ac:dyDescent="0.15">
      <c r="A117">
        <f t="shared" si="5"/>
        <v>41391</v>
      </c>
      <c r="B117">
        <f t="shared" si="3"/>
        <v>7</v>
      </c>
      <c r="C117">
        <f t="shared" si="4"/>
        <v>4</v>
      </c>
    </row>
    <row r="118" spans="1:3" x14ac:dyDescent="0.15">
      <c r="A118">
        <f t="shared" si="5"/>
        <v>41392</v>
      </c>
      <c r="B118">
        <f t="shared" si="3"/>
        <v>1</v>
      </c>
      <c r="C118">
        <f t="shared" si="4"/>
        <v>4</v>
      </c>
    </row>
    <row r="119" spans="1:3" x14ac:dyDescent="0.15">
      <c r="A119">
        <f t="shared" si="5"/>
        <v>41393</v>
      </c>
      <c r="B119">
        <f t="shared" si="3"/>
        <v>2</v>
      </c>
      <c r="C119">
        <f t="shared" si="4"/>
        <v>4</v>
      </c>
    </row>
    <row r="120" spans="1:3" x14ac:dyDescent="0.15">
      <c r="A120">
        <f t="shared" si="5"/>
        <v>41394</v>
      </c>
      <c r="B120">
        <f t="shared" si="3"/>
        <v>3</v>
      </c>
      <c r="C120">
        <f t="shared" si="4"/>
        <v>4</v>
      </c>
    </row>
    <row r="121" spans="1:3" x14ac:dyDescent="0.15">
      <c r="A121">
        <f t="shared" si="5"/>
        <v>41395</v>
      </c>
      <c r="B121">
        <f t="shared" si="3"/>
        <v>4</v>
      </c>
      <c r="C121">
        <f t="shared" si="4"/>
        <v>5</v>
      </c>
    </row>
    <row r="122" spans="1:3" x14ac:dyDescent="0.15">
      <c r="A122">
        <f t="shared" si="5"/>
        <v>41396</v>
      </c>
      <c r="B122">
        <f t="shared" si="3"/>
        <v>5</v>
      </c>
      <c r="C122">
        <f t="shared" si="4"/>
        <v>5</v>
      </c>
    </row>
    <row r="123" spans="1:3" x14ac:dyDescent="0.15">
      <c r="A123">
        <f t="shared" si="5"/>
        <v>41397</v>
      </c>
      <c r="B123">
        <f t="shared" si="3"/>
        <v>6</v>
      </c>
      <c r="C123">
        <f t="shared" si="4"/>
        <v>5</v>
      </c>
    </row>
    <row r="124" spans="1:3" x14ac:dyDescent="0.15">
      <c r="A124">
        <f t="shared" si="5"/>
        <v>41398</v>
      </c>
      <c r="B124">
        <f t="shared" si="3"/>
        <v>7</v>
      </c>
      <c r="C124">
        <f t="shared" si="4"/>
        <v>5</v>
      </c>
    </row>
    <row r="125" spans="1:3" x14ac:dyDescent="0.15">
      <c r="A125">
        <f t="shared" si="5"/>
        <v>41399</v>
      </c>
      <c r="B125">
        <f t="shared" si="3"/>
        <v>1</v>
      </c>
      <c r="C125">
        <f t="shared" si="4"/>
        <v>5</v>
      </c>
    </row>
    <row r="126" spans="1:3" x14ac:dyDescent="0.15">
      <c r="A126">
        <f t="shared" si="5"/>
        <v>41400</v>
      </c>
      <c r="B126">
        <f t="shared" si="3"/>
        <v>2</v>
      </c>
      <c r="C126">
        <f t="shared" si="4"/>
        <v>5</v>
      </c>
    </row>
    <row r="127" spans="1:3" x14ac:dyDescent="0.15">
      <c r="A127">
        <f t="shared" si="5"/>
        <v>41401</v>
      </c>
      <c r="B127">
        <f t="shared" si="3"/>
        <v>3</v>
      </c>
      <c r="C127">
        <f t="shared" si="4"/>
        <v>5</v>
      </c>
    </row>
    <row r="128" spans="1:3" x14ac:dyDescent="0.15">
      <c r="A128">
        <f t="shared" si="5"/>
        <v>41402</v>
      </c>
      <c r="B128">
        <f t="shared" si="3"/>
        <v>4</v>
      </c>
      <c r="C128">
        <f t="shared" si="4"/>
        <v>5</v>
      </c>
    </row>
    <row r="129" spans="1:3" x14ac:dyDescent="0.15">
      <c r="A129">
        <f t="shared" si="5"/>
        <v>41403</v>
      </c>
      <c r="B129">
        <f t="shared" ref="B129:B192" si="6">WEEKDAY(A129)</f>
        <v>5</v>
      </c>
      <c r="C129">
        <f t="shared" ref="C129:C192" si="7">MONTH(A129)</f>
        <v>5</v>
      </c>
    </row>
    <row r="130" spans="1:3" x14ac:dyDescent="0.15">
      <c r="A130">
        <f t="shared" ref="A130:A193" si="8">+A129+1</f>
        <v>41404</v>
      </c>
      <c r="B130">
        <f t="shared" si="6"/>
        <v>6</v>
      </c>
      <c r="C130">
        <f t="shared" si="7"/>
        <v>5</v>
      </c>
    </row>
    <row r="131" spans="1:3" x14ac:dyDescent="0.15">
      <c r="A131">
        <f t="shared" si="8"/>
        <v>41405</v>
      </c>
      <c r="B131">
        <f t="shared" si="6"/>
        <v>7</v>
      </c>
      <c r="C131">
        <f t="shared" si="7"/>
        <v>5</v>
      </c>
    </row>
    <row r="132" spans="1:3" x14ac:dyDescent="0.15">
      <c r="A132">
        <f t="shared" si="8"/>
        <v>41406</v>
      </c>
      <c r="B132">
        <f t="shared" si="6"/>
        <v>1</v>
      </c>
      <c r="C132">
        <f t="shared" si="7"/>
        <v>5</v>
      </c>
    </row>
    <row r="133" spans="1:3" x14ac:dyDescent="0.15">
      <c r="A133">
        <f t="shared" si="8"/>
        <v>41407</v>
      </c>
      <c r="B133">
        <f t="shared" si="6"/>
        <v>2</v>
      </c>
      <c r="C133">
        <f t="shared" si="7"/>
        <v>5</v>
      </c>
    </row>
    <row r="134" spans="1:3" x14ac:dyDescent="0.15">
      <c r="A134">
        <f t="shared" si="8"/>
        <v>41408</v>
      </c>
      <c r="B134">
        <f t="shared" si="6"/>
        <v>3</v>
      </c>
      <c r="C134">
        <f t="shared" si="7"/>
        <v>5</v>
      </c>
    </row>
    <row r="135" spans="1:3" x14ac:dyDescent="0.15">
      <c r="A135">
        <f t="shared" si="8"/>
        <v>41409</v>
      </c>
      <c r="B135">
        <f t="shared" si="6"/>
        <v>4</v>
      </c>
      <c r="C135">
        <f t="shared" si="7"/>
        <v>5</v>
      </c>
    </row>
    <row r="136" spans="1:3" x14ac:dyDescent="0.15">
      <c r="A136">
        <f t="shared" si="8"/>
        <v>41410</v>
      </c>
      <c r="B136">
        <f t="shared" si="6"/>
        <v>5</v>
      </c>
      <c r="C136">
        <f t="shared" si="7"/>
        <v>5</v>
      </c>
    </row>
    <row r="137" spans="1:3" x14ac:dyDescent="0.15">
      <c r="A137">
        <f t="shared" si="8"/>
        <v>41411</v>
      </c>
      <c r="B137">
        <f t="shared" si="6"/>
        <v>6</v>
      </c>
      <c r="C137">
        <f t="shared" si="7"/>
        <v>5</v>
      </c>
    </row>
    <row r="138" spans="1:3" x14ac:dyDescent="0.15">
      <c r="A138">
        <f t="shared" si="8"/>
        <v>41412</v>
      </c>
      <c r="B138">
        <f t="shared" si="6"/>
        <v>7</v>
      </c>
      <c r="C138">
        <f t="shared" si="7"/>
        <v>5</v>
      </c>
    </row>
    <row r="139" spans="1:3" x14ac:dyDescent="0.15">
      <c r="A139">
        <f t="shared" si="8"/>
        <v>41413</v>
      </c>
      <c r="B139">
        <f t="shared" si="6"/>
        <v>1</v>
      </c>
      <c r="C139">
        <f t="shared" si="7"/>
        <v>5</v>
      </c>
    </row>
    <row r="140" spans="1:3" x14ac:dyDescent="0.15">
      <c r="A140">
        <f t="shared" si="8"/>
        <v>41414</v>
      </c>
      <c r="B140">
        <f t="shared" si="6"/>
        <v>2</v>
      </c>
      <c r="C140">
        <f t="shared" si="7"/>
        <v>5</v>
      </c>
    </row>
    <row r="141" spans="1:3" x14ac:dyDescent="0.15">
      <c r="A141">
        <f t="shared" si="8"/>
        <v>41415</v>
      </c>
      <c r="B141">
        <f t="shared" si="6"/>
        <v>3</v>
      </c>
      <c r="C141">
        <f t="shared" si="7"/>
        <v>5</v>
      </c>
    </row>
    <row r="142" spans="1:3" x14ac:dyDescent="0.15">
      <c r="A142">
        <f t="shared" si="8"/>
        <v>41416</v>
      </c>
      <c r="B142">
        <f t="shared" si="6"/>
        <v>4</v>
      </c>
      <c r="C142">
        <f t="shared" si="7"/>
        <v>5</v>
      </c>
    </row>
    <row r="143" spans="1:3" x14ac:dyDescent="0.15">
      <c r="A143">
        <f t="shared" si="8"/>
        <v>41417</v>
      </c>
      <c r="B143">
        <f t="shared" si="6"/>
        <v>5</v>
      </c>
      <c r="C143">
        <f t="shared" si="7"/>
        <v>5</v>
      </c>
    </row>
    <row r="144" spans="1:3" x14ac:dyDescent="0.15">
      <c r="A144">
        <f t="shared" si="8"/>
        <v>41418</v>
      </c>
      <c r="B144">
        <f t="shared" si="6"/>
        <v>6</v>
      </c>
      <c r="C144">
        <f t="shared" si="7"/>
        <v>5</v>
      </c>
    </row>
    <row r="145" spans="1:3" x14ac:dyDescent="0.15">
      <c r="A145">
        <f t="shared" si="8"/>
        <v>41419</v>
      </c>
      <c r="B145">
        <f t="shared" si="6"/>
        <v>7</v>
      </c>
      <c r="C145">
        <f t="shared" si="7"/>
        <v>5</v>
      </c>
    </row>
    <row r="146" spans="1:3" x14ac:dyDescent="0.15">
      <c r="A146">
        <f t="shared" si="8"/>
        <v>41420</v>
      </c>
      <c r="B146">
        <f t="shared" si="6"/>
        <v>1</v>
      </c>
      <c r="C146">
        <f t="shared" si="7"/>
        <v>5</v>
      </c>
    </row>
    <row r="147" spans="1:3" x14ac:dyDescent="0.15">
      <c r="A147">
        <f t="shared" si="8"/>
        <v>41421</v>
      </c>
      <c r="B147">
        <f t="shared" si="6"/>
        <v>2</v>
      </c>
      <c r="C147">
        <f t="shared" si="7"/>
        <v>5</v>
      </c>
    </row>
    <row r="148" spans="1:3" x14ac:dyDescent="0.15">
      <c r="A148">
        <f t="shared" si="8"/>
        <v>41422</v>
      </c>
      <c r="B148">
        <f t="shared" si="6"/>
        <v>3</v>
      </c>
      <c r="C148">
        <f t="shared" si="7"/>
        <v>5</v>
      </c>
    </row>
    <row r="149" spans="1:3" x14ac:dyDescent="0.15">
      <c r="A149">
        <f t="shared" si="8"/>
        <v>41423</v>
      </c>
      <c r="B149">
        <f t="shared" si="6"/>
        <v>4</v>
      </c>
      <c r="C149">
        <f t="shared" si="7"/>
        <v>5</v>
      </c>
    </row>
    <row r="150" spans="1:3" x14ac:dyDescent="0.15">
      <c r="A150">
        <f t="shared" si="8"/>
        <v>41424</v>
      </c>
      <c r="B150">
        <f t="shared" si="6"/>
        <v>5</v>
      </c>
      <c r="C150">
        <f t="shared" si="7"/>
        <v>5</v>
      </c>
    </row>
    <row r="151" spans="1:3" x14ac:dyDescent="0.15">
      <c r="A151">
        <f t="shared" si="8"/>
        <v>41425</v>
      </c>
      <c r="B151">
        <f t="shared" si="6"/>
        <v>6</v>
      </c>
      <c r="C151">
        <f t="shared" si="7"/>
        <v>5</v>
      </c>
    </row>
    <row r="152" spans="1:3" x14ac:dyDescent="0.15">
      <c r="A152">
        <f t="shared" si="8"/>
        <v>41426</v>
      </c>
      <c r="B152">
        <f t="shared" si="6"/>
        <v>7</v>
      </c>
      <c r="C152">
        <f t="shared" si="7"/>
        <v>6</v>
      </c>
    </row>
    <row r="153" spans="1:3" x14ac:dyDescent="0.15">
      <c r="A153">
        <f t="shared" si="8"/>
        <v>41427</v>
      </c>
      <c r="B153">
        <f t="shared" si="6"/>
        <v>1</v>
      </c>
      <c r="C153">
        <f t="shared" si="7"/>
        <v>6</v>
      </c>
    </row>
    <row r="154" spans="1:3" x14ac:dyDescent="0.15">
      <c r="A154">
        <f t="shared" si="8"/>
        <v>41428</v>
      </c>
      <c r="B154">
        <f t="shared" si="6"/>
        <v>2</v>
      </c>
      <c r="C154">
        <f t="shared" si="7"/>
        <v>6</v>
      </c>
    </row>
    <row r="155" spans="1:3" x14ac:dyDescent="0.15">
      <c r="A155">
        <f t="shared" si="8"/>
        <v>41429</v>
      </c>
      <c r="B155">
        <f t="shared" si="6"/>
        <v>3</v>
      </c>
      <c r="C155">
        <f t="shared" si="7"/>
        <v>6</v>
      </c>
    </row>
    <row r="156" spans="1:3" x14ac:dyDescent="0.15">
      <c r="A156">
        <f t="shared" si="8"/>
        <v>41430</v>
      </c>
      <c r="B156">
        <f t="shared" si="6"/>
        <v>4</v>
      </c>
      <c r="C156">
        <f t="shared" si="7"/>
        <v>6</v>
      </c>
    </row>
    <row r="157" spans="1:3" x14ac:dyDescent="0.15">
      <c r="A157">
        <f t="shared" si="8"/>
        <v>41431</v>
      </c>
      <c r="B157">
        <f t="shared" si="6"/>
        <v>5</v>
      </c>
      <c r="C157">
        <f t="shared" si="7"/>
        <v>6</v>
      </c>
    </row>
    <row r="158" spans="1:3" x14ac:dyDescent="0.15">
      <c r="A158">
        <f t="shared" si="8"/>
        <v>41432</v>
      </c>
      <c r="B158">
        <f t="shared" si="6"/>
        <v>6</v>
      </c>
      <c r="C158">
        <f t="shared" si="7"/>
        <v>6</v>
      </c>
    </row>
    <row r="159" spans="1:3" x14ac:dyDescent="0.15">
      <c r="A159">
        <f t="shared" si="8"/>
        <v>41433</v>
      </c>
      <c r="B159">
        <f t="shared" si="6"/>
        <v>7</v>
      </c>
      <c r="C159">
        <f t="shared" si="7"/>
        <v>6</v>
      </c>
    </row>
    <row r="160" spans="1:3" x14ac:dyDescent="0.15">
      <c r="A160">
        <f t="shared" si="8"/>
        <v>41434</v>
      </c>
      <c r="B160">
        <f t="shared" si="6"/>
        <v>1</v>
      </c>
      <c r="C160">
        <f t="shared" si="7"/>
        <v>6</v>
      </c>
    </row>
    <row r="161" spans="1:3" x14ac:dyDescent="0.15">
      <c r="A161">
        <f t="shared" si="8"/>
        <v>41435</v>
      </c>
      <c r="B161">
        <f t="shared" si="6"/>
        <v>2</v>
      </c>
      <c r="C161">
        <f t="shared" si="7"/>
        <v>6</v>
      </c>
    </row>
    <row r="162" spans="1:3" x14ac:dyDescent="0.15">
      <c r="A162">
        <f t="shared" si="8"/>
        <v>41436</v>
      </c>
      <c r="B162">
        <f t="shared" si="6"/>
        <v>3</v>
      </c>
      <c r="C162">
        <f t="shared" si="7"/>
        <v>6</v>
      </c>
    </row>
    <row r="163" spans="1:3" x14ac:dyDescent="0.15">
      <c r="A163">
        <f t="shared" si="8"/>
        <v>41437</v>
      </c>
      <c r="B163">
        <f t="shared" si="6"/>
        <v>4</v>
      </c>
      <c r="C163">
        <f t="shared" si="7"/>
        <v>6</v>
      </c>
    </row>
    <row r="164" spans="1:3" x14ac:dyDescent="0.15">
      <c r="A164">
        <f t="shared" si="8"/>
        <v>41438</v>
      </c>
      <c r="B164">
        <f t="shared" si="6"/>
        <v>5</v>
      </c>
      <c r="C164">
        <f t="shared" si="7"/>
        <v>6</v>
      </c>
    </row>
    <row r="165" spans="1:3" x14ac:dyDescent="0.15">
      <c r="A165">
        <f t="shared" si="8"/>
        <v>41439</v>
      </c>
      <c r="B165">
        <f t="shared" si="6"/>
        <v>6</v>
      </c>
      <c r="C165">
        <f t="shared" si="7"/>
        <v>6</v>
      </c>
    </row>
    <row r="166" spans="1:3" x14ac:dyDescent="0.15">
      <c r="A166">
        <f t="shared" si="8"/>
        <v>41440</v>
      </c>
      <c r="B166">
        <f t="shared" si="6"/>
        <v>7</v>
      </c>
      <c r="C166">
        <f t="shared" si="7"/>
        <v>6</v>
      </c>
    </row>
    <row r="167" spans="1:3" x14ac:dyDescent="0.15">
      <c r="A167">
        <f t="shared" si="8"/>
        <v>41441</v>
      </c>
      <c r="B167">
        <f t="shared" si="6"/>
        <v>1</v>
      </c>
      <c r="C167">
        <f t="shared" si="7"/>
        <v>6</v>
      </c>
    </row>
    <row r="168" spans="1:3" x14ac:dyDescent="0.15">
      <c r="A168">
        <f t="shared" si="8"/>
        <v>41442</v>
      </c>
      <c r="B168">
        <f t="shared" si="6"/>
        <v>2</v>
      </c>
      <c r="C168">
        <f t="shared" si="7"/>
        <v>6</v>
      </c>
    </row>
    <row r="169" spans="1:3" x14ac:dyDescent="0.15">
      <c r="A169">
        <f t="shared" si="8"/>
        <v>41443</v>
      </c>
      <c r="B169">
        <f t="shared" si="6"/>
        <v>3</v>
      </c>
      <c r="C169">
        <f t="shared" si="7"/>
        <v>6</v>
      </c>
    </row>
    <row r="170" spans="1:3" x14ac:dyDescent="0.15">
      <c r="A170">
        <f t="shared" si="8"/>
        <v>41444</v>
      </c>
      <c r="B170">
        <f t="shared" si="6"/>
        <v>4</v>
      </c>
      <c r="C170">
        <f t="shared" si="7"/>
        <v>6</v>
      </c>
    </row>
    <row r="171" spans="1:3" x14ac:dyDescent="0.15">
      <c r="A171">
        <f t="shared" si="8"/>
        <v>41445</v>
      </c>
      <c r="B171">
        <f t="shared" si="6"/>
        <v>5</v>
      </c>
      <c r="C171">
        <f t="shared" si="7"/>
        <v>6</v>
      </c>
    </row>
    <row r="172" spans="1:3" x14ac:dyDescent="0.15">
      <c r="A172">
        <f t="shared" si="8"/>
        <v>41446</v>
      </c>
      <c r="B172">
        <f t="shared" si="6"/>
        <v>6</v>
      </c>
      <c r="C172">
        <f t="shared" si="7"/>
        <v>6</v>
      </c>
    </row>
    <row r="173" spans="1:3" x14ac:dyDescent="0.15">
      <c r="A173">
        <f t="shared" si="8"/>
        <v>41447</v>
      </c>
      <c r="B173">
        <f t="shared" si="6"/>
        <v>7</v>
      </c>
      <c r="C173">
        <f t="shared" si="7"/>
        <v>6</v>
      </c>
    </row>
    <row r="174" spans="1:3" x14ac:dyDescent="0.15">
      <c r="A174">
        <f t="shared" si="8"/>
        <v>41448</v>
      </c>
      <c r="B174">
        <f t="shared" si="6"/>
        <v>1</v>
      </c>
      <c r="C174">
        <f t="shared" si="7"/>
        <v>6</v>
      </c>
    </row>
    <row r="175" spans="1:3" x14ac:dyDescent="0.15">
      <c r="A175">
        <f t="shared" si="8"/>
        <v>41449</v>
      </c>
      <c r="B175">
        <f t="shared" si="6"/>
        <v>2</v>
      </c>
      <c r="C175">
        <f t="shared" si="7"/>
        <v>6</v>
      </c>
    </row>
    <row r="176" spans="1:3" x14ac:dyDescent="0.15">
      <c r="A176">
        <f t="shared" si="8"/>
        <v>41450</v>
      </c>
      <c r="B176">
        <f t="shared" si="6"/>
        <v>3</v>
      </c>
      <c r="C176">
        <f t="shared" si="7"/>
        <v>6</v>
      </c>
    </row>
    <row r="177" spans="1:3" x14ac:dyDescent="0.15">
      <c r="A177">
        <f t="shared" si="8"/>
        <v>41451</v>
      </c>
      <c r="B177">
        <f t="shared" si="6"/>
        <v>4</v>
      </c>
      <c r="C177">
        <f t="shared" si="7"/>
        <v>6</v>
      </c>
    </row>
    <row r="178" spans="1:3" x14ac:dyDescent="0.15">
      <c r="A178">
        <f t="shared" si="8"/>
        <v>41452</v>
      </c>
      <c r="B178">
        <f t="shared" si="6"/>
        <v>5</v>
      </c>
      <c r="C178">
        <f t="shared" si="7"/>
        <v>6</v>
      </c>
    </row>
    <row r="179" spans="1:3" x14ac:dyDescent="0.15">
      <c r="A179">
        <f t="shared" si="8"/>
        <v>41453</v>
      </c>
      <c r="B179">
        <f t="shared" si="6"/>
        <v>6</v>
      </c>
      <c r="C179">
        <f t="shared" si="7"/>
        <v>6</v>
      </c>
    </row>
    <row r="180" spans="1:3" x14ac:dyDescent="0.15">
      <c r="A180">
        <f t="shared" si="8"/>
        <v>41454</v>
      </c>
      <c r="B180">
        <f t="shared" si="6"/>
        <v>7</v>
      </c>
      <c r="C180">
        <f t="shared" si="7"/>
        <v>6</v>
      </c>
    </row>
    <row r="181" spans="1:3" x14ac:dyDescent="0.15">
      <c r="A181">
        <f t="shared" si="8"/>
        <v>41455</v>
      </c>
      <c r="B181">
        <f t="shared" si="6"/>
        <v>1</v>
      </c>
      <c r="C181">
        <f t="shared" si="7"/>
        <v>6</v>
      </c>
    </row>
    <row r="182" spans="1:3" x14ac:dyDescent="0.15">
      <c r="A182">
        <f t="shared" si="8"/>
        <v>41456</v>
      </c>
      <c r="B182">
        <f t="shared" si="6"/>
        <v>2</v>
      </c>
      <c r="C182">
        <f t="shared" si="7"/>
        <v>7</v>
      </c>
    </row>
    <row r="183" spans="1:3" x14ac:dyDescent="0.15">
      <c r="A183">
        <f t="shared" si="8"/>
        <v>41457</v>
      </c>
      <c r="B183">
        <f t="shared" si="6"/>
        <v>3</v>
      </c>
      <c r="C183">
        <f t="shared" si="7"/>
        <v>7</v>
      </c>
    </row>
    <row r="184" spans="1:3" x14ac:dyDescent="0.15">
      <c r="A184">
        <f t="shared" si="8"/>
        <v>41458</v>
      </c>
      <c r="B184">
        <f t="shared" si="6"/>
        <v>4</v>
      </c>
      <c r="C184">
        <f t="shared" si="7"/>
        <v>7</v>
      </c>
    </row>
    <row r="185" spans="1:3" x14ac:dyDescent="0.15">
      <c r="A185">
        <f t="shared" si="8"/>
        <v>41459</v>
      </c>
      <c r="B185">
        <f t="shared" si="6"/>
        <v>5</v>
      </c>
      <c r="C185">
        <f t="shared" si="7"/>
        <v>7</v>
      </c>
    </row>
    <row r="186" spans="1:3" x14ac:dyDescent="0.15">
      <c r="A186">
        <f t="shared" si="8"/>
        <v>41460</v>
      </c>
      <c r="B186">
        <f t="shared" si="6"/>
        <v>6</v>
      </c>
      <c r="C186">
        <f t="shared" si="7"/>
        <v>7</v>
      </c>
    </row>
    <row r="187" spans="1:3" x14ac:dyDescent="0.15">
      <c r="A187">
        <f t="shared" si="8"/>
        <v>41461</v>
      </c>
      <c r="B187">
        <f t="shared" si="6"/>
        <v>7</v>
      </c>
      <c r="C187">
        <f t="shared" si="7"/>
        <v>7</v>
      </c>
    </row>
    <row r="188" spans="1:3" x14ac:dyDescent="0.15">
      <c r="A188">
        <f t="shared" si="8"/>
        <v>41462</v>
      </c>
      <c r="B188">
        <f t="shared" si="6"/>
        <v>1</v>
      </c>
      <c r="C188">
        <f t="shared" si="7"/>
        <v>7</v>
      </c>
    </row>
    <row r="189" spans="1:3" x14ac:dyDescent="0.15">
      <c r="A189">
        <f t="shared" si="8"/>
        <v>41463</v>
      </c>
      <c r="B189">
        <f t="shared" si="6"/>
        <v>2</v>
      </c>
      <c r="C189">
        <f t="shared" si="7"/>
        <v>7</v>
      </c>
    </row>
    <row r="190" spans="1:3" x14ac:dyDescent="0.15">
      <c r="A190">
        <f t="shared" si="8"/>
        <v>41464</v>
      </c>
      <c r="B190">
        <f t="shared" si="6"/>
        <v>3</v>
      </c>
      <c r="C190">
        <f t="shared" si="7"/>
        <v>7</v>
      </c>
    </row>
    <row r="191" spans="1:3" x14ac:dyDescent="0.15">
      <c r="A191">
        <f t="shared" si="8"/>
        <v>41465</v>
      </c>
      <c r="B191">
        <f t="shared" si="6"/>
        <v>4</v>
      </c>
      <c r="C191">
        <f t="shared" si="7"/>
        <v>7</v>
      </c>
    </row>
    <row r="192" spans="1:3" x14ac:dyDescent="0.15">
      <c r="A192">
        <f t="shared" si="8"/>
        <v>41466</v>
      </c>
      <c r="B192">
        <f t="shared" si="6"/>
        <v>5</v>
      </c>
      <c r="C192">
        <f t="shared" si="7"/>
        <v>7</v>
      </c>
    </row>
    <row r="193" spans="1:3" x14ac:dyDescent="0.15">
      <c r="A193">
        <f t="shared" si="8"/>
        <v>41467</v>
      </c>
      <c r="B193">
        <f t="shared" ref="B193:B256" si="9">WEEKDAY(A193)</f>
        <v>6</v>
      </c>
      <c r="C193">
        <f t="shared" ref="C193:C256" si="10">MONTH(A193)</f>
        <v>7</v>
      </c>
    </row>
    <row r="194" spans="1:3" x14ac:dyDescent="0.15">
      <c r="A194">
        <f t="shared" ref="A194:A257" si="11">+A193+1</f>
        <v>41468</v>
      </c>
      <c r="B194">
        <f t="shared" si="9"/>
        <v>7</v>
      </c>
      <c r="C194">
        <f t="shared" si="10"/>
        <v>7</v>
      </c>
    </row>
    <row r="195" spans="1:3" x14ac:dyDescent="0.15">
      <c r="A195">
        <f t="shared" si="11"/>
        <v>41469</v>
      </c>
      <c r="B195">
        <f t="shared" si="9"/>
        <v>1</v>
      </c>
      <c r="C195">
        <f t="shared" si="10"/>
        <v>7</v>
      </c>
    </row>
    <row r="196" spans="1:3" x14ac:dyDescent="0.15">
      <c r="A196">
        <f t="shared" si="11"/>
        <v>41470</v>
      </c>
      <c r="B196">
        <f t="shared" si="9"/>
        <v>2</v>
      </c>
      <c r="C196">
        <f t="shared" si="10"/>
        <v>7</v>
      </c>
    </row>
    <row r="197" spans="1:3" x14ac:dyDescent="0.15">
      <c r="A197">
        <f t="shared" si="11"/>
        <v>41471</v>
      </c>
      <c r="B197">
        <f t="shared" si="9"/>
        <v>3</v>
      </c>
      <c r="C197">
        <f t="shared" si="10"/>
        <v>7</v>
      </c>
    </row>
    <row r="198" spans="1:3" x14ac:dyDescent="0.15">
      <c r="A198">
        <f t="shared" si="11"/>
        <v>41472</v>
      </c>
      <c r="B198">
        <f t="shared" si="9"/>
        <v>4</v>
      </c>
      <c r="C198">
        <f t="shared" si="10"/>
        <v>7</v>
      </c>
    </row>
    <row r="199" spans="1:3" x14ac:dyDescent="0.15">
      <c r="A199">
        <f t="shared" si="11"/>
        <v>41473</v>
      </c>
      <c r="B199">
        <f t="shared" si="9"/>
        <v>5</v>
      </c>
      <c r="C199">
        <f t="shared" si="10"/>
        <v>7</v>
      </c>
    </row>
    <row r="200" spans="1:3" x14ac:dyDescent="0.15">
      <c r="A200">
        <f t="shared" si="11"/>
        <v>41474</v>
      </c>
      <c r="B200">
        <f t="shared" si="9"/>
        <v>6</v>
      </c>
      <c r="C200">
        <f t="shared" si="10"/>
        <v>7</v>
      </c>
    </row>
    <row r="201" spans="1:3" x14ac:dyDescent="0.15">
      <c r="A201">
        <f t="shared" si="11"/>
        <v>41475</v>
      </c>
      <c r="B201">
        <f t="shared" si="9"/>
        <v>7</v>
      </c>
      <c r="C201">
        <f t="shared" si="10"/>
        <v>7</v>
      </c>
    </row>
    <row r="202" spans="1:3" x14ac:dyDescent="0.15">
      <c r="A202">
        <f t="shared" si="11"/>
        <v>41476</v>
      </c>
      <c r="B202">
        <f t="shared" si="9"/>
        <v>1</v>
      </c>
      <c r="C202">
        <f t="shared" si="10"/>
        <v>7</v>
      </c>
    </row>
    <row r="203" spans="1:3" x14ac:dyDescent="0.15">
      <c r="A203">
        <f t="shared" si="11"/>
        <v>41477</v>
      </c>
      <c r="B203">
        <f t="shared" si="9"/>
        <v>2</v>
      </c>
      <c r="C203">
        <f t="shared" si="10"/>
        <v>7</v>
      </c>
    </row>
    <row r="204" spans="1:3" x14ac:dyDescent="0.15">
      <c r="A204">
        <f t="shared" si="11"/>
        <v>41478</v>
      </c>
      <c r="B204">
        <f t="shared" si="9"/>
        <v>3</v>
      </c>
      <c r="C204">
        <f t="shared" si="10"/>
        <v>7</v>
      </c>
    </row>
    <row r="205" spans="1:3" x14ac:dyDescent="0.15">
      <c r="A205">
        <f t="shared" si="11"/>
        <v>41479</v>
      </c>
      <c r="B205">
        <f t="shared" si="9"/>
        <v>4</v>
      </c>
      <c r="C205">
        <f t="shared" si="10"/>
        <v>7</v>
      </c>
    </row>
    <row r="206" spans="1:3" x14ac:dyDescent="0.15">
      <c r="A206">
        <f t="shared" si="11"/>
        <v>41480</v>
      </c>
      <c r="B206">
        <f t="shared" si="9"/>
        <v>5</v>
      </c>
      <c r="C206">
        <f t="shared" si="10"/>
        <v>7</v>
      </c>
    </row>
    <row r="207" spans="1:3" x14ac:dyDescent="0.15">
      <c r="A207">
        <f t="shared" si="11"/>
        <v>41481</v>
      </c>
      <c r="B207">
        <f t="shared" si="9"/>
        <v>6</v>
      </c>
      <c r="C207">
        <f t="shared" si="10"/>
        <v>7</v>
      </c>
    </row>
    <row r="208" spans="1:3" x14ac:dyDescent="0.15">
      <c r="A208">
        <f t="shared" si="11"/>
        <v>41482</v>
      </c>
      <c r="B208">
        <f t="shared" si="9"/>
        <v>7</v>
      </c>
      <c r="C208">
        <f t="shared" si="10"/>
        <v>7</v>
      </c>
    </row>
    <row r="209" spans="1:3" x14ac:dyDescent="0.15">
      <c r="A209">
        <f t="shared" si="11"/>
        <v>41483</v>
      </c>
      <c r="B209">
        <f t="shared" si="9"/>
        <v>1</v>
      </c>
      <c r="C209">
        <f t="shared" si="10"/>
        <v>7</v>
      </c>
    </row>
    <row r="210" spans="1:3" x14ac:dyDescent="0.15">
      <c r="A210">
        <f t="shared" si="11"/>
        <v>41484</v>
      </c>
      <c r="B210">
        <f t="shared" si="9"/>
        <v>2</v>
      </c>
      <c r="C210">
        <f t="shared" si="10"/>
        <v>7</v>
      </c>
    </row>
    <row r="211" spans="1:3" x14ac:dyDescent="0.15">
      <c r="A211">
        <f t="shared" si="11"/>
        <v>41485</v>
      </c>
      <c r="B211">
        <f t="shared" si="9"/>
        <v>3</v>
      </c>
      <c r="C211">
        <f t="shared" si="10"/>
        <v>7</v>
      </c>
    </row>
    <row r="212" spans="1:3" x14ac:dyDescent="0.15">
      <c r="A212">
        <f t="shared" si="11"/>
        <v>41486</v>
      </c>
      <c r="B212">
        <f t="shared" si="9"/>
        <v>4</v>
      </c>
      <c r="C212">
        <f t="shared" si="10"/>
        <v>7</v>
      </c>
    </row>
    <row r="213" spans="1:3" x14ac:dyDescent="0.15">
      <c r="A213">
        <f t="shared" si="11"/>
        <v>41487</v>
      </c>
      <c r="B213">
        <f t="shared" si="9"/>
        <v>5</v>
      </c>
      <c r="C213">
        <f t="shared" si="10"/>
        <v>8</v>
      </c>
    </row>
    <row r="214" spans="1:3" x14ac:dyDescent="0.15">
      <c r="A214">
        <f t="shared" si="11"/>
        <v>41488</v>
      </c>
      <c r="B214">
        <f t="shared" si="9"/>
        <v>6</v>
      </c>
      <c r="C214">
        <f t="shared" si="10"/>
        <v>8</v>
      </c>
    </row>
    <row r="215" spans="1:3" x14ac:dyDescent="0.15">
      <c r="A215">
        <f t="shared" si="11"/>
        <v>41489</v>
      </c>
      <c r="B215">
        <f t="shared" si="9"/>
        <v>7</v>
      </c>
      <c r="C215">
        <f t="shared" si="10"/>
        <v>8</v>
      </c>
    </row>
    <row r="216" spans="1:3" x14ac:dyDescent="0.15">
      <c r="A216">
        <f t="shared" si="11"/>
        <v>41490</v>
      </c>
      <c r="B216">
        <f t="shared" si="9"/>
        <v>1</v>
      </c>
      <c r="C216">
        <f t="shared" si="10"/>
        <v>8</v>
      </c>
    </row>
    <row r="217" spans="1:3" x14ac:dyDescent="0.15">
      <c r="A217">
        <f t="shared" si="11"/>
        <v>41491</v>
      </c>
      <c r="B217">
        <f t="shared" si="9"/>
        <v>2</v>
      </c>
      <c r="C217">
        <f t="shared" si="10"/>
        <v>8</v>
      </c>
    </row>
    <row r="218" spans="1:3" x14ac:dyDescent="0.15">
      <c r="A218">
        <f t="shared" si="11"/>
        <v>41492</v>
      </c>
      <c r="B218">
        <f t="shared" si="9"/>
        <v>3</v>
      </c>
      <c r="C218">
        <f t="shared" si="10"/>
        <v>8</v>
      </c>
    </row>
    <row r="219" spans="1:3" x14ac:dyDescent="0.15">
      <c r="A219">
        <f t="shared" si="11"/>
        <v>41493</v>
      </c>
      <c r="B219">
        <f t="shared" si="9"/>
        <v>4</v>
      </c>
      <c r="C219">
        <f t="shared" si="10"/>
        <v>8</v>
      </c>
    </row>
    <row r="220" spans="1:3" x14ac:dyDescent="0.15">
      <c r="A220">
        <f t="shared" si="11"/>
        <v>41494</v>
      </c>
      <c r="B220">
        <f t="shared" si="9"/>
        <v>5</v>
      </c>
      <c r="C220">
        <f t="shared" si="10"/>
        <v>8</v>
      </c>
    </row>
    <row r="221" spans="1:3" x14ac:dyDescent="0.15">
      <c r="A221">
        <f t="shared" si="11"/>
        <v>41495</v>
      </c>
      <c r="B221">
        <f t="shared" si="9"/>
        <v>6</v>
      </c>
      <c r="C221">
        <f t="shared" si="10"/>
        <v>8</v>
      </c>
    </row>
    <row r="222" spans="1:3" x14ac:dyDescent="0.15">
      <c r="A222">
        <f t="shared" si="11"/>
        <v>41496</v>
      </c>
      <c r="B222">
        <f t="shared" si="9"/>
        <v>7</v>
      </c>
      <c r="C222">
        <f t="shared" si="10"/>
        <v>8</v>
      </c>
    </row>
    <row r="223" spans="1:3" x14ac:dyDescent="0.15">
      <c r="A223">
        <f t="shared" si="11"/>
        <v>41497</v>
      </c>
      <c r="B223">
        <f t="shared" si="9"/>
        <v>1</v>
      </c>
      <c r="C223">
        <f t="shared" si="10"/>
        <v>8</v>
      </c>
    </row>
    <row r="224" spans="1:3" x14ac:dyDescent="0.15">
      <c r="A224">
        <f t="shared" si="11"/>
        <v>41498</v>
      </c>
      <c r="B224">
        <f t="shared" si="9"/>
        <v>2</v>
      </c>
      <c r="C224">
        <f t="shared" si="10"/>
        <v>8</v>
      </c>
    </row>
    <row r="225" spans="1:3" x14ac:dyDescent="0.15">
      <c r="A225">
        <f t="shared" si="11"/>
        <v>41499</v>
      </c>
      <c r="B225">
        <f t="shared" si="9"/>
        <v>3</v>
      </c>
      <c r="C225">
        <f t="shared" si="10"/>
        <v>8</v>
      </c>
    </row>
    <row r="226" spans="1:3" x14ac:dyDescent="0.15">
      <c r="A226">
        <f t="shared" si="11"/>
        <v>41500</v>
      </c>
      <c r="B226">
        <f t="shared" si="9"/>
        <v>4</v>
      </c>
      <c r="C226">
        <f t="shared" si="10"/>
        <v>8</v>
      </c>
    </row>
    <row r="227" spans="1:3" x14ac:dyDescent="0.15">
      <c r="A227">
        <f t="shared" si="11"/>
        <v>41501</v>
      </c>
      <c r="B227">
        <f t="shared" si="9"/>
        <v>5</v>
      </c>
      <c r="C227">
        <f t="shared" si="10"/>
        <v>8</v>
      </c>
    </row>
    <row r="228" spans="1:3" x14ac:dyDescent="0.15">
      <c r="A228">
        <f t="shared" si="11"/>
        <v>41502</v>
      </c>
      <c r="B228">
        <f t="shared" si="9"/>
        <v>6</v>
      </c>
      <c r="C228">
        <f t="shared" si="10"/>
        <v>8</v>
      </c>
    </row>
    <row r="229" spans="1:3" x14ac:dyDescent="0.15">
      <c r="A229">
        <f t="shared" si="11"/>
        <v>41503</v>
      </c>
      <c r="B229">
        <f t="shared" si="9"/>
        <v>7</v>
      </c>
      <c r="C229">
        <f t="shared" si="10"/>
        <v>8</v>
      </c>
    </row>
    <row r="230" spans="1:3" x14ac:dyDescent="0.15">
      <c r="A230">
        <f t="shared" si="11"/>
        <v>41504</v>
      </c>
      <c r="B230">
        <f t="shared" si="9"/>
        <v>1</v>
      </c>
      <c r="C230">
        <f t="shared" si="10"/>
        <v>8</v>
      </c>
    </row>
    <row r="231" spans="1:3" x14ac:dyDescent="0.15">
      <c r="A231">
        <f t="shared" si="11"/>
        <v>41505</v>
      </c>
      <c r="B231">
        <f t="shared" si="9"/>
        <v>2</v>
      </c>
      <c r="C231">
        <f t="shared" si="10"/>
        <v>8</v>
      </c>
    </row>
    <row r="232" spans="1:3" x14ac:dyDescent="0.15">
      <c r="A232">
        <f t="shared" si="11"/>
        <v>41506</v>
      </c>
      <c r="B232">
        <f t="shared" si="9"/>
        <v>3</v>
      </c>
      <c r="C232">
        <f t="shared" si="10"/>
        <v>8</v>
      </c>
    </row>
    <row r="233" spans="1:3" x14ac:dyDescent="0.15">
      <c r="A233">
        <f t="shared" si="11"/>
        <v>41507</v>
      </c>
      <c r="B233">
        <f t="shared" si="9"/>
        <v>4</v>
      </c>
      <c r="C233">
        <f t="shared" si="10"/>
        <v>8</v>
      </c>
    </row>
    <row r="234" spans="1:3" x14ac:dyDescent="0.15">
      <c r="A234">
        <f t="shared" si="11"/>
        <v>41508</v>
      </c>
      <c r="B234">
        <f t="shared" si="9"/>
        <v>5</v>
      </c>
      <c r="C234">
        <f t="shared" si="10"/>
        <v>8</v>
      </c>
    </row>
    <row r="235" spans="1:3" x14ac:dyDescent="0.15">
      <c r="A235">
        <f t="shared" si="11"/>
        <v>41509</v>
      </c>
      <c r="B235">
        <f t="shared" si="9"/>
        <v>6</v>
      </c>
      <c r="C235">
        <f t="shared" si="10"/>
        <v>8</v>
      </c>
    </row>
    <row r="236" spans="1:3" x14ac:dyDescent="0.15">
      <c r="A236">
        <f t="shared" si="11"/>
        <v>41510</v>
      </c>
      <c r="B236">
        <f t="shared" si="9"/>
        <v>7</v>
      </c>
      <c r="C236">
        <f t="shared" si="10"/>
        <v>8</v>
      </c>
    </row>
    <row r="237" spans="1:3" x14ac:dyDescent="0.15">
      <c r="A237">
        <f t="shared" si="11"/>
        <v>41511</v>
      </c>
      <c r="B237">
        <f t="shared" si="9"/>
        <v>1</v>
      </c>
      <c r="C237">
        <f t="shared" si="10"/>
        <v>8</v>
      </c>
    </row>
    <row r="238" spans="1:3" x14ac:dyDescent="0.15">
      <c r="A238">
        <f t="shared" si="11"/>
        <v>41512</v>
      </c>
      <c r="B238">
        <f t="shared" si="9"/>
        <v>2</v>
      </c>
      <c r="C238">
        <f t="shared" si="10"/>
        <v>8</v>
      </c>
    </row>
    <row r="239" spans="1:3" x14ac:dyDescent="0.15">
      <c r="A239">
        <f t="shared" si="11"/>
        <v>41513</v>
      </c>
      <c r="B239">
        <f t="shared" si="9"/>
        <v>3</v>
      </c>
      <c r="C239">
        <f t="shared" si="10"/>
        <v>8</v>
      </c>
    </row>
    <row r="240" spans="1:3" x14ac:dyDescent="0.15">
      <c r="A240">
        <f t="shared" si="11"/>
        <v>41514</v>
      </c>
      <c r="B240">
        <f t="shared" si="9"/>
        <v>4</v>
      </c>
      <c r="C240">
        <f t="shared" si="10"/>
        <v>8</v>
      </c>
    </row>
    <row r="241" spans="1:3" x14ac:dyDescent="0.15">
      <c r="A241">
        <f t="shared" si="11"/>
        <v>41515</v>
      </c>
      <c r="B241">
        <f t="shared" si="9"/>
        <v>5</v>
      </c>
      <c r="C241">
        <f t="shared" si="10"/>
        <v>8</v>
      </c>
    </row>
    <row r="242" spans="1:3" x14ac:dyDescent="0.15">
      <c r="A242">
        <f t="shared" si="11"/>
        <v>41516</v>
      </c>
      <c r="B242">
        <f t="shared" si="9"/>
        <v>6</v>
      </c>
      <c r="C242">
        <f t="shared" si="10"/>
        <v>8</v>
      </c>
    </row>
    <row r="243" spans="1:3" x14ac:dyDescent="0.15">
      <c r="A243">
        <f t="shared" si="11"/>
        <v>41517</v>
      </c>
      <c r="B243">
        <f t="shared" si="9"/>
        <v>7</v>
      </c>
      <c r="C243">
        <f t="shared" si="10"/>
        <v>8</v>
      </c>
    </row>
    <row r="244" spans="1:3" x14ac:dyDescent="0.15">
      <c r="A244">
        <f t="shared" si="11"/>
        <v>41518</v>
      </c>
      <c r="B244">
        <f t="shared" si="9"/>
        <v>1</v>
      </c>
      <c r="C244">
        <f t="shared" si="10"/>
        <v>9</v>
      </c>
    </row>
    <row r="245" spans="1:3" x14ac:dyDescent="0.15">
      <c r="A245">
        <f t="shared" si="11"/>
        <v>41519</v>
      </c>
      <c r="B245">
        <f t="shared" si="9"/>
        <v>2</v>
      </c>
      <c r="C245">
        <f t="shared" si="10"/>
        <v>9</v>
      </c>
    </row>
    <row r="246" spans="1:3" x14ac:dyDescent="0.15">
      <c r="A246">
        <f t="shared" si="11"/>
        <v>41520</v>
      </c>
      <c r="B246">
        <f t="shared" si="9"/>
        <v>3</v>
      </c>
      <c r="C246">
        <f t="shared" si="10"/>
        <v>9</v>
      </c>
    </row>
    <row r="247" spans="1:3" x14ac:dyDescent="0.15">
      <c r="A247">
        <f t="shared" si="11"/>
        <v>41521</v>
      </c>
      <c r="B247">
        <f t="shared" si="9"/>
        <v>4</v>
      </c>
      <c r="C247">
        <f t="shared" si="10"/>
        <v>9</v>
      </c>
    </row>
    <row r="248" spans="1:3" x14ac:dyDescent="0.15">
      <c r="A248">
        <f t="shared" si="11"/>
        <v>41522</v>
      </c>
      <c r="B248">
        <f t="shared" si="9"/>
        <v>5</v>
      </c>
      <c r="C248">
        <f t="shared" si="10"/>
        <v>9</v>
      </c>
    </row>
    <row r="249" spans="1:3" x14ac:dyDescent="0.15">
      <c r="A249">
        <f t="shared" si="11"/>
        <v>41523</v>
      </c>
      <c r="B249">
        <f t="shared" si="9"/>
        <v>6</v>
      </c>
      <c r="C249">
        <f t="shared" si="10"/>
        <v>9</v>
      </c>
    </row>
    <row r="250" spans="1:3" x14ac:dyDescent="0.15">
      <c r="A250">
        <f t="shared" si="11"/>
        <v>41524</v>
      </c>
      <c r="B250">
        <f t="shared" si="9"/>
        <v>7</v>
      </c>
      <c r="C250">
        <f t="shared" si="10"/>
        <v>9</v>
      </c>
    </row>
    <row r="251" spans="1:3" x14ac:dyDescent="0.15">
      <c r="A251">
        <f t="shared" si="11"/>
        <v>41525</v>
      </c>
      <c r="B251">
        <f t="shared" si="9"/>
        <v>1</v>
      </c>
      <c r="C251">
        <f t="shared" si="10"/>
        <v>9</v>
      </c>
    </row>
    <row r="252" spans="1:3" x14ac:dyDescent="0.15">
      <c r="A252">
        <f t="shared" si="11"/>
        <v>41526</v>
      </c>
      <c r="B252">
        <f t="shared" si="9"/>
        <v>2</v>
      </c>
      <c r="C252">
        <f t="shared" si="10"/>
        <v>9</v>
      </c>
    </row>
    <row r="253" spans="1:3" x14ac:dyDescent="0.15">
      <c r="A253">
        <f t="shared" si="11"/>
        <v>41527</v>
      </c>
      <c r="B253">
        <f t="shared" si="9"/>
        <v>3</v>
      </c>
      <c r="C253">
        <f t="shared" si="10"/>
        <v>9</v>
      </c>
    </row>
    <row r="254" spans="1:3" x14ac:dyDescent="0.15">
      <c r="A254">
        <f t="shared" si="11"/>
        <v>41528</v>
      </c>
      <c r="B254">
        <f t="shared" si="9"/>
        <v>4</v>
      </c>
      <c r="C254">
        <f t="shared" si="10"/>
        <v>9</v>
      </c>
    </row>
    <row r="255" spans="1:3" x14ac:dyDescent="0.15">
      <c r="A255">
        <f t="shared" si="11"/>
        <v>41529</v>
      </c>
      <c r="B255">
        <f t="shared" si="9"/>
        <v>5</v>
      </c>
      <c r="C255">
        <f t="shared" si="10"/>
        <v>9</v>
      </c>
    </row>
    <row r="256" spans="1:3" x14ac:dyDescent="0.15">
      <c r="A256">
        <f t="shared" si="11"/>
        <v>41530</v>
      </c>
      <c r="B256">
        <f t="shared" si="9"/>
        <v>6</v>
      </c>
      <c r="C256">
        <f t="shared" si="10"/>
        <v>9</v>
      </c>
    </row>
    <row r="257" spans="1:3" x14ac:dyDescent="0.15">
      <c r="A257">
        <f t="shared" si="11"/>
        <v>41531</v>
      </c>
      <c r="B257">
        <f t="shared" ref="B257:B320" si="12">WEEKDAY(A257)</f>
        <v>7</v>
      </c>
      <c r="C257">
        <f t="shared" ref="C257:C320" si="13">MONTH(A257)</f>
        <v>9</v>
      </c>
    </row>
    <row r="258" spans="1:3" x14ac:dyDescent="0.15">
      <c r="A258">
        <f t="shared" ref="A258:A321" si="14">+A257+1</f>
        <v>41532</v>
      </c>
      <c r="B258">
        <f t="shared" si="12"/>
        <v>1</v>
      </c>
      <c r="C258">
        <f t="shared" si="13"/>
        <v>9</v>
      </c>
    </row>
    <row r="259" spans="1:3" x14ac:dyDescent="0.15">
      <c r="A259">
        <f t="shared" si="14"/>
        <v>41533</v>
      </c>
      <c r="B259">
        <f t="shared" si="12"/>
        <v>2</v>
      </c>
      <c r="C259">
        <f t="shared" si="13"/>
        <v>9</v>
      </c>
    </row>
    <row r="260" spans="1:3" x14ac:dyDescent="0.15">
      <c r="A260">
        <f t="shared" si="14"/>
        <v>41534</v>
      </c>
      <c r="B260">
        <f t="shared" si="12"/>
        <v>3</v>
      </c>
      <c r="C260">
        <f t="shared" si="13"/>
        <v>9</v>
      </c>
    </row>
    <row r="261" spans="1:3" x14ac:dyDescent="0.15">
      <c r="A261">
        <f t="shared" si="14"/>
        <v>41535</v>
      </c>
      <c r="B261">
        <f t="shared" si="12"/>
        <v>4</v>
      </c>
      <c r="C261">
        <f t="shared" si="13"/>
        <v>9</v>
      </c>
    </row>
    <row r="262" spans="1:3" x14ac:dyDescent="0.15">
      <c r="A262">
        <f t="shared" si="14"/>
        <v>41536</v>
      </c>
      <c r="B262">
        <f t="shared" si="12"/>
        <v>5</v>
      </c>
      <c r="C262">
        <f t="shared" si="13"/>
        <v>9</v>
      </c>
    </row>
    <row r="263" spans="1:3" x14ac:dyDescent="0.15">
      <c r="A263">
        <f t="shared" si="14"/>
        <v>41537</v>
      </c>
      <c r="B263">
        <f t="shared" si="12"/>
        <v>6</v>
      </c>
      <c r="C263">
        <f t="shared" si="13"/>
        <v>9</v>
      </c>
    </row>
    <row r="264" spans="1:3" x14ac:dyDescent="0.15">
      <c r="A264">
        <f t="shared" si="14"/>
        <v>41538</v>
      </c>
      <c r="B264">
        <f t="shared" si="12"/>
        <v>7</v>
      </c>
      <c r="C264">
        <f t="shared" si="13"/>
        <v>9</v>
      </c>
    </row>
    <row r="265" spans="1:3" x14ac:dyDescent="0.15">
      <c r="A265">
        <f t="shared" si="14"/>
        <v>41539</v>
      </c>
      <c r="B265">
        <f t="shared" si="12"/>
        <v>1</v>
      </c>
      <c r="C265">
        <f t="shared" si="13"/>
        <v>9</v>
      </c>
    </row>
    <row r="266" spans="1:3" x14ac:dyDescent="0.15">
      <c r="A266">
        <f t="shared" si="14"/>
        <v>41540</v>
      </c>
      <c r="B266">
        <f t="shared" si="12"/>
        <v>2</v>
      </c>
      <c r="C266">
        <f t="shared" si="13"/>
        <v>9</v>
      </c>
    </row>
    <row r="267" spans="1:3" x14ac:dyDescent="0.15">
      <c r="A267">
        <f t="shared" si="14"/>
        <v>41541</v>
      </c>
      <c r="B267">
        <f t="shared" si="12"/>
        <v>3</v>
      </c>
      <c r="C267">
        <f t="shared" si="13"/>
        <v>9</v>
      </c>
    </row>
    <row r="268" spans="1:3" x14ac:dyDescent="0.15">
      <c r="A268">
        <f t="shared" si="14"/>
        <v>41542</v>
      </c>
      <c r="B268">
        <f t="shared" si="12"/>
        <v>4</v>
      </c>
      <c r="C268">
        <f t="shared" si="13"/>
        <v>9</v>
      </c>
    </row>
    <row r="269" spans="1:3" x14ac:dyDescent="0.15">
      <c r="A269">
        <f t="shared" si="14"/>
        <v>41543</v>
      </c>
      <c r="B269">
        <f t="shared" si="12"/>
        <v>5</v>
      </c>
      <c r="C269">
        <f t="shared" si="13"/>
        <v>9</v>
      </c>
    </row>
    <row r="270" spans="1:3" x14ac:dyDescent="0.15">
      <c r="A270">
        <f t="shared" si="14"/>
        <v>41544</v>
      </c>
      <c r="B270">
        <f t="shared" si="12"/>
        <v>6</v>
      </c>
      <c r="C270">
        <f t="shared" si="13"/>
        <v>9</v>
      </c>
    </row>
    <row r="271" spans="1:3" x14ac:dyDescent="0.15">
      <c r="A271">
        <f t="shared" si="14"/>
        <v>41545</v>
      </c>
      <c r="B271">
        <f t="shared" si="12"/>
        <v>7</v>
      </c>
      <c r="C271">
        <f t="shared" si="13"/>
        <v>9</v>
      </c>
    </row>
    <row r="272" spans="1:3" x14ac:dyDescent="0.15">
      <c r="A272">
        <f t="shared" si="14"/>
        <v>41546</v>
      </c>
      <c r="B272">
        <f t="shared" si="12"/>
        <v>1</v>
      </c>
      <c r="C272">
        <f t="shared" si="13"/>
        <v>9</v>
      </c>
    </row>
    <row r="273" spans="1:3" x14ac:dyDescent="0.15">
      <c r="A273">
        <f t="shared" si="14"/>
        <v>41547</v>
      </c>
      <c r="B273">
        <f t="shared" si="12"/>
        <v>2</v>
      </c>
      <c r="C273">
        <f t="shared" si="13"/>
        <v>9</v>
      </c>
    </row>
    <row r="274" spans="1:3" x14ac:dyDescent="0.15">
      <c r="A274">
        <f t="shared" si="14"/>
        <v>41548</v>
      </c>
      <c r="B274">
        <f t="shared" si="12"/>
        <v>3</v>
      </c>
      <c r="C274">
        <f t="shared" si="13"/>
        <v>10</v>
      </c>
    </row>
    <row r="275" spans="1:3" x14ac:dyDescent="0.15">
      <c r="A275">
        <f t="shared" si="14"/>
        <v>41549</v>
      </c>
      <c r="B275">
        <f t="shared" si="12"/>
        <v>4</v>
      </c>
      <c r="C275">
        <f t="shared" si="13"/>
        <v>10</v>
      </c>
    </row>
    <row r="276" spans="1:3" x14ac:dyDescent="0.15">
      <c r="A276">
        <f t="shared" si="14"/>
        <v>41550</v>
      </c>
      <c r="B276">
        <f t="shared" si="12"/>
        <v>5</v>
      </c>
      <c r="C276">
        <f t="shared" si="13"/>
        <v>10</v>
      </c>
    </row>
    <row r="277" spans="1:3" x14ac:dyDescent="0.15">
      <c r="A277">
        <f t="shared" si="14"/>
        <v>41551</v>
      </c>
      <c r="B277">
        <f t="shared" si="12"/>
        <v>6</v>
      </c>
      <c r="C277">
        <f t="shared" si="13"/>
        <v>10</v>
      </c>
    </row>
    <row r="278" spans="1:3" x14ac:dyDescent="0.15">
      <c r="A278">
        <f t="shared" si="14"/>
        <v>41552</v>
      </c>
      <c r="B278">
        <f t="shared" si="12"/>
        <v>7</v>
      </c>
      <c r="C278">
        <f t="shared" si="13"/>
        <v>10</v>
      </c>
    </row>
    <row r="279" spans="1:3" x14ac:dyDescent="0.15">
      <c r="A279">
        <f t="shared" si="14"/>
        <v>41553</v>
      </c>
      <c r="B279">
        <f t="shared" si="12"/>
        <v>1</v>
      </c>
      <c r="C279">
        <f t="shared" si="13"/>
        <v>10</v>
      </c>
    </row>
    <row r="280" spans="1:3" x14ac:dyDescent="0.15">
      <c r="A280">
        <f t="shared" si="14"/>
        <v>41554</v>
      </c>
      <c r="B280">
        <f t="shared" si="12"/>
        <v>2</v>
      </c>
      <c r="C280">
        <f t="shared" si="13"/>
        <v>10</v>
      </c>
    </row>
    <row r="281" spans="1:3" x14ac:dyDescent="0.15">
      <c r="A281">
        <f t="shared" si="14"/>
        <v>41555</v>
      </c>
      <c r="B281">
        <f t="shared" si="12"/>
        <v>3</v>
      </c>
      <c r="C281">
        <f t="shared" si="13"/>
        <v>10</v>
      </c>
    </row>
    <row r="282" spans="1:3" x14ac:dyDescent="0.15">
      <c r="A282">
        <f t="shared" si="14"/>
        <v>41556</v>
      </c>
      <c r="B282">
        <f t="shared" si="12"/>
        <v>4</v>
      </c>
      <c r="C282">
        <f t="shared" si="13"/>
        <v>10</v>
      </c>
    </row>
    <row r="283" spans="1:3" x14ac:dyDescent="0.15">
      <c r="A283">
        <f t="shared" si="14"/>
        <v>41557</v>
      </c>
      <c r="B283">
        <f t="shared" si="12"/>
        <v>5</v>
      </c>
      <c r="C283">
        <f t="shared" si="13"/>
        <v>10</v>
      </c>
    </row>
    <row r="284" spans="1:3" x14ac:dyDescent="0.15">
      <c r="A284">
        <f t="shared" si="14"/>
        <v>41558</v>
      </c>
      <c r="B284">
        <f t="shared" si="12"/>
        <v>6</v>
      </c>
      <c r="C284">
        <f t="shared" si="13"/>
        <v>10</v>
      </c>
    </row>
    <row r="285" spans="1:3" x14ac:dyDescent="0.15">
      <c r="A285">
        <f t="shared" si="14"/>
        <v>41559</v>
      </c>
      <c r="B285">
        <f t="shared" si="12"/>
        <v>7</v>
      </c>
      <c r="C285">
        <f t="shared" si="13"/>
        <v>10</v>
      </c>
    </row>
    <row r="286" spans="1:3" x14ac:dyDescent="0.15">
      <c r="A286">
        <f t="shared" si="14"/>
        <v>41560</v>
      </c>
      <c r="B286">
        <f t="shared" si="12"/>
        <v>1</v>
      </c>
      <c r="C286">
        <f t="shared" si="13"/>
        <v>10</v>
      </c>
    </row>
    <row r="287" spans="1:3" x14ac:dyDescent="0.15">
      <c r="A287">
        <f t="shared" si="14"/>
        <v>41561</v>
      </c>
      <c r="B287">
        <f t="shared" si="12"/>
        <v>2</v>
      </c>
      <c r="C287">
        <f t="shared" si="13"/>
        <v>10</v>
      </c>
    </row>
    <row r="288" spans="1:3" x14ac:dyDescent="0.15">
      <c r="A288">
        <f t="shared" si="14"/>
        <v>41562</v>
      </c>
      <c r="B288">
        <f t="shared" si="12"/>
        <v>3</v>
      </c>
      <c r="C288">
        <f t="shared" si="13"/>
        <v>10</v>
      </c>
    </row>
    <row r="289" spans="1:3" x14ac:dyDescent="0.15">
      <c r="A289">
        <f t="shared" si="14"/>
        <v>41563</v>
      </c>
      <c r="B289">
        <f t="shared" si="12"/>
        <v>4</v>
      </c>
      <c r="C289">
        <f t="shared" si="13"/>
        <v>10</v>
      </c>
    </row>
    <row r="290" spans="1:3" x14ac:dyDescent="0.15">
      <c r="A290">
        <f t="shared" si="14"/>
        <v>41564</v>
      </c>
      <c r="B290">
        <f t="shared" si="12"/>
        <v>5</v>
      </c>
      <c r="C290">
        <f t="shared" si="13"/>
        <v>10</v>
      </c>
    </row>
    <row r="291" spans="1:3" x14ac:dyDescent="0.15">
      <c r="A291">
        <f t="shared" si="14"/>
        <v>41565</v>
      </c>
      <c r="B291">
        <f t="shared" si="12"/>
        <v>6</v>
      </c>
      <c r="C291">
        <f t="shared" si="13"/>
        <v>10</v>
      </c>
    </row>
    <row r="292" spans="1:3" x14ac:dyDescent="0.15">
      <c r="A292">
        <f t="shared" si="14"/>
        <v>41566</v>
      </c>
      <c r="B292">
        <f t="shared" si="12"/>
        <v>7</v>
      </c>
      <c r="C292">
        <f t="shared" si="13"/>
        <v>10</v>
      </c>
    </row>
    <row r="293" spans="1:3" x14ac:dyDescent="0.15">
      <c r="A293">
        <f t="shared" si="14"/>
        <v>41567</v>
      </c>
      <c r="B293">
        <f t="shared" si="12"/>
        <v>1</v>
      </c>
      <c r="C293">
        <f t="shared" si="13"/>
        <v>10</v>
      </c>
    </row>
    <row r="294" spans="1:3" x14ac:dyDescent="0.15">
      <c r="A294">
        <f t="shared" si="14"/>
        <v>41568</v>
      </c>
      <c r="B294">
        <f t="shared" si="12"/>
        <v>2</v>
      </c>
      <c r="C294">
        <f t="shared" si="13"/>
        <v>10</v>
      </c>
    </row>
    <row r="295" spans="1:3" x14ac:dyDescent="0.15">
      <c r="A295">
        <f t="shared" si="14"/>
        <v>41569</v>
      </c>
      <c r="B295">
        <f t="shared" si="12"/>
        <v>3</v>
      </c>
      <c r="C295">
        <f t="shared" si="13"/>
        <v>10</v>
      </c>
    </row>
    <row r="296" spans="1:3" x14ac:dyDescent="0.15">
      <c r="A296">
        <f t="shared" si="14"/>
        <v>41570</v>
      </c>
      <c r="B296">
        <f t="shared" si="12"/>
        <v>4</v>
      </c>
      <c r="C296">
        <f t="shared" si="13"/>
        <v>10</v>
      </c>
    </row>
    <row r="297" spans="1:3" x14ac:dyDescent="0.15">
      <c r="A297">
        <f t="shared" si="14"/>
        <v>41571</v>
      </c>
      <c r="B297">
        <f t="shared" si="12"/>
        <v>5</v>
      </c>
      <c r="C297">
        <f t="shared" si="13"/>
        <v>10</v>
      </c>
    </row>
    <row r="298" spans="1:3" x14ac:dyDescent="0.15">
      <c r="A298">
        <f t="shared" si="14"/>
        <v>41572</v>
      </c>
      <c r="B298">
        <f t="shared" si="12"/>
        <v>6</v>
      </c>
      <c r="C298">
        <f t="shared" si="13"/>
        <v>10</v>
      </c>
    </row>
    <row r="299" spans="1:3" x14ac:dyDescent="0.15">
      <c r="A299">
        <f t="shared" si="14"/>
        <v>41573</v>
      </c>
      <c r="B299">
        <f t="shared" si="12"/>
        <v>7</v>
      </c>
      <c r="C299">
        <f t="shared" si="13"/>
        <v>10</v>
      </c>
    </row>
    <row r="300" spans="1:3" x14ac:dyDescent="0.15">
      <c r="A300">
        <f t="shared" si="14"/>
        <v>41574</v>
      </c>
      <c r="B300">
        <f t="shared" si="12"/>
        <v>1</v>
      </c>
      <c r="C300">
        <f t="shared" si="13"/>
        <v>10</v>
      </c>
    </row>
    <row r="301" spans="1:3" x14ac:dyDescent="0.15">
      <c r="A301">
        <f t="shared" si="14"/>
        <v>41575</v>
      </c>
      <c r="B301">
        <f t="shared" si="12"/>
        <v>2</v>
      </c>
      <c r="C301">
        <f t="shared" si="13"/>
        <v>10</v>
      </c>
    </row>
    <row r="302" spans="1:3" x14ac:dyDescent="0.15">
      <c r="A302">
        <f t="shared" si="14"/>
        <v>41576</v>
      </c>
      <c r="B302">
        <f t="shared" si="12"/>
        <v>3</v>
      </c>
      <c r="C302">
        <f t="shared" si="13"/>
        <v>10</v>
      </c>
    </row>
    <row r="303" spans="1:3" x14ac:dyDescent="0.15">
      <c r="A303">
        <f t="shared" si="14"/>
        <v>41577</v>
      </c>
      <c r="B303">
        <f t="shared" si="12"/>
        <v>4</v>
      </c>
      <c r="C303">
        <f t="shared" si="13"/>
        <v>10</v>
      </c>
    </row>
    <row r="304" spans="1:3" x14ac:dyDescent="0.15">
      <c r="A304">
        <f t="shared" si="14"/>
        <v>41578</v>
      </c>
      <c r="B304">
        <f t="shared" si="12"/>
        <v>5</v>
      </c>
      <c r="C304">
        <f t="shared" si="13"/>
        <v>10</v>
      </c>
    </row>
    <row r="305" spans="1:3" x14ac:dyDescent="0.15">
      <c r="A305">
        <f t="shared" si="14"/>
        <v>41579</v>
      </c>
      <c r="B305">
        <f t="shared" si="12"/>
        <v>6</v>
      </c>
      <c r="C305">
        <f t="shared" si="13"/>
        <v>11</v>
      </c>
    </row>
    <row r="306" spans="1:3" x14ac:dyDescent="0.15">
      <c r="A306">
        <f t="shared" si="14"/>
        <v>41580</v>
      </c>
      <c r="B306">
        <f t="shared" si="12"/>
        <v>7</v>
      </c>
      <c r="C306">
        <f t="shared" si="13"/>
        <v>11</v>
      </c>
    </row>
    <row r="307" spans="1:3" x14ac:dyDescent="0.15">
      <c r="A307">
        <f t="shared" si="14"/>
        <v>41581</v>
      </c>
      <c r="B307">
        <f t="shared" si="12"/>
        <v>1</v>
      </c>
      <c r="C307">
        <f t="shared" si="13"/>
        <v>11</v>
      </c>
    </row>
    <row r="308" spans="1:3" x14ac:dyDescent="0.15">
      <c r="A308">
        <f t="shared" si="14"/>
        <v>41582</v>
      </c>
      <c r="B308">
        <f t="shared" si="12"/>
        <v>2</v>
      </c>
      <c r="C308">
        <f t="shared" si="13"/>
        <v>11</v>
      </c>
    </row>
    <row r="309" spans="1:3" x14ac:dyDescent="0.15">
      <c r="A309">
        <f t="shared" si="14"/>
        <v>41583</v>
      </c>
      <c r="B309">
        <f t="shared" si="12"/>
        <v>3</v>
      </c>
      <c r="C309">
        <f t="shared" si="13"/>
        <v>11</v>
      </c>
    </row>
    <row r="310" spans="1:3" x14ac:dyDescent="0.15">
      <c r="A310">
        <f t="shared" si="14"/>
        <v>41584</v>
      </c>
      <c r="B310">
        <f t="shared" si="12"/>
        <v>4</v>
      </c>
      <c r="C310">
        <f t="shared" si="13"/>
        <v>11</v>
      </c>
    </row>
    <row r="311" spans="1:3" x14ac:dyDescent="0.15">
      <c r="A311">
        <f t="shared" si="14"/>
        <v>41585</v>
      </c>
      <c r="B311">
        <f t="shared" si="12"/>
        <v>5</v>
      </c>
      <c r="C311">
        <f t="shared" si="13"/>
        <v>11</v>
      </c>
    </row>
    <row r="312" spans="1:3" x14ac:dyDescent="0.15">
      <c r="A312">
        <f t="shared" si="14"/>
        <v>41586</v>
      </c>
      <c r="B312">
        <f t="shared" si="12"/>
        <v>6</v>
      </c>
      <c r="C312">
        <f t="shared" si="13"/>
        <v>11</v>
      </c>
    </row>
    <row r="313" spans="1:3" x14ac:dyDescent="0.15">
      <c r="A313">
        <f t="shared" si="14"/>
        <v>41587</v>
      </c>
      <c r="B313">
        <f t="shared" si="12"/>
        <v>7</v>
      </c>
      <c r="C313">
        <f t="shared" si="13"/>
        <v>11</v>
      </c>
    </row>
    <row r="314" spans="1:3" x14ac:dyDescent="0.15">
      <c r="A314">
        <f t="shared" si="14"/>
        <v>41588</v>
      </c>
      <c r="B314">
        <f t="shared" si="12"/>
        <v>1</v>
      </c>
      <c r="C314">
        <f t="shared" si="13"/>
        <v>11</v>
      </c>
    </row>
    <row r="315" spans="1:3" x14ac:dyDescent="0.15">
      <c r="A315">
        <f t="shared" si="14"/>
        <v>41589</v>
      </c>
      <c r="B315">
        <f t="shared" si="12"/>
        <v>2</v>
      </c>
      <c r="C315">
        <f t="shared" si="13"/>
        <v>11</v>
      </c>
    </row>
    <row r="316" spans="1:3" x14ac:dyDescent="0.15">
      <c r="A316">
        <f t="shared" si="14"/>
        <v>41590</v>
      </c>
      <c r="B316">
        <f t="shared" si="12"/>
        <v>3</v>
      </c>
      <c r="C316">
        <f t="shared" si="13"/>
        <v>11</v>
      </c>
    </row>
    <row r="317" spans="1:3" x14ac:dyDescent="0.15">
      <c r="A317">
        <f t="shared" si="14"/>
        <v>41591</v>
      </c>
      <c r="B317">
        <f t="shared" si="12"/>
        <v>4</v>
      </c>
      <c r="C317">
        <f t="shared" si="13"/>
        <v>11</v>
      </c>
    </row>
    <row r="318" spans="1:3" x14ac:dyDescent="0.15">
      <c r="A318">
        <f t="shared" si="14"/>
        <v>41592</v>
      </c>
      <c r="B318">
        <f t="shared" si="12"/>
        <v>5</v>
      </c>
      <c r="C318">
        <f t="shared" si="13"/>
        <v>11</v>
      </c>
    </row>
    <row r="319" spans="1:3" x14ac:dyDescent="0.15">
      <c r="A319">
        <f t="shared" si="14"/>
        <v>41593</v>
      </c>
      <c r="B319">
        <f t="shared" si="12"/>
        <v>6</v>
      </c>
      <c r="C319">
        <f t="shared" si="13"/>
        <v>11</v>
      </c>
    </row>
    <row r="320" spans="1:3" x14ac:dyDescent="0.15">
      <c r="A320">
        <f t="shared" si="14"/>
        <v>41594</v>
      </c>
      <c r="B320">
        <f t="shared" si="12"/>
        <v>7</v>
      </c>
      <c r="C320">
        <f t="shared" si="13"/>
        <v>11</v>
      </c>
    </row>
    <row r="321" spans="1:3" x14ac:dyDescent="0.15">
      <c r="A321">
        <f t="shared" si="14"/>
        <v>41595</v>
      </c>
      <c r="B321">
        <f t="shared" ref="B321:B365" si="15">WEEKDAY(A321)</f>
        <v>1</v>
      </c>
      <c r="C321">
        <f t="shared" ref="C321:C365" si="16">MONTH(A321)</f>
        <v>11</v>
      </c>
    </row>
    <row r="322" spans="1:3" x14ac:dyDescent="0.15">
      <c r="A322">
        <f t="shared" ref="A322:A365" si="17">+A321+1</f>
        <v>41596</v>
      </c>
      <c r="B322">
        <f t="shared" si="15"/>
        <v>2</v>
      </c>
      <c r="C322">
        <f t="shared" si="16"/>
        <v>11</v>
      </c>
    </row>
    <row r="323" spans="1:3" x14ac:dyDescent="0.15">
      <c r="A323">
        <f t="shared" si="17"/>
        <v>41597</v>
      </c>
      <c r="B323">
        <f t="shared" si="15"/>
        <v>3</v>
      </c>
      <c r="C323">
        <f t="shared" si="16"/>
        <v>11</v>
      </c>
    </row>
    <row r="324" spans="1:3" x14ac:dyDescent="0.15">
      <c r="A324">
        <f t="shared" si="17"/>
        <v>41598</v>
      </c>
      <c r="B324">
        <f t="shared" si="15"/>
        <v>4</v>
      </c>
      <c r="C324">
        <f t="shared" si="16"/>
        <v>11</v>
      </c>
    </row>
    <row r="325" spans="1:3" x14ac:dyDescent="0.15">
      <c r="A325">
        <f t="shared" si="17"/>
        <v>41599</v>
      </c>
      <c r="B325">
        <f t="shared" si="15"/>
        <v>5</v>
      </c>
      <c r="C325">
        <f t="shared" si="16"/>
        <v>11</v>
      </c>
    </row>
    <row r="326" spans="1:3" x14ac:dyDescent="0.15">
      <c r="A326">
        <f t="shared" si="17"/>
        <v>41600</v>
      </c>
      <c r="B326">
        <f t="shared" si="15"/>
        <v>6</v>
      </c>
      <c r="C326">
        <f t="shared" si="16"/>
        <v>11</v>
      </c>
    </row>
    <row r="327" spans="1:3" x14ac:dyDescent="0.15">
      <c r="A327">
        <f t="shared" si="17"/>
        <v>41601</v>
      </c>
      <c r="B327">
        <f t="shared" si="15"/>
        <v>7</v>
      </c>
      <c r="C327">
        <f t="shared" si="16"/>
        <v>11</v>
      </c>
    </row>
    <row r="328" spans="1:3" x14ac:dyDescent="0.15">
      <c r="A328">
        <f t="shared" si="17"/>
        <v>41602</v>
      </c>
      <c r="B328">
        <f t="shared" si="15"/>
        <v>1</v>
      </c>
      <c r="C328">
        <f t="shared" si="16"/>
        <v>11</v>
      </c>
    </row>
    <row r="329" spans="1:3" x14ac:dyDescent="0.15">
      <c r="A329">
        <f t="shared" si="17"/>
        <v>41603</v>
      </c>
      <c r="B329">
        <f t="shared" si="15"/>
        <v>2</v>
      </c>
      <c r="C329">
        <f t="shared" si="16"/>
        <v>11</v>
      </c>
    </row>
    <row r="330" spans="1:3" x14ac:dyDescent="0.15">
      <c r="A330">
        <f t="shared" si="17"/>
        <v>41604</v>
      </c>
      <c r="B330">
        <f t="shared" si="15"/>
        <v>3</v>
      </c>
      <c r="C330">
        <f t="shared" si="16"/>
        <v>11</v>
      </c>
    </row>
    <row r="331" spans="1:3" x14ac:dyDescent="0.15">
      <c r="A331">
        <f t="shared" si="17"/>
        <v>41605</v>
      </c>
      <c r="B331">
        <f t="shared" si="15"/>
        <v>4</v>
      </c>
      <c r="C331">
        <f t="shared" si="16"/>
        <v>11</v>
      </c>
    </row>
    <row r="332" spans="1:3" x14ac:dyDescent="0.15">
      <c r="A332">
        <f t="shared" si="17"/>
        <v>41606</v>
      </c>
      <c r="B332">
        <f t="shared" si="15"/>
        <v>5</v>
      </c>
      <c r="C332">
        <f t="shared" si="16"/>
        <v>11</v>
      </c>
    </row>
    <row r="333" spans="1:3" x14ac:dyDescent="0.15">
      <c r="A333">
        <f t="shared" si="17"/>
        <v>41607</v>
      </c>
      <c r="B333">
        <f t="shared" si="15"/>
        <v>6</v>
      </c>
      <c r="C333">
        <f t="shared" si="16"/>
        <v>11</v>
      </c>
    </row>
    <row r="334" spans="1:3" x14ac:dyDescent="0.15">
      <c r="A334">
        <f t="shared" si="17"/>
        <v>41608</v>
      </c>
      <c r="B334">
        <f t="shared" si="15"/>
        <v>7</v>
      </c>
      <c r="C334">
        <f t="shared" si="16"/>
        <v>11</v>
      </c>
    </row>
    <row r="335" spans="1:3" x14ac:dyDescent="0.15">
      <c r="A335">
        <f t="shared" si="17"/>
        <v>41609</v>
      </c>
      <c r="B335">
        <f t="shared" si="15"/>
        <v>1</v>
      </c>
      <c r="C335">
        <f t="shared" si="16"/>
        <v>12</v>
      </c>
    </row>
    <row r="336" spans="1:3" x14ac:dyDescent="0.15">
      <c r="A336">
        <f t="shared" si="17"/>
        <v>41610</v>
      </c>
      <c r="B336">
        <f t="shared" si="15"/>
        <v>2</v>
      </c>
      <c r="C336">
        <f t="shared" si="16"/>
        <v>12</v>
      </c>
    </row>
    <row r="337" spans="1:3" x14ac:dyDescent="0.15">
      <c r="A337">
        <f t="shared" si="17"/>
        <v>41611</v>
      </c>
      <c r="B337">
        <f t="shared" si="15"/>
        <v>3</v>
      </c>
      <c r="C337">
        <f t="shared" si="16"/>
        <v>12</v>
      </c>
    </row>
    <row r="338" spans="1:3" x14ac:dyDescent="0.15">
      <c r="A338">
        <f t="shared" si="17"/>
        <v>41612</v>
      </c>
      <c r="B338">
        <f t="shared" si="15"/>
        <v>4</v>
      </c>
      <c r="C338">
        <f t="shared" si="16"/>
        <v>12</v>
      </c>
    </row>
    <row r="339" spans="1:3" x14ac:dyDescent="0.15">
      <c r="A339">
        <f t="shared" si="17"/>
        <v>41613</v>
      </c>
      <c r="B339">
        <f t="shared" si="15"/>
        <v>5</v>
      </c>
      <c r="C339">
        <f t="shared" si="16"/>
        <v>12</v>
      </c>
    </row>
    <row r="340" spans="1:3" x14ac:dyDescent="0.15">
      <c r="A340">
        <f t="shared" si="17"/>
        <v>41614</v>
      </c>
      <c r="B340">
        <f t="shared" si="15"/>
        <v>6</v>
      </c>
      <c r="C340">
        <f t="shared" si="16"/>
        <v>12</v>
      </c>
    </row>
    <row r="341" spans="1:3" x14ac:dyDescent="0.15">
      <c r="A341">
        <f t="shared" si="17"/>
        <v>41615</v>
      </c>
      <c r="B341">
        <f t="shared" si="15"/>
        <v>7</v>
      </c>
      <c r="C341">
        <f t="shared" si="16"/>
        <v>12</v>
      </c>
    </row>
    <row r="342" spans="1:3" x14ac:dyDescent="0.15">
      <c r="A342">
        <f t="shared" si="17"/>
        <v>41616</v>
      </c>
      <c r="B342">
        <f t="shared" si="15"/>
        <v>1</v>
      </c>
      <c r="C342">
        <f t="shared" si="16"/>
        <v>12</v>
      </c>
    </row>
    <row r="343" spans="1:3" x14ac:dyDescent="0.15">
      <c r="A343">
        <f t="shared" si="17"/>
        <v>41617</v>
      </c>
      <c r="B343">
        <f t="shared" si="15"/>
        <v>2</v>
      </c>
      <c r="C343">
        <f t="shared" si="16"/>
        <v>12</v>
      </c>
    </row>
    <row r="344" spans="1:3" x14ac:dyDescent="0.15">
      <c r="A344">
        <f t="shared" si="17"/>
        <v>41618</v>
      </c>
      <c r="B344">
        <f t="shared" si="15"/>
        <v>3</v>
      </c>
      <c r="C344">
        <f t="shared" si="16"/>
        <v>12</v>
      </c>
    </row>
    <row r="345" spans="1:3" x14ac:dyDescent="0.15">
      <c r="A345">
        <f t="shared" si="17"/>
        <v>41619</v>
      </c>
      <c r="B345">
        <f t="shared" si="15"/>
        <v>4</v>
      </c>
      <c r="C345">
        <f t="shared" si="16"/>
        <v>12</v>
      </c>
    </row>
    <row r="346" spans="1:3" x14ac:dyDescent="0.15">
      <c r="A346">
        <f t="shared" si="17"/>
        <v>41620</v>
      </c>
      <c r="B346">
        <f t="shared" si="15"/>
        <v>5</v>
      </c>
      <c r="C346">
        <f t="shared" si="16"/>
        <v>12</v>
      </c>
    </row>
    <row r="347" spans="1:3" x14ac:dyDescent="0.15">
      <c r="A347">
        <f t="shared" si="17"/>
        <v>41621</v>
      </c>
      <c r="B347">
        <f t="shared" si="15"/>
        <v>6</v>
      </c>
      <c r="C347">
        <f t="shared" si="16"/>
        <v>12</v>
      </c>
    </row>
    <row r="348" spans="1:3" x14ac:dyDescent="0.15">
      <c r="A348">
        <f t="shared" si="17"/>
        <v>41622</v>
      </c>
      <c r="B348">
        <f t="shared" si="15"/>
        <v>7</v>
      </c>
      <c r="C348">
        <f t="shared" si="16"/>
        <v>12</v>
      </c>
    </row>
    <row r="349" spans="1:3" x14ac:dyDescent="0.15">
      <c r="A349">
        <f t="shared" si="17"/>
        <v>41623</v>
      </c>
      <c r="B349">
        <f t="shared" si="15"/>
        <v>1</v>
      </c>
      <c r="C349">
        <f t="shared" si="16"/>
        <v>12</v>
      </c>
    </row>
    <row r="350" spans="1:3" x14ac:dyDescent="0.15">
      <c r="A350">
        <f t="shared" si="17"/>
        <v>41624</v>
      </c>
      <c r="B350">
        <f t="shared" si="15"/>
        <v>2</v>
      </c>
      <c r="C350">
        <f t="shared" si="16"/>
        <v>12</v>
      </c>
    </row>
    <row r="351" spans="1:3" x14ac:dyDescent="0.15">
      <c r="A351">
        <f t="shared" si="17"/>
        <v>41625</v>
      </c>
      <c r="B351">
        <f t="shared" si="15"/>
        <v>3</v>
      </c>
      <c r="C351">
        <f t="shared" si="16"/>
        <v>12</v>
      </c>
    </row>
    <row r="352" spans="1:3" x14ac:dyDescent="0.15">
      <c r="A352">
        <f t="shared" si="17"/>
        <v>41626</v>
      </c>
      <c r="B352">
        <f t="shared" si="15"/>
        <v>4</v>
      </c>
      <c r="C352">
        <f t="shared" si="16"/>
        <v>12</v>
      </c>
    </row>
    <row r="353" spans="1:3" x14ac:dyDescent="0.15">
      <c r="A353">
        <f t="shared" si="17"/>
        <v>41627</v>
      </c>
      <c r="B353">
        <f t="shared" si="15"/>
        <v>5</v>
      </c>
      <c r="C353">
        <f t="shared" si="16"/>
        <v>12</v>
      </c>
    </row>
    <row r="354" spans="1:3" x14ac:dyDescent="0.15">
      <c r="A354">
        <f t="shared" si="17"/>
        <v>41628</v>
      </c>
      <c r="B354">
        <f t="shared" si="15"/>
        <v>6</v>
      </c>
      <c r="C354">
        <f t="shared" si="16"/>
        <v>12</v>
      </c>
    </row>
    <row r="355" spans="1:3" x14ac:dyDescent="0.15">
      <c r="A355">
        <f t="shared" si="17"/>
        <v>41629</v>
      </c>
      <c r="B355">
        <f t="shared" si="15"/>
        <v>7</v>
      </c>
      <c r="C355">
        <f t="shared" si="16"/>
        <v>12</v>
      </c>
    </row>
    <row r="356" spans="1:3" x14ac:dyDescent="0.15">
      <c r="A356">
        <f t="shared" si="17"/>
        <v>41630</v>
      </c>
      <c r="B356">
        <f t="shared" si="15"/>
        <v>1</v>
      </c>
      <c r="C356">
        <f t="shared" si="16"/>
        <v>12</v>
      </c>
    </row>
    <row r="357" spans="1:3" x14ac:dyDescent="0.15">
      <c r="A357">
        <f t="shared" si="17"/>
        <v>41631</v>
      </c>
      <c r="B357">
        <f t="shared" si="15"/>
        <v>2</v>
      </c>
      <c r="C357">
        <f t="shared" si="16"/>
        <v>12</v>
      </c>
    </row>
    <row r="358" spans="1:3" x14ac:dyDescent="0.15">
      <c r="A358">
        <f t="shared" si="17"/>
        <v>41632</v>
      </c>
      <c r="B358">
        <f t="shared" si="15"/>
        <v>3</v>
      </c>
      <c r="C358">
        <f t="shared" si="16"/>
        <v>12</v>
      </c>
    </row>
    <row r="359" spans="1:3" x14ac:dyDescent="0.15">
      <c r="A359">
        <f t="shared" si="17"/>
        <v>41633</v>
      </c>
      <c r="B359">
        <f t="shared" si="15"/>
        <v>4</v>
      </c>
      <c r="C359">
        <f t="shared" si="16"/>
        <v>12</v>
      </c>
    </row>
    <row r="360" spans="1:3" x14ac:dyDescent="0.15">
      <c r="A360">
        <f t="shared" si="17"/>
        <v>41634</v>
      </c>
      <c r="B360">
        <f t="shared" si="15"/>
        <v>5</v>
      </c>
      <c r="C360">
        <f t="shared" si="16"/>
        <v>12</v>
      </c>
    </row>
    <row r="361" spans="1:3" x14ac:dyDescent="0.15">
      <c r="A361">
        <f t="shared" si="17"/>
        <v>41635</v>
      </c>
      <c r="B361">
        <f t="shared" si="15"/>
        <v>6</v>
      </c>
      <c r="C361">
        <f t="shared" si="16"/>
        <v>12</v>
      </c>
    </row>
    <row r="362" spans="1:3" x14ac:dyDescent="0.15">
      <c r="A362">
        <f t="shared" si="17"/>
        <v>41636</v>
      </c>
      <c r="B362">
        <f t="shared" si="15"/>
        <v>7</v>
      </c>
      <c r="C362">
        <f t="shared" si="16"/>
        <v>12</v>
      </c>
    </row>
    <row r="363" spans="1:3" x14ac:dyDescent="0.15">
      <c r="A363">
        <f t="shared" si="17"/>
        <v>41637</v>
      </c>
      <c r="B363">
        <f t="shared" si="15"/>
        <v>1</v>
      </c>
      <c r="C363">
        <f t="shared" si="16"/>
        <v>12</v>
      </c>
    </row>
    <row r="364" spans="1:3" x14ac:dyDescent="0.15">
      <c r="A364">
        <f t="shared" si="17"/>
        <v>41638</v>
      </c>
      <c r="B364">
        <f t="shared" si="15"/>
        <v>2</v>
      </c>
      <c r="C364">
        <f t="shared" si="16"/>
        <v>12</v>
      </c>
    </row>
    <row r="365" spans="1:3" x14ac:dyDescent="0.15">
      <c r="A365">
        <f t="shared" si="17"/>
        <v>41639</v>
      </c>
      <c r="B365">
        <f t="shared" si="15"/>
        <v>3</v>
      </c>
      <c r="C365">
        <f t="shared" si="16"/>
        <v>12</v>
      </c>
    </row>
  </sheetData>
  <sheetProtection password="C4AC" sheet="1" objects="1" scenarios="1"/>
  <phoneticPr fontId="4" type="noConversion"/>
  <pageMargins left="0.75" right="0.75" top="1" bottom="1" header="0.4921259845" footer="0.4921259845"/>
  <pageSetup paperSize="9" orientation="portrait" horizont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/>
  <dimension ref="A1:AJ42"/>
  <sheetViews>
    <sheetView showGridLines="0" zoomScale="80" zoomScaleNormal="80" workbookViewId="0"/>
  </sheetViews>
  <sheetFormatPr defaultColWidth="9.75" defaultRowHeight="12.75" x14ac:dyDescent="0.2"/>
  <cols>
    <col min="1" max="1" width="3.75" style="1" customWidth="1"/>
    <col min="2" max="2" width="2.75" style="1" customWidth="1"/>
    <col min="3" max="4" width="6.125" style="1" customWidth="1"/>
    <col min="5" max="5" width="4" style="1" customWidth="1"/>
    <col min="6" max="6" width="4.5" style="1" customWidth="1"/>
    <col min="7" max="10" width="6.125" style="1" customWidth="1"/>
    <col min="11" max="11" width="5.875" style="1" customWidth="1"/>
    <col min="12" max="13" width="6.125" style="1" customWidth="1"/>
    <col min="14" max="14" width="5.25" style="1" customWidth="1"/>
    <col min="15" max="15" width="4.5" style="1" customWidth="1"/>
    <col min="16" max="16" width="6.125" style="1" customWidth="1"/>
    <col min="17" max="17" width="5.5" style="1" customWidth="1"/>
    <col min="18" max="19" width="6.125" style="1" customWidth="1"/>
    <col min="20" max="20" width="5.875" style="1" customWidth="1"/>
    <col min="21" max="22" width="6.125" style="1" customWidth="1"/>
    <col min="23" max="23" width="4.375" style="1" customWidth="1"/>
    <col min="24" max="24" width="4.25" style="1" customWidth="1"/>
    <col min="25" max="29" width="6.125" style="1" customWidth="1"/>
    <col min="30" max="36" width="15.625" style="1" customWidth="1"/>
  </cols>
  <sheetData>
    <row r="1" spans="1:36" ht="30" customHeight="1" x14ac:dyDescent="0.35">
      <c r="A1" s="22"/>
      <c r="B1" s="4"/>
      <c r="C1" s="105" t="s">
        <v>15</v>
      </c>
      <c r="D1" s="106"/>
      <c r="E1" s="106"/>
      <c r="F1" s="106"/>
      <c r="G1" s="106"/>
      <c r="H1" s="106"/>
      <c r="I1" s="106"/>
      <c r="J1" s="106"/>
      <c r="K1" s="106"/>
      <c r="L1" s="105" t="str">
        <f>Kalenteri!$H$1</f>
        <v>KÄVIJÄTILASTO 2013</v>
      </c>
      <c r="M1" s="107"/>
      <c r="N1" s="107"/>
      <c r="O1" s="107"/>
      <c r="P1" s="106"/>
      <c r="Q1" s="106"/>
      <c r="R1" s="105" t="s">
        <v>70</v>
      </c>
      <c r="S1" s="108"/>
      <c r="T1" s="106"/>
      <c r="U1" s="109"/>
      <c r="V1" s="105" t="s">
        <v>20</v>
      </c>
      <c r="W1" s="109"/>
      <c r="X1" s="106"/>
      <c r="Y1" s="106"/>
      <c r="Z1" s="106"/>
      <c r="AA1" s="106"/>
      <c r="AB1" s="106"/>
      <c r="AC1" s="106"/>
      <c r="AD1" s="110"/>
      <c r="AE1" s="4"/>
      <c r="AF1" s="4"/>
      <c r="AG1" s="4"/>
      <c r="AH1" s="4"/>
      <c r="AI1" s="4"/>
      <c r="AJ1" s="4"/>
    </row>
    <row r="2" spans="1:36" ht="30" customHeight="1" x14ac:dyDescent="0.3">
      <c r="A2" s="3"/>
      <c r="B2" s="4"/>
      <c r="C2" s="72"/>
      <c r="D2" s="73"/>
      <c r="E2" s="74" t="s">
        <v>1</v>
      </c>
      <c r="F2" s="75"/>
      <c r="G2" s="75"/>
      <c r="H2" s="75"/>
      <c r="I2" s="75"/>
      <c r="J2" s="75"/>
      <c r="K2" s="76"/>
      <c r="L2" s="72"/>
      <c r="M2" s="77"/>
      <c r="N2" s="73"/>
      <c r="O2" s="74" t="s">
        <v>2</v>
      </c>
      <c r="P2" s="75"/>
      <c r="Q2" s="75"/>
      <c r="R2" s="75"/>
      <c r="S2" s="75"/>
      <c r="T2" s="76"/>
      <c r="U2" s="72"/>
      <c r="V2" s="75"/>
      <c r="W2" s="73"/>
      <c r="X2" s="74" t="s">
        <v>3</v>
      </c>
      <c r="Y2" s="75"/>
      <c r="Z2" s="75"/>
      <c r="AA2" s="75"/>
      <c r="AB2" s="75"/>
      <c r="AC2" s="76"/>
      <c r="AD2" s="13"/>
      <c r="AE2" s="35"/>
      <c r="AF2" s="69"/>
      <c r="AG2" s="69"/>
      <c r="AH2" s="69"/>
      <c r="AI2" s="69"/>
      <c r="AJ2" s="69"/>
    </row>
    <row r="3" spans="1:36" x14ac:dyDescent="0.2">
      <c r="A3" s="4"/>
      <c r="B3" s="4"/>
      <c r="C3" s="24" t="s">
        <v>4</v>
      </c>
      <c r="D3" s="25"/>
      <c r="E3" s="25"/>
      <c r="F3" s="26"/>
      <c r="G3" s="24" t="s">
        <v>5</v>
      </c>
      <c r="H3" s="26"/>
      <c r="I3" s="25" t="s">
        <v>6</v>
      </c>
      <c r="J3" s="25"/>
      <c r="K3" s="27"/>
      <c r="L3" s="24" t="s">
        <v>4</v>
      </c>
      <c r="M3" s="25"/>
      <c r="N3" s="25"/>
      <c r="O3" s="26"/>
      <c r="P3" s="24" t="s">
        <v>5</v>
      </c>
      <c r="Q3" s="26"/>
      <c r="R3" s="25" t="s">
        <v>6</v>
      </c>
      <c r="S3" s="25"/>
      <c r="T3" s="27"/>
      <c r="U3" s="24" t="s">
        <v>4</v>
      </c>
      <c r="V3" s="25"/>
      <c r="W3" s="25"/>
      <c r="X3" s="26"/>
      <c r="Y3" s="24" t="s">
        <v>5</v>
      </c>
      <c r="Z3" s="26"/>
      <c r="AA3" s="25" t="s">
        <v>6</v>
      </c>
      <c r="AB3" s="25"/>
      <c r="AC3" s="27"/>
      <c r="AD3" s="36" t="s">
        <v>7</v>
      </c>
      <c r="AE3" s="38"/>
      <c r="AF3" s="70"/>
      <c r="AG3" s="70"/>
      <c r="AH3" s="70"/>
      <c r="AI3" s="70"/>
      <c r="AJ3"/>
    </row>
    <row r="4" spans="1:36" x14ac:dyDescent="0.2">
      <c r="A4" s="6"/>
      <c r="B4" s="4"/>
      <c r="C4" s="7" t="s">
        <v>8</v>
      </c>
      <c r="D4" s="8" t="s">
        <v>9</v>
      </c>
      <c r="E4" s="8" t="s">
        <v>10</v>
      </c>
      <c r="F4" s="9" t="s">
        <v>11</v>
      </c>
      <c r="G4" s="7" t="s">
        <v>8</v>
      </c>
      <c r="H4" s="9" t="s">
        <v>9</v>
      </c>
      <c r="I4" s="8" t="s">
        <v>8</v>
      </c>
      <c r="J4" s="8" t="s">
        <v>9</v>
      </c>
      <c r="K4" s="14" t="s">
        <v>0</v>
      </c>
      <c r="L4" s="7" t="s">
        <v>8</v>
      </c>
      <c r="M4" s="8" t="s">
        <v>9</v>
      </c>
      <c r="N4" s="8" t="s">
        <v>10</v>
      </c>
      <c r="O4" s="9" t="s">
        <v>11</v>
      </c>
      <c r="P4" s="7" t="s">
        <v>8</v>
      </c>
      <c r="Q4" s="9" t="s">
        <v>9</v>
      </c>
      <c r="R4" s="8" t="s">
        <v>8</v>
      </c>
      <c r="S4" s="8" t="s">
        <v>9</v>
      </c>
      <c r="T4" s="14" t="s">
        <v>0</v>
      </c>
      <c r="U4" s="7" t="s">
        <v>8</v>
      </c>
      <c r="V4" s="8" t="s">
        <v>9</v>
      </c>
      <c r="W4" s="8" t="s">
        <v>10</v>
      </c>
      <c r="X4" s="9" t="s">
        <v>11</v>
      </c>
      <c r="Y4" s="7" t="s">
        <v>8</v>
      </c>
      <c r="Z4" s="9" t="s">
        <v>9</v>
      </c>
      <c r="AA4" s="8" t="s">
        <v>8</v>
      </c>
      <c r="AB4" s="8" t="s">
        <v>9</v>
      </c>
      <c r="AC4" s="14" t="s">
        <v>0</v>
      </c>
      <c r="AD4" s="28"/>
      <c r="AE4" s="23"/>
      <c r="AF4" s="23"/>
      <c r="AG4" s="23"/>
      <c r="AH4" s="23"/>
      <c r="AI4" s="23"/>
      <c r="AJ4"/>
    </row>
    <row r="5" spans="1:36" x14ac:dyDescent="0.2">
      <c r="A5" s="5">
        <f>DAY(Kalenteri!A60)</f>
        <v>1</v>
      </c>
      <c r="B5" s="3" t="str">
        <f>IF(Kalenteri!B60=1,"su",IF(Kalenteri!B60=2,"ma",IF(Kalenteri!B60=3,"ti",IF(Kalenteri!B60=4,"ke",IF(Kalenteri!B60=5,"to",IF(Kalenteri!B60=6,"pe",IF(Kalenteri!B60=7,"la",)))))))</f>
        <v>pe</v>
      </c>
      <c r="C5" s="78">
        <v>114</v>
      </c>
      <c r="D5" s="15">
        <v>43</v>
      </c>
      <c r="E5" s="15"/>
      <c r="F5" s="16">
        <v>5</v>
      </c>
      <c r="G5" s="78">
        <v>13</v>
      </c>
      <c r="H5" s="16">
        <v>92</v>
      </c>
      <c r="I5" s="78">
        <v>2</v>
      </c>
      <c r="J5" s="16">
        <v>3</v>
      </c>
      <c r="K5" s="32">
        <f t="shared" ref="K5:K36" si="0">SUM(C5:J5)</f>
        <v>272</v>
      </c>
      <c r="L5" s="15"/>
      <c r="M5" s="15"/>
      <c r="N5" s="15"/>
      <c r="O5" s="16"/>
      <c r="P5" s="15"/>
      <c r="Q5" s="16"/>
      <c r="R5" s="29"/>
      <c r="S5" s="29"/>
      <c r="T5" s="32">
        <f t="shared" ref="T5:T36" si="1">SUM(L5:S5)</f>
        <v>0</v>
      </c>
      <c r="U5" s="15"/>
      <c r="V5" s="15"/>
      <c r="W5" s="15"/>
      <c r="X5" s="16"/>
      <c r="Y5" s="15"/>
      <c r="Z5" s="16"/>
      <c r="AA5" s="29"/>
      <c r="AB5" s="29"/>
      <c r="AC5" s="32">
        <f t="shared" ref="AC5:AC36" si="2">SUM(U5:AB5)</f>
        <v>0</v>
      </c>
      <c r="AD5" s="17">
        <f t="shared" ref="AD5:AD36" si="3">SUM(K5,T5,AC5)</f>
        <v>272</v>
      </c>
      <c r="AE5" s="39"/>
      <c r="AF5" s="39"/>
      <c r="AG5" s="39"/>
      <c r="AH5" s="39"/>
      <c r="AI5" s="39"/>
      <c r="AJ5"/>
    </row>
    <row r="6" spans="1:36" x14ac:dyDescent="0.2">
      <c r="A6" s="5">
        <f>DAY(Kalenteri!A61)</f>
        <v>2</v>
      </c>
      <c r="B6" s="3" t="str">
        <f>IF(Kalenteri!B61=1,"su",IF(Kalenteri!B61=2,"ma",IF(Kalenteri!B61=3,"ti",IF(Kalenteri!B61=4,"ke",IF(Kalenteri!B61=5,"to",IF(Kalenteri!B61=6,"pe",IF(Kalenteri!B61=7,"la",)))))))</f>
        <v>la</v>
      </c>
      <c r="C6" s="18">
        <v>326</v>
      </c>
      <c r="D6" s="10">
        <v>72</v>
      </c>
      <c r="E6" s="10">
        <v>3</v>
      </c>
      <c r="F6" s="11">
        <v>9</v>
      </c>
      <c r="G6" s="18">
        <v>2</v>
      </c>
      <c r="H6" s="11">
        <v>82</v>
      </c>
      <c r="I6" s="18">
        <v>6</v>
      </c>
      <c r="J6" s="11">
        <v>9</v>
      </c>
      <c r="K6" s="33">
        <f t="shared" si="0"/>
        <v>509</v>
      </c>
      <c r="L6" s="10"/>
      <c r="M6" s="10"/>
      <c r="N6" s="10"/>
      <c r="O6" s="11"/>
      <c r="P6" s="10"/>
      <c r="Q6" s="11"/>
      <c r="R6" s="30"/>
      <c r="S6" s="30"/>
      <c r="T6" s="33">
        <f t="shared" si="1"/>
        <v>0</v>
      </c>
      <c r="U6" s="10"/>
      <c r="V6" s="10"/>
      <c r="W6" s="10"/>
      <c r="X6" s="11"/>
      <c r="Y6" s="10"/>
      <c r="Z6" s="11"/>
      <c r="AA6" s="30"/>
      <c r="AB6" s="30"/>
      <c r="AC6" s="33">
        <f t="shared" si="2"/>
        <v>0</v>
      </c>
      <c r="AD6" s="12">
        <f t="shared" si="3"/>
        <v>509</v>
      </c>
      <c r="AE6" s="39"/>
      <c r="AF6" s="39"/>
      <c r="AG6" s="39"/>
      <c r="AH6" s="39"/>
      <c r="AI6" s="39"/>
      <c r="AJ6"/>
    </row>
    <row r="7" spans="1:36" x14ac:dyDescent="0.2">
      <c r="A7" s="5">
        <f>DAY(Kalenteri!A62)</f>
        <v>3</v>
      </c>
      <c r="B7" s="3" t="str">
        <f>IF(Kalenteri!B62=1,"su",IF(Kalenteri!B62=2,"ma",IF(Kalenteri!B62=3,"ti",IF(Kalenteri!B62=4,"ke",IF(Kalenteri!B62=5,"to",IF(Kalenteri!B62=6,"pe",IF(Kalenteri!B62=7,"la",)))))))</f>
        <v>su</v>
      </c>
      <c r="C7" s="18">
        <v>119</v>
      </c>
      <c r="D7" s="10">
        <v>26</v>
      </c>
      <c r="E7" s="10"/>
      <c r="F7" s="11">
        <v>20</v>
      </c>
      <c r="G7" s="18">
        <v>2</v>
      </c>
      <c r="H7" s="11">
        <v>25</v>
      </c>
      <c r="I7" s="18"/>
      <c r="J7" s="11"/>
      <c r="K7" s="33">
        <f t="shared" si="0"/>
        <v>192</v>
      </c>
      <c r="L7" s="10"/>
      <c r="M7" s="10"/>
      <c r="N7" s="10"/>
      <c r="O7" s="11"/>
      <c r="P7" s="10"/>
      <c r="Q7" s="11"/>
      <c r="R7" s="30"/>
      <c r="S7" s="30"/>
      <c r="T7" s="33">
        <f t="shared" si="1"/>
        <v>0</v>
      </c>
      <c r="U7" s="10"/>
      <c r="V7" s="10"/>
      <c r="W7" s="10"/>
      <c r="X7" s="11"/>
      <c r="Y7" s="10"/>
      <c r="Z7" s="11"/>
      <c r="AA7" s="30"/>
      <c r="AB7" s="30"/>
      <c r="AC7" s="33">
        <f t="shared" si="2"/>
        <v>0</v>
      </c>
      <c r="AD7" s="12">
        <f t="shared" si="3"/>
        <v>192</v>
      </c>
      <c r="AE7" s="39"/>
      <c r="AF7" s="39"/>
      <c r="AG7" s="39"/>
      <c r="AH7" s="39"/>
      <c r="AI7" s="39"/>
      <c r="AJ7"/>
    </row>
    <row r="8" spans="1:36" x14ac:dyDescent="0.2">
      <c r="A8" s="5">
        <f>DAY(Kalenteri!A63)</f>
        <v>4</v>
      </c>
      <c r="B8" s="3" t="str">
        <f>IF(Kalenteri!B63=1,"su",IF(Kalenteri!B63=2,"ma",IF(Kalenteri!B63=3,"ti",IF(Kalenteri!B63=4,"ke",IF(Kalenteri!B63=5,"to",IF(Kalenteri!B63=6,"pe",IF(Kalenteri!B63=7,"la",)))))))</f>
        <v>ma</v>
      </c>
      <c r="C8" s="18">
        <v>12</v>
      </c>
      <c r="D8" s="10">
        <v>1</v>
      </c>
      <c r="E8" s="10"/>
      <c r="F8" s="11">
        <v>1</v>
      </c>
      <c r="G8" s="18">
        <v>7</v>
      </c>
      <c r="H8" s="11">
        <v>40</v>
      </c>
      <c r="I8" s="18"/>
      <c r="J8" s="11"/>
      <c r="K8" s="33">
        <f t="shared" si="0"/>
        <v>61</v>
      </c>
      <c r="L8" s="10"/>
      <c r="M8" s="10"/>
      <c r="N8" s="10"/>
      <c r="O8" s="11"/>
      <c r="P8" s="10"/>
      <c r="Q8" s="11"/>
      <c r="R8" s="30"/>
      <c r="S8" s="30"/>
      <c r="T8" s="33">
        <f t="shared" si="1"/>
        <v>0</v>
      </c>
      <c r="U8" s="10"/>
      <c r="V8" s="10"/>
      <c r="W8" s="10"/>
      <c r="X8" s="11"/>
      <c r="Y8" s="10"/>
      <c r="Z8" s="11"/>
      <c r="AA8" s="30"/>
      <c r="AB8" s="30"/>
      <c r="AC8" s="33">
        <f t="shared" si="2"/>
        <v>0</v>
      </c>
      <c r="AD8" s="12">
        <f t="shared" si="3"/>
        <v>61</v>
      </c>
      <c r="AE8" s="39"/>
      <c r="AF8" s="39"/>
      <c r="AG8" s="39"/>
      <c r="AH8" s="39"/>
      <c r="AI8" s="39"/>
      <c r="AJ8"/>
    </row>
    <row r="9" spans="1:36" x14ac:dyDescent="0.2">
      <c r="A9" s="5">
        <f>DAY(Kalenteri!A64)</f>
        <v>5</v>
      </c>
      <c r="B9" s="3" t="str">
        <f>IF(Kalenteri!B64=1,"su",IF(Kalenteri!B64=2,"ma",IF(Kalenteri!B64=3,"ti",IF(Kalenteri!B64=4,"ke",IF(Kalenteri!B64=5,"to",IF(Kalenteri!B64=6,"pe",IF(Kalenteri!B64=7,"la",)))))))</f>
        <v>ti</v>
      </c>
      <c r="C9" s="18">
        <v>55</v>
      </c>
      <c r="D9" s="10">
        <v>13</v>
      </c>
      <c r="E9" s="10"/>
      <c r="F9" s="11">
        <v>2</v>
      </c>
      <c r="G9" s="18">
        <v>11</v>
      </c>
      <c r="H9" s="11">
        <v>93</v>
      </c>
      <c r="I9" s="18"/>
      <c r="J9" s="11"/>
      <c r="K9" s="33">
        <f t="shared" si="0"/>
        <v>174</v>
      </c>
      <c r="L9" s="10"/>
      <c r="M9" s="10"/>
      <c r="N9" s="10"/>
      <c r="O9" s="11"/>
      <c r="P9" s="10"/>
      <c r="Q9" s="11"/>
      <c r="R9" s="30"/>
      <c r="S9" s="30"/>
      <c r="T9" s="33">
        <f t="shared" si="1"/>
        <v>0</v>
      </c>
      <c r="U9" s="10"/>
      <c r="V9" s="10"/>
      <c r="W9" s="10"/>
      <c r="X9" s="11"/>
      <c r="Y9" s="10"/>
      <c r="Z9" s="11"/>
      <c r="AA9" s="30"/>
      <c r="AB9" s="30"/>
      <c r="AC9" s="33">
        <f t="shared" si="2"/>
        <v>0</v>
      </c>
      <c r="AD9" s="12">
        <f t="shared" si="3"/>
        <v>174</v>
      </c>
      <c r="AE9" s="39"/>
      <c r="AF9" s="39"/>
      <c r="AG9" s="39"/>
      <c r="AH9" s="39"/>
      <c r="AI9" s="39"/>
      <c r="AJ9"/>
    </row>
    <row r="10" spans="1:36" x14ac:dyDescent="0.2">
      <c r="A10" s="5">
        <f>DAY(Kalenteri!A65)</f>
        <v>6</v>
      </c>
      <c r="B10" s="3" t="str">
        <f>IF(Kalenteri!B65=1,"su",IF(Kalenteri!B65=2,"ma",IF(Kalenteri!B65=3,"ti",IF(Kalenteri!B65=4,"ke",IF(Kalenteri!B65=5,"to",IF(Kalenteri!B65=6,"pe",IF(Kalenteri!B65=7,"la",)))))))</f>
        <v>ke</v>
      </c>
      <c r="C10" s="18">
        <v>88</v>
      </c>
      <c r="D10" s="10">
        <v>11</v>
      </c>
      <c r="E10" s="10"/>
      <c r="F10" s="11">
        <v>2</v>
      </c>
      <c r="G10" s="18">
        <v>20</v>
      </c>
      <c r="H10" s="11">
        <v>85</v>
      </c>
      <c r="I10" s="18"/>
      <c r="J10" s="11"/>
      <c r="K10" s="33">
        <f t="shared" si="0"/>
        <v>206</v>
      </c>
      <c r="L10" s="10"/>
      <c r="M10" s="10"/>
      <c r="N10" s="10"/>
      <c r="O10" s="11"/>
      <c r="P10" s="10"/>
      <c r="Q10" s="11"/>
      <c r="R10" s="30"/>
      <c r="S10" s="30"/>
      <c r="T10" s="33">
        <f t="shared" si="1"/>
        <v>0</v>
      </c>
      <c r="U10" s="10"/>
      <c r="V10" s="10"/>
      <c r="W10" s="10"/>
      <c r="X10" s="11"/>
      <c r="Y10" s="10"/>
      <c r="Z10" s="11"/>
      <c r="AA10" s="30"/>
      <c r="AB10" s="30"/>
      <c r="AC10" s="33">
        <f t="shared" si="2"/>
        <v>0</v>
      </c>
      <c r="AD10" s="12">
        <f t="shared" si="3"/>
        <v>206</v>
      </c>
      <c r="AE10" s="39"/>
      <c r="AF10" s="39"/>
      <c r="AG10" s="39"/>
      <c r="AH10" s="39"/>
      <c r="AI10" s="39"/>
      <c r="AJ10"/>
    </row>
    <row r="11" spans="1:36" x14ac:dyDescent="0.2">
      <c r="A11" s="5">
        <f>DAY(Kalenteri!A66)</f>
        <v>7</v>
      </c>
      <c r="B11" s="3" t="str">
        <f>IF(Kalenteri!B66=1,"su",IF(Kalenteri!B66=2,"ma",IF(Kalenteri!B66=3,"ti",IF(Kalenteri!B66=4,"ke",IF(Kalenteri!B66=5,"to",IF(Kalenteri!B66=6,"pe",IF(Kalenteri!B66=7,"la",)))))))</f>
        <v>to</v>
      </c>
      <c r="C11" s="18">
        <v>92</v>
      </c>
      <c r="D11" s="10">
        <v>14</v>
      </c>
      <c r="E11" s="10">
        <v>14</v>
      </c>
      <c r="F11" s="11">
        <v>2</v>
      </c>
      <c r="G11" s="18">
        <v>21</v>
      </c>
      <c r="H11" s="11">
        <v>140</v>
      </c>
      <c r="I11" s="18">
        <v>3</v>
      </c>
      <c r="J11" s="11">
        <v>2</v>
      </c>
      <c r="K11" s="33">
        <f t="shared" si="0"/>
        <v>288</v>
      </c>
      <c r="L11" s="10"/>
      <c r="M11" s="10"/>
      <c r="N11" s="10"/>
      <c r="O11" s="11"/>
      <c r="P11" s="10"/>
      <c r="Q11" s="11"/>
      <c r="R11" s="30"/>
      <c r="S11" s="30"/>
      <c r="T11" s="33">
        <f t="shared" si="1"/>
        <v>0</v>
      </c>
      <c r="U11" s="10"/>
      <c r="V11" s="10"/>
      <c r="W11" s="10"/>
      <c r="X11" s="11"/>
      <c r="Y11" s="10"/>
      <c r="Z11" s="11"/>
      <c r="AA11" s="30"/>
      <c r="AB11" s="30"/>
      <c r="AC11" s="33">
        <f t="shared" si="2"/>
        <v>0</v>
      </c>
      <c r="AD11" s="12">
        <f t="shared" si="3"/>
        <v>288</v>
      </c>
      <c r="AE11" s="39"/>
      <c r="AF11" s="39"/>
      <c r="AG11" s="39"/>
      <c r="AH11" s="39"/>
      <c r="AI11" s="39"/>
      <c r="AJ11"/>
    </row>
    <row r="12" spans="1:36" x14ac:dyDescent="0.2">
      <c r="A12" s="5">
        <f>DAY(Kalenteri!A67)</f>
        <v>8</v>
      </c>
      <c r="B12" s="3" t="str">
        <f>IF(Kalenteri!B67=1,"su",IF(Kalenteri!B67=2,"ma",IF(Kalenteri!B67=3,"ti",IF(Kalenteri!B67=4,"ke",IF(Kalenteri!B67=5,"to",IF(Kalenteri!B67=6,"pe",IF(Kalenteri!B67=7,"la",)))))))</f>
        <v>pe</v>
      </c>
      <c r="C12" s="18">
        <v>138</v>
      </c>
      <c r="D12" s="10">
        <v>37</v>
      </c>
      <c r="E12" s="10"/>
      <c r="F12" s="11">
        <v>8</v>
      </c>
      <c r="G12" s="18">
        <v>5</v>
      </c>
      <c r="H12" s="11">
        <v>120</v>
      </c>
      <c r="I12" s="18"/>
      <c r="J12" s="11"/>
      <c r="K12" s="33">
        <f t="shared" si="0"/>
        <v>308</v>
      </c>
      <c r="L12" s="10"/>
      <c r="M12" s="10"/>
      <c r="N12" s="10"/>
      <c r="O12" s="11"/>
      <c r="P12" s="10"/>
      <c r="Q12" s="11"/>
      <c r="R12" s="30"/>
      <c r="S12" s="30"/>
      <c r="T12" s="33">
        <f t="shared" si="1"/>
        <v>0</v>
      </c>
      <c r="U12" s="10"/>
      <c r="V12" s="10"/>
      <c r="W12" s="10"/>
      <c r="X12" s="11"/>
      <c r="Y12" s="10"/>
      <c r="Z12" s="11"/>
      <c r="AA12" s="30"/>
      <c r="AB12" s="30"/>
      <c r="AC12" s="33">
        <f t="shared" si="2"/>
        <v>0</v>
      </c>
      <c r="AD12" s="12">
        <f t="shared" si="3"/>
        <v>308</v>
      </c>
      <c r="AE12" s="39"/>
      <c r="AF12" s="39"/>
      <c r="AG12" s="39"/>
      <c r="AH12" s="39"/>
      <c r="AI12" s="39"/>
      <c r="AJ12"/>
    </row>
    <row r="13" spans="1:36" x14ac:dyDescent="0.2">
      <c r="A13" s="5">
        <f>DAY(Kalenteri!A68)</f>
        <v>9</v>
      </c>
      <c r="B13" s="3" t="str">
        <f>IF(Kalenteri!B68=1,"su",IF(Kalenteri!B68=2,"ma",IF(Kalenteri!B68=3,"ti",IF(Kalenteri!B68=4,"ke",IF(Kalenteri!B68=5,"to",IF(Kalenteri!B68=6,"pe",IF(Kalenteri!B68=7,"la",)))))))</f>
        <v>la</v>
      </c>
      <c r="C13" s="18">
        <v>381</v>
      </c>
      <c r="D13" s="10">
        <v>91</v>
      </c>
      <c r="E13" s="10">
        <v>2</v>
      </c>
      <c r="F13" s="11">
        <v>16</v>
      </c>
      <c r="G13" s="18">
        <v>11</v>
      </c>
      <c r="H13" s="11">
        <v>105</v>
      </c>
      <c r="I13" s="18"/>
      <c r="J13" s="11"/>
      <c r="K13" s="33">
        <f t="shared" si="0"/>
        <v>606</v>
      </c>
      <c r="L13" s="10"/>
      <c r="M13" s="10"/>
      <c r="N13" s="10"/>
      <c r="O13" s="11"/>
      <c r="P13" s="10"/>
      <c r="Q13" s="11"/>
      <c r="R13" s="30"/>
      <c r="S13" s="30"/>
      <c r="T13" s="33">
        <f t="shared" si="1"/>
        <v>0</v>
      </c>
      <c r="U13" s="10"/>
      <c r="V13" s="10"/>
      <c r="W13" s="10"/>
      <c r="X13" s="11"/>
      <c r="Y13" s="10"/>
      <c r="Z13" s="11"/>
      <c r="AA13" s="30"/>
      <c r="AB13" s="30"/>
      <c r="AC13" s="33">
        <f t="shared" si="2"/>
        <v>0</v>
      </c>
      <c r="AD13" s="12">
        <f t="shared" si="3"/>
        <v>606</v>
      </c>
      <c r="AE13" s="39"/>
      <c r="AF13" s="39"/>
      <c r="AG13" s="39"/>
      <c r="AH13" s="39"/>
      <c r="AI13" s="39"/>
      <c r="AJ13"/>
    </row>
    <row r="14" spans="1:36" x14ac:dyDescent="0.2">
      <c r="A14" s="5">
        <f>DAY(Kalenteri!A69)</f>
        <v>10</v>
      </c>
      <c r="B14" s="3" t="str">
        <f>IF(Kalenteri!B69=1,"su",IF(Kalenteri!B69=2,"ma",IF(Kalenteri!B69=3,"ti",IF(Kalenteri!B69=4,"ke",IF(Kalenteri!B69=5,"to",IF(Kalenteri!B69=6,"pe",IF(Kalenteri!B69=7,"la",)))))))</f>
        <v>su</v>
      </c>
      <c r="C14" s="18">
        <v>295</v>
      </c>
      <c r="D14" s="10">
        <v>76</v>
      </c>
      <c r="E14" s="10">
        <v>5</v>
      </c>
      <c r="F14" s="11">
        <v>32</v>
      </c>
      <c r="G14" s="18"/>
      <c r="H14" s="11">
        <v>87</v>
      </c>
      <c r="I14" s="18"/>
      <c r="J14" s="11"/>
      <c r="K14" s="33">
        <f t="shared" si="0"/>
        <v>495</v>
      </c>
      <c r="L14" s="10"/>
      <c r="M14" s="10"/>
      <c r="N14" s="10"/>
      <c r="O14" s="11"/>
      <c r="P14" s="10"/>
      <c r="Q14" s="11"/>
      <c r="R14" s="30"/>
      <c r="S14" s="30"/>
      <c r="T14" s="33">
        <f t="shared" si="1"/>
        <v>0</v>
      </c>
      <c r="U14" s="10"/>
      <c r="V14" s="10"/>
      <c r="W14" s="10"/>
      <c r="X14" s="11"/>
      <c r="Y14" s="10"/>
      <c r="Z14" s="11"/>
      <c r="AA14" s="30"/>
      <c r="AB14" s="30"/>
      <c r="AC14" s="33">
        <f t="shared" si="2"/>
        <v>0</v>
      </c>
      <c r="AD14" s="12">
        <f t="shared" si="3"/>
        <v>495</v>
      </c>
      <c r="AE14" s="39"/>
      <c r="AF14" s="39"/>
      <c r="AG14" s="39"/>
      <c r="AH14" s="39"/>
      <c r="AI14" s="39"/>
      <c r="AJ14"/>
    </row>
    <row r="15" spans="1:36" x14ac:dyDescent="0.2">
      <c r="A15" s="5">
        <f>DAY(Kalenteri!A70)</f>
        <v>11</v>
      </c>
      <c r="B15" s="3" t="str">
        <f>IF(Kalenteri!B70=1,"su",IF(Kalenteri!B70=2,"ma",IF(Kalenteri!B70=3,"ti",IF(Kalenteri!B70=4,"ke",IF(Kalenteri!B70=5,"to",IF(Kalenteri!B70=6,"pe",IF(Kalenteri!B70=7,"la",)))))))</f>
        <v>ma</v>
      </c>
      <c r="C15" s="18">
        <v>13</v>
      </c>
      <c r="D15" s="10">
        <v>1</v>
      </c>
      <c r="E15" s="10"/>
      <c r="F15" s="11">
        <v>2</v>
      </c>
      <c r="G15" s="18">
        <v>13</v>
      </c>
      <c r="H15" s="11">
        <v>24</v>
      </c>
      <c r="I15" s="18"/>
      <c r="J15" s="11"/>
      <c r="K15" s="33">
        <f t="shared" si="0"/>
        <v>53</v>
      </c>
      <c r="L15" s="10"/>
      <c r="M15" s="10"/>
      <c r="N15" s="10"/>
      <c r="O15" s="11"/>
      <c r="P15" s="10"/>
      <c r="Q15" s="11"/>
      <c r="R15" s="30"/>
      <c r="S15" s="30"/>
      <c r="T15" s="33">
        <f t="shared" si="1"/>
        <v>0</v>
      </c>
      <c r="U15" s="10"/>
      <c r="V15" s="10"/>
      <c r="W15" s="10"/>
      <c r="X15" s="11"/>
      <c r="Y15" s="10"/>
      <c r="Z15" s="11"/>
      <c r="AA15" s="30"/>
      <c r="AB15" s="30"/>
      <c r="AC15" s="33">
        <f t="shared" si="2"/>
        <v>0</v>
      </c>
      <c r="AD15" s="12">
        <f t="shared" si="3"/>
        <v>53</v>
      </c>
      <c r="AE15" s="39"/>
      <c r="AF15" s="39"/>
      <c r="AG15" s="39"/>
      <c r="AH15" s="39"/>
      <c r="AI15" s="39"/>
      <c r="AJ15"/>
    </row>
    <row r="16" spans="1:36" x14ac:dyDescent="0.2">
      <c r="A16" s="5">
        <f>DAY(Kalenteri!A71)</f>
        <v>12</v>
      </c>
      <c r="B16" s="3" t="str">
        <f>IF(Kalenteri!B71=1,"su",IF(Kalenteri!B71=2,"ma",IF(Kalenteri!B71=3,"ti",IF(Kalenteri!B71=4,"ke",IF(Kalenteri!B71=5,"to",IF(Kalenteri!B71=6,"pe",IF(Kalenteri!B71=7,"la",)))))))</f>
        <v>ti</v>
      </c>
      <c r="C16" s="18">
        <v>39</v>
      </c>
      <c r="D16" s="10"/>
      <c r="E16" s="10">
        <v>2</v>
      </c>
      <c r="F16" s="11">
        <v>2</v>
      </c>
      <c r="G16" s="18">
        <v>1</v>
      </c>
      <c r="H16" s="11">
        <v>30</v>
      </c>
      <c r="I16" s="18"/>
      <c r="J16" s="11"/>
      <c r="K16" s="33">
        <f t="shared" si="0"/>
        <v>74</v>
      </c>
      <c r="L16" s="10"/>
      <c r="M16" s="10"/>
      <c r="N16" s="10"/>
      <c r="O16" s="11"/>
      <c r="P16" s="10"/>
      <c r="Q16" s="11"/>
      <c r="R16" s="30"/>
      <c r="S16" s="30"/>
      <c r="T16" s="33">
        <f t="shared" si="1"/>
        <v>0</v>
      </c>
      <c r="U16" s="10"/>
      <c r="V16" s="10"/>
      <c r="W16" s="10"/>
      <c r="X16" s="11"/>
      <c r="Y16" s="10"/>
      <c r="Z16" s="11"/>
      <c r="AA16" s="30"/>
      <c r="AB16" s="30"/>
      <c r="AC16" s="33">
        <f t="shared" si="2"/>
        <v>0</v>
      </c>
      <c r="AD16" s="12">
        <f t="shared" si="3"/>
        <v>74</v>
      </c>
      <c r="AE16" s="39"/>
      <c r="AF16" s="39"/>
      <c r="AG16" s="39"/>
      <c r="AH16" s="39"/>
      <c r="AI16" s="39"/>
      <c r="AJ16"/>
    </row>
    <row r="17" spans="1:36" x14ac:dyDescent="0.2">
      <c r="A17" s="5">
        <f>DAY(Kalenteri!A72)</f>
        <v>13</v>
      </c>
      <c r="B17" s="3" t="str">
        <f>IF(Kalenteri!B72=1,"su",IF(Kalenteri!B72=2,"ma",IF(Kalenteri!B72=3,"ti",IF(Kalenteri!B72=4,"ke",IF(Kalenteri!B72=5,"to",IF(Kalenteri!B72=6,"pe",IF(Kalenteri!B72=7,"la",)))))))</f>
        <v>ke</v>
      </c>
      <c r="C17" s="18">
        <v>27</v>
      </c>
      <c r="D17" s="10">
        <v>7</v>
      </c>
      <c r="E17" s="10"/>
      <c r="F17" s="11"/>
      <c r="G17" s="18">
        <v>22</v>
      </c>
      <c r="H17" s="11">
        <v>20</v>
      </c>
      <c r="I17" s="18"/>
      <c r="J17" s="11"/>
      <c r="K17" s="33">
        <f t="shared" si="0"/>
        <v>76</v>
      </c>
      <c r="L17" s="10"/>
      <c r="M17" s="10"/>
      <c r="N17" s="10"/>
      <c r="O17" s="11"/>
      <c r="P17" s="10"/>
      <c r="Q17" s="11"/>
      <c r="R17" s="30"/>
      <c r="S17" s="30"/>
      <c r="T17" s="33">
        <f t="shared" si="1"/>
        <v>0</v>
      </c>
      <c r="U17" s="10"/>
      <c r="V17" s="10"/>
      <c r="W17" s="10"/>
      <c r="X17" s="11"/>
      <c r="Y17" s="10"/>
      <c r="Z17" s="11"/>
      <c r="AA17" s="30"/>
      <c r="AB17" s="30"/>
      <c r="AC17" s="33">
        <f t="shared" si="2"/>
        <v>0</v>
      </c>
      <c r="AD17" s="12">
        <f t="shared" si="3"/>
        <v>76</v>
      </c>
      <c r="AE17" s="39"/>
      <c r="AF17" s="39"/>
      <c r="AG17" s="39"/>
      <c r="AH17" s="39"/>
      <c r="AI17" s="39"/>
      <c r="AJ17"/>
    </row>
    <row r="18" spans="1:36" x14ac:dyDescent="0.2">
      <c r="A18" s="5">
        <f>DAY(Kalenteri!A73)</f>
        <v>14</v>
      </c>
      <c r="B18" s="3" t="str">
        <f>IF(Kalenteri!B73=1,"su",IF(Kalenteri!B73=2,"ma",IF(Kalenteri!B73=3,"ti",IF(Kalenteri!B73=4,"ke",IF(Kalenteri!B73=5,"to",IF(Kalenteri!B73=6,"pe",IF(Kalenteri!B73=7,"la",)))))))</f>
        <v>to</v>
      </c>
      <c r="C18" s="18">
        <v>45</v>
      </c>
      <c r="D18" s="10">
        <v>3</v>
      </c>
      <c r="E18" s="10"/>
      <c r="F18" s="11">
        <v>4</v>
      </c>
      <c r="G18" s="18">
        <v>3</v>
      </c>
      <c r="H18" s="11">
        <v>24</v>
      </c>
      <c r="I18" s="18"/>
      <c r="J18" s="11"/>
      <c r="K18" s="33">
        <f t="shared" si="0"/>
        <v>79</v>
      </c>
      <c r="L18" s="10"/>
      <c r="M18" s="10"/>
      <c r="N18" s="10"/>
      <c r="O18" s="11"/>
      <c r="P18" s="10"/>
      <c r="Q18" s="11"/>
      <c r="R18" s="30"/>
      <c r="S18" s="30"/>
      <c r="T18" s="33">
        <f t="shared" si="1"/>
        <v>0</v>
      </c>
      <c r="U18" s="10"/>
      <c r="V18" s="10"/>
      <c r="W18" s="10"/>
      <c r="X18" s="11"/>
      <c r="Y18" s="10"/>
      <c r="Z18" s="11"/>
      <c r="AA18" s="30"/>
      <c r="AB18" s="30"/>
      <c r="AC18" s="33">
        <f t="shared" si="2"/>
        <v>0</v>
      </c>
      <c r="AD18" s="12">
        <f t="shared" si="3"/>
        <v>79</v>
      </c>
      <c r="AE18" s="39"/>
      <c r="AF18" s="39"/>
      <c r="AG18" s="39"/>
      <c r="AH18" s="39"/>
      <c r="AI18" s="39"/>
      <c r="AJ18"/>
    </row>
    <row r="19" spans="1:36" x14ac:dyDescent="0.2">
      <c r="A19" s="5">
        <f>DAY(Kalenteri!A74)</f>
        <v>15</v>
      </c>
      <c r="B19" s="3" t="str">
        <f>IF(Kalenteri!B74=1,"su",IF(Kalenteri!B74=2,"ma",IF(Kalenteri!B74=3,"ti",IF(Kalenteri!B74=4,"ke",IF(Kalenteri!B74=5,"to",IF(Kalenteri!B74=6,"pe",IF(Kalenteri!B74=7,"la",)))))))</f>
        <v>pe</v>
      </c>
      <c r="C19" s="18">
        <v>57</v>
      </c>
      <c r="D19" s="10">
        <v>12</v>
      </c>
      <c r="E19" s="10">
        <v>2</v>
      </c>
      <c r="F19" s="11">
        <v>3</v>
      </c>
      <c r="G19" s="18">
        <v>2</v>
      </c>
      <c r="H19" s="11">
        <v>26</v>
      </c>
      <c r="I19" s="18"/>
      <c r="J19" s="11"/>
      <c r="K19" s="33">
        <f t="shared" si="0"/>
        <v>102</v>
      </c>
      <c r="L19" s="10"/>
      <c r="M19" s="10"/>
      <c r="N19" s="10"/>
      <c r="O19" s="11"/>
      <c r="P19" s="10"/>
      <c r="Q19" s="11"/>
      <c r="R19" s="30"/>
      <c r="S19" s="30"/>
      <c r="T19" s="33">
        <f t="shared" si="1"/>
        <v>0</v>
      </c>
      <c r="U19" s="10"/>
      <c r="V19" s="10"/>
      <c r="W19" s="10"/>
      <c r="X19" s="11"/>
      <c r="Y19" s="10"/>
      <c r="Z19" s="11"/>
      <c r="AA19" s="30"/>
      <c r="AB19" s="30"/>
      <c r="AC19" s="33">
        <f t="shared" si="2"/>
        <v>0</v>
      </c>
      <c r="AD19" s="12">
        <f t="shared" si="3"/>
        <v>102</v>
      </c>
      <c r="AE19" s="39"/>
      <c r="AF19" s="39"/>
      <c r="AG19" s="39"/>
      <c r="AH19" s="39"/>
      <c r="AI19" s="39"/>
      <c r="AJ19"/>
    </row>
    <row r="20" spans="1:36" x14ac:dyDescent="0.2">
      <c r="A20" s="5">
        <f>DAY(Kalenteri!A75)</f>
        <v>16</v>
      </c>
      <c r="B20" s="3" t="str">
        <f>IF(Kalenteri!B75=1,"su",IF(Kalenteri!B75=2,"ma",IF(Kalenteri!B75=3,"ti",IF(Kalenteri!B75=4,"ke",IF(Kalenteri!B75=5,"to",IF(Kalenteri!B75=6,"pe",IF(Kalenteri!B75=7,"la",)))))))</f>
        <v>la</v>
      </c>
      <c r="C20" s="18">
        <v>441</v>
      </c>
      <c r="D20" s="10">
        <v>96</v>
      </c>
      <c r="E20" s="10"/>
      <c r="F20" s="11">
        <v>43</v>
      </c>
      <c r="G20" s="18">
        <v>4</v>
      </c>
      <c r="H20" s="11">
        <v>138</v>
      </c>
      <c r="I20" s="18"/>
      <c r="J20" s="11"/>
      <c r="K20" s="33">
        <f t="shared" si="0"/>
        <v>722</v>
      </c>
      <c r="L20" s="10"/>
      <c r="M20" s="10"/>
      <c r="N20" s="10"/>
      <c r="O20" s="11"/>
      <c r="P20" s="10"/>
      <c r="Q20" s="11"/>
      <c r="R20" s="30"/>
      <c r="S20" s="30"/>
      <c r="T20" s="33">
        <f t="shared" si="1"/>
        <v>0</v>
      </c>
      <c r="U20" s="10"/>
      <c r="V20" s="10"/>
      <c r="W20" s="10"/>
      <c r="X20" s="11"/>
      <c r="Y20" s="10"/>
      <c r="Z20" s="11"/>
      <c r="AA20" s="30"/>
      <c r="AB20" s="30"/>
      <c r="AC20" s="33">
        <f t="shared" si="2"/>
        <v>0</v>
      </c>
      <c r="AD20" s="12">
        <f t="shared" si="3"/>
        <v>722</v>
      </c>
      <c r="AE20" s="39"/>
      <c r="AF20" s="39"/>
      <c r="AG20" s="39"/>
      <c r="AH20" s="39"/>
      <c r="AI20" s="39"/>
      <c r="AJ20"/>
    </row>
    <row r="21" spans="1:36" x14ac:dyDescent="0.2">
      <c r="A21" s="5">
        <f>DAY(Kalenteri!A76)</f>
        <v>17</v>
      </c>
      <c r="B21" s="3" t="str">
        <f>IF(Kalenteri!B76=1,"su",IF(Kalenteri!B76=2,"ma",IF(Kalenteri!B76=3,"ti",IF(Kalenteri!B76=4,"ke",IF(Kalenteri!B76=5,"to",IF(Kalenteri!B76=6,"pe",IF(Kalenteri!B76=7,"la",)))))))</f>
        <v>su</v>
      </c>
      <c r="C21" s="18">
        <v>594</v>
      </c>
      <c r="D21" s="10">
        <v>127</v>
      </c>
      <c r="E21" s="10"/>
      <c r="F21" s="11">
        <v>74</v>
      </c>
      <c r="G21" s="18">
        <v>14</v>
      </c>
      <c r="H21" s="11">
        <v>179</v>
      </c>
      <c r="I21" s="18"/>
      <c r="J21" s="11"/>
      <c r="K21" s="33">
        <f t="shared" si="0"/>
        <v>988</v>
      </c>
      <c r="L21" s="10"/>
      <c r="M21" s="10"/>
      <c r="N21" s="10"/>
      <c r="O21" s="11"/>
      <c r="P21" s="10"/>
      <c r="Q21" s="11"/>
      <c r="R21" s="30"/>
      <c r="S21" s="30"/>
      <c r="T21" s="33">
        <f t="shared" si="1"/>
        <v>0</v>
      </c>
      <c r="U21" s="10"/>
      <c r="V21" s="10"/>
      <c r="W21" s="10"/>
      <c r="X21" s="11"/>
      <c r="Y21" s="10"/>
      <c r="Z21" s="11"/>
      <c r="AA21" s="30"/>
      <c r="AB21" s="30"/>
      <c r="AC21" s="33">
        <f t="shared" si="2"/>
        <v>0</v>
      </c>
      <c r="AD21" s="12">
        <f t="shared" si="3"/>
        <v>988</v>
      </c>
      <c r="AE21" s="39"/>
      <c r="AF21" s="39"/>
      <c r="AG21" s="39"/>
      <c r="AH21" s="39"/>
      <c r="AI21" s="39"/>
      <c r="AJ21"/>
    </row>
    <row r="22" spans="1:36" x14ac:dyDescent="0.2">
      <c r="A22" s="5">
        <f>DAY(Kalenteri!A77)</f>
        <v>18</v>
      </c>
      <c r="B22" s="3" t="str">
        <f>IF(Kalenteri!B77=1,"su",IF(Kalenteri!B77=2,"ma",IF(Kalenteri!B77=3,"ti",IF(Kalenteri!B77=4,"ke",IF(Kalenteri!B77=5,"to",IF(Kalenteri!B77=6,"pe",IF(Kalenteri!B77=7,"la",)))))))</f>
        <v>ma</v>
      </c>
      <c r="C22" s="18">
        <v>20</v>
      </c>
      <c r="D22" s="10"/>
      <c r="E22" s="10">
        <v>5</v>
      </c>
      <c r="F22" s="11">
        <v>3</v>
      </c>
      <c r="G22" s="18">
        <v>22</v>
      </c>
      <c r="H22" s="11">
        <v>62</v>
      </c>
      <c r="I22" s="18"/>
      <c r="J22" s="11"/>
      <c r="K22" s="33">
        <f t="shared" si="0"/>
        <v>112</v>
      </c>
      <c r="L22" s="10"/>
      <c r="M22" s="10"/>
      <c r="N22" s="10"/>
      <c r="O22" s="11"/>
      <c r="P22" s="10"/>
      <c r="Q22" s="11"/>
      <c r="R22" s="30"/>
      <c r="S22" s="30"/>
      <c r="T22" s="33">
        <f t="shared" si="1"/>
        <v>0</v>
      </c>
      <c r="U22" s="10"/>
      <c r="V22" s="10"/>
      <c r="W22" s="10"/>
      <c r="X22" s="11"/>
      <c r="Y22" s="10"/>
      <c r="Z22" s="11"/>
      <c r="AA22" s="30"/>
      <c r="AB22" s="30"/>
      <c r="AC22" s="33">
        <f t="shared" si="2"/>
        <v>0</v>
      </c>
      <c r="AD22" s="12">
        <f t="shared" si="3"/>
        <v>112</v>
      </c>
      <c r="AE22" s="39"/>
      <c r="AF22" s="39"/>
      <c r="AG22" s="39"/>
      <c r="AH22" s="39"/>
      <c r="AI22" s="39"/>
      <c r="AJ22"/>
    </row>
    <row r="23" spans="1:36" x14ac:dyDescent="0.2">
      <c r="A23" s="5">
        <f>DAY(Kalenteri!A78)</f>
        <v>19</v>
      </c>
      <c r="B23" s="3" t="str">
        <f>IF(Kalenteri!B78=1,"su",IF(Kalenteri!B78=2,"ma",IF(Kalenteri!B78=3,"ti",IF(Kalenteri!B78=4,"ke",IF(Kalenteri!B78=5,"to",IF(Kalenteri!B78=6,"pe",IF(Kalenteri!B78=7,"la",)))))))</f>
        <v>ti</v>
      </c>
      <c r="C23" s="18">
        <v>29</v>
      </c>
      <c r="D23" s="10">
        <v>12</v>
      </c>
      <c r="E23" s="10"/>
      <c r="F23" s="11">
        <v>4</v>
      </c>
      <c r="G23" s="18">
        <v>7</v>
      </c>
      <c r="H23" s="11">
        <v>55</v>
      </c>
      <c r="I23" s="18"/>
      <c r="J23" s="11"/>
      <c r="K23" s="33">
        <f t="shared" si="0"/>
        <v>107</v>
      </c>
      <c r="L23" s="10"/>
      <c r="M23" s="10"/>
      <c r="N23" s="10"/>
      <c r="O23" s="11"/>
      <c r="P23" s="10"/>
      <c r="Q23" s="11"/>
      <c r="R23" s="30"/>
      <c r="S23" s="30"/>
      <c r="T23" s="33">
        <f t="shared" si="1"/>
        <v>0</v>
      </c>
      <c r="U23" s="10"/>
      <c r="V23" s="10"/>
      <c r="W23" s="10"/>
      <c r="X23" s="11"/>
      <c r="Y23" s="10"/>
      <c r="Z23" s="11"/>
      <c r="AA23" s="30"/>
      <c r="AB23" s="30"/>
      <c r="AC23" s="33">
        <f t="shared" si="2"/>
        <v>0</v>
      </c>
      <c r="AD23" s="12">
        <f t="shared" si="3"/>
        <v>107</v>
      </c>
      <c r="AE23" s="39"/>
      <c r="AF23" s="39"/>
      <c r="AG23" s="39"/>
      <c r="AH23" s="39"/>
      <c r="AI23" s="39"/>
      <c r="AJ23"/>
    </row>
    <row r="24" spans="1:36" x14ac:dyDescent="0.2">
      <c r="A24" s="5">
        <f>DAY(Kalenteri!A79)</f>
        <v>20</v>
      </c>
      <c r="B24" s="3" t="str">
        <f>IF(Kalenteri!B79=1,"su",IF(Kalenteri!B79=2,"ma",IF(Kalenteri!B79=3,"ti",IF(Kalenteri!B79=4,"ke",IF(Kalenteri!B79=5,"to",IF(Kalenteri!B79=6,"pe",IF(Kalenteri!B79=7,"la",)))))))</f>
        <v>ke</v>
      </c>
      <c r="C24" s="18">
        <v>35</v>
      </c>
      <c r="D24" s="10">
        <v>4</v>
      </c>
      <c r="E24" s="10">
        <v>1</v>
      </c>
      <c r="F24" s="11"/>
      <c r="G24" s="18">
        <v>6</v>
      </c>
      <c r="H24" s="11">
        <v>62</v>
      </c>
      <c r="I24" s="18"/>
      <c r="J24" s="11"/>
      <c r="K24" s="33">
        <f t="shared" si="0"/>
        <v>108</v>
      </c>
      <c r="L24" s="10"/>
      <c r="M24" s="10"/>
      <c r="N24" s="10"/>
      <c r="O24" s="11"/>
      <c r="P24" s="10"/>
      <c r="Q24" s="11"/>
      <c r="R24" s="30"/>
      <c r="S24" s="30"/>
      <c r="T24" s="33">
        <f t="shared" si="1"/>
        <v>0</v>
      </c>
      <c r="U24" s="10"/>
      <c r="V24" s="10"/>
      <c r="W24" s="10"/>
      <c r="X24" s="11"/>
      <c r="Y24" s="10"/>
      <c r="Z24" s="11"/>
      <c r="AA24" s="30"/>
      <c r="AB24" s="30"/>
      <c r="AC24" s="33">
        <f t="shared" si="2"/>
        <v>0</v>
      </c>
      <c r="AD24" s="12">
        <f t="shared" si="3"/>
        <v>108</v>
      </c>
      <c r="AE24" s="39"/>
      <c r="AF24" s="39"/>
      <c r="AG24" s="39"/>
      <c r="AH24" s="39"/>
      <c r="AI24" s="39"/>
      <c r="AJ24" s="39"/>
    </row>
    <row r="25" spans="1:36" x14ac:dyDescent="0.2">
      <c r="A25" s="5">
        <f>DAY(Kalenteri!A80)</f>
        <v>21</v>
      </c>
      <c r="B25" s="3" t="str">
        <f>IF(Kalenteri!B80=1,"su",IF(Kalenteri!B80=2,"ma",IF(Kalenteri!B80=3,"ti",IF(Kalenteri!B80=4,"ke",IF(Kalenteri!B80=5,"to",IF(Kalenteri!B80=6,"pe",IF(Kalenteri!B80=7,"la",)))))))</f>
        <v>to</v>
      </c>
      <c r="C25" s="18">
        <v>75</v>
      </c>
      <c r="D25" s="10">
        <v>11</v>
      </c>
      <c r="E25" s="10">
        <v>1</v>
      </c>
      <c r="F25" s="11">
        <v>9</v>
      </c>
      <c r="G25" s="18">
        <v>2</v>
      </c>
      <c r="H25" s="11">
        <v>30</v>
      </c>
      <c r="I25" s="18"/>
      <c r="J25" s="11"/>
      <c r="K25" s="33">
        <f t="shared" si="0"/>
        <v>128</v>
      </c>
      <c r="L25" s="10"/>
      <c r="M25" s="10"/>
      <c r="N25" s="10"/>
      <c r="O25" s="11"/>
      <c r="P25" s="10"/>
      <c r="Q25" s="11"/>
      <c r="R25" s="30"/>
      <c r="S25" s="30"/>
      <c r="T25" s="33">
        <f t="shared" si="1"/>
        <v>0</v>
      </c>
      <c r="U25" s="10"/>
      <c r="V25" s="10"/>
      <c r="W25" s="10"/>
      <c r="X25" s="11"/>
      <c r="Y25" s="10"/>
      <c r="Z25" s="11"/>
      <c r="AA25" s="30"/>
      <c r="AB25" s="30"/>
      <c r="AC25" s="33">
        <f t="shared" si="2"/>
        <v>0</v>
      </c>
      <c r="AD25" s="12">
        <f t="shared" si="3"/>
        <v>128</v>
      </c>
      <c r="AE25" s="39"/>
      <c r="AF25" s="39"/>
      <c r="AG25" s="39"/>
      <c r="AH25" s="39"/>
      <c r="AI25" s="39"/>
      <c r="AJ25" s="39"/>
    </row>
    <row r="26" spans="1:36" x14ac:dyDescent="0.2">
      <c r="A26" s="5">
        <f>DAY(Kalenteri!A81)</f>
        <v>22</v>
      </c>
      <c r="B26" s="3" t="str">
        <f>IF(Kalenteri!B81=1,"su",IF(Kalenteri!B81=2,"ma",IF(Kalenteri!B81=3,"ti",IF(Kalenteri!B81=4,"ke",IF(Kalenteri!B81=5,"to",IF(Kalenteri!B81=6,"pe",IF(Kalenteri!B81=7,"la",)))))))</f>
        <v>pe</v>
      </c>
      <c r="C26" s="18">
        <v>77</v>
      </c>
      <c r="D26" s="10">
        <v>9</v>
      </c>
      <c r="E26" s="10"/>
      <c r="F26" s="11">
        <v>10</v>
      </c>
      <c r="G26" s="18">
        <v>3</v>
      </c>
      <c r="H26" s="11">
        <v>36</v>
      </c>
      <c r="I26" s="18"/>
      <c r="J26" s="11"/>
      <c r="K26" s="33">
        <f t="shared" si="0"/>
        <v>135</v>
      </c>
      <c r="L26" s="10"/>
      <c r="M26" s="10"/>
      <c r="N26" s="10"/>
      <c r="O26" s="11"/>
      <c r="P26" s="10"/>
      <c r="Q26" s="11"/>
      <c r="R26" s="30"/>
      <c r="S26" s="30"/>
      <c r="T26" s="33">
        <f t="shared" si="1"/>
        <v>0</v>
      </c>
      <c r="U26" s="10"/>
      <c r="V26" s="10"/>
      <c r="W26" s="10"/>
      <c r="X26" s="11"/>
      <c r="Y26" s="10"/>
      <c r="Z26" s="11"/>
      <c r="AA26" s="30"/>
      <c r="AB26" s="30"/>
      <c r="AC26" s="33">
        <f t="shared" si="2"/>
        <v>0</v>
      </c>
      <c r="AD26" s="12">
        <f t="shared" si="3"/>
        <v>135</v>
      </c>
      <c r="AE26" s="39"/>
      <c r="AF26" s="39"/>
      <c r="AG26" s="39"/>
      <c r="AH26" s="39"/>
      <c r="AI26" s="39"/>
      <c r="AJ26" s="39"/>
    </row>
    <row r="27" spans="1:36" x14ac:dyDescent="0.2">
      <c r="A27" s="5">
        <f>DAY(Kalenteri!A82)</f>
        <v>23</v>
      </c>
      <c r="B27" s="3" t="str">
        <f>IF(Kalenteri!B82=1,"su",IF(Kalenteri!B82=2,"ma",IF(Kalenteri!B82=3,"ti",IF(Kalenteri!B82=4,"ke",IF(Kalenteri!B82=5,"to",IF(Kalenteri!B82=6,"pe",IF(Kalenteri!B82=7,"la",)))))))</f>
        <v>la</v>
      </c>
      <c r="C27" s="18">
        <v>352</v>
      </c>
      <c r="D27" s="10">
        <v>75</v>
      </c>
      <c r="E27" s="10">
        <v>4</v>
      </c>
      <c r="F27" s="11">
        <v>42</v>
      </c>
      <c r="G27" s="18">
        <v>0</v>
      </c>
      <c r="H27" s="11">
        <v>109</v>
      </c>
      <c r="I27" s="18">
        <v>6</v>
      </c>
      <c r="J27" s="11">
        <v>9</v>
      </c>
      <c r="K27" s="33">
        <f t="shared" si="0"/>
        <v>597</v>
      </c>
      <c r="L27" s="10"/>
      <c r="M27" s="10"/>
      <c r="N27" s="10"/>
      <c r="O27" s="11"/>
      <c r="P27" s="10"/>
      <c r="Q27" s="11"/>
      <c r="R27" s="30"/>
      <c r="S27" s="30"/>
      <c r="T27" s="33">
        <f t="shared" si="1"/>
        <v>0</v>
      </c>
      <c r="U27" s="10"/>
      <c r="V27" s="10"/>
      <c r="W27" s="10"/>
      <c r="X27" s="11"/>
      <c r="Y27" s="10"/>
      <c r="Z27" s="11"/>
      <c r="AA27" s="30"/>
      <c r="AB27" s="30"/>
      <c r="AC27" s="33">
        <f t="shared" si="2"/>
        <v>0</v>
      </c>
      <c r="AD27" s="12">
        <f t="shared" si="3"/>
        <v>597</v>
      </c>
      <c r="AE27" s="39"/>
      <c r="AF27" s="39"/>
      <c r="AG27" s="39"/>
      <c r="AH27" s="39"/>
      <c r="AI27" s="39"/>
      <c r="AJ27" s="39"/>
    </row>
    <row r="28" spans="1:36" x14ac:dyDescent="0.2">
      <c r="A28" s="5">
        <f>DAY(Kalenteri!A83)</f>
        <v>24</v>
      </c>
      <c r="B28" s="3" t="str">
        <f>IF(Kalenteri!B83=1,"su",IF(Kalenteri!B83=2,"ma",IF(Kalenteri!B83=3,"ti",IF(Kalenteri!B83=4,"ke",IF(Kalenteri!B83=5,"to",IF(Kalenteri!B83=6,"pe",IF(Kalenteri!B83=7,"la",)))))))</f>
        <v>su</v>
      </c>
      <c r="C28" s="18">
        <v>424</v>
      </c>
      <c r="D28" s="10">
        <v>91</v>
      </c>
      <c r="E28" s="10">
        <v>0</v>
      </c>
      <c r="F28" s="11">
        <v>43</v>
      </c>
      <c r="G28" s="18">
        <v>0</v>
      </c>
      <c r="H28" s="11">
        <v>102</v>
      </c>
      <c r="I28" s="18"/>
      <c r="J28" s="11"/>
      <c r="K28" s="33">
        <f t="shared" si="0"/>
        <v>660</v>
      </c>
      <c r="L28" s="10"/>
      <c r="M28" s="10"/>
      <c r="N28" s="10"/>
      <c r="O28" s="11"/>
      <c r="P28" s="10"/>
      <c r="Q28" s="11"/>
      <c r="R28" s="30"/>
      <c r="S28" s="30"/>
      <c r="T28" s="33">
        <f t="shared" si="1"/>
        <v>0</v>
      </c>
      <c r="U28" s="10"/>
      <c r="V28" s="10"/>
      <c r="W28" s="10"/>
      <c r="X28" s="11"/>
      <c r="Y28" s="10"/>
      <c r="Z28" s="11"/>
      <c r="AA28" s="30"/>
      <c r="AB28" s="30"/>
      <c r="AC28" s="33">
        <f t="shared" si="2"/>
        <v>0</v>
      </c>
      <c r="AD28" s="12">
        <f t="shared" si="3"/>
        <v>660</v>
      </c>
      <c r="AE28" s="39"/>
      <c r="AF28" s="39"/>
      <c r="AG28" s="39"/>
      <c r="AH28" s="39"/>
      <c r="AI28" s="39"/>
      <c r="AJ28" s="39"/>
    </row>
    <row r="29" spans="1:36" x14ac:dyDescent="0.2">
      <c r="A29" s="5">
        <f>DAY(Kalenteri!A84)</f>
        <v>25</v>
      </c>
      <c r="B29" s="3" t="str">
        <f>IF(Kalenteri!B84=1,"su",IF(Kalenteri!B84=2,"ma",IF(Kalenteri!B84=3,"ti",IF(Kalenteri!B84=4,"ke",IF(Kalenteri!B84=5,"to",IF(Kalenteri!B84=6,"pe",IF(Kalenteri!B84=7,"la",)))))))</f>
        <v>ma</v>
      </c>
      <c r="C29" s="18">
        <v>48</v>
      </c>
      <c r="D29" s="10">
        <v>17</v>
      </c>
      <c r="E29" s="10">
        <v>3</v>
      </c>
      <c r="F29" s="11">
        <v>2</v>
      </c>
      <c r="G29" s="18">
        <v>0</v>
      </c>
      <c r="H29" s="11">
        <v>36</v>
      </c>
      <c r="I29" s="18"/>
      <c r="J29" s="11"/>
      <c r="K29" s="33">
        <f t="shared" si="0"/>
        <v>106</v>
      </c>
      <c r="L29" s="10"/>
      <c r="M29" s="10"/>
      <c r="N29" s="10"/>
      <c r="O29" s="11"/>
      <c r="P29" s="10"/>
      <c r="Q29" s="11"/>
      <c r="R29" s="30"/>
      <c r="S29" s="30"/>
      <c r="T29" s="33">
        <f t="shared" si="1"/>
        <v>0</v>
      </c>
      <c r="U29" s="10"/>
      <c r="V29" s="10"/>
      <c r="W29" s="10"/>
      <c r="X29" s="11"/>
      <c r="Y29" s="10"/>
      <c r="Z29" s="11"/>
      <c r="AA29" s="30"/>
      <c r="AB29" s="30"/>
      <c r="AC29" s="33">
        <f t="shared" si="2"/>
        <v>0</v>
      </c>
      <c r="AD29" s="12">
        <f t="shared" si="3"/>
        <v>106</v>
      </c>
      <c r="AE29" s="39"/>
      <c r="AF29" s="39"/>
      <c r="AG29" s="39"/>
      <c r="AH29" s="39"/>
      <c r="AI29" s="39"/>
      <c r="AJ29" s="39"/>
    </row>
    <row r="30" spans="1:36" x14ac:dyDescent="0.2">
      <c r="A30" s="5">
        <f>DAY(Kalenteri!A85)</f>
        <v>26</v>
      </c>
      <c r="B30" s="3" t="str">
        <f>IF(Kalenteri!B85=1,"su",IF(Kalenteri!B85=2,"ma",IF(Kalenteri!B85=3,"ti",IF(Kalenteri!B85=4,"ke",IF(Kalenteri!B85=5,"to",IF(Kalenteri!B85=6,"pe",IF(Kalenteri!B85=7,"la",)))))))</f>
        <v>ti</v>
      </c>
      <c r="C30" s="18">
        <v>140</v>
      </c>
      <c r="D30" s="10">
        <v>16</v>
      </c>
      <c r="E30" s="10">
        <v>0</v>
      </c>
      <c r="F30" s="11">
        <v>6</v>
      </c>
      <c r="G30" s="18">
        <v>25</v>
      </c>
      <c r="H30" s="11">
        <v>138</v>
      </c>
      <c r="I30" s="18"/>
      <c r="J30" s="11"/>
      <c r="K30" s="33">
        <f t="shared" si="0"/>
        <v>325</v>
      </c>
      <c r="L30" s="10"/>
      <c r="M30" s="10"/>
      <c r="N30" s="10"/>
      <c r="O30" s="11"/>
      <c r="P30" s="10"/>
      <c r="Q30" s="11"/>
      <c r="R30" s="30"/>
      <c r="S30" s="30"/>
      <c r="T30" s="33">
        <f t="shared" si="1"/>
        <v>0</v>
      </c>
      <c r="U30" s="10"/>
      <c r="V30" s="10"/>
      <c r="W30" s="10"/>
      <c r="X30" s="11"/>
      <c r="Y30" s="10"/>
      <c r="Z30" s="11"/>
      <c r="AA30" s="30"/>
      <c r="AB30" s="30"/>
      <c r="AC30" s="33">
        <f t="shared" si="2"/>
        <v>0</v>
      </c>
      <c r="AD30" s="12">
        <f t="shared" si="3"/>
        <v>325</v>
      </c>
      <c r="AE30" s="39"/>
      <c r="AF30" s="39"/>
      <c r="AG30" s="39"/>
      <c r="AH30" s="39"/>
      <c r="AI30" s="39"/>
      <c r="AJ30" s="39"/>
    </row>
    <row r="31" spans="1:36" x14ac:dyDescent="0.2">
      <c r="A31" s="5">
        <f>DAY(Kalenteri!A86)</f>
        <v>27</v>
      </c>
      <c r="B31" s="3" t="str">
        <f>IF(Kalenteri!B86=1,"su",IF(Kalenteri!B86=2,"ma",IF(Kalenteri!B86=3,"ti",IF(Kalenteri!B86=4,"ke",IF(Kalenteri!B86=5,"to",IF(Kalenteri!B86=6,"pe",IF(Kalenteri!B86=7,"la",)))))))</f>
        <v>ke</v>
      </c>
      <c r="C31" s="18">
        <v>102</v>
      </c>
      <c r="D31" s="10">
        <v>19</v>
      </c>
      <c r="E31" s="10">
        <v>2</v>
      </c>
      <c r="F31" s="11">
        <v>13</v>
      </c>
      <c r="G31" s="18">
        <v>12</v>
      </c>
      <c r="H31" s="11">
        <v>99</v>
      </c>
      <c r="I31" s="18"/>
      <c r="J31" s="11"/>
      <c r="K31" s="33">
        <f t="shared" si="0"/>
        <v>247</v>
      </c>
      <c r="L31" s="10"/>
      <c r="M31" s="10"/>
      <c r="N31" s="10"/>
      <c r="O31" s="11"/>
      <c r="P31" s="10"/>
      <c r="Q31" s="11"/>
      <c r="R31" s="30"/>
      <c r="S31" s="30"/>
      <c r="T31" s="33">
        <f t="shared" si="1"/>
        <v>0</v>
      </c>
      <c r="U31" s="10"/>
      <c r="V31" s="10"/>
      <c r="W31" s="10"/>
      <c r="X31" s="11"/>
      <c r="Y31" s="10"/>
      <c r="Z31" s="11"/>
      <c r="AA31" s="30"/>
      <c r="AB31" s="30"/>
      <c r="AC31" s="33">
        <f t="shared" si="2"/>
        <v>0</v>
      </c>
      <c r="AD31" s="12">
        <f t="shared" si="3"/>
        <v>247</v>
      </c>
      <c r="AE31" s="39"/>
      <c r="AF31" s="39"/>
      <c r="AG31" s="39"/>
      <c r="AH31" s="39"/>
      <c r="AI31" s="39"/>
      <c r="AJ31" s="39"/>
    </row>
    <row r="32" spans="1:36" x14ac:dyDescent="0.2">
      <c r="A32" s="5">
        <f>DAY(Kalenteri!A87)</f>
        <v>28</v>
      </c>
      <c r="B32" s="3" t="str">
        <f>IF(Kalenteri!B87=1,"su",IF(Kalenteri!B87=2,"ma",IF(Kalenteri!B87=3,"ti",IF(Kalenteri!B87=4,"ke",IF(Kalenteri!B87=5,"to",IF(Kalenteri!B87=6,"pe",IF(Kalenteri!B87=7,"la",)))))))</f>
        <v>to</v>
      </c>
      <c r="C32" s="18">
        <v>131</v>
      </c>
      <c r="D32" s="10">
        <v>41</v>
      </c>
      <c r="E32" s="10">
        <v>4</v>
      </c>
      <c r="F32" s="11">
        <v>5</v>
      </c>
      <c r="G32" s="18">
        <v>0</v>
      </c>
      <c r="H32" s="11">
        <v>39</v>
      </c>
      <c r="I32" s="18"/>
      <c r="J32" s="11"/>
      <c r="K32" s="33">
        <f t="shared" si="0"/>
        <v>220</v>
      </c>
      <c r="L32" s="10"/>
      <c r="M32" s="10"/>
      <c r="N32" s="10"/>
      <c r="O32" s="11"/>
      <c r="P32" s="10"/>
      <c r="Q32" s="11"/>
      <c r="R32" s="30"/>
      <c r="S32" s="30"/>
      <c r="T32" s="33">
        <f t="shared" si="1"/>
        <v>0</v>
      </c>
      <c r="U32" s="10"/>
      <c r="V32" s="10"/>
      <c r="W32" s="10"/>
      <c r="X32" s="11"/>
      <c r="Y32" s="10"/>
      <c r="Z32" s="11"/>
      <c r="AA32" s="30"/>
      <c r="AB32" s="30"/>
      <c r="AC32" s="33">
        <f t="shared" si="2"/>
        <v>0</v>
      </c>
      <c r="AD32" s="12">
        <f t="shared" si="3"/>
        <v>220</v>
      </c>
      <c r="AE32" s="39"/>
      <c r="AF32" s="39"/>
      <c r="AG32" s="39"/>
      <c r="AH32" s="39"/>
      <c r="AI32" s="39"/>
      <c r="AJ32" s="39"/>
    </row>
    <row r="33" spans="1:36" x14ac:dyDescent="0.2">
      <c r="A33" s="5">
        <f>DAY(Kalenteri!A88)</f>
        <v>29</v>
      </c>
      <c r="B33" s="3" t="str">
        <f>IF(Kalenteri!B88=1,"su",IF(Kalenteri!B88=2,"ma",IF(Kalenteri!B88=3,"ti",IF(Kalenteri!B88=4,"ke",IF(Kalenteri!B88=5,"to",IF(Kalenteri!B88=6,"pe",IF(Kalenteri!B88=7,"la",)))))))</f>
        <v>pe</v>
      </c>
      <c r="C33" s="18">
        <v>1201</v>
      </c>
      <c r="D33" s="10">
        <v>361</v>
      </c>
      <c r="E33" s="10">
        <v>1</v>
      </c>
      <c r="F33" s="11">
        <v>54</v>
      </c>
      <c r="G33" s="18">
        <v>12</v>
      </c>
      <c r="H33" s="11">
        <v>430</v>
      </c>
      <c r="I33" s="18">
        <v>56</v>
      </c>
      <c r="J33" s="11">
        <v>84</v>
      </c>
      <c r="K33" s="33">
        <f t="shared" si="0"/>
        <v>2199</v>
      </c>
      <c r="L33" s="10"/>
      <c r="M33" s="10"/>
      <c r="N33" s="10"/>
      <c r="O33" s="11"/>
      <c r="P33" s="10"/>
      <c r="Q33" s="11"/>
      <c r="R33" s="30"/>
      <c r="S33" s="30"/>
      <c r="T33" s="33">
        <f t="shared" si="1"/>
        <v>0</v>
      </c>
      <c r="U33" s="10"/>
      <c r="V33" s="10"/>
      <c r="W33" s="10"/>
      <c r="X33" s="11"/>
      <c r="Y33" s="10"/>
      <c r="Z33" s="11"/>
      <c r="AA33" s="30"/>
      <c r="AB33" s="30"/>
      <c r="AC33" s="33">
        <f t="shared" si="2"/>
        <v>0</v>
      </c>
      <c r="AD33" s="12">
        <f t="shared" si="3"/>
        <v>2199</v>
      </c>
      <c r="AE33" s="39"/>
      <c r="AF33" s="39"/>
      <c r="AG33" s="39"/>
      <c r="AH33" s="39"/>
      <c r="AI33" s="39"/>
      <c r="AJ33" s="39"/>
    </row>
    <row r="34" spans="1:36" x14ac:dyDescent="0.2">
      <c r="A34" s="5">
        <f>DAY(Kalenteri!A89)</f>
        <v>30</v>
      </c>
      <c r="B34" s="3" t="str">
        <f>IF(Kalenteri!B89=1,"su",IF(Kalenteri!B89=2,"ma",IF(Kalenteri!B89=3,"ti",IF(Kalenteri!B89=4,"ke",IF(Kalenteri!B89=5,"to",IF(Kalenteri!B89=6,"pe",IF(Kalenteri!B89=7,"la",)))))))</f>
        <v>la</v>
      </c>
      <c r="C34" s="18">
        <v>929</v>
      </c>
      <c r="D34" s="10">
        <v>298</v>
      </c>
      <c r="E34" s="10">
        <v>0</v>
      </c>
      <c r="F34" s="11">
        <v>46</v>
      </c>
      <c r="G34" s="18">
        <v>30</v>
      </c>
      <c r="H34" s="11">
        <v>334</v>
      </c>
      <c r="I34" s="18">
        <v>54</v>
      </c>
      <c r="J34" s="11">
        <v>81</v>
      </c>
      <c r="K34" s="33">
        <f t="shared" si="0"/>
        <v>1772</v>
      </c>
      <c r="L34" s="10"/>
      <c r="M34" s="10"/>
      <c r="N34" s="10"/>
      <c r="O34" s="11"/>
      <c r="P34" s="10"/>
      <c r="Q34" s="11"/>
      <c r="R34" s="30"/>
      <c r="S34" s="30"/>
      <c r="T34" s="33">
        <f t="shared" si="1"/>
        <v>0</v>
      </c>
      <c r="U34" s="10"/>
      <c r="V34" s="10"/>
      <c r="W34" s="10"/>
      <c r="X34" s="11"/>
      <c r="Y34" s="10"/>
      <c r="Z34" s="11"/>
      <c r="AA34" s="30"/>
      <c r="AB34" s="30"/>
      <c r="AC34" s="33">
        <f t="shared" si="2"/>
        <v>0</v>
      </c>
      <c r="AD34" s="12">
        <f t="shared" si="3"/>
        <v>1772</v>
      </c>
      <c r="AE34" s="39"/>
      <c r="AF34" s="39"/>
      <c r="AG34" s="39"/>
      <c r="AH34" s="39"/>
      <c r="AI34" s="39"/>
      <c r="AJ34" s="39"/>
    </row>
    <row r="35" spans="1:36" x14ac:dyDescent="0.2">
      <c r="A35" s="5">
        <f>DAY(Kalenteri!A90)</f>
        <v>31</v>
      </c>
      <c r="B35" s="3" t="str">
        <f>IF(Kalenteri!B90=1,"su",IF(Kalenteri!B90=2,"ma",IF(Kalenteri!B90=3,"ti",IF(Kalenteri!B90=4,"ke",IF(Kalenteri!B90=5,"to",IF(Kalenteri!B90=6,"pe",IF(Kalenteri!B90=7,"la",)))))))</f>
        <v>su</v>
      </c>
      <c r="C35" s="79">
        <v>1279</v>
      </c>
      <c r="D35" s="80">
        <v>368</v>
      </c>
      <c r="E35" s="80">
        <v>5</v>
      </c>
      <c r="F35" s="81">
        <v>69</v>
      </c>
      <c r="G35" s="79">
        <v>16</v>
      </c>
      <c r="H35" s="81">
        <v>379</v>
      </c>
      <c r="I35" s="79">
        <v>52</v>
      </c>
      <c r="J35" s="81">
        <v>78</v>
      </c>
      <c r="K35" s="34">
        <f t="shared" si="0"/>
        <v>2246</v>
      </c>
      <c r="L35" s="20"/>
      <c r="M35" s="20"/>
      <c r="N35" s="20"/>
      <c r="O35" s="21"/>
      <c r="P35" s="20"/>
      <c r="Q35" s="21"/>
      <c r="R35" s="31"/>
      <c r="S35" s="31"/>
      <c r="T35" s="34">
        <f t="shared" si="1"/>
        <v>0</v>
      </c>
      <c r="U35" s="20"/>
      <c r="V35" s="20"/>
      <c r="W35" s="20"/>
      <c r="X35" s="21"/>
      <c r="Y35" s="20"/>
      <c r="Z35" s="21"/>
      <c r="AA35" s="31"/>
      <c r="AB35" s="31"/>
      <c r="AC35" s="34">
        <f t="shared" si="2"/>
        <v>0</v>
      </c>
      <c r="AD35" s="19">
        <f t="shared" si="3"/>
        <v>2246</v>
      </c>
      <c r="AE35" s="39"/>
      <c r="AF35" s="39"/>
      <c r="AG35" s="39"/>
      <c r="AH35" s="39"/>
      <c r="AI35" s="39"/>
      <c r="AJ35" s="39"/>
    </row>
    <row r="36" spans="1:36" x14ac:dyDescent="0.2">
      <c r="A36" s="6"/>
      <c r="B36"/>
      <c r="C36" s="82">
        <f t="shared" ref="C36:J36" si="4">SUM(C5:C35)</f>
        <v>7678</v>
      </c>
      <c r="D36" s="83">
        <f t="shared" si="4"/>
        <v>1952</v>
      </c>
      <c r="E36" s="83">
        <f t="shared" si="4"/>
        <v>54</v>
      </c>
      <c r="F36" s="84">
        <f t="shared" si="4"/>
        <v>531</v>
      </c>
      <c r="G36" s="83">
        <f t="shared" si="4"/>
        <v>286</v>
      </c>
      <c r="H36" s="84">
        <f t="shared" si="4"/>
        <v>3221</v>
      </c>
      <c r="I36" s="83">
        <f t="shared" si="4"/>
        <v>179</v>
      </c>
      <c r="J36" s="84">
        <f t="shared" si="4"/>
        <v>266</v>
      </c>
      <c r="K36" s="85">
        <f t="shared" si="0"/>
        <v>14167</v>
      </c>
      <c r="L36" s="83">
        <f t="shared" ref="L36:S36" si="5">SUM(L5:L35)</f>
        <v>0</v>
      </c>
      <c r="M36" s="83">
        <f t="shared" si="5"/>
        <v>0</v>
      </c>
      <c r="N36" s="83">
        <f t="shared" si="5"/>
        <v>0</v>
      </c>
      <c r="O36" s="84">
        <f t="shared" si="5"/>
        <v>0</v>
      </c>
      <c r="P36" s="83">
        <f t="shared" si="5"/>
        <v>0</v>
      </c>
      <c r="Q36" s="84">
        <f t="shared" si="5"/>
        <v>0</v>
      </c>
      <c r="R36" s="86">
        <f t="shared" si="5"/>
        <v>0</v>
      </c>
      <c r="S36" s="86">
        <f t="shared" si="5"/>
        <v>0</v>
      </c>
      <c r="T36" s="85">
        <f t="shared" si="1"/>
        <v>0</v>
      </c>
      <c r="U36" s="83">
        <f t="shared" ref="U36:AB36" si="6">SUM(U5:U35)</f>
        <v>0</v>
      </c>
      <c r="V36" s="83">
        <f t="shared" si="6"/>
        <v>0</v>
      </c>
      <c r="W36" s="83">
        <f t="shared" si="6"/>
        <v>0</v>
      </c>
      <c r="X36" s="84">
        <f t="shared" si="6"/>
        <v>0</v>
      </c>
      <c r="Y36" s="83">
        <f t="shared" si="6"/>
        <v>0</v>
      </c>
      <c r="Z36" s="84">
        <f t="shared" si="6"/>
        <v>0</v>
      </c>
      <c r="AA36" s="86">
        <f t="shared" si="6"/>
        <v>0</v>
      </c>
      <c r="AB36" s="86">
        <f t="shared" si="6"/>
        <v>0</v>
      </c>
      <c r="AC36" s="85">
        <f t="shared" si="2"/>
        <v>0</v>
      </c>
      <c r="AD36" s="87">
        <f t="shared" si="3"/>
        <v>14167</v>
      </c>
      <c r="AE36" s="66"/>
      <c r="AF36" s="66"/>
      <c r="AG36" s="66"/>
      <c r="AH36" s="66"/>
      <c r="AI36" s="66"/>
      <c r="AJ36" s="66"/>
    </row>
    <row r="37" spans="1:36" ht="8.1" customHeight="1" thickBot="1" x14ac:dyDescent="0.25">
      <c r="A37" s="6"/>
      <c r="B37"/>
      <c r="C37" s="2"/>
      <c r="D37" s="5"/>
      <c r="E37" s="5"/>
      <c r="F37" s="2"/>
      <c r="G37" s="2"/>
      <c r="H37" s="2"/>
      <c r="I37" s="5"/>
      <c r="J37" s="2"/>
      <c r="K37" s="2"/>
      <c r="L37" s="5"/>
      <c r="M37" s="2"/>
      <c r="N37" s="5"/>
      <c r="O37" s="5"/>
      <c r="P37" s="2"/>
      <c r="Q37" s="5"/>
      <c r="R37" s="42"/>
      <c r="S37" s="42"/>
      <c r="T37" s="2"/>
      <c r="U37" s="2"/>
      <c r="V37" s="2"/>
      <c r="W37" s="2"/>
      <c r="X37" s="5"/>
      <c r="Y37" s="2"/>
      <c r="Z37" s="2"/>
      <c r="AA37" s="39"/>
      <c r="AB37" s="39"/>
      <c r="AC37" s="5"/>
      <c r="AD37" s="40"/>
      <c r="AE37" s="40"/>
      <c r="AF37" s="40"/>
      <c r="AG37" s="40"/>
      <c r="AH37" s="40"/>
      <c r="AI37" s="40"/>
      <c r="AJ37" s="40"/>
    </row>
    <row r="38" spans="1:36" ht="24.95" customHeight="1" thickTop="1" x14ac:dyDescent="0.3">
      <c r="A38" s="6"/>
      <c r="B38"/>
      <c r="C38" s="171" t="str">
        <f>Kalenteri!E38</f>
        <v>Lippujen hinnat:</v>
      </c>
      <c r="D38" s="5"/>
      <c r="E38" s="5"/>
      <c r="F38" s="2"/>
      <c r="G38" s="2"/>
      <c r="H38" s="2"/>
      <c r="I38" s="5"/>
      <c r="J38" s="2"/>
      <c r="K38" s="2"/>
      <c r="L38" s="5"/>
      <c r="M38" s="2"/>
      <c r="N38" s="5"/>
      <c r="O38" s="5"/>
      <c r="P38" s="2"/>
      <c r="Q38"/>
      <c r="R38"/>
      <c r="S38"/>
      <c r="T38"/>
      <c r="U38" s="49" t="s">
        <v>71</v>
      </c>
      <c r="V38" s="50"/>
      <c r="W38" s="43"/>
      <c r="X38" s="44"/>
      <c r="Y38" s="43"/>
      <c r="Z38" s="43"/>
      <c r="AA38" s="44"/>
      <c r="AB38" s="44"/>
      <c r="AC38" s="47"/>
      <c r="AD38" s="45">
        <f>AD36</f>
        <v>14167</v>
      </c>
      <c r="AE38" s="41"/>
      <c r="AF38" s="41"/>
      <c r="AG38" s="41"/>
      <c r="AH38" s="41"/>
      <c r="AI38" s="41"/>
      <c r="AJ38" s="41"/>
    </row>
    <row r="39" spans="1:36" ht="24.95" customHeight="1" x14ac:dyDescent="0.3">
      <c r="A39" s="6"/>
      <c r="B39"/>
      <c r="C39" s="193" t="str">
        <f>Kalenteri!E39</f>
        <v>Mustikkamaan kautta: 1.9.-30.4. aik. 10 €, lapset 5 €, kimppalippu 30 €    1.5.-30.8. aik. 12 €, lapset 6 €, kimppalippu 36 €</v>
      </c>
      <c r="D39" s="89"/>
      <c r="E39" s="89"/>
      <c r="F39" s="90"/>
      <c r="G39" s="102"/>
      <c r="H39" s="174"/>
      <c r="I39" s="89"/>
      <c r="J39" s="90"/>
      <c r="K39" s="90"/>
      <c r="L39" s="89"/>
      <c r="M39" s="90"/>
      <c r="N39" s="89"/>
      <c r="O39" s="89"/>
      <c r="P39" s="90"/>
      <c r="Q39" s="104"/>
      <c r="R39" s="103"/>
      <c r="S39"/>
      <c r="T39"/>
      <c r="U39" s="62" t="s">
        <v>13</v>
      </c>
      <c r="V39" s="52"/>
      <c r="W39" s="53"/>
      <c r="X39" s="54"/>
      <c r="Y39" s="53"/>
      <c r="Z39" s="53"/>
      <c r="AA39" s="54"/>
      <c r="AB39" s="54"/>
      <c r="AC39" s="55"/>
      <c r="AD39" s="56">
        <f>AD36-Edellisvuosi!D7</f>
        <v>3312</v>
      </c>
      <c r="AE39" s="67"/>
      <c r="AF39" s="67"/>
      <c r="AG39" s="67"/>
      <c r="AH39" s="67"/>
      <c r="AI39" s="67"/>
      <c r="AJ39" s="67"/>
    </row>
    <row r="40" spans="1:36" ht="24.95" customHeight="1" x14ac:dyDescent="0.3">
      <c r="A40" s="6"/>
      <c r="B40" s="6"/>
      <c r="C40" s="194" t="str">
        <f>Kalenteri!E40</f>
        <v xml:space="preserve">                                    Vuosikortti:     aik. 50 €, lapset 20 €, perhekortti 100 €</v>
      </c>
      <c r="D40" s="39"/>
      <c r="E40" s="39"/>
      <c r="F40" s="42"/>
      <c r="G40" s="65"/>
      <c r="H40" s="176"/>
      <c r="I40" s="39"/>
      <c r="J40" s="42"/>
      <c r="K40" s="42"/>
      <c r="L40" s="39"/>
      <c r="M40" s="42"/>
      <c r="N40" s="39"/>
      <c r="O40" s="39"/>
      <c r="P40" s="39"/>
      <c r="Q40" s="23"/>
      <c r="R40" s="97"/>
      <c r="S40"/>
      <c r="T40"/>
      <c r="U40" s="63" t="s">
        <v>72</v>
      </c>
      <c r="V40" s="37"/>
      <c r="W40" s="51"/>
      <c r="X40" s="41"/>
      <c r="Y40" s="51"/>
      <c r="Z40" s="41"/>
      <c r="AA40" s="41"/>
      <c r="AB40" s="41"/>
      <c r="AC40" s="48"/>
      <c r="AD40" s="46">
        <f>AD36+'N1'!AD36+'N2'!AD36</f>
        <v>33078</v>
      </c>
      <c r="AE40" s="41"/>
      <c r="AF40" s="41"/>
      <c r="AG40" s="41"/>
      <c r="AH40" s="41"/>
      <c r="AI40" s="41"/>
      <c r="AJ40" s="41"/>
    </row>
    <row r="41" spans="1:36" ht="24.95" customHeight="1" thickBot="1" x14ac:dyDescent="0.35">
      <c r="A41" s="4"/>
      <c r="B41" s="4"/>
      <c r="C41" s="195" t="str">
        <f>Kalenteri!E41</f>
        <v>Vesibusseilla:             1.9.-30.4. aik. 16 €, lapset 8 €, kimppalippu 47 €    1.5.-31.8. aik. 18 €, lapset 9 €, kimppalippu 53 €</v>
      </c>
      <c r="D41" s="93"/>
      <c r="E41" s="93"/>
      <c r="F41" s="94"/>
      <c r="G41" s="94"/>
      <c r="H41" s="175"/>
      <c r="I41" s="93"/>
      <c r="J41" s="96"/>
      <c r="K41" s="96"/>
      <c r="L41" s="93"/>
      <c r="M41" s="95"/>
      <c r="N41" s="95"/>
      <c r="O41" s="93"/>
      <c r="P41" s="95"/>
      <c r="Q41" s="95"/>
      <c r="R41" s="98"/>
      <c r="S41"/>
      <c r="T41"/>
      <c r="U41" s="64" t="s">
        <v>13</v>
      </c>
      <c r="V41" s="57"/>
      <c r="W41" s="58"/>
      <c r="X41" s="59"/>
      <c r="Y41" s="59"/>
      <c r="Z41" s="59"/>
      <c r="AA41" s="59"/>
      <c r="AB41" s="59"/>
      <c r="AC41" s="60"/>
      <c r="AD41" s="61">
        <f>AD40-Edellisvuosi!B7-Edellisvuosi!C7-Edellisvuosi!D7</f>
        <v>7274</v>
      </c>
      <c r="AE41" s="68"/>
      <c r="AF41" s="68"/>
      <c r="AG41" s="68"/>
      <c r="AH41" s="68"/>
      <c r="AI41" s="68"/>
      <c r="AJ41" s="68"/>
    </row>
    <row r="42" spans="1:36" ht="13.5" thickTop="1" x14ac:dyDescent="0.2"/>
  </sheetData>
  <sheetProtection password="C4AC" sheet="1" objects="1" scenarios="1"/>
  <phoneticPr fontId="4" type="noConversion"/>
  <pageMargins left="0" right="0" top="0.27559055118110237" bottom="0" header="0" footer="0"/>
  <pageSetup paperSize="9" scale="75" fitToHeight="0" orientation="landscape" horizontalDpi="4294967292" verticalDpi="4294967292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8673" r:id="rId4" name="Button 1">
              <controlPr defaultSize="0" print="0" autoFill="0" autoLine="0" autoPict="0" macro="[1]!TAMMI">
                <anchor moveWithCells="1" sizeWithCells="1">
                  <from>
                    <xdr:col>35</xdr:col>
                    <xdr:colOff>0</xdr:colOff>
                    <xdr:row>3</xdr:row>
                    <xdr:rowOff>9525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4" r:id="rId5" name="Button 2">
              <controlPr defaultSize="0" print="0" autoFill="0" autoLine="0" autoPict="0" macro="[1]KTMAKRO!$A$1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5" r:id="rId6" name="Button 3">
              <controlPr defaultSize="0" print="0" autoFill="0" autoLine="0" autoPict="0" macro="[1]!MAALIS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6" r:id="rId7" name="Button 4">
              <controlPr defaultSize="0" print="0" autoFill="0" autoLine="0" autoPict="0" macro="[1]KTMAKRO!$D$1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7" r:id="rId8" name="Button 5">
              <controlPr defaultSize="0" print="0" autoFill="0" autoLine="0" autoPict="0" macro="[1]KTMAKRO!$E$1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8" r:id="rId9" name="Button 6">
              <controlPr defaultSize="0" print="0" autoFill="0" autoLine="0" autoPict="0" macro="[1]!KESÄ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9" r:id="rId10" name="Button 7">
              <controlPr defaultSize="0" print="0" autoFill="0" autoLine="0" autoPict="0" macro="[1]!HELMI">
                <anchor moveWithCells="1" sizeWithCells="1">
                  <from>
                    <xdr:col>35</xdr:col>
                    <xdr:colOff>0</xdr:colOff>
                    <xdr:row>3</xdr:row>
                    <xdr:rowOff>9525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0" r:id="rId11" name="Button 8">
              <controlPr defaultSize="0" print="0" autoFill="0" autoLine="0" autoPict="0" macro="[1]KTMAKRO!$G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1" r:id="rId12" name="Button 9">
              <controlPr defaultSize="0" print="0" autoFill="0" autoLine="0" autoPict="0" macro="[1]KTMAKRO!$I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2" r:id="rId13" name="Button 10">
              <controlPr defaultSize="0" print="0" autoFill="0" autoLine="0" autoPict="0" macro="[1]KTMAKRO!$J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3" r:id="rId14" name="Button 11">
              <controlPr defaultSize="0" print="0" autoFill="0" autoLine="0" autoPict="0" macro="[1]KTMAKRO!$K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4" r:id="rId15" name="Button 12">
              <controlPr defaultSize="0" print="0" autoFill="0" autoLine="0" autoPict="0" macro="[1]KTMAKRO!$L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5" r:id="rId16" name="Button 13">
              <controlPr defaultSize="0" print="0" autoFill="0" autoLine="0" autoPict="0" macro="[1]KTMAKRO!$H$1">
                <anchor moveWithCells="1" sizeWithCells="1">
                  <from>
                    <xdr:col>35</xdr:col>
                    <xdr:colOff>0</xdr:colOff>
                    <xdr:row>5</xdr:row>
                    <xdr:rowOff>0</xdr:rowOff>
                  </from>
                  <to>
                    <xdr:col>35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6" r:id="rId17" name="Button 14">
              <controlPr defaultSize="0" print="0" autoFill="0" autoLine="0" autoPict="0" macro="[1]!Yhteenveto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5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7" r:id="rId18" name="Button 15">
              <controlPr defaultSize="0" print="0" autoFill="0" autoLine="0" autoPict="0" macro="[1]!GRAFIIKKA1">
                <anchor moveWithCells="1" sizeWithCells="1">
                  <from>
                    <xdr:col>35</xdr:col>
                    <xdr:colOff>0</xdr:colOff>
                    <xdr:row>8</xdr:row>
                    <xdr:rowOff>142875</xdr:rowOff>
                  </from>
                  <to>
                    <xdr:col>35</xdr:col>
                    <xdr:colOff>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8" r:id="rId19" name="Button 16">
              <controlPr defaultSize="0" print="0" autoFill="0" autoLine="0" autoPict="0" macro="[1]!Grafiikka2">
                <anchor moveWithCells="1" sizeWithCells="1">
                  <from>
                    <xdr:col>35</xdr:col>
                    <xdr:colOff>0</xdr:colOff>
                    <xdr:row>8</xdr:row>
                    <xdr:rowOff>152400</xdr:rowOff>
                  </from>
                  <to>
                    <xdr:col>35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9" r:id="rId20" name="Button 17">
              <controlPr defaultSize="0" print="0" autoFill="0" autoLine="0" autoPict="0" macro="[1]!Grafiikka4">
                <anchor moveWithCells="1" sizeWithCells="1">
                  <from>
                    <xdr:col>35</xdr:col>
                    <xdr:colOff>0</xdr:colOff>
                    <xdr:row>8</xdr:row>
                    <xdr:rowOff>142875</xdr:rowOff>
                  </from>
                  <to>
                    <xdr:col>35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0" r:id="rId21" name="Button 18">
              <controlPr defaultSize="0" print="0" autoFill="0" autoLine="0" autoPict="0" macro="[1]!Grafiikka4">
                <anchor moveWithCells="1" sizeWithCells="1">
                  <from>
                    <xdr:col>35</xdr:col>
                    <xdr:colOff>0</xdr:colOff>
                    <xdr:row>8</xdr:row>
                    <xdr:rowOff>152400</xdr:rowOff>
                  </from>
                  <to>
                    <xdr:col>35</xdr:col>
                    <xdr:colOff>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1" r:id="rId22" name="Button 19">
              <controlPr defaultSize="0" print="0" autoFill="0" autoLine="0" autoPict="0" macro="[1]!Grafiikka5">
                <anchor moveWithCells="1" sizeWithCells="1">
                  <from>
                    <xdr:col>35</xdr:col>
                    <xdr:colOff>0</xdr:colOff>
                    <xdr:row>8</xdr:row>
                    <xdr:rowOff>152400</xdr:rowOff>
                  </from>
                  <to>
                    <xdr:col>35</xdr:col>
                    <xdr:colOff>0</xdr:colOff>
                    <xdr:row>12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0"/>
  <sheetViews>
    <sheetView zoomScale="75" workbookViewId="0">
      <selection activeCell="F2" sqref="F2"/>
    </sheetView>
  </sheetViews>
  <sheetFormatPr defaultRowHeight="12" x14ac:dyDescent="0.15"/>
  <cols>
    <col min="1" max="1" width="10.25" bestFit="1" customWidth="1"/>
    <col min="2" max="2" width="14" customWidth="1"/>
  </cols>
  <sheetData>
    <row r="1" spans="1:10" ht="20.25" x14ac:dyDescent="0.3">
      <c r="A1" s="130">
        <f>DATE(2004,1,1)</f>
        <v>37987</v>
      </c>
      <c r="B1">
        <f t="shared" ref="B1:B64" si="0">WEEKDAY(A1)</f>
        <v>5</v>
      </c>
      <c r="C1">
        <f t="shared" ref="C1:C64" si="1">MONTH(A1)</f>
        <v>1</v>
      </c>
      <c r="D1" t="s">
        <v>123</v>
      </c>
      <c r="E1" s="169">
        <v>2004</v>
      </c>
      <c r="G1" t="s">
        <v>85</v>
      </c>
      <c r="H1" s="168" t="s">
        <v>139</v>
      </c>
    </row>
    <row r="2" spans="1:10" ht="20.25" x14ac:dyDescent="0.3">
      <c r="A2">
        <f t="shared" ref="A2:A33" si="2">+A1+1</f>
        <v>37988</v>
      </c>
      <c r="B2">
        <f t="shared" si="0"/>
        <v>6</v>
      </c>
      <c r="C2">
        <f t="shared" si="1"/>
        <v>1</v>
      </c>
      <c r="D2" t="s">
        <v>124</v>
      </c>
      <c r="E2" s="156">
        <f>$E$1-1</f>
        <v>2003</v>
      </c>
      <c r="G2" s="131"/>
      <c r="H2" s="131"/>
      <c r="I2" s="131"/>
      <c r="J2" s="131"/>
    </row>
    <row r="3" spans="1:10" ht="15" x14ac:dyDescent="0.2">
      <c r="A3">
        <f t="shared" si="2"/>
        <v>37989</v>
      </c>
      <c r="B3">
        <f t="shared" si="0"/>
        <v>7</v>
      </c>
      <c r="C3">
        <f t="shared" si="1"/>
        <v>1</v>
      </c>
      <c r="E3" t="s">
        <v>125</v>
      </c>
      <c r="G3" s="131"/>
      <c r="H3" s="131"/>
      <c r="I3" s="131"/>
      <c r="J3" s="131"/>
    </row>
    <row r="4" spans="1:10" x14ac:dyDescent="0.15">
      <c r="A4">
        <f t="shared" si="2"/>
        <v>37990</v>
      </c>
      <c r="B4">
        <f t="shared" si="0"/>
        <v>1</v>
      </c>
      <c r="C4">
        <f t="shared" si="1"/>
        <v>1</v>
      </c>
    </row>
    <row r="5" spans="1:10" x14ac:dyDescent="0.15">
      <c r="A5">
        <f t="shared" si="2"/>
        <v>37991</v>
      </c>
      <c r="B5">
        <f t="shared" si="0"/>
        <v>2</v>
      </c>
      <c r="C5">
        <f t="shared" si="1"/>
        <v>1</v>
      </c>
    </row>
    <row r="6" spans="1:10" x14ac:dyDescent="0.15">
      <c r="A6">
        <f t="shared" si="2"/>
        <v>37992</v>
      </c>
      <c r="B6">
        <f t="shared" si="0"/>
        <v>3</v>
      </c>
      <c r="C6">
        <f t="shared" si="1"/>
        <v>1</v>
      </c>
    </row>
    <row r="7" spans="1:10" x14ac:dyDescent="0.15">
      <c r="A7">
        <f t="shared" si="2"/>
        <v>37993</v>
      </c>
      <c r="B7">
        <f t="shared" si="0"/>
        <v>4</v>
      </c>
      <c r="C7">
        <f t="shared" si="1"/>
        <v>1</v>
      </c>
      <c r="G7" s="167" t="s">
        <v>143</v>
      </c>
    </row>
    <row r="8" spans="1:10" x14ac:dyDescent="0.15">
      <c r="A8">
        <f t="shared" si="2"/>
        <v>37994</v>
      </c>
      <c r="B8">
        <f t="shared" si="0"/>
        <v>5</v>
      </c>
      <c r="C8">
        <f t="shared" si="1"/>
        <v>1</v>
      </c>
      <c r="G8" s="167"/>
    </row>
    <row r="9" spans="1:10" x14ac:dyDescent="0.15">
      <c r="A9">
        <f t="shared" si="2"/>
        <v>37995</v>
      </c>
      <c r="B9">
        <f t="shared" si="0"/>
        <v>6</v>
      </c>
      <c r="C9">
        <f t="shared" si="1"/>
        <v>1</v>
      </c>
      <c r="G9" s="167" t="s">
        <v>144</v>
      </c>
    </row>
    <row r="10" spans="1:10" x14ac:dyDescent="0.15">
      <c r="A10">
        <f t="shared" si="2"/>
        <v>37996</v>
      </c>
      <c r="B10">
        <f t="shared" si="0"/>
        <v>7</v>
      </c>
      <c r="C10">
        <f t="shared" si="1"/>
        <v>1</v>
      </c>
    </row>
    <row r="11" spans="1:10" x14ac:dyDescent="0.15">
      <c r="A11">
        <f t="shared" si="2"/>
        <v>37997</v>
      </c>
      <c r="B11">
        <f t="shared" si="0"/>
        <v>1</v>
      </c>
      <c r="C11">
        <f t="shared" si="1"/>
        <v>1</v>
      </c>
    </row>
    <row r="12" spans="1:10" ht="15" x14ac:dyDescent="0.2">
      <c r="A12">
        <f t="shared" si="2"/>
        <v>37998</v>
      </c>
      <c r="B12">
        <f t="shared" si="0"/>
        <v>2</v>
      </c>
      <c r="C12">
        <f t="shared" si="1"/>
        <v>1</v>
      </c>
      <c r="G12" s="131" t="s">
        <v>149</v>
      </c>
    </row>
    <row r="13" spans="1:10" ht="15" x14ac:dyDescent="0.2">
      <c r="A13">
        <f t="shared" si="2"/>
        <v>37999</v>
      </c>
      <c r="B13">
        <f t="shared" si="0"/>
        <v>3</v>
      </c>
      <c r="C13">
        <f t="shared" si="1"/>
        <v>1</v>
      </c>
      <c r="G13" s="131" t="s">
        <v>90</v>
      </c>
      <c r="H13" s="131" t="s">
        <v>86</v>
      </c>
    </row>
    <row r="14" spans="1:10" ht="15" x14ac:dyDescent="0.2">
      <c r="A14">
        <f t="shared" si="2"/>
        <v>38000</v>
      </c>
      <c r="B14">
        <f t="shared" si="0"/>
        <v>4</v>
      </c>
      <c r="C14">
        <f t="shared" si="1"/>
        <v>1</v>
      </c>
      <c r="G14" s="131"/>
      <c r="H14" s="131" t="s">
        <v>87</v>
      </c>
    </row>
    <row r="15" spans="1:10" ht="15" x14ac:dyDescent="0.2">
      <c r="A15">
        <f t="shared" si="2"/>
        <v>38001</v>
      </c>
      <c r="B15">
        <f t="shared" si="0"/>
        <v>5</v>
      </c>
      <c r="C15">
        <f t="shared" si="1"/>
        <v>1</v>
      </c>
      <c r="G15" s="131" t="s">
        <v>91</v>
      </c>
      <c r="H15" s="131" t="s">
        <v>88</v>
      </c>
    </row>
    <row r="16" spans="1:10" ht="15" x14ac:dyDescent="0.2">
      <c r="A16">
        <f t="shared" si="2"/>
        <v>38002</v>
      </c>
      <c r="B16">
        <f t="shared" si="0"/>
        <v>6</v>
      </c>
      <c r="C16">
        <f t="shared" si="1"/>
        <v>1</v>
      </c>
      <c r="G16" s="131"/>
      <c r="H16" s="131" t="s">
        <v>89</v>
      </c>
    </row>
    <row r="17" spans="1:9" ht="15" x14ac:dyDescent="0.2">
      <c r="A17">
        <f t="shared" si="2"/>
        <v>38003</v>
      </c>
      <c r="B17">
        <f t="shared" si="0"/>
        <v>7</v>
      </c>
      <c r="C17">
        <f t="shared" si="1"/>
        <v>1</v>
      </c>
      <c r="G17" s="131" t="s">
        <v>121</v>
      </c>
      <c r="H17" s="131" t="s">
        <v>157</v>
      </c>
    </row>
    <row r="18" spans="1:9" ht="12.75" x14ac:dyDescent="0.2">
      <c r="A18">
        <f t="shared" si="2"/>
        <v>38004</v>
      </c>
      <c r="B18">
        <f t="shared" si="0"/>
        <v>1</v>
      </c>
      <c r="C18">
        <f t="shared" si="1"/>
        <v>1</v>
      </c>
      <c r="H18" s="172">
        <f>DAY(Kalenteri!$A$370)</f>
        <v>0</v>
      </c>
      <c r="I18" s="173">
        <f>IF(Kalenteri!$B$370=1,"su",IF(Kalenteri!$B$370=2,"ma",IF(Kalenteri!$B$370=3,"ti",IF(Kalenteri!$B$370=4,"ke",IF(Kalenteri!$B$370=5,"to",IF(Kalenteri!$B$370=6,"pe",IF(Kalenteri!$B$370=7,"la",)))))))</f>
        <v>0</v>
      </c>
    </row>
    <row r="19" spans="1:9" ht="15" x14ac:dyDescent="0.2">
      <c r="A19">
        <f t="shared" si="2"/>
        <v>38005</v>
      </c>
      <c r="B19">
        <f t="shared" si="0"/>
        <v>2</v>
      </c>
      <c r="C19">
        <f t="shared" si="1"/>
        <v>1</v>
      </c>
      <c r="G19" s="167" t="s">
        <v>92</v>
      </c>
      <c r="H19" s="165" t="s">
        <v>146</v>
      </c>
    </row>
    <row r="20" spans="1:9" ht="15" x14ac:dyDescent="0.2">
      <c r="A20">
        <f t="shared" si="2"/>
        <v>38006</v>
      </c>
      <c r="B20">
        <f t="shared" si="0"/>
        <v>3</v>
      </c>
      <c r="C20">
        <f t="shared" si="1"/>
        <v>1</v>
      </c>
      <c r="G20" s="165" t="s">
        <v>147</v>
      </c>
    </row>
    <row r="21" spans="1:9" ht="15" x14ac:dyDescent="0.2">
      <c r="A21">
        <f t="shared" si="2"/>
        <v>38007</v>
      </c>
      <c r="B21">
        <f t="shared" si="0"/>
        <v>4</v>
      </c>
      <c r="C21">
        <f t="shared" si="1"/>
        <v>1</v>
      </c>
      <c r="G21" s="131" t="s">
        <v>134</v>
      </c>
      <c r="H21" s="131" t="s">
        <v>122</v>
      </c>
    </row>
    <row r="22" spans="1:9" ht="15" x14ac:dyDescent="0.2">
      <c r="A22">
        <f t="shared" si="2"/>
        <v>38008</v>
      </c>
      <c r="B22">
        <f t="shared" si="0"/>
        <v>5</v>
      </c>
      <c r="C22">
        <f t="shared" si="1"/>
        <v>1</v>
      </c>
      <c r="H22" s="131" t="s">
        <v>148</v>
      </c>
    </row>
    <row r="23" spans="1:9" ht="15" x14ac:dyDescent="0.2">
      <c r="A23">
        <f t="shared" si="2"/>
        <v>38009</v>
      </c>
      <c r="B23">
        <f t="shared" si="0"/>
        <v>6</v>
      </c>
      <c r="C23">
        <f t="shared" si="1"/>
        <v>1</v>
      </c>
      <c r="G23" s="131" t="s">
        <v>136</v>
      </c>
      <c r="H23" s="131" t="s">
        <v>135</v>
      </c>
    </row>
    <row r="24" spans="1:9" ht="15" x14ac:dyDescent="0.2">
      <c r="A24">
        <f t="shared" si="2"/>
        <v>38010</v>
      </c>
      <c r="B24">
        <f t="shared" si="0"/>
        <v>7</v>
      </c>
      <c r="C24">
        <f t="shared" si="1"/>
        <v>1</v>
      </c>
      <c r="G24" s="131" t="s">
        <v>154</v>
      </c>
      <c r="H24" s="131" t="s">
        <v>150</v>
      </c>
    </row>
    <row r="25" spans="1:9" ht="15" x14ac:dyDescent="0.2">
      <c r="A25">
        <f t="shared" si="2"/>
        <v>38011</v>
      </c>
      <c r="B25">
        <f t="shared" si="0"/>
        <v>1</v>
      </c>
      <c r="C25">
        <f t="shared" si="1"/>
        <v>1</v>
      </c>
      <c r="H25" s="131" t="s">
        <v>152</v>
      </c>
    </row>
    <row r="26" spans="1:9" ht="15" x14ac:dyDescent="0.2">
      <c r="A26">
        <f t="shared" si="2"/>
        <v>38012</v>
      </c>
      <c r="B26">
        <f t="shared" si="0"/>
        <v>2</v>
      </c>
      <c r="C26">
        <f t="shared" si="1"/>
        <v>1</v>
      </c>
      <c r="H26" s="131" t="s">
        <v>153</v>
      </c>
    </row>
    <row r="27" spans="1:9" ht="15" x14ac:dyDescent="0.2">
      <c r="A27">
        <f t="shared" si="2"/>
        <v>38013</v>
      </c>
      <c r="B27">
        <f t="shared" si="0"/>
        <v>3</v>
      </c>
      <c r="C27">
        <f t="shared" si="1"/>
        <v>1</v>
      </c>
      <c r="G27" s="131" t="s">
        <v>158</v>
      </c>
      <c r="H27" s="131" t="s">
        <v>155</v>
      </c>
    </row>
    <row r="28" spans="1:9" ht="15" x14ac:dyDescent="0.2">
      <c r="A28">
        <f t="shared" si="2"/>
        <v>38014</v>
      </c>
      <c r="B28">
        <f t="shared" si="0"/>
        <v>4</v>
      </c>
      <c r="C28">
        <f t="shared" si="1"/>
        <v>1</v>
      </c>
      <c r="H28" s="131" t="s">
        <v>160</v>
      </c>
    </row>
    <row r="29" spans="1:9" ht="15" x14ac:dyDescent="0.2">
      <c r="A29">
        <f t="shared" si="2"/>
        <v>38015</v>
      </c>
      <c r="B29">
        <f t="shared" si="0"/>
        <v>5</v>
      </c>
      <c r="C29">
        <f t="shared" si="1"/>
        <v>1</v>
      </c>
      <c r="G29" t="s">
        <v>158</v>
      </c>
      <c r="H29" s="131" t="s">
        <v>161</v>
      </c>
    </row>
    <row r="30" spans="1:9" x14ac:dyDescent="0.15">
      <c r="A30">
        <f t="shared" si="2"/>
        <v>38016</v>
      </c>
      <c r="B30">
        <f t="shared" si="0"/>
        <v>6</v>
      </c>
      <c r="C30">
        <f t="shared" si="1"/>
        <v>1</v>
      </c>
    </row>
    <row r="31" spans="1:9" x14ac:dyDescent="0.15">
      <c r="A31">
        <f t="shared" si="2"/>
        <v>38017</v>
      </c>
      <c r="B31">
        <f t="shared" si="0"/>
        <v>7</v>
      </c>
      <c r="C31">
        <f t="shared" si="1"/>
        <v>1</v>
      </c>
    </row>
    <row r="32" spans="1:9" x14ac:dyDescent="0.15">
      <c r="A32">
        <f t="shared" si="2"/>
        <v>38018</v>
      </c>
      <c r="B32">
        <f t="shared" si="0"/>
        <v>1</v>
      </c>
      <c r="C32">
        <f t="shared" si="1"/>
        <v>2</v>
      </c>
    </row>
    <row r="33" spans="1:14" x14ac:dyDescent="0.15">
      <c r="A33">
        <f t="shared" si="2"/>
        <v>38019</v>
      </c>
      <c r="B33">
        <f t="shared" si="0"/>
        <v>2</v>
      </c>
      <c r="C33">
        <f t="shared" si="1"/>
        <v>2</v>
      </c>
    </row>
    <row r="34" spans="1:14" x14ac:dyDescent="0.15">
      <c r="A34">
        <f t="shared" ref="A34:A59" si="3">+A33+1</f>
        <v>38020</v>
      </c>
      <c r="B34">
        <f t="shared" si="0"/>
        <v>3</v>
      </c>
      <c r="C34">
        <f t="shared" si="1"/>
        <v>2</v>
      </c>
    </row>
    <row r="35" spans="1:14" x14ac:dyDescent="0.15">
      <c r="A35">
        <f t="shared" si="3"/>
        <v>38021</v>
      </c>
      <c r="B35">
        <f t="shared" si="0"/>
        <v>4</v>
      </c>
      <c r="C35">
        <f t="shared" si="1"/>
        <v>2</v>
      </c>
    </row>
    <row r="36" spans="1:14" x14ac:dyDescent="0.15">
      <c r="A36">
        <f t="shared" si="3"/>
        <v>38022</v>
      </c>
      <c r="B36">
        <f t="shared" si="0"/>
        <v>5</v>
      </c>
      <c r="C36">
        <f t="shared" si="1"/>
        <v>2</v>
      </c>
    </row>
    <row r="37" spans="1:14" x14ac:dyDescent="0.15">
      <c r="A37">
        <f t="shared" si="3"/>
        <v>38023</v>
      </c>
      <c r="B37">
        <f t="shared" si="0"/>
        <v>6</v>
      </c>
      <c r="C37">
        <f t="shared" si="1"/>
        <v>2</v>
      </c>
    </row>
    <row r="38" spans="1:14" ht="15.75" x14ac:dyDescent="0.25">
      <c r="A38">
        <f t="shared" si="3"/>
        <v>38024</v>
      </c>
      <c r="B38">
        <f t="shared" si="0"/>
        <v>7</v>
      </c>
      <c r="C38">
        <f t="shared" si="1"/>
        <v>2</v>
      </c>
      <c r="E38" s="71" t="s">
        <v>16</v>
      </c>
    </row>
    <row r="39" spans="1:14" ht="15.75" x14ac:dyDescent="0.25">
      <c r="A39">
        <f t="shared" si="3"/>
        <v>38025</v>
      </c>
      <c r="B39">
        <f t="shared" si="0"/>
        <v>1</v>
      </c>
      <c r="C39">
        <f t="shared" si="1"/>
        <v>2</v>
      </c>
      <c r="E39" s="88" t="s">
        <v>18</v>
      </c>
      <c r="F39" s="89"/>
      <c r="G39" s="89"/>
      <c r="H39" s="99" t="s">
        <v>119</v>
      </c>
      <c r="I39" s="102"/>
      <c r="J39" s="99"/>
      <c r="K39" s="89"/>
      <c r="L39" s="90"/>
      <c r="M39" s="90"/>
      <c r="N39" s="89"/>
    </row>
    <row r="40" spans="1:14" ht="15.75" x14ac:dyDescent="0.25">
      <c r="A40">
        <f t="shared" si="3"/>
        <v>38026</v>
      </c>
      <c r="B40">
        <f t="shared" si="0"/>
        <v>2</v>
      </c>
      <c r="C40">
        <f t="shared" si="1"/>
        <v>2</v>
      </c>
      <c r="E40" s="91" t="s">
        <v>19</v>
      </c>
      <c r="F40" s="39"/>
      <c r="G40" s="39"/>
      <c r="H40" s="100" t="s">
        <v>151</v>
      </c>
      <c r="I40" s="65"/>
      <c r="J40" s="100"/>
      <c r="K40" s="39"/>
      <c r="L40" s="42"/>
      <c r="M40" s="42"/>
      <c r="N40" s="39"/>
    </row>
    <row r="41" spans="1:14" ht="15.75" x14ac:dyDescent="0.25">
      <c r="A41">
        <f t="shared" si="3"/>
        <v>38027</v>
      </c>
      <c r="B41">
        <f t="shared" si="0"/>
        <v>3</v>
      </c>
      <c r="C41">
        <f t="shared" si="1"/>
        <v>2</v>
      </c>
      <c r="E41" s="92" t="s">
        <v>17</v>
      </c>
      <c r="F41" s="93"/>
      <c r="G41" s="93"/>
      <c r="H41" s="101" t="s">
        <v>120</v>
      </c>
      <c r="I41" s="94"/>
      <c r="J41" s="101"/>
      <c r="K41" s="93"/>
      <c r="L41" s="96"/>
      <c r="M41" s="96"/>
      <c r="N41" s="93"/>
    </row>
    <row r="42" spans="1:14" x14ac:dyDescent="0.15">
      <c r="A42">
        <f t="shared" si="3"/>
        <v>38028</v>
      </c>
      <c r="B42">
        <f t="shared" si="0"/>
        <v>4</v>
      </c>
      <c r="C42">
        <f t="shared" si="1"/>
        <v>2</v>
      </c>
    </row>
    <row r="43" spans="1:14" x14ac:dyDescent="0.15">
      <c r="A43">
        <f t="shared" si="3"/>
        <v>38029</v>
      </c>
      <c r="B43">
        <f t="shared" si="0"/>
        <v>5</v>
      </c>
      <c r="C43">
        <f t="shared" si="1"/>
        <v>2</v>
      </c>
    </row>
    <row r="44" spans="1:14" x14ac:dyDescent="0.15">
      <c r="A44">
        <f t="shared" si="3"/>
        <v>38030</v>
      </c>
      <c r="B44">
        <f t="shared" si="0"/>
        <v>6</v>
      </c>
      <c r="C44">
        <f t="shared" si="1"/>
        <v>2</v>
      </c>
    </row>
    <row r="45" spans="1:14" x14ac:dyDescent="0.15">
      <c r="A45">
        <f t="shared" si="3"/>
        <v>38031</v>
      </c>
      <c r="B45">
        <f t="shared" si="0"/>
        <v>7</v>
      </c>
      <c r="C45">
        <f t="shared" si="1"/>
        <v>2</v>
      </c>
    </row>
    <row r="46" spans="1:14" x14ac:dyDescent="0.15">
      <c r="A46">
        <f t="shared" si="3"/>
        <v>38032</v>
      </c>
      <c r="B46">
        <f t="shared" si="0"/>
        <v>1</v>
      </c>
      <c r="C46">
        <f t="shared" si="1"/>
        <v>2</v>
      </c>
    </row>
    <row r="47" spans="1:14" x14ac:dyDescent="0.15">
      <c r="A47">
        <f t="shared" si="3"/>
        <v>38033</v>
      </c>
      <c r="B47">
        <f t="shared" si="0"/>
        <v>2</v>
      </c>
      <c r="C47">
        <f t="shared" si="1"/>
        <v>2</v>
      </c>
    </row>
    <row r="48" spans="1:14" x14ac:dyDescent="0.15">
      <c r="A48">
        <f t="shared" si="3"/>
        <v>38034</v>
      </c>
      <c r="B48">
        <f t="shared" si="0"/>
        <v>3</v>
      </c>
      <c r="C48">
        <f t="shared" si="1"/>
        <v>2</v>
      </c>
    </row>
    <row r="49" spans="1:4" x14ac:dyDescent="0.15">
      <c r="A49">
        <f t="shared" si="3"/>
        <v>38035</v>
      </c>
      <c r="B49">
        <f t="shared" si="0"/>
        <v>4</v>
      </c>
      <c r="C49">
        <f t="shared" si="1"/>
        <v>2</v>
      </c>
    </row>
    <row r="50" spans="1:4" x14ac:dyDescent="0.15">
      <c r="A50">
        <f t="shared" si="3"/>
        <v>38036</v>
      </c>
      <c r="B50">
        <f t="shared" si="0"/>
        <v>5</v>
      </c>
      <c r="C50">
        <f t="shared" si="1"/>
        <v>2</v>
      </c>
    </row>
    <row r="51" spans="1:4" x14ac:dyDescent="0.15">
      <c r="A51">
        <f t="shared" si="3"/>
        <v>38037</v>
      </c>
      <c r="B51">
        <f t="shared" si="0"/>
        <v>6</v>
      </c>
      <c r="C51">
        <f t="shared" si="1"/>
        <v>2</v>
      </c>
    </row>
    <row r="52" spans="1:4" x14ac:dyDescent="0.15">
      <c r="A52">
        <f t="shared" si="3"/>
        <v>38038</v>
      </c>
      <c r="B52">
        <f t="shared" si="0"/>
        <v>7</v>
      </c>
      <c r="C52">
        <f t="shared" si="1"/>
        <v>2</v>
      </c>
    </row>
    <row r="53" spans="1:4" x14ac:dyDescent="0.15">
      <c r="A53">
        <f t="shared" si="3"/>
        <v>38039</v>
      </c>
      <c r="B53">
        <f t="shared" si="0"/>
        <v>1</v>
      </c>
      <c r="C53">
        <f t="shared" si="1"/>
        <v>2</v>
      </c>
    </row>
    <row r="54" spans="1:4" x14ac:dyDescent="0.15">
      <c r="A54">
        <f t="shared" si="3"/>
        <v>38040</v>
      </c>
      <c r="B54">
        <f t="shared" si="0"/>
        <v>2</v>
      </c>
      <c r="C54">
        <f t="shared" si="1"/>
        <v>2</v>
      </c>
    </row>
    <row r="55" spans="1:4" x14ac:dyDescent="0.15">
      <c r="A55">
        <f t="shared" si="3"/>
        <v>38041</v>
      </c>
      <c r="B55">
        <f t="shared" si="0"/>
        <v>3</v>
      </c>
      <c r="C55">
        <f t="shared" si="1"/>
        <v>2</v>
      </c>
    </row>
    <row r="56" spans="1:4" x14ac:dyDescent="0.15">
      <c r="A56">
        <f t="shared" si="3"/>
        <v>38042</v>
      </c>
      <c r="B56">
        <f t="shared" si="0"/>
        <v>4</v>
      </c>
      <c r="C56">
        <f t="shared" si="1"/>
        <v>2</v>
      </c>
    </row>
    <row r="57" spans="1:4" x14ac:dyDescent="0.15">
      <c r="A57">
        <f t="shared" si="3"/>
        <v>38043</v>
      </c>
      <c r="B57">
        <f t="shared" si="0"/>
        <v>5</v>
      </c>
      <c r="C57">
        <f t="shared" si="1"/>
        <v>2</v>
      </c>
    </row>
    <row r="58" spans="1:4" x14ac:dyDescent="0.15">
      <c r="A58">
        <f t="shared" si="3"/>
        <v>38044</v>
      </c>
      <c r="B58">
        <f t="shared" si="0"/>
        <v>6</v>
      </c>
      <c r="C58">
        <f t="shared" si="1"/>
        <v>2</v>
      </c>
    </row>
    <row r="59" spans="1:4" x14ac:dyDescent="0.15">
      <c r="A59">
        <f t="shared" si="3"/>
        <v>38045</v>
      </c>
      <c r="B59">
        <f t="shared" si="0"/>
        <v>7</v>
      </c>
      <c r="C59">
        <f t="shared" si="1"/>
        <v>2</v>
      </c>
    </row>
    <row r="60" spans="1:4" x14ac:dyDescent="0.15">
      <c r="A60">
        <f>+A59+2</f>
        <v>38047</v>
      </c>
      <c r="B60">
        <f t="shared" si="0"/>
        <v>2</v>
      </c>
      <c r="C60">
        <f t="shared" si="1"/>
        <v>3</v>
      </c>
      <c r="D60" t="s">
        <v>142</v>
      </c>
    </row>
    <row r="61" spans="1:4" x14ac:dyDescent="0.15">
      <c r="A61">
        <f t="shared" ref="A61:A124" si="4">+A60+1</f>
        <v>38048</v>
      </c>
      <c r="B61">
        <f t="shared" si="0"/>
        <v>3</v>
      </c>
      <c r="C61">
        <f t="shared" si="1"/>
        <v>3</v>
      </c>
    </row>
    <row r="62" spans="1:4" x14ac:dyDescent="0.15">
      <c r="A62">
        <f t="shared" si="4"/>
        <v>38049</v>
      </c>
      <c r="B62">
        <f t="shared" si="0"/>
        <v>4</v>
      </c>
      <c r="C62">
        <f t="shared" si="1"/>
        <v>3</v>
      </c>
    </row>
    <row r="63" spans="1:4" x14ac:dyDescent="0.15">
      <c r="A63">
        <f t="shared" si="4"/>
        <v>38050</v>
      </c>
      <c r="B63">
        <f t="shared" si="0"/>
        <v>5</v>
      </c>
      <c r="C63">
        <f t="shared" si="1"/>
        <v>3</v>
      </c>
    </row>
    <row r="64" spans="1:4" x14ac:dyDescent="0.15">
      <c r="A64">
        <f t="shared" si="4"/>
        <v>38051</v>
      </c>
      <c r="B64">
        <f t="shared" si="0"/>
        <v>6</v>
      </c>
      <c r="C64">
        <f t="shared" si="1"/>
        <v>3</v>
      </c>
    </row>
    <row r="65" spans="1:3" x14ac:dyDescent="0.15">
      <c r="A65">
        <f t="shared" si="4"/>
        <v>38052</v>
      </c>
      <c r="B65">
        <f t="shared" ref="B65:B128" si="5">WEEKDAY(A65)</f>
        <v>7</v>
      </c>
      <c r="C65">
        <f t="shared" ref="C65:C128" si="6">MONTH(A65)</f>
        <v>3</v>
      </c>
    </row>
    <row r="66" spans="1:3" x14ac:dyDescent="0.15">
      <c r="A66">
        <f t="shared" si="4"/>
        <v>38053</v>
      </c>
      <c r="B66">
        <f t="shared" si="5"/>
        <v>1</v>
      </c>
      <c r="C66">
        <f t="shared" si="6"/>
        <v>3</v>
      </c>
    </row>
    <row r="67" spans="1:3" x14ac:dyDescent="0.15">
      <c r="A67">
        <f t="shared" si="4"/>
        <v>38054</v>
      </c>
      <c r="B67">
        <f t="shared" si="5"/>
        <v>2</v>
      </c>
      <c r="C67">
        <f t="shared" si="6"/>
        <v>3</v>
      </c>
    </row>
    <row r="68" spans="1:3" x14ac:dyDescent="0.15">
      <c r="A68">
        <f t="shared" si="4"/>
        <v>38055</v>
      </c>
      <c r="B68">
        <f t="shared" si="5"/>
        <v>3</v>
      </c>
      <c r="C68">
        <f t="shared" si="6"/>
        <v>3</v>
      </c>
    </row>
    <row r="69" spans="1:3" x14ac:dyDescent="0.15">
      <c r="A69">
        <f t="shared" si="4"/>
        <v>38056</v>
      </c>
      <c r="B69">
        <f t="shared" si="5"/>
        <v>4</v>
      </c>
      <c r="C69">
        <f t="shared" si="6"/>
        <v>3</v>
      </c>
    </row>
    <row r="70" spans="1:3" x14ac:dyDescent="0.15">
      <c r="A70">
        <f t="shared" si="4"/>
        <v>38057</v>
      </c>
      <c r="B70">
        <f t="shared" si="5"/>
        <v>5</v>
      </c>
      <c r="C70">
        <f t="shared" si="6"/>
        <v>3</v>
      </c>
    </row>
    <row r="71" spans="1:3" x14ac:dyDescent="0.15">
      <c r="A71">
        <f t="shared" si="4"/>
        <v>38058</v>
      </c>
      <c r="B71">
        <f t="shared" si="5"/>
        <v>6</v>
      </c>
      <c r="C71">
        <f t="shared" si="6"/>
        <v>3</v>
      </c>
    </row>
    <row r="72" spans="1:3" x14ac:dyDescent="0.15">
      <c r="A72">
        <f t="shared" si="4"/>
        <v>38059</v>
      </c>
      <c r="B72">
        <f t="shared" si="5"/>
        <v>7</v>
      </c>
      <c r="C72">
        <f t="shared" si="6"/>
        <v>3</v>
      </c>
    </row>
    <row r="73" spans="1:3" x14ac:dyDescent="0.15">
      <c r="A73">
        <f t="shared" si="4"/>
        <v>38060</v>
      </c>
      <c r="B73">
        <f t="shared" si="5"/>
        <v>1</v>
      </c>
      <c r="C73">
        <f t="shared" si="6"/>
        <v>3</v>
      </c>
    </row>
    <row r="74" spans="1:3" x14ac:dyDescent="0.15">
      <c r="A74">
        <f t="shared" si="4"/>
        <v>38061</v>
      </c>
      <c r="B74">
        <f t="shared" si="5"/>
        <v>2</v>
      </c>
      <c r="C74">
        <f t="shared" si="6"/>
        <v>3</v>
      </c>
    </row>
    <row r="75" spans="1:3" x14ac:dyDescent="0.15">
      <c r="A75">
        <f t="shared" si="4"/>
        <v>38062</v>
      </c>
      <c r="B75">
        <f t="shared" si="5"/>
        <v>3</v>
      </c>
      <c r="C75">
        <f t="shared" si="6"/>
        <v>3</v>
      </c>
    </row>
    <row r="76" spans="1:3" x14ac:dyDescent="0.15">
      <c r="A76">
        <f t="shared" si="4"/>
        <v>38063</v>
      </c>
      <c r="B76">
        <f t="shared" si="5"/>
        <v>4</v>
      </c>
      <c r="C76">
        <f t="shared" si="6"/>
        <v>3</v>
      </c>
    </row>
    <row r="77" spans="1:3" x14ac:dyDescent="0.15">
      <c r="A77">
        <f t="shared" si="4"/>
        <v>38064</v>
      </c>
      <c r="B77">
        <f t="shared" si="5"/>
        <v>5</v>
      </c>
      <c r="C77">
        <f t="shared" si="6"/>
        <v>3</v>
      </c>
    </row>
    <row r="78" spans="1:3" x14ac:dyDescent="0.15">
      <c r="A78">
        <f t="shared" si="4"/>
        <v>38065</v>
      </c>
      <c r="B78">
        <f t="shared" si="5"/>
        <v>6</v>
      </c>
      <c r="C78">
        <f t="shared" si="6"/>
        <v>3</v>
      </c>
    </row>
    <row r="79" spans="1:3" x14ac:dyDescent="0.15">
      <c r="A79">
        <f t="shared" si="4"/>
        <v>38066</v>
      </c>
      <c r="B79">
        <f t="shared" si="5"/>
        <v>7</v>
      </c>
      <c r="C79">
        <f t="shared" si="6"/>
        <v>3</v>
      </c>
    </row>
    <row r="80" spans="1:3" x14ac:dyDescent="0.15">
      <c r="A80">
        <f t="shared" si="4"/>
        <v>38067</v>
      </c>
      <c r="B80">
        <f t="shared" si="5"/>
        <v>1</v>
      </c>
      <c r="C80">
        <f t="shared" si="6"/>
        <v>3</v>
      </c>
    </row>
    <row r="81" spans="1:3" x14ac:dyDescent="0.15">
      <c r="A81">
        <f t="shared" si="4"/>
        <v>38068</v>
      </c>
      <c r="B81">
        <f t="shared" si="5"/>
        <v>2</v>
      </c>
      <c r="C81">
        <f t="shared" si="6"/>
        <v>3</v>
      </c>
    </row>
    <row r="82" spans="1:3" x14ac:dyDescent="0.15">
      <c r="A82">
        <f t="shared" si="4"/>
        <v>38069</v>
      </c>
      <c r="B82">
        <f t="shared" si="5"/>
        <v>3</v>
      </c>
      <c r="C82">
        <f t="shared" si="6"/>
        <v>3</v>
      </c>
    </row>
    <row r="83" spans="1:3" x14ac:dyDescent="0.15">
      <c r="A83">
        <f t="shared" si="4"/>
        <v>38070</v>
      </c>
      <c r="B83">
        <f t="shared" si="5"/>
        <v>4</v>
      </c>
      <c r="C83">
        <f t="shared" si="6"/>
        <v>3</v>
      </c>
    </row>
    <row r="84" spans="1:3" x14ac:dyDescent="0.15">
      <c r="A84">
        <f t="shared" si="4"/>
        <v>38071</v>
      </c>
      <c r="B84">
        <f t="shared" si="5"/>
        <v>5</v>
      </c>
      <c r="C84">
        <f t="shared" si="6"/>
        <v>3</v>
      </c>
    </row>
    <row r="85" spans="1:3" x14ac:dyDescent="0.15">
      <c r="A85">
        <f t="shared" si="4"/>
        <v>38072</v>
      </c>
      <c r="B85">
        <f t="shared" si="5"/>
        <v>6</v>
      </c>
      <c r="C85">
        <f t="shared" si="6"/>
        <v>3</v>
      </c>
    </row>
    <row r="86" spans="1:3" x14ac:dyDescent="0.15">
      <c r="A86">
        <f t="shared" si="4"/>
        <v>38073</v>
      </c>
      <c r="B86">
        <f t="shared" si="5"/>
        <v>7</v>
      </c>
      <c r="C86">
        <f t="shared" si="6"/>
        <v>3</v>
      </c>
    </row>
    <row r="87" spans="1:3" x14ac:dyDescent="0.15">
      <c r="A87">
        <f t="shared" si="4"/>
        <v>38074</v>
      </c>
      <c r="B87">
        <f t="shared" si="5"/>
        <v>1</v>
      </c>
      <c r="C87">
        <f t="shared" si="6"/>
        <v>3</v>
      </c>
    </row>
    <row r="88" spans="1:3" x14ac:dyDescent="0.15">
      <c r="A88">
        <f t="shared" si="4"/>
        <v>38075</v>
      </c>
      <c r="B88">
        <f t="shared" si="5"/>
        <v>2</v>
      </c>
      <c r="C88">
        <f t="shared" si="6"/>
        <v>3</v>
      </c>
    </row>
    <row r="89" spans="1:3" x14ac:dyDescent="0.15">
      <c r="A89">
        <f t="shared" si="4"/>
        <v>38076</v>
      </c>
      <c r="B89">
        <f t="shared" si="5"/>
        <v>3</v>
      </c>
      <c r="C89">
        <f t="shared" si="6"/>
        <v>3</v>
      </c>
    </row>
    <row r="90" spans="1:3" x14ac:dyDescent="0.15">
      <c r="A90">
        <f t="shared" si="4"/>
        <v>38077</v>
      </c>
      <c r="B90">
        <f t="shared" si="5"/>
        <v>4</v>
      </c>
      <c r="C90">
        <f t="shared" si="6"/>
        <v>3</v>
      </c>
    </row>
    <row r="91" spans="1:3" x14ac:dyDescent="0.15">
      <c r="A91">
        <f t="shared" si="4"/>
        <v>38078</v>
      </c>
      <c r="B91">
        <f t="shared" si="5"/>
        <v>5</v>
      </c>
      <c r="C91">
        <f t="shared" si="6"/>
        <v>4</v>
      </c>
    </row>
    <row r="92" spans="1:3" x14ac:dyDescent="0.15">
      <c r="A92">
        <f t="shared" si="4"/>
        <v>38079</v>
      </c>
      <c r="B92">
        <f t="shared" si="5"/>
        <v>6</v>
      </c>
      <c r="C92">
        <f t="shared" si="6"/>
        <v>4</v>
      </c>
    </row>
    <row r="93" spans="1:3" x14ac:dyDescent="0.15">
      <c r="A93">
        <f t="shared" si="4"/>
        <v>38080</v>
      </c>
      <c r="B93">
        <f t="shared" si="5"/>
        <v>7</v>
      </c>
      <c r="C93">
        <f t="shared" si="6"/>
        <v>4</v>
      </c>
    </row>
    <row r="94" spans="1:3" x14ac:dyDescent="0.15">
      <c r="A94">
        <f t="shared" si="4"/>
        <v>38081</v>
      </c>
      <c r="B94">
        <f t="shared" si="5"/>
        <v>1</v>
      </c>
      <c r="C94">
        <f t="shared" si="6"/>
        <v>4</v>
      </c>
    </row>
    <row r="95" spans="1:3" x14ac:dyDescent="0.15">
      <c r="A95">
        <f t="shared" si="4"/>
        <v>38082</v>
      </c>
      <c r="B95">
        <f t="shared" si="5"/>
        <v>2</v>
      </c>
      <c r="C95">
        <f t="shared" si="6"/>
        <v>4</v>
      </c>
    </row>
    <row r="96" spans="1:3" x14ac:dyDescent="0.15">
      <c r="A96">
        <f t="shared" si="4"/>
        <v>38083</v>
      </c>
      <c r="B96">
        <f t="shared" si="5"/>
        <v>3</v>
      </c>
      <c r="C96">
        <f t="shared" si="6"/>
        <v>4</v>
      </c>
    </row>
    <row r="97" spans="1:3" x14ac:dyDescent="0.15">
      <c r="A97">
        <f t="shared" si="4"/>
        <v>38084</v>
      </c>
      <c r="B97">
        <f t="shared" si="5"/>
        <v>4</v>
      </c>
      <c r="C97">
        <f t="shared" si="6"/>
        <v>4</v>
      </c>
    </row>
    <row r="98" spans="1:3" x14ac:dyDescent="0.15">
      <c r="A98">
        <f t="shared" si="4"/>
        <v>38085</v>
      </c>
      <c r="B98">
        <f t="shared" si="5"/>
        <v>5</v>
      </c>
      <c r="C98">
        <f t="shared" si="6"/>
        <v>4</v>
      </c>
    </row>
    <row r="99" spans="1:3" x14ac:dyDescent="0.15">
      <c r="A99">
        <f t="shared" si="4"/>
        <v>38086</v>
      </c>
      <c r="B99">
        <f t="shared" si="5"/>
        <v>6</v>
      </c>
      <c r="C99">
        <f t="shared" si="6"/>
        <v>4</v>
      </c>
    </row>
    <row r="100" spans="1:3" x14ac:dyDescent="0.15">
      <c r="A100">
        <f t="shared" si="4"/>
        <v>38087</v>
      </c>
      <c r="B100">
        <f t="shared" si="5"/>
        <v>7</v>
      </c>
      <c r="C100">
        <f t="shared" si="6"/>
        <v>4</v>
      </c>
    </row>
    <row r="101" spans="1:3" x14ac:dyDescent="0.15">
      <c r="A101">
        <f t="shared" si="4"/>
        <v>38088</v>
      </c>
      <c r="B101">
        <f t="shared" si="5"/>
        <v>1</v>
      </c>
      <c r="C101">
        <f t="shared" si="6"/>
        <v>4</v>
      </c>
    </row>
    <row r="102" spans="1:3" x14ac:dyDescent="0.15">
      <c r="A102">
        <f t="shared" si="4"/>
        <v>38089</v>
      </c>
      <c r="B102">
        <f t="shared" si="5"/>
        <v>2</v>
      </c>
      <c r="C102">
        <f t="shared" si="6"/>
        <v>4</v>
      </c>
    </row>
    <row r="103" spans="1:3" x14ac:dyDescent="0.15">
      <c r="A103">
        <f t="shared" si="4"/>
        <v>38090</v>
      </c>
      <c r="B103">
        <f t="shared" si="5"/>
        <v>3</v>
      </c>
      <c r="C103">
        <f t="shared" si="6"/>
        <v>4</v>
      </c>
    </row>
    <row r="104" spans="1:3" x14ac:dyDescent="0.15">
      <c r="A104">
        <f t="shared" si="4"/>
        <v>38091</v>
      </c>
      <c r="B104">
        <f t="shared" si="5"/>
        <v>4</v>
      </c>
      <c r="C104">
        <f t="shared" si="6"/>
        <v>4</v>
      </c>
    </row>
    <row r="105" spans="1:3" x14ac:dyDescent="0.15">
      <c r="A105">
        <f t="shared" si="4"/>
        <v>38092</v>
      </c>
      <c r="B105">
        <f t="shared" si="5"/>
        <v>5</v>
      </c>
      <c r="C105">
        <f t="shared" si="6"/>
        <v>4</v>
      </c>
    </row>
    <row r="106" spans="1:3" x14ac:dyDescent="0.15">
      <c r="A106">
        <f t="shared" si="4"/>
        <v>38093</v>
      </c>
      <c r="B106">
        <f t="shared" si="5"/>
        <v>6</v>
      </c>
      <c r="C106">
        <f t="shared" si="6"/>
        <v>4</v>
      </c>
    </row>
    <row r="107" spans="1:3" x14ac:dyDescent="0.15">
      <c r="A107">
        <f t="shared" si="4"/>
        <v>38094</v>
      </c>
      <c r="B107">
        <f t="shared" si="5"/>
        <v>7</v>
      </c>
      <c r="C107">
        <f t="shared" si="6"/>
        <v>4</v>
      </c>
    </row>
    <row r="108" spans="1:3" x14ac:dyDescent="0.15">
      <c r="A108">
        <f t="shared" si="4"/>
        <v>38095</v>
      </c>
      <c r="B108">
        <f t="shared" si="5"/>
        <v>1</v>
      </c>
      <c r="C108">
        <f t="shared" si="6"/>
        <v>4</v>
      </c>
    </row>
    <row r="109" spans="1:3" x14ac:dyDescent="0.15">
      <c r="A109">
        <f t="shared" si="4"/>
        <v>38096</v>
      </c>
      <c r="B109">
        <f t="shared" si="5"/>
        <v>2</v>
      </c>
      <c r="C109">
        <f t="shared" si="6"/>
        <v>4</v>
      </c>
    </row>
    <row r="110" spans="1:3" x14ac:dyDescent="0.15">
      <c r="A110">
        <f t="shared" si="4"/>
        <v>38097</v>
      </c>
      <c r="B110">
        <f t="shared" si="5"/>
        <v>3</v>
      </c>
      <c r="C110">
        <f t="shared" si="6"/>
        <v>4</v>
      </c>
    </row>
    <row r="111" spans="1:3" x14ac:dyDescent="0.15">
      <c r="A111">
        <f t="shared" si="4"/>
        <v>38098</v>
      </c>
      <c r="B111">
        <f t="shared" si="5"/>
        <v>4</v>
      </c>
      <c r="C111">
        <f t="shared" si="6"/>
        <v>4</v>
      </c>
    </row>
    <row r="112" spans="1:3" x14ac:dyDescent="0.15">
      <c r="A112">
        <f t="shared" si="4"/>
        <v>38099</v>
      </c>
      <c r="B112">
        <f t="shared" si="5"/>
        <v>5</v>
      </c>
      <c r="C112">
        <f t="shared" si="6"/>
        <v>4</v>
      </c>
    </row>
    <row r="113" spans="1:3" x14ac:dyDescent="0.15">
      <c r="A113">
        <f t="shared" si="4"/>
        <v>38100</v>
      </c>
      <c r="B113">
        <f t="shared" si="5"/>
        <v>6</v>
      </c>
      <c r="C113">
        <f t="shared" si="6"/>
        <v>4</v>
      </c>
    </row>
    <row r="114" spans="1:3" x14ac:dyDescent="0.15">
      <c r="A114">
        <f t="shared" si="4"/>
        <v>38101</v>
      </c>
      <c r="B114">
        <f t="shared" si="5"/>
        <v>7</v>
      </c>
      <c r="C114">
        <f t="shared" si="6"/>
        <v>4</v>
      </c>
    </row>
    <row r="115" spans="1:3" x14ac:dyDescent="0.15">
      <c r="A115">
        <f t="shared" si="4"/>
        <v>38102</v>
      </c>
      <c r="B115">
        <f t="shared" si="5"/>
        <v>1</v>
      </c>
      <c r="C115">
        <f t="shared" si="6"/>
        <v>4</v>
      </c>
    </row>
    <row r="116" spans="1:3" x14ac:dyDescent="0.15">
      <c r="A116">
        <f t="shared" si="4"/>
        <v>38103</v>
      </c>
      <c r="B116">
        <f t="shared" si="5"/>
        <v>2</v>
      </c>
      <c r="C116">
        <f t="shared" si="6"/>
        <v>4</v>
      </c>
    </row>
    <row r="117" spans="1:3" x14ac:dyDescent="0.15">
      <c r="A117">
        <f t="shared" si="4"/>
        <v>38104</v>
      </c>
      <c r="B117">
        <f t="shared" si="5"/>
        <v>3</v>
      </c>
      <c r="C117">
        <f t="shared" si="6"/>
        <v>4</v>
      </c>
    </row>
    <row r="118" spans="1:3" x14ac:dyDescent="0.15">
      <c r="A118">
        <f t="shared" si="4"/>
        <v>38105</v>
      </c>
      <c r="B118">
        <f t="shared" si="5"/>
        <v>4</v>
      </c>
      <c r="C118">
        <f t="shared" si="6"/>
        <v>4</v>
      </c>
    </row>
    <row r="119" spans="1:3" x14ac:dyDescent="0.15">
      <c r="A119">
        <f t="shared" si="4"/>
        <v>38106</v>
      </c>
      <c r="B119">
        <f t="shared" si="5"/>
        <v>5</v>
      </c>
      <c r="C119">
        <f t="shared" si="6"/>
        <v>4</v>
      </c>
    </row>
    <row r="120" spans="1:3" x14ac:dyDescent="0.15">
      <c r="A120">
        <f t="shared" si="4"/>
        <v>38107</v>
      </c>
      <c r="B120">
        <f t="shared" si="5"/>
        <v>6</v>
      </c>
      <c r="C120">
        <f t="shared" si="6"/>
        <v>4</v>
      </c>
    </row>
    <row r="121" spans="1:3" x14ac:dyDescent="0.15">
      <c r="A121">
        <f t="shared" si="4"/>
        <v>38108</v>
      </c>
      <c r="B121">
        <f t="shared" si="5"/>
        <v>7</v>
      </c>
      <c r="C121">
        <f t="shared" si="6"/>
        <v>5</v>
      </c>
    </row>
    <row r="122" spans="1:3" x14ac:dyDescent="0.15">
      <c r="A122">
        <f t="shared" si="4"/>
        <v>38109</v>
      </c>
      <c r="B122">
        <f t="shared" si="5"/>
        <v>1</v>
      </c>
      <c r="C122">
        <f t="shared" si="6"/>
        <v>5</v>
      </c>
    </row>
    <row r="123" spans="1:3" x14ac:dyDescent="0.15">
      <c r="A123">
        <f t="shared" si="4"/>
        <v>38110</v>
      </c>
      <c r="B123">
        <f t="shared" si="5"/>
        <v>2</v>
      </c>
      <c r="C123">
        <f t="shared" si="6"/>
        <v>5</v>
      </c>
    </row>
    <row r="124" spans="1:3" x14ac:dyDescent="0.15">
      <c r="A124">
        <f t="shared" si="4"/>
        <v>38111</v>
      </c>
      <c r="B124">
        <f t="shared" si="5"/>
        <v>3</v>
      </c>
      <c r="C124">
        <f t="shared" si="6"/>
        <v>5</v>
      </c>
    </row>
    <row r="125" spans="1:3" x14ac:dyDescent="0.15">
      <c r="A125">
        <f t="shared" ref="A125:A188" si="7">+A124+1</f>
        <v>38112</v>
      </c>
      <c r="B125">
        <f t="shared" si="5"/>
        <v>4</v>
      </c>
      <c r="C125">
        <f t="shared" si="6"/>
        <v>5</v>
      </c>
    </row>
    <row r="126" spans="1:3" x14ac:dyDescent="0.15">
      <c r="A126">
        <f t="shared" si="7"/>
        <v>38113</v>
      </c>
      <c r="B126">
        <f t="shared" si="5"/>
        <v>5</v>
      </c>
      <c r="C126">
        <f t="shared" si="6"/>
        <v>5</v>
      </c>
    </row>
    <row r="127" spans="1:3" x14ac:dyDescent="0.15">
      <c r="A127">
        <f t="shared" si="7"/>
        <v>38114</v>
      </c>
      <c r="B127">
        <f t="shared" si="5"/>
        <v>6</v>
      </c>
      <c r="C127">
        <f t="shared" si="6"/>
        <v>5</v>
      </c>
    </row>
    <row r="128" spans="1:3" x14ac:dyDescent="0.15">
      <c r="A128">
        <f t="shared" si="7"/>
        <v>38115</v>
      </c>
      <c r="B128">
        <f t="shared" si="5"/>
        <v>7</v>
      </c>
      <c r="C128">
        <f t="shared" si="6"/>
        <v>5</v>
      </c>
    </row>
    <row r="129" spans="1:3" x14ac:dyDescent="0.15">
      <c r="A129">
        <f t="shared" si="7"/>
        <v>38116</v>
      </c>
      <c r="B129">
        <f t="shared" ref="B129:B192" si="8">WEEKDAY(A129)</f>
        <v>1</v>
      </c>
      <c r="C129">
        <f t="shared" ref="C129:C192" si="9">MONTH(A129)</f>
        <v>5</v>
      </c>
    </row>
    <row r="130" spans="1:3" x14ac:dyDescent="0.15">
      <c r="A130">
        <f t="shared" si="7"/>
        <v>38117</v>
      </c>
      <c r="B130">
        <f t="shared" si="8"/>
        <v>2</v>
      </c>
      <c r="C130">
        <f t="shared" si="9"/>
        <v>5</v>
      </c>
    </row>
    <row r="131" spans="1:3" x14ac:dyDescent="0.15">
      <c r="A131">
        <f t="shared" si="7"/>
        <v>38118</v>
      </c>
      <c r="B131">
        <f t="shared" si="8"/>
        <v>3</v>
      </c>
      <c r="C131">
        <f t="shared" si="9"/>
        <v>5</v>
      </c>
    </row>
    <row r="132" spans="1:3" x14ac:dyDescent="0.15">
      <c r="A132">
        <f t="shared" si="7"/>
        <v>38119</v>
      </c>
      <c r="B132">
        <f t="shared" si="8"/>
        <v>4</v>
      </c>
      <c r="C132">
        <f t="shared" si="9"/>
        <v>5</v>
      </c>
    </row>
    <row r="133" spans="1:3" x14ac:dyDescent="0.15">
      <c r="A133">
        <f t="shared" si="7"/>
        <v>38120</v>
      </c>
      <c r="B133">
        <f t="shared" si="8"/>
        <v>5</v>
      </c>
      <c r="C133">
        <f t="shared" si="9"/>
        <v>5</v>
      </c>
    </row>
    <row r="134" spans="1:3" x14ac:dyDescent="0.15">
      <c r="A134">
        <f t="shared" si="7"/>
        <v>38121</v>
      </c>
      <c r="B134">
        <f t="shared" si="8"/>
        <v>6</v>
      </c>
      <c r="C134">
        <f t="shared" si="9"/>
        <v>5</v>
      </c>
    </row>
    <row r="135" spans="1:3" x14ac:dyDescent="0.15">
      <c r="A135">
        <f t="shared" si="7"/>
        <v>38122</v>
      </c>
      <c r="B135">
        <f t="shared" si="8"/>
        <v>7</v>
      </c>
      <c r="C135">
        <f t="shared" si="9"/>
        <v>5</v>
      </c>
    </row>
    <row r="136" spans="1:3" x14ac:dyDescent="0.15">
      <c r="A136">
        <f t="shared" si="7"/>
        <v>38123</v>
      </c>
      <c r="B136">
        <f t="shared" si="8"/>
        <v>1</v>
      </c>
      <c r="C136">
        <f t="shared" si="9"/>
        <v>5</v>
      </c>
    </row>
    <row r="137" spans="1:3" x14ac:dyDescent="0.15">
      <c r="A137">
        <f t="shared" si="7"/>
        <v>38124</v>
      </c>
      <c r="B137">
        <f t="shared" si="8"/>
        <v>2</v>
      </c>
      <c r="C137">
        <f t="shared" si="9"/>
        <v>5</v>
      </c>
    </row>
    <row r="138" spans="1:3" x14ac:dyDescent="0.15">
      <c r="A138">
        <f t="shared" si="7"/>
        <v>38125</v>
      </c>
      <c r="B138">
        <f t="shared" si="8"/>
        <v>3</v>
      </c>
      <c r="C138">
        <f t="shared" si="9"/>
        <v>5</v>
      </c>
    </row>
    <row r="139" spans="1:3" x14ac:dyDescent="0.15">
      <c r="A139">
        <f t="shared" si="7"/>
        <v>38126</v>
      </c>
      <c r="B139">
        <f t="shared" si="8"/>
        <v>4</v>
      </c>
      <c r="C139">
        <f t="shared" si="9"/>
        <v>5</v>
      </c>
    </row>
    <row r="140" spans="1:3" x14ac:dyDescent="0.15">
      <c r="A140">
        <f t="shared" si="7"/>
        <v>38127</v>
      </c>
      <c r="B140">
        <f t="shared" si="8"/>
        <v>5</v>
      </c>
      <c r="C140">
        <f t="shared" si="9"/>
        <v>5</v>
      </c>
    </row>
    <row r="141" spans="1:3" x14ac:dyDescent="0.15">
      <c r="A141">
        <f t="shared" si="7"/>
        <v>38128</v>
      </c>
      <c r="B141">
        <f t="shared" si="8"/>
        <v>6</v>
      </c>
      <c r="C141">
        <f t="shared" si="9"/>
        <v>5</v>
      </c>
    </row>
    <row r="142" spans="1:3" x14ac:dyDescent="0.15">
      <c r="A142">
        <f t="shared" si="7"/>
        <v>38129</v>
      </c>
      <c r="B142">
        <f t="shared" si="8"/>
        <v>7</v>
      </c>
      <c r="C142">
        <f t="shared" si="9"/>
        <v>5</v>
      </c>
    </row>
    <row r="143" spans="1:3" x14ac:dyDescent="0.15">
      <c r="A143">
        <f t="shared" si="7"/>
        <v>38130</v>
      </c>
      <c r="B143">
        <f t="shared" si="8"/>
        <v>1</v>
      </c>
      <c r="C143">
        <f t="shared" si="9"/>
        <v>5</v>
      </c>
    </row>
    <row r="144" spans="1:3" x14ac:dyDescent="0.15">
      <c r="A144">
        <f t="shared" si="7"/>
        <v>38131</v>
      </c>
      <c r="B144">
        <f t="shared" si="8"/>
        <v>2</v>
      </c>
      <c r="C144">
        <f t="shared" si="9"/>
        <v>5</v>
      </c>
    </row>
    <row r="145" spans="1:3" x14ac:dyDescent="0.15">
      <c r="A145">
        <f t="shared" si="7"/>
        <v>38132</v>
      </c>
      <c r="B145">
        <f t="shared" si="8"/>
        <v>3</v>
      </c>
      <c r="C145">
        <f t="shared" si="9"/>
        <v>5</v>
      </c>
    </row>
    <row r="146" spans="1:3" x14ac:dyDescent="0.15">
      <c r="A146">
        <f t="shared" si="7"/>
        <v>38133</v>
      </c>
      <c r="B146">
        <f t="shared" si="8"/>
        <v>4</v>
      </c>
      <c r="C146">
        <f t="shared" si="9"/>
        <v>5</v>
      </c>
    </row>
    <row r="147" spans="1:3" x14ac:dyDescent="0.15">
      <c r="A147">
        <f t="shared" si="7"/>
        <v>38134</v>
      </c>
      <c r="B147">
        <f t="shared" si="8"/>
        <v>5</v>
      </c>
      <c r="C147">
        <f t="shared" si="9"/>
        <v>5</v>
      </c>
    </row>
    <row r="148" spans="1:3" x14ac:dyDescent="0.15">
      <c r="A148">
        <f t="shared" si="7"/>
        <v>38135</v>
      </c>
      <c r="B148">
        <f t="shared" si="8"/>
        <v>6</v>
      </c>
      <c r="C148">
        <f t="shared" si="9"/>
        <v>5</v>
      </c>
    </row>
    <row r="149" spans="1:3" x14ac:dyDescent="0.15">
      <c r="A149">
        <f t="shared" si="7"/>
        <v>38136</v>
      </c>
      <c r="B149">
        <f t="shared" si="8"/>
        <v>7</v>
      </c>
      <c r="C149">
        <f t="shared" si="9"/>
        <v>5</v>
      </c>
    </row>
    <row r="150" spans="1:3" x14ac:dyDescent="0.15">
      <c r="A150">
        <f t="shared" si="7"/>
        <v>38137</v>
      </c>
      <c r="B150">
        <f t="shared" si="8"/>
        <v>1</v>
      </c>
      <c r="C150">
        <f t="shared" si="9"/>
        <v>5</v>
      </c>
    </row>
    <row r="151" spans="1:3" x14ac:dyDescent="0.15">
      <c r="A151">
        <f t="shared" si="7"/>
        <v>38138</v>
      </c>
      <c r="B151">
        <f t="shared" si="8"/>
        <v>2</v>
      </c>
      <c r="C151">
        <f t="shared" si="9"/>
        <v>5</v>
      </c>
    </row>
    <row r="152" spans="1:3" x14ac:dyDescent="0.15">
      <c r="A152">
        <f t="shared" si="7"/>
        <v>38139</v>
      </c>
      <c r="B152">
        <f t="shared" si="8"/>
        <v>3</v>
      </c>
      <c r="C152">
        <f t="shared" si="9"/>
        <v>6</v>
      </c>
    </row>
    <row r="153" spans="1:3" x14ac:dyDescent="0.15">
      <c r="A153">
        <f t="shared" si="7"/>
        <v>38140</v>
      </c>
      <c r="B153">
        <f t="shared" si="8"/>
        <v>4</v>
      </c>
      <c r="C153">
        <f t="shared" si="9"/>
        <v>6</v>
      </c>
    </row>
    <row r="154" spans="1:3" x14ac:dyDescent="0.15">
      <c r="A154">
        <f t="shared" si="7"/>
        <v>38141</v>
      </c>
      <c r="B154">
        <f t="shared" si="8"/>
        <v>5</v>
      </c>
      <c r="C154">
        <f t="shared" si="9"/>
        <v>6</v>
      </c>
    </row>
    <row r="155" spans="1:3" x14ac:dyDescent="0.15">
      <c r="A155">
        <f t="shared" si="7"/>
        <v>38142</v>
      </c>
      <c r="B155">
        <f t="shared" si="8"/>
        <v>6</v>
      </c>
      <c r="C155">
        <f t="shared" si="9"/>
        <v>6</v>
      </c>
    </row>
    <row r="156" spans="1:3" x14ac:dyDescent="0.15">
      <c r="A156">
        <f t="shared" si="7"/>
        <v>38143</v>
      </c>
      <c r="B156">
        <f t="shared" si="8"/>
        <v>7</v>
      </c>
      <c r="C156">
        <f t="shared" si="9"/>
        <v>6</v>
      </c>
    </row>
    <row r="157" spans="1:3" x14ac:dyDescent="0.15">
      <c r="A157">
        <f t="shared" si="7"/>
        <v>38144</v>
      </c>
      <c r="B157">
        <f t="shared" si="8"/>
        <v>1</v>
      </c>
      <c r="C157">
        <f t="shared" si="9"/>
        <v>6</v>
      </c>
    </row>
    <row r="158" spans="1:3" x14ac:dyDescent="0.15">
      <c r="A158">
        <f t="shared" si="7"/>
        <v>38145</v>
      </c>
      <c r="B158">
        <f t="shared" si="8"/>
        <v>2</v>
      </c>
      <c r="C158">
        <f t="shared" si="9"/>
        <v>6</v>
      </c>
    </row>
    <row r="159" spans="1:3" x14ac:dyDescent="0.15">
      <c r="A159">
        <f t="shared" si="7"/>
        <v>38146</v>
      </c>
      <c r="B159">
        <f t="shared" si="8"/>
        <v>3</v>
      </c>
      <c r="C159">
        <f t="shared" si="9"/>
        <v>6</v>
      </c>
    </row>
    <row r="160" spans="1:3" x14ac:dyDescent="0.15">
      <c r="A160">
        <f t="shared" si="7"/>
        <v>38147</v>
      </c>
      <c r="B160">
        <f t="shared" si="8"/>
        <v>4</v>
      </c>
      <c r="C160">
        <f t="shared" si="9"/>
        <v>6</v>
      </c>
    </row>
    <row r="161" spans="1:3" x14ac:dyDescent="0.15">
      <c r="A161">
        <f t="shared" si="7"/>
        <v>38148</v>
      </c>
      <c r="B161">
        <f t="shared" si="8"/>
        <v>5</v>
      </c>
      <c r="C161">
        <f t="shared" si="9"/>
        <v>6</v>
      </c>
    </row>
    <row r="162" spans="1:3" x14ac:dyDescent="0.15">
      <c r="A162">
        <f t="shared" si="7"/>
        <v>38149</v>
      </c>
      <c r="B162">
        <f t="shared" si="8"/>
        <v>6</v>
      </c>
      <c r="C162">
        <f t="shared" si="9"/>
        <v>6</v>
      </c>
    </row>
    <row r="163" spans="1:3" x14ac:dyDescent="0.15">
      <c r="A163">
        <f t="shared" si="7"/>
        <v>38150</v>
      </c>
      <c r="B163">
        <f t="shared" si="8"/>
        <v>7</v>
      </c>
      <c r="C163">
        <f t="shared" si="9"/>
        <v>6</v>
      </c>
    </row>
    <row r="164" spans="1:3" x14ac:dyDescent="0.15">
      <c r="A164">
        <f t="shared" si="7"/>
        <v>38151</v>
      </c>
      <c r="B164">
        <f t="shared" si="8"/>
        <v>1</v>
      </c>
      <c r="C164">
        <f t="shared" si="9"/>
        <v>6</v>
      </c>
    </row>
    <row r="165" spans="1:3" x14ac:dyDescent="0.15">
      <c r="A165">
        <f t="shared" si="7"/>
        <v>38152</v>
      </c>
      <c r="B165">
        <f t="shared" si="8"/>
        <v>2</v>
      </c>
      <c r="C165">
        <f t="shared" si="9"/>
        <v>6</v>
      </c>
    </row>
    <row r="166" spans="1:3" x14ac:dyDescent="0.15">
      <c r="A166">
        <f t="shared" si="7"/>
        <v>38153</v>
      </c>
      <c r="B166">
        <f t="shared" si="8"/>
        <v>3</v>
      </c>
      <c r="C166">
        <f t="shared" si="9"/>
        <v>6</v>
      </c>
    </row>
    <row r="167" spans="1:3" x14ac:dyDescent="0.15">
      <c r="A167">
        <f t="shared" si="7"/>
        <v>38154</v>
      </c>
      <c r="B167">
        <f t="shared" si="8"/>
        <v>4</v>
      </c>
      <c r="C167">
        <f t="shared" si="9"/>
        <v>6</v>
      </c>
    </row>
    <row r="168" spans="1:3" x14ac:dyDescent="0.15">
      <c r="A168">
        <f t="shared" si="7"/>
        <v>38155</v>
      </c>
      <c r="B168">
        <f t="shared" si="8"/>
        <v>5</v>
      </c>
      <c r="C168">
        <f t="shared" si="9"/>
        <v>6</v>
      </c>
    </row>
    <row r="169" spans="1:3" x14ac:dyDescent="0.15">
      <c r="A169">
        <f t="shared" si="7"/>
        <v>38156</v>
      </c>
      <c r="B169">
        <f t="shared" si="8"/>
        <v>6</v>
      </c>
      <c r="C169">
        <f t="shared" si="9"/>
        <v>6</v>
      </c>
    </row>
    <row r="170" spans="1:3" x14ac:dyDescent="0.15">
      <c r="A170">
        <f t="shared" si="7"/>
        <v>38157</v>
      </c>
      <c r="B170">
        <f t="shared" si="8"/>
        <v>7</v>
      </c>
      <c r="C170">
        <f t="shared" si="9"/>
        <v>6</v>
      </c>
    </row>
    <row r="171" spans="1:3" x14ac:dyDescent="0.15">
      <c r="A171">
        <f t="shared" si="7"/>
        <v>38158</v>
      </c>
      <c r="B171">
        <f t="shared" si="8"/>
        <v>1</v>
      </c>
      <c r="C171">
        <f t="shared" si="9"/>
        <v>6</v>
      </c>
    </row>
    <row r="172" spans="1:3" x14ac:dyDescent="0.15">
      <c r="A172">
        <f t="shared" si="7"/>
        <v>38159</v>
      </c>
      <c r="B172">
        <f t="shared" si="8"/>
        <v>2</v>
      </c>
      <c r="C172">
        <f t="shared" si="9"/>
        <v>6</v>
      </c>
    </row>
    <row r="173" spans="1:3" x14ac:dyDescent="0.15">
      <c r="A173">
        <f t="shared" si="7"/>
        <v>38160</v>
      </c>
      <c r="B173">
        <f t="shared" si="8"/>
        <v>3</v>
      </c>
      <c r="C173">
        <f t="shared" si="9"/>
        <v>6</v>
      </c>
    </row>
    <row r="174" spans="1:3" x14ac:dyDescent="0.15">
      <c r="A174">
        <f t="shared" si="7"/>
        <v>38161</v>
      </c>
      <c r="B174">
        <f t="shared" si="8"/>
        <v>4</v>
      </c>
      <c r="C174">
        <f t="shared" si="9"/>
        <v>6</v>
      </c>
    </row>
    <row r="175" spans="1:3" x14ac:dyDescent="0.15">
      <c r="A175">
        <f t="shared" si="7"/>
        <v>38162</v>
      </c>
      <c r="B175">
        <f t="shared" si="8"/>
        <v>5</v>
      </c>
      <c r="C175">
        <f t="shared" si="9"/>
        <v>6</v>
      </c>
    </row>
    <row r="176" spans="1:3" x14ac:dyDescent="0.15">
      <c r="A176">
        <f t="shared" si="7"/>
        <v>38163</v>
      </c>
      <c r="B176">
        <f t="shared" si="8"/>
        <v>6</v>
      </c>
      <c r="C176">
        <f t="shared" si="9"/>
        <v>6</v>
      </c>
    </row>
    <row r="177" spans="1:3" x14ac:dyDescent="0.15">
      <c r="A177">
        <f t="shared" si="7"/>
        <v>38164</v>
      </c>
      <c r="B177">
        <f t="shared" si="8"/>
        <v>7</v>
      </c>
      <c r="C177">
        <f t="shared" si="9"/>
        <v>6</v>
      </c>
    </row>
    <row r="178" spans="1:3" x14ac:dyDescent="0.15">
      <c r="A178">
        <f t="shared" si="7"/>
        <v>38165</v>
      </c>
      <c r="B178">
        <f t="shared" si="8"/>
        <v>1</v>
      </c>
      <c r="C178">
        <f t="shared" si="9"/>
        <v>6</v>
      </c>
    </row>
    <row r="179" spans="1:3" x14ac:dyDescent="0.15">
      <c r="A179">
        <f t="shared" si="7"/>
        <v>38166</v>
      </c>
      <c r="B179">
        <f t="shared" si="8"/>
        <v>2</v>
      </c>
      <c r="C179">
        <f t="shared" si="9"/>
        <v>6</v>
      </c>
    </row>
    <row r="180" spans="1:3" x14ac:dyDescent="0.15">
      <c r="A180">
        <f t="shared" si="7"/>
        <v>38167</v>
      </c>
      <c r="B180">
        <f t="shared" si="8"/>
        <v>3</v>
      </c>
      <c r="C180">
        <f t="shared" si="9"/>
        <v>6</v>
      </c>
    </row>
    <row r="181" spans="1:3" x14ac:dyDescent="0.15">
      <c r="A181">
        <f t="shared" si="7"/>
        <v>38168</v>
      </c>
      <c r="B181">
        <f t="shared" si="8"/>
        <v>4</v>
      </c>
      <c r="C181">
        <f t="shared" si="9"/>
        <v>6</v>
      </c>
    </row>
    <row r="182" spans="1:3" x14ac:dyDescent="0.15">
      <c r="A182">
        <f t="shared" si="7"/>
        <v>38169</v>
      </c>
      <c r="B182">
        <f t="shared" si="8"/>
        <v>5</v>
      </c>
      <c r="C182">
        <f t="shared" si="9"/>
        <v>7</v>
      </c>
    </row>
    <row r="183" spans="1:3" x14ac:dyDescent="0.15">
      <c r="A183">
        <f t="shared" si="7"/>
        <v>38170</v>
      </c>
      <c r="B183">
        <f t="shared" si="8"/>
        <v>6</v>
      </c>
      <c r="C183">
        <f t="shared" si="9"/>
        <v>7</v>
      </c>
    </row>
    <row r="184" spans="1:3" x14ac:dyDescent="0.15">
      <c r="A184">
        <f t="shared" si="7"/>
        <v>38171</v>
      </c>
      <c r="B184">
        <f t="shared" si="8"/>
        <v>7</v>
      </c>
      <c r="C184">
        <f t="shared" si="9"/>
        <v>7</v>
      </c>
    </row>
    <row r="185" spans="1:3" x14ac:dyDescent="0.15">
      <c r="A185">
        <f t="shared" si="7"/>
        <v>38172</v>
      </c>
      <c r="B185">
        <f t="shared" si="8"/>
        <v>1</v>
      </c>
      <c r="C185">
        <f t="shared" si="9"/>
        <v>7</v>
      </c>
    </row>
    <row r="186" spans="1:3" x14ac:dyDescent="0.15">
      <c r="A186">
        <f t="shared" si="7"/>
        <v>38173</v>
      </c>
      <c r="B186">
        <f t="shared" si="8"/>
        <v>2</v>
      </c>
      <c r="C186">
        <f t="shared" si="9"/>
        <v>7</v>
      </c>
    </row>
    <row r="187" spans="1:3" x14ac:dyDescent="0.15">
      <c r="A187">
        <f t="shared" si="7"/>
        <v>38174</v>
      </c>
      <c r="B187">
        <f t="shared" si="8"/>
        <v>3</v>
      </c>
      <c r="C187">
        <f t="shared" si="9"/>
        <v>7</v>
      </c>
    </row>
    <row r="188" spans="1:3" x14ac:dyDescent="0.15">
      <c r="A188">
        <f t="shared" si="7"/>
        <v>38175</v>
      </c>
      <c r="B188">
        <f t="shared" si="8"/>
        <v>4</v>
      </c>
      <c r="C188">
        <f t="shared" si="9"/>
        <v>7</v>
      </c>
    </row>
    <row r="189" spans="1:3" x14ac:dyDescent="0.15">
      <c r="A189">
        <f t="shared" ref="A189:A252" si="10">+A188+1</f>
        <v>38176</v>
      </c>
      <c r="B189">
        <f t="shared" si="8"/>
        <v>5</v>
      </c>
      <c r="C189">
        <f t="shared" si="9"/>
        <v>7</v>
      </c>
    </row>
    <row r="190" spans="1:3" x14ac:dyDescent="0.15">
      <c r="A190">
        <f t="shared" si="10"/>
        <v>38177</v>
      </c>
      <c r="B190">
        <f t="shared" si="8"/>
        <v>6</v>
      </c>
      <c r="C190">
        <f t="shared" si="9"/>
        <v>7</v>
      </c>
    </row>
    <row r="191" spans="1:3" x14ac:dyDescent="0.15">
      <c r="A191">
        <f t="shared" si="10"/>
        <v>38178</v>
      </c>
      <c r="B191">
        <f t="shared" si="8"/>
        <v>7</v>
      </c>
      <c r="C191">
        <f t="shared" si="9"/>
        <v>7</v>
      </c>
    </row>
    <row r="192" spans="1:3" x14ac:dyDescent="0.15">
      <c r="A192">
        <f t="shared" si="10"/>
        <v>38179</v>
      </c>
      <c r="B192">
        <f t="shared" si="8"/>
        <v>1</v>
      </c>
      <c r="C192">
        <f t="shared" si="9"/>
        <v>7</v>
      </c>
    </row>
    <row r="193" spans="1:3" x14ac:dyDescent="0.15">
      <c r="A193">
        <f t="shared" si="10"/>
        <v>38180</v>
      </c>
      <c r="B193">
        <f t="shared" ref="B193:B256" si="11">WEEKDAY(A193)</f>
        <v>2</v>
      </c>
      <c r="C193">
        <f t="shared" ref="C193:C256" si="12">MONTH(A193)</f>
        <v>7</v>
      </c>
    </row>
    <row r="194" spans="1:3" x14ac:dyDescent="0.15">
      <c r="A194">
        <f t="shared" si="10"/>
        <v>38181</v>
      </c>
      <c r="B194">
        <f t="shared" si="11"/>
        <v>3</v>
      </c>
      <c r="C194">
        <f t="shared" si="12"/>
        <v>7</v>
      </c>
    </row>
    <row r="195" spans="1:3" x14ac:dyDescent="0.15">
      <c r="A195">
        <f t="shared" si="10"/>
        <v>38182</v>
      </c>
      <c r="B195">
        <f t="shared" si="11"/>
        <v>4</v>
      </c>
      <c r="C195">
        <f t="shared" si="12"/>
        <v>7</v>
      </c>
    </row>
    <row r="196" spans="1:3" x14ac:dyDescent="0.15">
      <c r="A196">
        <f t="shared" si="10"/>
        <v>38183</v>
      </c>
      <c r="B196">
        <f t="shared" si="11"/>
        <v>5</v>
      </c>
      <c r="C196">
        <f t="shared" si="12"/>
        <v>7</v>
      </c>
    </row>
    <row r="197" spans="1:3" x14ac:dyDescent="0.15">
      <c r="A197">
        <f t="shared" si="10"/>
        <v>38184</v>
      </c>
      <c r="B197">
        <f t="shared" si="11"/>
        <v>6</v>
      </c>
      <c r="C197">
        <f t="shared" si="12"/>
        <v>7</v>
      </c>
    </row>
    <row r="198" spans="1:3" x14ac:dyDescent="0.15">
      <c r="A198">
        <f t="shared" si="10"/>
        <v>38185</v>
      </c>
      <c r="B198">
        <f t="shared" si="11"/>
        <v>7</v>
      </c>
      <c r="C198">
        <f t="shared" si="12"/>
        <v>7</v>
      </c>
    </row>
    <row r="199" spans="1:3" x14ac:dyDescent="0.15">
      <c r="A199">
        <f t="shared" si="10"/>
        <v>38186</v>
      </c>
      <c r="B199">
        <f t="shared" si="11"/>
        <v>1</v>
      </c>
      <c r="C199">
        <f t="shared" si="12"/>
        <v>7</v>
      </c>
    </row>
    <row r="200" spans="1:3" x14ac:dyDescent="0.15">
      <c r="A200">
        <f t="shared" si="10"/>
        <v>38187</v>
      </c>
      <c r="B200">
        <f t="shared" si="11"/>
        <v>2</v>
      </c>
      <c r="C200">
        <f t="shared" si="12"/>
        <v>7</v>
      </c>
    </row>
    <row r="201" spans="1:3" x14ac:dyDescent="0.15">
      <c r="A201">
        <f t="shared" si="10"/>
        <v>38188</v>
      </c>
      <c r="B201">
        <f t="shared" si="11"/>
        <v>3</v>
      </c>
      <c r="C201">
        <f t="shared" si="12"/>
        <v>7</v>
      </c>
    </row>
    <row r="202" spans="1:3" x14ac:dyDescent="0.15">
      <c r="A202">
        <f t="shared" si="10"/>
        <v>38189</v>
      </c>
      <c r="B202">
        <f t="shared" si="11"/>
        <v>4</v>
      </c>
      <c r="C202">
        <f t="shared" si="12"/>
        <v>7</v>
      </c>
    </row>
    <row r="203" spans="1:3" x14ac:dyDescent="0.15">
      <c r="A203">
        <f t="shared" si="10"/>
        <v>38190</v>
      </c>
      <c r="B203">
        <f t="shared" si="11"/>
        <v>5</v>
      </c>
      <c r="C203">
        <f t="shared" si="12"/>
        <v>7</v>
      </c>
    </row>
    <row r="204" spans="1:3" x14ac:dyDescent="0.15">
      <c r="A204">
        <f t="shared" si="10"/>
        <v>38191</v>
      </c>
      <c r="B204">
        <f t="shared" si="11"/>
        <v>6</v>
      </c>
      <c r="C204">
        <f t="shared" si="12"/>
        <v>7</v>
      </c>
    </row>
    <row r="205" spans="1:3" x14ac:dyDescent="0.15">
      <c r="A205">
        <f t="shared" si="10"/>
        <v>38192</v>
      </c>
      <c r="B205">
        <f t="shared" si="11"/>
        <v>7</v>
      </c>
      <c r="C205">
        <f t="shared" si="12"/>
        <v>7</v>
      </c>
    </row>
    <row r="206" spans="1:3" x14ac:dyDescent="0.15">
      <c r="A206">
        <f t="shared" si="10"/>
        <v>38193</v>
      </c>
      <c r="B206">
        <f t="shared" si="11"/>
        <v>1</v>
      </c>
      <c r="C206">
        <f t="shared" si="12"/>
        <v>7</v>
      </c>
    </row>
    <row r="207" spans="1:3" x14ac:dyDescent="0.15">
      <c r="A207">
        <f t="shared" si="10"/>
        <v>38194</v>
      </c>
      <c r="B207">
        <f t="shared" si="11"/>
        <v>2</v>
      </c>
      <c r="C207">
        <f t="shared" si="12"/>
        <v>7</v>
      </c>
    </row>
    <row r="208" spans="1:3" x14ac:dyDescent="0.15">
      <c r="A208">
        <f t="shared" si="10"/>
        <v>38195</v>
      </c>
      <c r="B208">
        <f t="shared" si="11"/>
        <v>3</v>
      </c>
      <c r="C208">
        <f t="shared" si="12"/>
        <v>7</v>
      </c>
    </row>
    <row r="209" spans="1:3" x14ac:dyDescent="0.15">
      <c r="A209">
        <f t="shared" si="10"/>
        <v>38196</v>
      </c>
      <c r="B209">
        <f t="shared" si="11"/>
        <v>4</v>
      </c>
      <c r="C209">
        <f t="shared" si="12"/>
        <v>7</v>
      </c>
    </row>
    <row r="210" spans="1:3" x14ac:dyDescent="0.15">
      <c r="A210">
        <f t="shared" si="10"/>
        <v>38197</v>
      </c>
      <c r="B210">
        <f t="shared" si="11"/>
        <v>5</v>
      </c>
      <c r="C210">
        <f t="shared" si="12"/>
        <v>7</v>
      </c>
    </row>
    <row r="211" spans="1:3" x14ac:dyDescent="0.15">
      <c r="A211">
        <f t="shared" si="10"/>
        <v>38198</v>
      </c>
      <c r="B211">
        <f t="shared" si="11"/>
        <v>6</v>
      </c>
      <c r="C211">
        <f t="shared" si="12"/>
        <v>7</v>
      </c>
    </row>
    <row r="212" spans="1:3" x14ac:dyDescent="0.15">
      <c r="A212">
        <f t="shared" si="10"/>
        <v>38199</v>
      </c>
      <c r="B212">
        <f t="shared" si="11"/>
        <v>7</v>
      </c>
      <c r="C212">
        <f t="shared" si="12"/>
        <v>7</v>
      </c>
    </row>
    <row r="213" spans="1:3" x14ac:dyDescent="0.15">
      <c r="A213">
        <f t="shared" si="10"/>
        <v>38200</v>
      </c>
      <c r="B213">
        <f t="shared" si="11"/>
        <v>1</v>
      </c>
      <c r="C213">
        <f t="shared" si="12"/>
        <v>8</v>
      </c>
    </row>
    <row r="214" spans="1:3" x14ac:dyDescent="0.15">
      <c r="A214">
        <f t="shared" si="10"/>
        <v>38201</v>
      </c>
      <c r="B214">
        <f t="shared" si="11"/>
        <v>2</v>
      </c>
      <c r="C214">
        <f t="shared" si="12"/>
        <v>8</v>
      </c>
    </row>
    <row r="215" spans="1:3" x14ac:dyDescent="0.15">
      <c r="A215">
        <f t="shared" si="10"/>
        <v>38202</v>
      </c>
      <c r="B215">
        <f t="shared" si="11"/>
        <v>3</v>
      </c>
      <c r="C215">
        <f t="shared" si="12"/>
        <v>8</v>
      </c>
    </row>
    <row r="216" spans="1:3" x14ac:dyDescent="0.15">
      <c r="A216">
        <f t="shared" si="10"/>
        <v>38203</v>
      </c>
      <c r="B216">
        <f t="shared" si="11"/>
        <v>4</v>
      </c>
      <c r="C216">
        <f t="shared" si="12"/>
        <v>8</v>
      </c>
    </row>
    <row r="217" spans="1:3" x14ac:dyDescent="0.15">
      <c r="A217">
        <f t="shared" si="10"/>
        <v>38204</v>
      </c>
      <c r="B217">
        <f t="shared" si="11"/>
        <v>5</v>
      </c>
      <c r="C217">
        <f t="shared" si="12"/>
        <v>8</v>
      </c>
    </row>
    <row r="218" spans="1:3" x14ac:dyDescent="0.15">
      <c r="A218">
        <f t="shared" si="10"/>
        <v>38205</v>
      </c>
      <c r="B218">
        <f t="shared" si="11"/>
        <v>6</v>
      </c>
      <c r="C218">
        <f t="shared" si="12"/>
        <v>8</v>
      </c>
    </row>
    <row r="219" spans="1:3" x14ac:dyDescent="0.15">
      <c r="A219">
        <f t="shared" si="10"/>
        <v>38206</v>
      </c>
      <c r="B219">
        <f t="shared" si="11"/>
        <v>7</v>
      </c>
      <c r="C219">
        <f t="shared" si="12"/>
        <v>8</v>
      </c>
    </row>
    <row r="220" spans="1:3" x14ac:dyDescent="0.15">
      <c r="A220">
        <f t="shared" si="10"/>
        <v>38207</v>
      </c>
      <c r="B220">
        <f t="shared" si="11"/>
        <v>1</v>
      </c>
      <c r="C220">
        <f t="shared" si="12"/>
        <v>8</v>
      </c>
    </row>
    <row r="221" spans="1:3" x14ac:dyDescent="0.15">
      <c r="A221">
        <f t="shared" si="10"/>
        <v>38208</v>
      </c>
      <c r="B221">
        <f t="shared" si="11"/>
        <v>2</v>
      </c>
      <c r="C221">
        <f t="shared" si="12"/>
        <v>8</v>
      </c>
    </row>
    <row r="222" spans="1:3" x14ac:dyDescent="0.15">
      <c r="A222">
        <f t="shared" si="10"/>
        <v>38209</v>
      </c>
      <c r="B222">
        <f t="shared" si="11"/>
        <v>3</v>
      </c>
      <c r="C222">
        <f t="shared" si="12"/>
        <v>8</v>
      </c>
    </row>
    <row r="223" spans="1:3" x14ac:dyDescent="0.15">
      <c r="A223">
        <f t="shared" si="10"/>
        <v>38210</v>
      </c>
      <c r="B223">
        <f t="shared" si="11"/>
        <v>4</v>
      </c>
      <c r="C223">
        <f t="shared" si="12"/>
        <v>8</v>
      </c>
    </row>
    <row r="224" spans="1:3" x14ac:dyDescent="0.15">
      <c r="A224">
        <f t="shared" si="10"/>
        <v>38211</v>
      </c>
      <c r="B224">
        <f t="shared" si="11"/>
        <v>5</v>
      </c>
      <c r="C224">
        <f t="shared" si="12"/>
        <v>8</v>
      </c>
    </row>
    <row r="225" spans="1:3" x14ac:dyDescent="0.15">
      <c r="A225">
        <f t="shared" si="10"/>
        <v>38212</v>
      </c>
      <c r="B225">
        <f t="shared" si="11"/>
        <v>6</v>
      </c>
      <c r="C225">
        <f t="shared" si="12"/>
        <v>8</v>
      </c>
    </row>
    <row r="226" spans="1:3" x14ac:dyDescent="0.15">
      <c r="A226">
        <f t="shared" si="10"/>
        <v>38213</v>
      </c>
      <c r="B226">
        <f t="shared" si="11"/>
        <v>7</v>
      </c>
      <c r="C226">
        <f t="shared" si="12"/>
        <v>8</v>
      </c>
    </row>
    <row r="227" spans="1:3" x14ac:dyDescent="0.15">
      <c r="A227">
        <f t="shared" si="10"/>
        <v>38214</v>
      </c>
      <c r="B227">
        <f t="shared" si="11"/>
        <v>1</v>
      </c>
      <c r="C227">
        <f t="shared" si="12"/>
        <v>8</v>
      </c>
    </row>
    <row r="228" spans="1:3" x14ac:dyDescent="0.15">
      <c r="A228">
        <f t="shared" si="10"/>
        <v>38215</v>
      </c>
      <c r="B228">
        <f t="shared" si="11"/>
        <v>2</v>
      </c>
      <c r="C228">
        <f t="shared" si="12"/>
        <v>8</v>
      </c>
    </row>
    <row r="229" spans="1:3" x14ac:dyDescent="0.15">
      <c r="A229">
        <f t="shared" si="10"/>
        <v>38216</v>
      </c>
      <c r="B229">
        <f t="shared" si="11"/>
        <v>3</v>
      </c>
      <c r="C229">
        <f t="shared" si="12"/>
        <v>8</v>
      </c>
    </row>
    <row r="230" spans="1:3" x14ac:dyDescent="0.15">
      <c r="A230">
        <f t="shared" si="10"/>
        <v>38217</v>
      </c>
      <c r="B230">
        <f t="shared" si="11"/>
        <v>4</v>
      </c>
      <c r="C230">
        <f t="shared" si="12"/>
        <v>8</v>
      </c>
    </row>
    <row r="231" spans="1:3" x14ac:dyDescent="0.15">
      <c r="A231">
        <f t="shared" si="10"/>
        <v>38218</v>
      </c>
      <c r="B231">
        <f t="shared" si="11"/>
        <v>5</v>
      </c>
      <c r="C231">
        <f t="shared" si="12"/>
        <v>8</v>
      </c>
    </row>
    <row r="232" spans="1:3" x14ac:dyDescent="0.15">
      <c r="A232">
        <f t="shared" si="10"/>
        <v>38219</v>
      </c>
      <c r="B232">
        <f t="shared" si="11"/>
        <v>6</v>
      </c>
      <c r="C232">
        <f t="shared" si="12"/>
        <v>8</v>
      </c>
    </row>
    <row r="233" spans="1:3" x14ac:dyDescent="0.15">
      <c r="A233">
        <f t="shared" si="10"/>
        <v>38220</v>
      </c>
      <c r="B233">
        <f t="shared" si="11"/>
        <v>7</v>
      </c>
      <c r="C233">
        <f t="shared" si="12"/>
        <v>8</v>
      </c>
    </row>
    <row r="234" spans="1:3" x14ac:dyDescent="0.15">
      <c r="A234">
        <f t="shared" si="10"/>
        <v>38221</v>
      </c>
      <c r="B234">
        <f t="shared" si="11"/>
        <v>1</v>
      </c>
      <c r="C234">
        <f t="shared" si="12"/>
        <v>8</v>
      </c>
    </row>
    <row r="235" spans="1:3" x14ac:dyDescent="0.15">
      <c r="A235">
        <f t="shared" si="10"/>
        <v>38222</v>
      </c>
      <c r="B235">
        <f t="shared" si="11"/>
        <v>2</v>
      </c>
      <c r="C235">
        <f t="shared" si="12"/>
        <v>8</v>
      </c>
    </row>
    <row r="236" spans="1:3" x14ac:dyDescent="0.15">
      <c r="A236">
        <f t="shared" si="10"/>
        <v>38223</v>
      </c>
      <c r="B236">
        <f t="shared" si="11"/>
        <v>3</v>
      </c>
      <c r="C236">
        <f t="shared" si="12"/>
        <v>8</v>
      </c>
    </row>
    <row r="237" spans="1:3" x14ac:dyDescent="0.15">
      <c r="A237">
        <f t="shared" si="10"/>
        <v>38224</v>
      </c>
      <c r="B237">
        <f t="shared" si="11"/>
        <v>4</v>
      </c>
      <c r="C237">
        <f t="shared" si="12"/>
        <v>8</v>
      </c>
    </row>
    <row r="238" spans="1:3" x14ac:dyDescent="0.15">
      <c r="A238">
        <f t="shared" si="10"/>
        <v>38225</v>
      </c>
      <c r="B238">
        <f t="shared" si="11"/>
        <v>5</v>
      </c>
      <c r="C238">
        <f t="shared" si="12"/>
        <v>8</v>
      </c>
    </row>
    <row r="239" spans="1:3" x14ac:dyDescent="0.15">
      <c r="A239">
        <f t="shared" si="10"/>
        <v>38226</v>
      </c>
      <c r="B239">
        <f t="shared" si="11"/>
        <v>6</v>
      </c>
      <c r="C239">
        <f t="shared" si="12"/>
        <v>8</v>
      </c>
    </row>
    <row r="240" spans="1:3" x14ac:dyDescent="0.15">
      <c r="A240">
        <f t="shared" si="10"/>
        <v>38227</v>
      </c>
      <c r="B240">
        <f t="shared" si="11"/>
        <v>7</v>
      </c>
      <c r="C240">
        <f t="shared" si="12"/>
        <v>8</v>
      </c>
    </row>
    <row r="241" spans="1:3" x14ac:dyDescent="0.15">
      <c r="A241">
        <f t="shared" si="10"/>
        <v>38228</v>
      </c>
      <c r="B241">
        <f t="shared" si="11"/>
        <v>1</v>
      </c>
      <c r="C241">
        <f t="shared" si="12"/>
        <v>8</v>
      </c>
    </row>
    <row r="242" spans="1:3" x14ac:dyDescent="0.15">
      <c r="A242">
        <f t="shared" si="10"/>
        <v>38229</v>
      </c>
      <c r="B242">
        <f t="shared" si="11"/>
        <v>2</v>
      </c>
      <c r="C242">
        <f t="shared" si="12"/>
        <v>8</v>
      </c>
    </row>
    <row r="243" spans="1:3" x14ac:dyDescent="0.15">
      <c r="A243">
        <f t="shared" si="10"/>
        <v>38230</v>
      </c>
      <c r="B243">
        <f t="shared" si="11"/>
        <v>3</v>
      </c>
      <c r="C243">
        <f t="shared" si="12"/>
        <v>8</v>
      </c>
    </row>
    <row r="244" spans="1:3" x14ac:dyDescent="0.15">
      <c r="A244">
        <f t="shared" si="10"/>
        <v>38231</v>
      </c>
      <c r="B244">
        <f t="shared" si="11"/>
        <v>4</v>
      </c>
      <c r="C244">
        <f t="shared" si="12"/>
        <v>9</v>
      </c>
    </row>
    <row r="245" spans="1:3" x14ac:dyDescent="0.15">
      <c r="A245">
        <f t="shared" si="10"/>
        <v>38232</v>
      </c>
      <c r="B245">
        <f t="shared" si="11"/>
        <v>5</v>
      </c>
      <c r="C245">
        <f t="shared" si="12"/>
        <v>9</v>
      </c>
    </row>
    <row r="246" spans="1:3" x14ac:dyDescent="0.15">
      <c r="A246">
        <f t="shared" si="10"/>
        <v>38233</v>
      </c>
      <c r="B246">
        <f t="shared" si="11"/>
        <v>6</v>
      </c>
      <c r="C246">
        <f t="shared" si="12"/>
        <v>9</v>
      </c>
    </row>
    <row r="247" spans="1:3" x14ac:dyDescent="0.15">
      <c r="A247">
        <f t="shared" si="10"/>
        <v>38234</v>
      </c>
      <c r="B247">
        <f t="shared" si="11"/>
        <v>7</v>
      </c>
      <c r="C247">
        <f t="shared" si="12"/>
        <v>9</v>
      </c>
    </row>
    <row r="248" spans="1:3" x14ac:dyDescent="0.15">
      <c r="A248">
        <f t="shared" si="10"/>
        <v>38235</v>
      </c>
      <c r="B248">
        <f t="shared" si="11"/>
        <v>1</v>
      </c>
      <c r="C248">
        <f t="shared" si="12"/>
        <v>9</v>
      </c>
    </row>
    <row r="249" spans="1:3" x14ac:dyDescent="0.15">
      <c r="A249">
        <f t="shared" si="10"/>
        <v>38236</v>
      </c>
      <c r="B249">
        <f t="shared" si="11"/>
        <v>2</v>
      </c>
      <c r="C249">
        <f t="shared" si="12"/>
        <v>9</v>
      </c>
    </row>
    <row r="250" spans="1:3" x14ac:dyDescent="0.15">
      <c r="A250">
        <f t="shared" si="10"/>
        <v>38237</v>
      </c>
      <c r="B250">
        <f t="shared" si="11"/>
        <v>3</v>
      </c>
      <c r="C250">
        <f t="shared" si="12"/>
        <v>9</v>
      </c>
    </row>
    <row r="251" spans="1:3" x14ac:dyDescent="0.15">
      <c r="A251">
        <f t="shared" si="10"/>
        <v>38238</v>
      </c>
      <c r="B251">
        <f t="shared" si="11"/>
        <v>4</v>
      </c>
      <c r="C251">
        <f t="shared" si="12"/>
        <v>9</v>
      </c>
    </row>
    <row r="252" spans="1:3" x14ac:dyDescent="0.15">
      <c r="A252">
        <f t="shared" si="10"/>
        <v>38239</v>
      </c>
      <c r="B252">
        <f t="shared" si="11"/>
        <v>5</v>
      </c>
      <c r="C252">
        <f t="shared" si="12"/>
        <v>9</v>
      </c>
    </row>
    <row r="253" spans="1:3" x14ac:dyDescent="0.15">
      <c r="A253">
        <f t="shared" ref="A253:A316" si="13">+A252+1</f>
        <v>38240</v>
      </c>
      <c r="B253">
        <f t="shared" si="11"/>
        <v>6</v>
      </c>
      <c r="C253">
        <f t="shared" si="12"/>
        <v>9</v>
      </c>
    </row>
    <row r="254" spans="1:3" x14ac:dyDescent="0.15">
      <c r="A254">
        <f t="shared" si="13"/>
        <v>38241</v>
      </c>
      <c r="B254">
        <f t="shared" si="11"/>
        <v>7</v>
      </c>
      <c r="C254">
        <f t="shared" si="12"/>
        <v>9</v>
      </c>
    </row>
    <row r="255" spans="1:3" x14ac:dyDescent="0.15">
      <c r="A255">
        <f t="shared" si="13"/>
        <v>38242</v>
      </c>
      <c r="B255">
        <f t="shared" si="11"/>
        <v>1</v>
      </c>
      <c r="C255">
        <f t="shared" si="12"/>
        <v>9</v>
      </c>
    </row>
    <row r="256" spans="1:3" x14ac:dyDescent="0.15">
      <c r="A256">
        <f t="shared" si="13"/>
        <v>38243</v>
      </c>
      <c r="B256">
        <f t="shared" si="11"/>
        <v>2</v>
      </c>
      <c r="C256">
        <f t="shared" si="12"/>
        <v>9</v>
      </c>
    </row>
    <row r="257" spans="1:3" x14ac:dyDescent="0.15">
      <c r="A257">
        <f t="shared" si="13"/>
        <v>38244</v>
      </c>
      <c r="B257">
        <f t="shared" ref="B257:B320" si="14">WEEKDAY(A257)</f>
        <v>3</v>
      </c>
      <c r="C257">
        <f t="shared" ref="C257:C320" si="15">MONTH(A257)</f>
        <v>9</v>
      </c>
    </row>
    <row r="258" spans="1:3" x14ac:dyDescent="0.15">
      <c r="A258">
        <f t="shared" si="13"/>
        <v>38245</v>
      </c>
      <c r="B258">
        <f t="shared" si="14"/>
        <v>4</v>
      </c>
      <c r="C258">
        <f t="shared" si="15"/>
        <v>9</v>
      </c>
    </row>
    <row r="259" spans="1:3" x14ac:dyDescent="0.15">
      <c r="A259">
        <f t="shared" si="13"/>
        <v>38246</v>
      </c>
      <c r="B259">
        <f t="shared" si="14"/>
        <v>5</v>
      </c>
      <c r="C259">
        <f t="shared" si="15"/>
        <v>9</v>
      </c>
    </row>
    <row r="260" spans="1:3" x14ac:dyDescent="0.15">
      <c r="A260">
        <f t="shared" si="13"/>
        <v>38247</v>
      </c>
      <c r="B260">
        <f t="shared" si="14"/>
        <v>6</v>
      </c>
      <c r="C260">
        <f t="shared" si="15"/>
        <v>9</v>
      </c>
    </row>
    <row r="261" spans="1:3" x14ac:dyDescent="0.15">
      <c r="A261">
        <f t="shared" si="13"/>
        <v>38248</v>
      </c>
      <c r="B261">
        <f t="shared" si="14"/>
        <v>7</v>
      </c>
      <c r="C261">
        <f t="shared" si="15"/>
        <v>9</v>
      </c>
    </row>
    <row r="262" spans="1:3" x14ac:dyDescent="0.15">
      <c r="A262">
        <f t="shared" si="13"/>
        <v>38249</v>
      </c>
      <c r="B262">
        <f t="shared" si="14"/>
        <v>1</v>
      </c>
      <c r="C262">
        <f t="shared" si="15"/>
        <v>9</v>
      </c>
    </row>
    <row r="263" spans="1:3" x14ac:dyDescent="0.15">
      <c r="A263">
        <f t="shared" si="13"/>
        <v>38250</v>
      </c>
      <c r="B263">
        <f t="shared" si="14"/>
        <v>2</v>
      </c>
      <c r="C263">
        <f t="shared" si="15"/>
        <v>9</v>
      </c>
    </row>
    <row r="264" spans="1:3" x14ac:dyDescent="0.15">
      <c r="A264">
        <f t="shared" si="13"/>
        <v>38251</v>
      </c>
      <c r="B264">
        <f t="shared" si="14"/>
        <v>3</v>
      </c>
      <c r="C264">
        <f t="shared" si="15"/>
        <v>9</v>
      </c>
    </row>
    <row r="265" spans="1:3" x14ac:dyDescent="0.15">
      <c r="A265">
        <f t="shared" si="13"/>
        <v>38252</v>
      </c>
      <c r="B265">
        <f t="shared" si="14"/>
        <v>4</v>
      </c>
      <c r="C265">
        <f t="shared" si="15"/>
        <v>9</v>
      </c>
    </row>
    <row r="266" spans="1:3" x14ac:dyDescent="0.15">
      <c r="A266">
        <f t="shared" si="13"/>
        <v>38253</v>
      </c>
      <c r="B266">
        <f t="shared" si="14"/>
        <v>5</v>
      </c>
      <c r="C266">
        <f t="shared" si="15"/>
        <v>9</v>
      </c>
    </row>
    <row r="267" spans="1:3" x14ac:dyDescent="0.15">
      <c r="A267">
        <f t="shared" si="13"/>
        <v>38254</v>
      </c>
      <c r="B267">
        <f t="shared" si="14"/>
        <v>6</v>
      </c>
      <c r="C267">
        <f t="shared" si="15"/>
        <v>9</v>
      </c>
    </row>
    <row r="268" spans="1:3" x14ac:dyDescent="0.15">
      <c r="A268">
        <f t="shared" si="13"/>
        <v>38255</v>
      </c>
      <c r="B268">
        <f t="shared" si="14"/>
        <v>7</v>
      </c>
      <c r="C268">
        <f t="shared" si="15"/>
        <v>9</v>
      </c>
    </row>
    <row r="269" spans="1:3" x14ac:dyDescent="0.15">
      <c r="A269">
        <f t="shared" si="13"/>
        <v>38256</v>
      </c>
      <c r="B269">
        <f t="shared" si="14"/>
        <v>1</v>
      </c>
      <c r="C269">
        <f t="shared" si="15"/>
        <v>9</v>
      </c>
    </row>
    <row r="270" spans="1:3" x14ac:dyDescent="0.15">
      <c r="A270">
        <f t="shared" si="13"/>
        <v>38257</v>
      </c>
      <c r="B270">
        <f t="shared" si="14"/>
        <v>2</v>
      </c>
      <c r="C270">
        <f t="shared" si="15"/>
        <v>9</v>
      </c>
    </row>
    <row r="271" spans="1:3" x14ac:dyDescent="0.15">
      <c r="A271">
        <f t="shared" si="13"/>
        <v>38258</v>
      </c>
      <c r="B271">
        <f t="shared" si="14"/>
        <v>3</v>
      </c>
      <c r="C271">
        <f t="shared" si="15"/>
        <v>9</v>
      </c>
    </row>
    <row r="272" spans="1:3" x14ac:dyDescent="0.15">
      <c r="A272">
        <f t="shared" si="13"/>
        <v>38259</v>
      </c>
      <c r="B272">
        <f t="shared" si="14"/>
        <v>4</v>
      </c>
      <c r="C272">
        <f t="shared" si="15"/>
        <v>9</v>
      </c>
    </row>
    <row r="273" spans="1:3" x14ac:dyDescent="0.15">
      <c r="A273">
        <f t="shared" si="13"/>
        <v>38260</v>
      </c>
      <c r="B273">
        <f t="shared" si="14"/>
        <v>5</v>
      </c>
      <c r="C273">
        <f t="shared" si="15"/>
        <v>9</v>
      </c>
    </row>
    <row r="274" spans="1:3" x14ac:dyDescent="0.15">
      <c r="A274">
        <f t="shared" si="13"/>
        <v>38261</v>
      </c>
      <c r="B274">
        <f t="shared" si="14"/>
        <v>6</v>
      </c>
      <c r="C274">
        <f t="shared" si="15"/>
        <v>10</v>
      </c>
    </row>
    <row r="275" spans="1:3" x14ac:dyDescent="0.15">
      <c r="A275">
        <f t="shared" si="13"/>
        <v>38262</v>
      </c>
      <c r="B275">
        <f t="shared" si="14"/>
        <v>7</v>
      </c>
      <c r="C275">
        <f t="shared" si="15"/>
        <v>10</v>
      </c>
    </row>
    <row r="276" spans="1:3" x14ac:dyDescent="0.15">
      <c r="A276">
        <f t="shared" si="13"/>
        <v>38263</v>
      </c>
      <c r="B276">
        <f t="shared" si="14"/>
        <v>1</v>
      </c>
      <c r="C276">
        <f t="shared" si="15"/>
        <v>10</v>
      </c>
    </row>
    <row r="277" spans="1:3" x14ac:dyDescent="0.15">
      <c r="A277">
        <f t="shared" si="13"/>
        <v>38264</v>
      </c>
      <c r="B277">
        <f t="shared" si="14"/>
        <v>2</v>
      </c>
      <c r="C277">
        <f t="shared" si="15"/>
        <v>10</v>
      </c>
    </row>
    <row r="278" spans="1:3" x14ac:dyDescent="0.15">
      <c r="A278">
        <f t="shared" si="13"/>
        <v>38265</v>
      </c>
      <c r="B278">
        <f t="shared" si="14"/>
        <v>3</v>
      </c>
      <c r="C278">
        <f t="shared" si="15"/>
        <v>10</v>
      </c>
    </row>
    <row r="279" spans="1:3" x14ac:dyDescent="0.15">
      <c r="A279">
        <f t="shared" si="13"/>
        <v>38266</v>
      </c>
      <c r="B279">
        <f t="shared" si="14"/>
        <v>4</v>
      </c>
      <c r="C279">
        <f t="shared" si="15"/>
        <v>10</v>
      </c>
    </row>
    <row r="280" spans="1:3" x14ac:dyDescent="0.15">
      <c r="A280">
        <f t="shared" si="13"/>
        <v>38267</v>
      </c>
      <c r="B280">
        <f t="shared" si="14"/>
        <v>5</v>
      </c>
      <c r="C280">
        <f t="shared" si="15"/>
        <v>10</v>
      </c>
    </row>
    <row r="281" spans="1:3" x14ac:dyDescent="0.15">
      <c r="A281">
        <f t="shared" si="13"/>
        <v>38268</v>
      </c>
      <c r="B281">
        <f t="shared" si="14"/>
        <v>6</v>
      </c>
      <c r="C281">
        <f t="shared" si="15"/>
        <v>10</v>
      </c>
    </row>
    <row r="282" spans="1:3" x14ac:dyDescent="0.15">
      <c r="A282">
        <f t="shared" si="13"/>
        <v>38269</v>
      </c>
      <c r="B282">
        <f t="shared" si="14"/>
        <v>7</v>
      </c>
      <c r="C282">
        <f t="shared" si="15"/>
        <v>10</v>
      </c>
    </row>
    <row r="283" spans="1:3" x14ac:dyDescent="0.15">
      <c r="A283">
        <f t="shared" si="13"/>
        <v>38270</v>
      </c>
      <c r="B283">
        <f t="shared" si="14"/>
        <v>1</v>
      </c>
      <c r="C283">
        <f t="shared" si="15"/>
        <v>10</v>
      </c>
    </row>
    <row r="284" spans="1:3" x14ac:dyDescent="0.15">
      <c r="A284">
        <f t="shared" si="13"/>
        <v>38271</v>
      </c>
      <c r="B284">
        <f t="shared" si="14"/>
        <v>2</v>
      </c>
      <c r="C284">
        <f t="shared" si="15"/>
        <v>10</v>
      </c>
    </row>
    <row r="285" spans="1:3" x14ac:dyDescent="0.15">
      <c r="A285">
        <f t="shared" si="13"/>
        <v>38272</v>
      </c>
      <c r="B285">
        <f t="shared" si="14"/>
        <v>3</v>
      </c>
      <c r="C285">
        <f t="shared" si="15"/>
        <v>10</v>
      </c>
    </row>
    <row r="286" spans="1:3" x14ac:dyDescent="0.15">
      <c r="A286">
        <f t="shared" si="13"/>
        <v>38273</v>
      </c>
      <c r="B286">
        <f t="shared" si="14"/>
        <v>4</v>
      </c>
      <c r="C286">
        <f t="shared" si="15"/>
        <v>10</v>
      </c>
    </row>
    <row r="287" spans="1:3" x14ac:dyDescent="0.15">
      <c r="A287">
        <f t="shared" si="13"/>
        <v>38274</v>
      </c>
      <c r="B287">
        <f t="shared" si="14"/>
        <v>5</v>
      </c>
      <c r="C287">
        <f t="shared" si="15"/>
        <v>10</v>
      </c>
    </row>
    <row r="288" spans="1:3" x14ac:dyDescent="0.15">
      <c r="A288">
        <f t="shared" si="13"/>
        <v>38275</v>
      </c>
      <c r="B288">
        <f t="shared" si="14"/>
        <v>6</v>
      </c>
      <c r="C288">
        <f t="shared" si="15"/>
        <v>10</v>
      </c>
    </row>
    <row r="289" spans="1:3" x14ac:dyDescent="0.15">
      <c r="A289">
        <f t="shared" si="13"/>
        <v>38276</v>
      </c>
      <c r="B289">
        <f t="shared" si="14"/>
        <v>7</v>
      </c>
      <c r="C289">
        <f t="shared" si="15"/>
        <v>10</v>
      </c>
    </row>
    <row r="290" spans="1:3" x14ac:dyDescent="0.15">
      <c r="A290">
        <f t="shared" si="13"/>
        <v>38277</v>
      </c>
      <c r="B290">
        <f t="shared" si="14"/>
        <v>1</v>
      </c>
      <c r="C290">
        <f t="shared" si="15"/>
        <v>10</v>
      </c>
    </row>
    <row r="291" spans="1:3" x14ac:dyDescent="0.15">
      <c r="A291">
        <f t="shared" si="13"/>
        <v>38278</v>
      </c>
      <c r="B291">
        <f t="shared" si="14"/>
        <v>2</v>
      </c>
      <c r="C291">
        <f t="shared" si="15"/>
        <v>10</v>
      </c>
    </row>
    <row r="292" spans="1:3" x14ac:dyDescent="0.15">
      <c r="A292">
        <f t="shared" si="13"/>
        <v>38279</v>
      </c>
      <c r="B292">
        <f t="shared" si="14"/>
        <v>3</v>
      </c>
      <c r="C292">
        <f t="shared" si="15"/>
        <v>10</v>
      </c>
    </row>
    <row r="293" spans="1:3" x14ac:dyDescent="0.15">
      <c r="A293">
        <f t="shared" si="13"/>
        <v>38280</v>
      </c>
      <c r="B293">
        <f t="shared" si="14"/>
        <v>4</v>
      </c>
      <c r="C293">
        <f t="shared" si="15"/>
        <v>10</v>
      </c>
    </row>
    <row r="294" spans="1:3" x14ac:dyDescent="0.15">
      <c r="A294">
        <f t="shared" si="13"/>
        <v>38281</v>
      </c>
      <c r="B294">
        <f t="shared" si="14"/>
        <v>5</v>
      </c>
      <c r="C294">
        <f t="shared" si="15"/>
        <v>10</v>
      </c>
    </row>
    <row r="295" spans="1:3" x14ac:dyDescent="0.15">
      <c r="A295">
        <f t="shared" si="13"/>
        <v>38282</v>
      </c>
      <c r="B295">
        <f t="shared" si="14"/>
        <v>6</v>
      </c>
      <c r="C295">
        <f t="shared" si="15"/>
        <v>10</v>
      </c>
    </row>
    <row r="296" spans="1:3" x14ac:dyDescent="0.15">
      <c r="A296">
        <f t="shared" si="13"/>
        <v>38283</v>
      </c>
      <c r="B296">
        <f t="shared" si="14"/>
        <v>7</v>
      </c>
      <c r="C296">
        <f t="shared" si="15"/>
        <v>10</v>
      </c>
    </row>
    <row r="297" spans="1:3" x14ac:dyDescent="0.15">
      <c r="A297">
        <f t="shared" si="13"/>
        <v>38284</v>
      </c>
      <c r="B297">
        <f t="shared" si="14"/>
        <v>1</v>
      </c>
      <c r="C297">
        <f t="shared" si="15"/>
        <v>10</v>
      </c>
    </row>
    <row r="298" spans="1:3" x14ac:dyDescent="0.15">
      <c r="A298">
        <f t="shared" si="13"/>
        <v>38285</v>
      </c>
      <c r="B298">
        <f t="shared" si="14"/>
        <v>2</v>
      </c>
      <c r="C298">
        <f t="shared" si="15"/>
        <v>10</v>
      </c>
    </row>
    <row r="299" spans="1:3" x14ac:dyDescent="0.15">
      <c r="A299">
        <f t="shared" si="13"/>
        <v>38286</v>
      </c>
      <c r="B299">
        <f t="shared" si="14"/>
        <v>3</v>
      </c>
      <c r="C299">
        <f t="shared" si="15"/>
        <v>10</v>
      </c>
    </row>
    <row r="300" spans="1:3" x14ac:dyDescent="0.15">
      <c r="A300">
        <f t="shared" si="13"/>
        <v>38287</v>
      </c>
      <c r="B300">
        <f t="shared" si="14"/>
        <v>4</v>
      </c>
      <c r="C300">
        <f t="shared" si="15"/>
        <v>10</v>
      </c>
    </row>
    <row r="301" spans="1:3" x14ac:dyDescent="0.15">
      <c r="A301">
        <f t="shared" si="13"/>
        <v>38288</v>
      </c>
      <c r="B301">
        <f t="shared" si="14"/>
        <v>5</v>
      </c>
      <c r="C301">
        <f t="shared" si="15"/>
        <v>10</v>
      </c>
    </row>
    <row r="302" spans="1:3" x14ac:dyDescent="0.15">
      <c r="A302">
        <f t="shared" si="13"/>
        <v>38289</v>
      </c>
      <c r="B302">
        <f t="shared" si="14"/>
        <v>6</v>
      </c>
      <c r="C302">
        <f t="shared" si="15"/>
        <v>10</v>
      </c>
    </row>
    <row r="303" spans="1:3" x14ac:dyDescent="0.15">
      <c r="A303">
        <f t="shared" si="13"/>
        <v>38290</v>
      </c>
      <c r="B303">
        <f t="shared" si="14"/>
        <v>7</v>
      </c>
      <c r="C303">
        <f t="shared" si="15"/>
        <v>10</v>
      </c>
    </row>
    <row r="304" spans="1:3" x14ac:dyDescent="0.15">
      <c r="A304">
        <f t="shared" si="13"/>
        <v>38291</v>
      </c>
      <c r="B304">
        <f t="shared" si="14"/>
        <v>1</v>
      </c>
      <c r="C304">
        <f t="shared" si="15"/>
        <v>10</v>
      </c>
    </row>
    <row r="305" spans="1:3" x14ac:dyDescent="0.15">
      <c r="A305">
        <f t="shared" si="13"/>
        <v>38292</v>
      </c>
      <c r="B305">
        <f t="shared" si="14"/>
        <v>2</v>
      </c>
      <c r="C305">
        <f t="shared" si="15"/>
        <v>11</v>
      </c>
    </row>
    <row r="306" spans="1:3" x14ac:dyDescent="0.15">
      <c r="A306">
        <f t="shared" si="13"/>
        <v>38293</v>
      </c>
      <c r="B306">
        <f t="shared" si="14"/>
        <v>3</v>
      </c>
      <c r="C306">
        <f t="shared" si="15"/>
        <v>11</v>
      </c>
    </row>
    <row r="307" spans="1:3" x14ac:dyDescent="0.15">
      <c r="A307">
        <f t="shared" si="13"/>
        <v>38294</v>
      </c>
      <c r="B307">
        <f t="shared" si="14"/>
        <v>4</v>
      </c>
      <c r="C307">
        <f t="shared" si="15"/>
        <v>11</v>
      </c>
    </row>
    <row r="308" spans="1:3" x14ac:dyDescent="0.15">
      <c r="A308">
        <f t="shared" si="13"/>
        <v>38295</v>
      </c>
      <c r="B308">
        <f t="shared" si="14"/>
        <v>5</v>
      </c>
      <c r="C308">
        <f t="shared" si="15"/>
        <v>11</v>
      </c>
    </row>
    <row r="309" spans="1:3" x14ac:dyDescent="0.15">
      <c r="A309">
        <f t="shared" si="13"/>
        <v>38296</v>
      </c>
      <c r="B309">
        <f t="shared" si="14"/>
        <v>6</v>
      </c>
      <c r="C309">
        <f t="shared" si="15"/>
        <v>11</v>
      </c>
    </row>
    <row r="310" spans="1:3" x14ac:dyDescent="0.15">
      <c r="A310">
        <f t="shared" si="13"/>
        <v>38297</v>
      </c>
      <c r="B310">
        <f t="shared" si="14"/>
        <v>7</v>
      </c>
      <c r="C310">
        <f t="shared" si="15"/>
        <v>11</v>
      </c>
    </row>
    <row r="311" spans="1:3" x14ac:dyDescent="0.15">
      <c r="A311">
        <f t="shared" si="13"/>
        <v>38298</v>
      </c>
      <c r="B311">
        <f t="shared" si="14"/>
        <v>1</v>
      </c>
      <c r="C311">
        <f t="shared" si="15"/>
        <v>11</v>
      </c>
    </row>
    <row r="312" spans="1:3" x14ac:dyDescent="0.15">
      <c r="A312">
        <f t="shared" si="13"/>
        <v>38299</v>
      </c>
      <c r="B312">
        <f t="shared" si="14"/>
        <v>2</v>
      </c>
      <c r="C312">
        <f t="shared" si="15"/>
        <v>11</v>
      </c>
    </row>
    <row r="313" spans="1:3" x14ac:dyDescent="0.15">
      <c r="A313">
        <f t="shared" si="13"/>
        <v>38300</v>
      </c>
      <c r="B313">
        <f t="shared" si="14"/>
        <v>3</v>
      </c>
      <c r="C313">
        <f t="shared" si="15"/>
        <v>11</v>
      </c>
    </row>
    <row r="314" spans="1:3" x14ac:dyDescent="0.15">
      <c r="A314">
        <f t="shared" si="13"/>
        <v>38301</v>
      </c>
      <c r="B314">
        <f t="shared" si="14"/>
        <v>4</v>
      </c>
      <c r="C314">
        <f t="shared" si="15"/>
        <v>11</v>
      </c>
    </row>
    <row r="315" spans="1:3" x14ac:dyDescent="0.15">
      <c r="A315">
        <f t="shared" si="13"/>
        <v>38302</v>
      </c>
      <c r="B315">
        <f t="shared" si="14"/>
        <v>5</v>
      </c>
      <c r="C315">
        <f t="shared" si="15"/>
        <v>11</v>
      </c>
    </row>
    <row r="316" spans="1:3" x14ac:dyDescent="0.15">
      <c r="A316">
        <f t="shared" si="13"/>
        <v>38303</v>
      </c>
      <c r="B316">
        <f t="shared" si="14"/>
        <v>6</v>
      </c>
      <c r="C316">
        <f t="shared" si="15"/>
        <v>11</v>
      </c>
    </row>
    <row r="317" spans="1:3" x14ac:dyDescent="0.15">
      <c r="A317">
        <f t="shared" ref="A317:A365" si="16">+A316+1</f>
        <v>38304</v>
      </c>
      <c r="B317">
        <f t="shared" si="14"/>
        <v>7</v>
      </c>
      <c r="C317">
        <f t="shared" si="15"/>
        <v>11</v>
      </c>
    </row>
    <row r="318" spans="1:3" x14ac:dyDescent="0.15">
      <c r="A318">
        <f t="shared" si="16"/>
        <v>38305</v>
      </c>
      <c r="B318">
        <f t="shared" si="14"/>
        <v>1</v>
      </c>
      <c r="C318">
        <f t="shared" si="15"/>
        <v>11</v>
      </c>
    </row>
    <row r="319" spans="1:3" x14ac:dyDescent="0.15">
      <c r="A319">
        <f t="shared" si="16"/>
        <v>38306</v>
      </c>
      <c r="B319">
        <f t="shared" si="14"/>
        <v>2</v>
      </c>
      <c r="C319">
        <f t="shared" si="15"/>
        <v>11</v>
      </c>
    </row>
    <row r="320" spans="1:3" x14ac:dyDescent="0.15">
      <c r="A320">
        <f t="shared" si="16"/>
        <v>38307</v>
      </c>
      <c r="B320">
        <f t="shared" si="14"/>
        <v>3</v>
      </c>
      <c r="C320">
        <f t="shared" si="15"/>
        <v>11</v>
      </c>
    </row>
    <row r="321" spans="1:3" x14ac:dyDescent="0.15">
      <c r="A321">
        <f t="shared" si="16"/>
        <v>38308</v>
      </c>
      <c r="B321">
        <f t="shared" ref="B321:B365" si="17">WEEKDAY(A321)</f>
        <v>4</v>
      </c>
      <c r="C321">
        <f t="shared" ref="C321:C365" si="18">MONTH(A321)</f>
        <v>11</v>
      </c>
    </row>
    <row r="322" spans="1:3" x14ac:dyDescent="0.15">
      <c r="A322">
        <f t="shared" si="16"/>
        <v>38309</v>
      </c>
      <c r="B322">
        <f t="shared" si="17"/>
        <v>5</v>
      </c>
      <c r="C322">
        <f t="shared" si="18"/>
        <v>11</v>
      </c>
    </row>
    <row r="323" spans="1:3" x14ac:dyDescent="0.15">
      <c r="A323">
        <f t="shared" si="16"/>
        <v>38310</v>
      </c>
      <c r="B323">
        <f t="shared" si="17"/>
        <v>6</v>
      </c>
      <c r="C323">
        <f t="shared" si="18"/>
        <v>11</v>
      </c>
    </row>
    <row r="324" spans="1:3" x14ac:dyDescent="0.15">
      <c r="A324">
        <f t="shared" si="16"/>
        <v>38311</v>
      </c>
      <c r="B324">
        <f t="shared" si="17"/>
        <v>7</v>
      </c>
      <c r="C324">
        <f t="shared" si="18"/>
        <v>11</v>
      </c>
    </row>
    <row r="325" spans="1:3" x14ac:dyDescent="0.15">
      <c r="A325">
        <f t="shared" si="16"/>
        <v>38312</v>
      </c>
      <c r="B325">
        <f t="shared" si="17"/>
        <v>1</v>
      </c>
      <c r="C325">
        <f t="shared" si="18"/>
        <v>11</v>
      </c>
    </row>
    <row r="326" spans="1:3" x14ac:dyDescent="0.15">
      <c r="A326">
        <f t="shared" si="16"/>
        <v>38313</v>
      </c>
      <c r="B326">
        <f t="shared" si="17"/>
        <v>2</v>
      </c>
      <c r="C326">
        <f t="shared" si="18"/>
        <v>11</v>
      </c>
    </row>
    <row r="327" spans="1:3" x14ac:dyDescent="0.15">
      <c r="A327">
        <f t="shared" si="16"/>
        <v>38314</v>
      </c>
      <c r="B327">
        <f t="shared" si="17"/>
        <v>3</v>
      </c>
      <c r="C327">
        <f t="shared" si="18"/>
        <v>11</v>
      </c>
    </row>
    <row r="328" spans="1:3" x14ac:dyDescent="0.15">
      <c r="A328">
        <f t="shared" si="16"/>
        <v>38315</v>
      </c>
      <c r="B328">
        <f t="shared" si="17"/>
        <v>4</v>
      </c>
      <c r="C328">
        <f t="shared" si="18"/>
        <v>11</v>
      </c>
    </row>
    <row r="329" spans="1:3" x14ac:dyDescent="0.15">
      <c r="A329">
        <f t="shared" si="16"/>
        <v>38316</v>
      </c>
      <c r="B329">
        <f t="shared" si="17"/>
        <v>5</v>
      </c>
      <c r="C329">
        <f t="shared" si="18"/>
        <v>11</v>
      </c>
    </row>
    <row r="330" spans="1:3" x14ac:dyDescent="0.15">
      <c r="A330">
        <f t="shared" si="16"/>
        <v>38317</v>
      </c>
      <c r="B330">
        <f t="shared" si="17"/>
        <v>6</v>
      </c>
      <c r="C330">
        <f t="shared" si="18"/>
        <v>11</v>
      </c>
    </row>
    <row r="331" spans="1:3" x14ac:dyDescent="0.15">
      <c r="A331">
        <f t="shared" si="16"/>
        <v>38318</v>
      </c>
      <c r="B331">
        <f t="shared" si="17"/>
        <v>7</v>
      </c>
      <c r="C331">
        <f t="shared" si="18"/>
        <v>11</v>
      </c>
    </row>
    <row r="332" spans="1:3" x14ac:dyDescent="0.15">
      <c r="A332">
        <f t="shared" si="16"/>
        <v>38319</v>
      </c>
      <c r="B332">
        <f t="shared" si="17"/>
        <v>1</v>
      </c>
      <c r="C332">
        <f t="shared" si="18"/>
        <v>11</v>
      </c>
    </row>
    <row r="333" spans="1:3" x14ac:dyDescent="0.15">
      <c r="A333">
        <f t="shared" si="16"/>
        <v>38320</v>
      </c>
      <c r="B333">
        <f t="shared" si="17"/>
        <v>2</v>
      </c>
      <c r="C333">
        <f t="shared" si="18"/>
        <v>11</v>
      </c>
    </row>
    <row r="334" spans="1:3" x14ac:dyDescent="0.15">
      <c r="A334">
        <f t="shared" si="16"/>
        <v>38321</v>
      </c>
      <c r="B334">
        <f t="shared" si="17"/>
        <v>3</v>
      </c>
      <c r="C334">
        <f t="shared" si="18"/>
        <v>11</v>
      </c>
    </row>
    <row r="335" spans="1:3" x14ac:dyDescent="0.15">
      <c r="A335">
        <f t="shared" si="16"/>
        <v>38322</v>
      </c>
      <c r="B335">
        <f t="shared" si="17"/>
        <v>4</v>
      </c>
      <c r="C335">
        <f t="shared" si="18"/>
        <v>12</v>
      </c>
    </row>
    <row r="336" spans="1:3" x14ac:dyDescent="0.15">
      <c r="A336">
        <f t="shared" si="16"/>
        <v>38323</v>
      </c>
      <c r="B336">
        <f t="shared" si="17"/>
        <v>5</v>
      </c>
      <c r="C336">
        <f t="shared" si="18"/>
        <v>12</v>
      </c>
    </row>
    <row r="337" spans="1:3" x14ac:dyDescent="0.15">
      <c r="A337">
        <f t="shared" si="16"/>
        <v>38324</v>
      </c>
      <c r="B337">
        <f t="shared" si="17"/>
        <v>6</v>
      </c>
      <c r="C337">
        <f t="shared" si="18"/>
        <v>12</v>
      </c>
    </row>
    <row r="338" spans="1:3" x14ac:dyDescent="0.15">
      <c r="A338">
        <f t="shared" si="16"/>
        <v>38325</v>
      </c>
      <c r="B338">
        <f t="shared" si="17"/>
        <v>7</v>
      </c>
      <c r="C338">
        <f t="shared" si="18"/>
        <v>12</v>
      </c>
    </row>
    <row r="339" spans="1:3" x14ac:dyDescent="0.15">
      <c r="A339">
        <f t="shared" si="16"/>
        <v>38326</v>
      </c>
      <c r="B339">
        <f t="shared" si="17"/>
        <v>1</v>
      </c>
      <c r="C339">
        <f t="shared" si="18"/>
        <v>12</v>
      </c>
    </row>
    <row r="340" spans="1:3" x14ac:dyDescent="0.15">
      <c r="A340">
        <f t="shared" si="16"/>
        <v>38327</v>
      </c>
      <c r="B340">
        <f t="shared" si="17"/>
        <v>2</v>
      </c>
      <c r="C340">
        <f t="shared" si="18"/>
        <v>12</v>
      </c>
    </row>
    <row r="341" spans="1:3" x14ac:dyDescent="0.15">
      <c r="A341">
        <f t="shared" si="16"/>
        <v>38328</v>
      </c>
      <c r="B341">
        <f t="shared" si="17"/>
        <v>3</v>
      </c>
      <c r="C341">
        <f t="shared" si="18"/>
        <v>12</v>
      </c>
    </row>
    <row r="342" spans="1:3" x14ac:dyDescent="0.15">
      <c r="A342">
        <f t="shared" si="16"/>
        <v>38329</v>
      </c>
      <c r="B342">
        <f t="shared" si="17"/>
        <v>4</v>
      </c>
      <c r="C342">
        <f t="shared" si="18"/>
        <v>12</v>
      </c>
    </row>
    <row r="343" spans="1:3" x14ac:dyDescent="0.15">
      <c r="A343">
        <f t="shared" si="16"/>
        <v>38330</v>
      </c>
      <c r="B343">
        <f t="shared" si="17"/>
        <v>5</v>
      </c>
      <c r="C343">
        <f t="shared" si="18"/>
        <v>12</v>
      </c>
    </row>
    <row r="344" spans="1:3" x14ac:dyDescent="0.15">
      <c r="A344">
        <f t="shared" si="16"/>
        <v>38331</v>
      </c>
      <c r="B344">
        <f t="shared" si="17"/>
        <v>6</v>
      </c>
      <c r="C344">
        <f t="shared" si="18"/>
        <v>12</v>
      </c>
    </row>
    <row r="345" spans="1:3" x14ac:dyDescent="0.15">
      <c r="A345">
        <f t="shared" si="16"/>
        <v>38332</v>
      </c>
      <c r="B345">
        <f t="shared" si="17"/>
        <v>7</v>
      </c>
      <c r="C345">
        <f t="shared" si="18"/>
        <v>12</v>
      </c>
    </row>
    <row r="346" spans="1:3" x14ac:dyDescent="0.15">
      <c r="A346">
        <f t="shared" si="16"/>
        <v>38333</v>
      </c>
      <c r="B346">
        <f t="shared" si="17"/>
        <v>1</v>
      </c>
      <c r="C346">
        <f t="shared" si="18"/>
        <v>12</v>
      </c>
    </row>
    <row r="347" spans="1:3" x14ac:dyDescent="0.15">
      <c r="A347">
        <f t="shared" si="16"/>
        <v>38334</v>
      </c>
      <c r="B347">
        <f t="shared" si="17"/>
        <v>2</v>
      </c>
      <c r="C347">
        <f t="shared" si="18"/>
        <v>12</v>
      </c>
    </row>
    <row r="348" spans="1:3" x14ac:dyDescent="0.15">
      <c r="A348">
        <f t="shared" si="16"/>
        <v>38335</v>
      </c>
      <c r="B348">
        <f t="shared" si="17"/>
        <v>3</v>
      </c>
      <c r="C348">
        <f t="shared" si="18"/>
        <v>12</v>
      </c>
    </row>
    <row r="349" spans="1:3" x14ac:dyDescent="0.15">
      <c r="A349">
        <f t="shared" si="16"/>
        <v>38336</v>
      </c>
      <c r="B349">
        <f t="shared" si="17"/>
        <v>4</v>
      </c>
      <c r="C349">
        <f t="shared" si="18"/>
        <v>12</v>
      </c>
    </row>
    <row r="350" spans="1:3" x14ac:dyDescent="0.15">
      <c r="A350">
        <f t="shared" si="16"/>
        <v>38337</v>
      </c>
      <c r="B350">
        <f t="shared" si="17"/>
        <v>5</v>
      </c>
      <c r="C350">
        <f t="shared" si="18"/>
        <v>12</v>
      </c>
    </row>
    <row r="351" spans="1:3" x14ac:dyDescent="0.15">
      <c r="A351">
        <f t="shared" si="16"/>
        <v>38338</v>
      </c>
      <c r="B351">
        <f t="shared" si="17"/>
        <v>6</v>
      </c>
      <c r="C351">
        <f t="shared" si="18"/>
        <v>12</v>
      </c>
    </row>
    <row r="352" spans="1:3" x14ac:dyDescent="0.15">
      <c r="A352">
        <f t="shared" si="16"/>
        <v>38339</v>
      </c>
      <c r="B352">
        <f t="shared" si="17"/>
        <v>7</v>
      </c>
      <c r="C352">
        <f t="shared" si="18"/>
        <v>12</v>
      </c>
    </row>
    <row r="353" spans="1:3" x14ac:dyDescent="0.15">
      <c r="A353">
        <f t="shared" si="16"/>
        <v>38340</v>
      </c>
      <c r="B353">
        <f t="shared" si="17"/>
        <v>1</v>
      </c>
      <c r="C353">
        <f t="shared" si="18"/>
        <v>12</v>
      </c>
    </row>
    <row r="354" spans="1:3" x14ac:dyDescent="0.15">
      <c r="A354">
        <f t="shared" si="16"/>
        <v>38341</v>
      </c>
      <c r="B354">
        <f t="shared" si="17"/>
        <v>2</v>
      </c>
      <c r="C354">
        <f t="shared" si="18"/>
        <v>12</v>
      </c>
    </row>
    <row r="355" spans="1:3" x14ac:dyDescent="0.15">
      <c r="A355">
        <f t="shared" si="16"/>
        <v>38342</v>
      </c>
      <c r="B355">
        <f t="shared" si="17"/>
        <v>3</v>
      </c>
      <c r="C355">
        <f t="shared" si="18"/>
        <v>12</v>
      </c>
    </row>
    <row r="356" spans="1:3" x14ac:dyDescent="0.15">
      <c r="A356">
        <f t="shared" si="16"/>
        <v>38343</v>
      </c>
      <c r="B356">
        <f t="shared" si="17"/>
        <v>4</v>
      </c>
      <c r="C356">
        <f t="shared" si="18"/>
        <v>12</v>
      </c>
    </row>
    <row r="357" spans="1:3" x14ac:dyDescent="0.15">
      <c r="A357">
        <f t="shared" si="16"/>
        <v>38344</v>
      </c>
      <c r="B357">
        <f t="shared" si="17"/>
        <v>5</v>
      </c>
      <c r="C357">
        <f t="shared" si="18"/>
        <v>12</v>
      </c>
    </row>
    <row r="358" spans="1:3" x14ac:dyDescent="0.15">
      <c r="A358">
        <f t="shared" si="16"/>
        <v>38345</v>
      </c>
      <c r="B358">
        <f t="shared" si="17"/>
        <v>6</v>
      </c>
      <c r="C358">
        <f t="shared" si="18"/>
        <v>12</v>
      </c>
    </row>
    <row r="359" spans="1:3" x14ac:dyDescent="0.15">
      <c r="A359">
        <f t="shared" si="16"/>
        <v>38346</v>
      </c>
      <c r="B359">
        <f t="shared" si="17"/>
        <v>7</v>
      </c>
      <c r="C359">
        <f t="shared" si="18"/>
        <v>12</v>
      </c>
    </row>
    <row r="360" spans="1:3" x14ac:dyDescent="0.15">
      <c r="A360">
        <f t="shared" si="16"/>
        <v>38347</v>
      </c>
      <c r="B360">
        <f t="shared" si="17"/>
        <v>1</v>
      </c>
      <c r="C360">
        <f t="shared" si="18"/>
        <v>12</v>
      </c>
    </row>
    <row r="361" spans="1:3" x14ac:dyDescent="0.15">
      <c r="A361">
        <f t="shared" si="16"/>
        <v>38348</v>
      </c>
      <c r="B361">
        <f t="shared" si="17"/>
        <v>2</v>
      </c>
      <c r="C361">
        <f t="shared" si="18"/>
        <v>12</v>
      </c>
    </row>
    <row r="362" spans="1:3" x14ac:dyDescent="0.15">
      <c r="A362">
        <f t="shared" si="16"/>
        <v>38349</v>
      </c>
      <c r="B362">
        <f t="shared" si="17"/>
        <v>3</v>
      </c>
      <c r="C362">
        <f t="shared" si="18"/>
        <v>12</v>
      </c>
    </row>
    <row r="363" spans="1:3" x14ac:dyDescent="0.15">
      <c r="A363">
        <f t="shared" si="16"/>
        <v>38350</v>
      </c>
      <c r="B363">
        <f t="shared" si="17"/>
        <v>4</v>
      </c>
      <c r="C363">
        <f t="shared" si="18"/>
        <v>12</v>
      </c>
    </row>
    <row r="364" spans="1:3" x14ac:dyDescent="0.15">
      <c r="A364">
        <f t="shared" si="16"/>
        <v>38351</v>
      </c>
      <c r="B364">
        <f t="shared" si="17"/>
        <v>5</v>
      </c>
      <c r="C364">
        <f t="shared" si="18"/>
        <v>12</v>
      </c>
    </row>
    <row r="365" spans="1:3" x14ac:dyDescent="0.15">
      <c r="A365">
        <f t="shared" si="16"/>
        <v>38352</v>
      </c>
      <c r="B365">
        <f t="shared" si="17"/>
        <v>6</v>
      </c>
      <c r="C365">
        <f t="shared" si="18"/>
        <v>12</v>
      </c>
    </row>
    <row r="370" spans="1:4" x14ac:dyDescent="0.15">
      <c r="A370">
        <f>+A59+1</f>
        <v>38046</v>
      </c>
      <c r="B370">
        <f>WEEKDAY(A370)</f>
        <v>1</v>
      </c>
      <c r="C370">
        <f>MONTH(A370)</f>
        <v>2</v>
      </c>
      <c r="D370" t="s">
        <v>141</v>
      </c>
    </row>
  </sheetData>
  <sheetProtection sheet="1" objects="1" scenarios="1"/>
  <phoneticPr fontId="4" type="noConversion"/>
  <pageMargins left="0.75" right="0.75" top="1" bottom="1" header="0.4921259845" footer="0.4921259845"/>
  <pageSetup paperSize="9" orientation="portrait" horizontalDpi="300" r:id="rId1"/>
  <headerFooter alignWithMargins="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41"/>
  <sheetViews>
    <sheetView showGridLines="0" zoomScale="75" workbookViewId="0">
      <selection activeCell="A2" sqref="A2"/>
    </sheetView>
  </sheetViews>
  <sheetFormatPr defaultRowHeight="12" x14ac:dyDescent="0.15"/>
  <cols>
    <col min="1" max="1" width="46.625" customWidth="1"/>
    <col min="2" max="6" width="9.125" bestFit="1" customWidth="1"/>
    <col min="7" max="8" width="9.875" bestFit="1" customWidth="1"/>
    <col min="9" max="11" width="9.125" bestFit="1" customWidth="1"/>
    <col min="12" max="12" width="10.375" customWidth="1"/>
    <col min="13" max="13" width="9.125" bestFit="1" customWidth="1"/>
    <col min="14" max="14" width="12.625" customWidth="1"/>
    <col min="15" max="15" width="15.125" customWidth="1"/>
  </cols>
  <sheetData>
    <row r="1" spans="1:15" ht="20.25" x14ac:dyDescent="0.3">
      <c r="A1" s="156" t="s">
        <v>15</v>
      </c>
      <c r="C1" s="156"/>
      <c r="D1" s="156" t="str">
        <f>Kalenteri!$H$2</f>
        <v>KÄVIJÄTILASTO 2012</v>
      </c>
      <c r="E1" s="157"/>
      <c r="G1" s="158"/>
      <c r="H1" s="132"/>
      <c r="I1" s="156" t="s">
        <v>113</v>
      </c>
      <c r="J1" s="132"/>
      <c r="K1" s="132"/>
      <c r="L1" s="132"/>
      <c r="M1" s="132"/>
      <c r="N1" s="132"/>
      <c r="O1" s="143"/>
    </row>
    <row r="2" spans="1:15" ht="15.75" x14ac:dyDescent="0.25">
      <c r="A2" s="132"/>
      <c r="B2" s="132"/>
      <c r="C2" s="132"/>
      <c r="D2" s="132"/>
      <c r="E2" s="132"/>
      <c r="F2" s="132"/>
      <c r="G2" s="132"/>
      <c r="H2" s="132"/>
      <c r="I2" s="132"/>
      <c r="J2" s="132"/>
      <c r="K2" s="132"/>
      <c r="L2" s="132"/>
      <c r="M2" s="132"/>
      <c r="N2" s="132"/>
      <c r="O2" s="143"/>
    </row>
    <row r="3" spans="1:15" ht="15.75" x14ac:dyDescent="0.25">
      <c r="A3" s="132"/>
      <c r="B3" s="132"/>
      <c r="C3" s="132"/>
      <c r="D3" s="132"/>
      <c r="E3" s="132"/>
      <c r="F3" s="132"/>
      <c r="G3" s="132"/>
      <c r="H3" s="132"/>
      <c r="I3" s="132"/>
      <c r="J3" s="132"/>
      <c r="K3" s="132"/>
      <c r="L3" s="132"/>
      <c r="M3" s="132"/>
      <c r="N3" s="132"/>
      <c r="O3" s="143"/>
    </row>
    <row r="4" spans="1:15" ht="15.75" x14ac:dyDescent="0.25">
      <c r="A4" s="132" t="s">
        <v>93</v>
      </c>
      <c r="B4" s="132"/>
      <c r="C4" s="132"/>
      <c r="D4" s="132"/>
      <c r="E4" s="132"/>
      <c r="F4" s="132"/>
      <c r="G4" s="132"/>
      <c r="H4" s="132"/>
      <c r="I4" s="132"/>
      <c r="J4" s="132"/>
      <c r="K4" s="132"/>
      <c r="L4" s="132"/>
      <c r="M4" s="132"/>
      <c r="N4" s="132"/>
      <c r="O4" s="159" t="s">
        <v>114</v>
      </c>
    </row>
    <row r="5" spans="1:15" ht="15.75" x14ac:dyDescent="0.25">
      <c r="A5" s="132"/>
      <c r="B5" s="132" t="s">
        <v>22</v>
      </c>
      <c r="C5" s="132" t="s">
        <v>23</v>
      </c>
      <c r="D5" s="132" t="s">
        <v>24</v>
      </c>
      <c r="E5" s="132" t="s">
        <v>25</v>
      </c>
      <c r="F5" s="132" t="s">
        <v>26</v>
      </c>
      <c r="G5" s="132" t="s">
        <v>27</v>
      </c>
      <c r="H5" s="132" t="s">
        <v>28</v>
      </c>
      <c r="I5" s="132" t="s">
        <v>29</v>
      </c>
      <c r="J5" s="132" t="s">
        <v>30</v>
      </c>
      <c r="K5" s="132" t="s">
        <v>31</v>
      </c>
      <c r="L5" s="132" t="s">
        <v>32</v>
      </c>
      <c r="M5" s="132" t="s">
        <v>33</v>
      </c>
      <c r="N5" s="132" t="s">
        <v>7</v>
      </c>
      <c r="O5" s="143" t="s">
        <v>115</v>
      </c>
    </row>
    <row r="6" spans="1:15" ht="15.75" x14ac:dyDescent="0.25">
      <c r="A6" s="133" t="s">
        <v>94</v>
      </c>
      <c r="B6" s="134">
        <v>5742</v>
      </c>
      <c r="C6" s="134">
        <v>9712</v>
      </c>
      <c r="D6" s="134">
        <v>10876</v>
      </c>
      <c r="E6" s="134">
        <v>24039</v>
      </c>
      <c r="F6" s="134">
        <v>61128</v>
      </c>
      <c r="G6" s="134">
        <v>85315</v>
      </c>
      <c r="H6" s="134">
        <v>161200</v>
      </c>
      <c r="I6" s="134">
        <v>80163</v>
      </c>
      <c r="J6" s="134">
        <v>29849</v>
      </c>
      <c r="K6" s="134">
        <v>11024</v>
      </c>
      <c r="L6" s="134">
        <v>5566</v>
      </c>
      <c r="M6" s="134">
        <v>4123</v>
      </c>
      <c r="N6" s="135">
        <v>488737</v>
      </c>
      <c r="O6" s="136"/>
    </row>
    <row r="7" spans="1:15" ht="15.75" x14ac:dyDescent="0.25">
      <c r="A7" s="137" t="s">
        <v>101</v>
      </c>
      <c r="B7" s="138">
        <v>5347</v>
      </c>
      <c r="C7" s="138">
        <v>9602</v>
      </c>
      <c r="D7" s="138">
        <v>10855</v>
      </c>
      <c r="E7" s="138">
        <v>21161</v>
      </c>
      <c r="F7" s="138">
        <v>58863</v>
      </c>
      <c r="G7" s="138">
        <v>84721</v>
      </c>
      <c r="H7" s="138">
        <v>160964</v>
      </c>
      <c r="I7" s="138">
        <v>75664</v>
      </c>
      <c r="J7" s="138">
        <v>29049</v>
      </c>
      <c r="K7" s="138">
        <v>10879</v>
      </c>
      <c r="L7" s="138">
        <v>5167</v>
      </c>
      <c r="M7" s="138">
        <v>3390</v>
      </c>
      <c r="N7" s="139">
        <v>475662</v>
      </c>
      <c r="O7" s="154">
        <v>0.97324737026253383</v>
      </c>
    </row>
    <row r="8" spans="1:15" ht="15.75" x14ac:dyDescent="0.25">
      <c r="A8" s="140" t="s">
        <v>100</v>
      </c>
      <c r="B8" s="141">
        <v>395</v>
      </c>
      <c r="C8" s="141">
        <v>110</v>
      </c>
      <c r="D8" s="141">
        <v>21</v>
      </c>
      <c r="E8" s="141">
        <v>2878</v>
      </c>
      <c r="F8" s="141">
        <v>2265</v>
      </c>
      <c r="G8" s="141">
        <v>594</v>
      </c>
      <c r="H8" s="141">
        <v>236</v>
      </c>
      <c r="I8" s="141">
        <v>4499</v>
      </c>
      <c r="J8" s="141">
        <v>800</v>
      </c>
      <c r="K8" s="141">
        <v>145</v>
      </c>
      <c r="L8" s="141">
        <v>399</v>
      </c>
      <c r="M8" s="141">
        <v>733</v>
      </c>
      <c r="N8" s="142">
        <v>13075</v>
      </c>
      <c r="O8" s="155">
        <v>2.6752629737466165E-2</v>
      </c>
    </row>
    <row r="9" spans="1:15" ht="15.75" x14ac:dyDescent="0.25">
      <c r="A9" s="132"/>
      <c r="B9" s="132"/>
      <c r="C9" s="132"/>
      <c r="D9" s="132"/>
      <c r="E9" s="132"/>
      <c r="F9" s="132"/>
      <c r="G9" s="132"/>
      <c r="H9" s="132"/>
      <c r="I9" s="132"/>
      <c r="J9" s="132"/>
      <c r="K9" s="132"/>
      <c r="L9" s="132"/>
      <c r="M9" s="132"/>
      <c r="N9" s="132"/>
      <c r="O9" s="143"/>
    </row>
    <row r="10" spans="1:15" ht="15.75" x14ac:dyDescent="0.25">
      <c r="A10" s="144" t="s">
        <v>106</v>
      </c>
      <c r="B10" s="145"/>
      <c r="C10" s="145"/>
      <c r="D10" s="145"/>
      <c r="E10" s="145"/>
      <c r="F10" s="145"/>
      <c r="G10" s="145"/>
      <c r="H10" s="145"/>
      <c r="I10" s="145"/>
      <c r="J10" s="145"/>
      <c r="K10" s="145"/>
      <c r="L10" s="145"/>
      <c r="M10" s="145"/>
      <c r="N10" s="135"/>
      <c r="O10" s="136"/>
    </row>
    <row r="11" spans="1:15" ht="15.75" x14ac:dyDescent="0.25">
      <c r="A11" s="137" t="s">
        <v>107</v>
      </c>
      <c r="B11" s="146">
        <v>5742</v>
      </c>
      <c r="C11" s="146">
        <v>9712</v>
      </c>
      <c r="D11" s="146">
        <v>10876</v>
      </c>
      <c r="E11" s="146">
        <v>24039</v>
      </c>
      <c r="F11" s="146">
        <v>46557</v>
      </c>
      <c r="G11" s="146">
        <v>58001</v>
      </c>
      <c r="H11" s="146">
        <v>104954</v>
      </c>
      <c r="I11" s="146">
        <v>51698</v>
      </c>
      <c r="J11" s="146">
        <v>23294</v>
      </c>
      <c r="K11" s="146">
        <v>11024</v>
      </c>
      <c r="L11" s="146">
        <v>5566</v>
      </c>
      <c r="M11" s="146">
        <v>3909</v>
      </c>
      <c r="N11" s="139">
        <v>355372</v>
      </c>
      <c r="O11" s="136">
        <v>0.7271231766778451</v>
      </c>
    </row>
    <row r="12" spans="1:15" ht="15.75" x14ac:dyDescent="0.25">
      <c r="A12" s="137" t="s">
        <v>108</v>
      </c>
      <c r="B12" s="146">
        <v>0</v>
      </c>
      <c r="C12" s="146">
        <v>0</v>
      </c>
      <c r="D12" s="146">
        <v>0</v>
      </c>
      <c r="E12" s="146">
        <v>0</v>
      </c>
      <c r="F12" s="146">
        <v>13257</v>
      </c>
      <c r="G12" s="146">
        <v>20469</v>
      </c>
      <c r="H12" s="146">
        <v>43664</v>
      </c>
      <c r="I12" s="146">
        <v>21758</v>
      </c>
      <c r="J12" s="146">
        <v>5900</v>
      </c>
      <c r="K12" s="146">
        <v>0</v>
      </c>
      <c r="L12" s="146">
        <v>0</v>
      </c>
      <c r="M12" s="146">
        <v>214</v>
      </c>
      <c r="N12" s="135">
        <v>105262</v>
      </c>
      <c r="O12" s="136">
        <v>0.21537554963098762</v>
      </c>
    </row>
    <row r="13" spans="1:15" ht="15.75" x14ac:dyDescent="0.25">
      <c r="A13" s="140" t="s">
        <v>109</v>
      </c>
      <c r="B13" s="148">
        <v>0</v>
      </c>
      <c r="C13" s="148">
        <v>0</v>
      </c>
      <c r="D13" s="148">
        <v>0</v>
      </c>
      <c r="E13" s="148">
        <v>0</v>
      </c>
      <c r="F13" s="148">
        <v>1314</v>
      </c>
      <c r="G13" s="148">
        <v>6845</v>
      </c>
      <c r="H13" s="148">
        <v>12582</v>
      </c>
      <c r="I13" s="148">
        <v>6707</v>
      </c>
      <c r="J13" s="148">
        <v>655</v>
      </c>
      <c r="K13" s="148">
        <v>0</v>
      </c>
      <c r="L13" s="148">
        <v>0</v>
      </c>
      <c r="M13" s="148">
        <v>0</v>
      </c>
      <c r="N13" s="135">
        <v>28103</v>
      </c>
      <c r="O13" s="160">
        <v>5.7501273691167233E-2</v>
      </c>
    </row>
    <row r="14" spans="1:15" ht="15.75" x14ac:dyDescent="0.25">
      <c r="A14" s="132"/>
      <c r="B14" s="132"/>
      <c r="C14" s="132"/>
      <c r="D14" s="132"/>
      <c r="E14" s="132"/>
      <c r="F14" s="132"/>
      <c r="G14" s="132"/>
      <c r="H14" s="132"/>
      <c r="I14" s="132"/>
      <c r="J14" s="132"/>
      <c r="K14" s="132"/>
      <c r="L14" s="132"/>
      <c r="M14" s="132"/>
      <c r="N14" s="132"/>
      <c r="O14" s="143"/>
    </row>
    <row r="15" spans="1:15" ht="15.75" x14ac:dyDescent="0.25">
      <c r="A15" s="149" t="s">
        <v>36</v>
      </c>
      <c r="B15" s="148"/>
      <c r="C15" s="148"/>
      <c r="D15" s="148"/>
      <c r="E15" s="148"/>
      <c r="F15" s="148"/>
      <c r="G15" s="148"/>
      <c r="H15" s="148"/>
      <c r="I15" s="148"/>
      <c r="J15" s="148"/>
      <c r="K15" s="148"/>
      <c r="L15" s="148"/>
      <c r="M15" s="148"/>
      <c r="N15" s="148"/>
      <c r="O15" s="150"/>
    </row>
    <row r="16" spans="1:15" ht="15.75" x14ac:dyDescent="0.25">
      <c r="A16" s="151" t="s">
        <v>98</v>
      </c>
      <c r="B16" s="152">
        <v>4776</v>
      </c>
      <c r="C16" s="152">
        <v>7958</v>
      </c>
      <c r="D16" s="152">
        <v>8119</v>
      </c>
      <c r="E16" s="152">
        <v>18971</v>
      </c>
      <c r="F16" s="152">
        <v>44836</v>
      </c>
      <c r="G16" s="152">
        <v>66860</v>
      </c>
      <c r="H16" s="152">
        <v>128702</v>
      </c>
      <c r="I16" s="152">
        <v>65329</v>
      </c>
      <c r="J16" s="152">
        <v>28301</v>
      </c>
      <c r="K16" s="152">
        <v>9099</v>
      </c>
      <c r="L16" s="152">
        <v>4385</v>
      </c>
      <c r="M16" s="152">
        <v>3200</v>
      </c>
      <c r="N16" s="135">
        <v>390536</v>
      </c>
      <c r="O16" s="160">
        <v>0.7990718934723583</v>
      </c>
    </row>
    <row r="17" spans="1:15" ht="15.75" x14ac:dyDescent="0.25">
      <c r="A17" s="137" t="s">
        <v>34</v>
      </c>
      <c r="B17" s="146">
        <v>4462</v>
      </c>
      <c r="C17" s="146">
        <v>6999</v>
      </c>
      <c r="D17" s="146">
        <v>7339</v>
      </c>
      <c r="E17" s="146">
        <v>16840</v>
      </c>
      <c r="F17" s="146">
        <v>41095</v>
      </c>
      <c r="G17" s="146">
        <v>59445</v>
      </c>
      <c r="H17" s="146">
        <v>114581</v>
      </c>
      <c r="I17" s="146">
        <v>61945</v>
      </c>
      <c r="J17" s="146">
        <v>28021</v>
      </c>
      <c r="K17" s="146">
        <v>8668</v>
      </c>
      <c r="L17" s="146">
        <v>4009</v>
      </c>
      <c r="M17" s="146">
        <v>2607</v>
      </c>
      <c r="N17" s="139">
        <v>356011</v>
      </c>
      <c r="O17" s="147"/>
    </row>
    <row r="18" spans="1:15" ht="15.75" x14ac:dyDescent="0.25">
      <c r="A18" s="137" t="s">
        <v>35</v>
      </c>
      <c r="B18" s="146">
        <v>210</v>
      </c>
      <c r="C18" s="146">
        <v>877</v>
      </c>
      <c r="D18" s="146">
        <v>685</v>
      </c>
      <c r="E18" s="146">
        <v>1300</v>
      </c>
      <c r="F18" s="146">
        <v>2466</v>
      </c>
      <c r="G18" s="146">
        <v>5887</v>
      </c>
      <c r="H18" s="146">
        <v>13509</v>
      </c>
      <c r="I18" s="146">
        <v>2890</v>
      </c>
      <c r="J18" s="146">
        <v>265</v>
      </c>
      <c r="K18" s="146">
        <v>114</v>
      </c>
      <c r="L18" s="146">
        <v>156</v>
      </c>
      <c r="M18" s="146">
        <v>60</v>
      </c>
      <c r="N18" s="139">
        <v>28419</v>
      </c>
      <c r="O18" s="147"/>
    </row>
    <row r="19" spans="1:15" ht="15.75" x14ac:dyDescent="0.25">
      <c r="A19" s="137" t="s">
        <v>110</v>
      </c>
      <c r="B19" s="146">
        <v>32</v>
      </c>
      <c r="C19" s="146">
        <v>33</v>
      </c>
      <c r="D19" s="146">
        <v>29</v>
      </c>
      <c r="E19" s="146">
        <v>56</v>
      </c>
      <c r="F19" s="146">
        <v>76</v>
      </c>
      <c r="G19" s="146">
        <v>79</v>
      </c>
      <c r="H19" s="146">
        <v>236</v>
      </c>
      <c r="I19" s="146">
        <v>23</v>
      </c>
      <c r="J19" s="146">
        <v>0</v>
      </c>
      <c r="K19" s="146">
        <v>47</v>
      </c>
      <c r="L19" s="146">
        <v>39</v>
      </c>
      <c r="M19" s="146">
        <v>287</v>
      </c>
      <c r="N19" s="139">
        <v>937</v>
      </c>
      <c r="O19" s="147"/>
    </row>
    <row r="20" spans="1:15" ht="15.75" x14ac:dyDescent="0.25">
      <c r="A20" s="137" t="s">
        <v>111</v>
      </c>
      <c r="B20" s="146">
        <v>72</v>
      </c>
      <c r="C20" s="146">
        <v>49</v>
      </c>
      <c r="D20" s="146">
        <v>66</v>
      </c>
      <c r="E20" s="146">
        <v>775</v>
      </c>
      <c r="F20" s="146">
        <v>1199</v>
      </c>
      <c r="G20" s="146">
        <v>1449</v>
      </c>
      <c r="H20" s="146">
        <v>376</v>
      </c>
      <c r="I20" s="146">
        <v>471</v>
      </c>
      <c r="J20" s="146">
        <v>15</v>
      </c>
      <c r="K20" s="146">
        <v>270</v>
      </c>
      <c r="L20" s="146">
        <v>181</v>
      </c>
      <c r="M20" s="146">
        <v>246</v>
      </c>
      <c r="N20" s="139">
        <v>5169</v>
      </c>
      <c r="O20" s="147"/>
    </row>
    <row r="21" spans="1:15" ht="15.75" x14ac:dyDescent="0.25">
      <c r="A21" s="140" t="s">
        <v>99</v>
      </c>
      <c r="B21" s="148">
        <v>966</v>
      </c>
      <c r="C21" s="148">
        <v>1754</v>
      </c>
      <c r="D21" s="148">
        <v>2757</v>
      </c>
      <c r="E21" s="148">
        <v>5068</v>
      </c>
      <c r="F21" s="148">
        <v>16292</v>
      </c>
      <c r="G21" s="148">
        <v>18455</v>
      </c>
      <c r="H21" s="148">
        <v>32498</v>
      </c>
      <c r="I21" s="148">
        <v>14834</v>
      </c>
      <c r="J21" s="148">
        <v>1548</v>
      </c>
      <c r="K21" s="148">
        <v>1925</v>
      </c>
      <c r="L21" s="148">
        <v>1181</v>
      </c>
      <c r="M21" s="148">
        <v>923</v>
      </c>
      <c r="N21" s="135">
        <v>98201</v>
      </c>
      <c r="O21" s="160">
        <v>0.20092810652764165</v>
      </c>
    </row>
    <row r="22" spans="1:15" ht="15.75" x14ac:dyDescent="0.25">
      <c r="A22" s="132"/>
      <c r="B22" s="158"/>
      <c r="C22" s="158"/>
      <c r="D22" s="158"/>
      <c r="E22" s="158"/>
      <c r="F22" s="158"/>
      <c r="G22" s="158"/>
      <c r="H22" s="158"/>
      <c r="I22" s="158"/>
      <c r="J22" s="158"/>
      <c r="K22" s="158"/>
      <c r="L22" s="158"/>
      <c r="M22" s="158"/>
      <c r="N22" s="158"/>
      <c r="O22" s="143"/>
    </row>
    <row r="23" spans="1:15" ht="15.75" x14ac:dyDescent="0.25">
      <c r="A23" s="151" t="s">
        <v>37</v>
      </c>
      <c r="B23" s="152">
        <v>3765</v>
      </c>
      <c r="C23" s="152">
        <v>6366</v>
      </c>
      <c r="D23" s="152">
        <v>5989</v>
      </c>
      <c r="E23" s="152">
        <v>14093</v>
      </c>
      <c r="F23" s="152">
        <v>28305</v>
      </c>
      <c r="G23" s="152">
        <v>47576</v>
      </c>
      <c r="H23" s="152">
        <v>95817</v>
      </c>
      <c r="I23" s="152">
        <v>52303</v>
      </c>
      <c r="J23" s="152">
        <v>27293</v>
      </c>
      <c r="K23" s="152">
        <v>6559</v>
      </c>
      <c r="L23" s="152">
        <v>3409</v>
      </c>
      <c r="M23" s="152">
        <v>2379</v>
      </c>
      <c r="N23" s="135">
        <v>293854</v>
      </c>
      <c r="O23" s="160">
        <v>0.6012517980017883</v>
      </c>
    </row>
    <row r="24" spans="1:15" ht="15.75" x14ac:dyDescent="0.25">
      <c r="A24" s="137" t="s">
        <v>34</v>
      </c>
      <c r="B24" s="146">
        <v>3590</v>
      </c>
      <c r="C24" s="146">
        <v>5591</v>
      </c>
      <c r="D24" s="146">
        <v>5538</v>
      </c>
      <c r="E24" s="146">
        <v>13055</v>
      </c>
      <c r="F24" s="146">
        <v>25213</v>
      </c>
      <c r="G24" s="146">
        <v>43781</v>
      </c>
      <c r="H24" s="146">
        <v>89032</v>
      </c>
      <c r="I24" s="146">
        <v>51031</v>
      </c>
      <c r="J24" s="146">
        <v>27076</v>
      </c>
      <c r="K24" s="146">
        <v>6411</v>
      </c>
      <c r="L24" s="146">
        <v>3246</v>
      </c>
      <c r="M24" s="146">
        <v>2103</v>
      </c>
      <c r="N24" s="139">
        <v>275667</v>
      </c>
      <c r="O24" s="147"/>
    </row>
    <row r="25" spans="1:15" ht="15.75" x14ac:dyDescent="0.25">
      <c r="A25" s="137" t="s">
        <v>35</v>
      </c>
      <c r="B25" s="146">
        <v>84</v>
      </c>
      <c r="C25" s="146">
        <v>352</v>
      </c>
      <c r="D25" s="146">
        <v>274</v>
      </c>
      <c r="E25" s="146">
        <v>520</v>
      </c>
      <c r="F25" s="146">
        <v>992</v>
      </c>
      <c r="G25" s="146">
        <v>2319</v>
      </c>
      <c r="H25" s="146">
        <v>5488</v>
      </c>
      <c r="I25" s="146">
        <v>1156</v>
      </c>
      <c r="J25" s="146">
        <v>107</v>
      </c>
      <c r="K25" s="146">
        <v>46</v>
      </c>
      <c r="L25" s="146">
        <v>60</v>
      </c>
      <c r="M25" s="146">
        <v>24</v>
      </c>
      <c r="N25" s="139">
        <v>11422</v>
      </c>
      <c r="O25" s="147"/>
    </row>
    <row r="26" spans="1:15" ht="15.75" x14ac:dyDescent="0.25">
      <c r="A26" s="140" t="s">
        <v>103</v>
      </c>
      <c r="B26" s="148">
        <v>91</v>
      </c>
      <c r="C26" s="148">
        <v>423</v>
      </c>
      <c r="D26" s="148">
        <v>177</v>
      </c>
      <c r="E26" s="148">
        <v>518</v>
      </c>
      <c r="F26" s="148">
        <v>2100</v>
      </c>
      <c r="G26" s="148">
        <v>1476</v>
      </c>
      <c r="H26" s="148">
        <v>1297</v>
      </c>
      <c r="I26" s="148">
        <v>116</v>
      </c>
      <c r="J26" s="148">
        <v>110</v>
      </c>
      <c r="K26" s="148">
        <v>102</v>
      </c>
      <c r="L26" s="148">
        <v>103</v>
      </c>
      <c r="M26" s="148">
        <v>252</v>
      </c>
      <c r="N26" s="142">
        <v>6765</v>
      </c>
      <c r="O26" s="147"/>
    </row>
    <row r="27" spans="1:15" ht="15.75" x14ac:dyDescent="0.25">
      <c r="A27" s="151" t="s">
        <v>38</v>
      </c>
      <c r="B27" s="152">
        <v>1873</v>
      </c>
      <c r="C27" s="152">
        <v>3264</v>
      </c>
      <c r="D27" s="152">
        <v>4792</v>
      </c>
      <c r="E27" s="152">
        <v>9115</v>
      </c>
      <c r="F27" s="152">
        <v>31548</v>
      </c>
      <c r="G27" s="152">
        <v>36211</v>
      </c>
      <c r="H27" s="152">
        <v>64771</v>
      </c>
      <c r="I27" s="152">
        <v>27366</v>
      </c>
      <c r="J27" s="152">
        <v>2541</v>
      </c>
      <c r="K27" s="152">
        <v>4148</v>
      </c>
      <c r="L27" s="152">
        <v>1937</v>
      </c>
      <c r="M27" s="152">
        <v>1211</v>
      </c>
      <c r="N27" s="135">
        <v>188777</v>
      </c>
      <c r="O27" s="136">
        <v>0.38625477506307071</v>
      </c>
    </row>
    <row r="28" spans="1:15" ht="15.75" x14ac:dyDescent="0.25">
      <c r="A28" s="137" t="s">
        <v>104</v>
      </c>
      <c r="B28" s="146">
        <v>872</v>
      </c>
      <c r="C28" s="146">
        <v>1408</v>
      </c>
      <c r="D28" s="146">
        <v>1801</v>
      </c>
      <c r="E28" s="146">
        <v>3785</v>
      </c>
      <c r="F28" s="146">
        <v>15882</v>
      </c>
      <c r="G28" s="146">
        <v>15664</v>
      </c>
      <c r="H28" s="146">
        <v>25549</v>
      </c>
      <c r="I28" s="146">
        <v>10914</v>
      </c>
      <c r="J28" s="146">
        <v>945</v>
      </c>
      <c r="K28" s="146">
        <v>2257</v>
      </c>
      <c r="L28" s="146">
        <v>763</v>
      </c>
      <c r="M28" s="146">
        <v>504</v>
      </c>
      <c r="N28" s="139">
        <v>80344</v>
      </c>
      <c r="O28" s="147"/>
    </row>
    <row r="29" spans="1:15" ht="15.75" x14ac:dyDescent="0.25">
      <c r="A29" s="137" t="s">
        <v>35</v>
      </c>
      <c r="B29" s="146">
        <v>126</v>
      </c>
      <c r="C29" s="146">
        <v>525</v>
      </c>
      <c r="D29" s="146">
        <v>411</v>
      </c>
      <c r="E29" s="146">
        <v>780</v>
      </c>
      <c r="F29" s="146">
        <v>1474</v>
      </c>
      <c r="G29" s="146">
        <v>3568</v>
      </c>
      <c r="H29" s="146">
        <v>8021</v>
      </c>
      <c r="I29" s="146">
        <v>1734</v>
      </c>
      <c r="J29" s="146">
        <v>158</v>
      </c>
      <c r="K29" s="146">
        <v>68</v>
      </c>
      <c r="L29" s="146">
        <v>96</v>
      </c>
      <c r="M29" s="146">
        <v>36</v>
      </c>
      <c r="N29" s="139">
        <v>16997</v>
      </c>
      <c r="O29" s="147"/>
    </row>
    <row r="30" spans="1:15" ht="15.75" x14ac:dyDescent="0.25">
      <c r="A30" s="137" t="s">
        <v>105</v>
      </c>
      <c r="B30" s="146">
        <v>875</v>
      </c>
      <c r="C30" s="146">
        <v>1331</v>
      </c>
      <c r="D30" s="146">
        <v>2580</v>
      </c>
      <c r="E30" s="146">
        <v>4550</v>
      </c>
      <c r="F30" s="146">
        <v>14192</v>
      </c>
      <c r="G30" s="146">
        <v>16979</v>
      </c>
      <c r="H30" s="146">
        <v>31201</v>
      </c>
      <c r="I30" s="146">
        <v>14718</v>
      </c>
      <c r="J30" s="146">
        <v>1438</v>
      </c>
      <c r="K30" s="146">
        <v>1823</v>
      </c>
      <c r="L30" s="146">
        <v>1078</v>
      </c>
      <c r="M30" s="146">
        <v>671</v>
      </c>
      <c r="N30" s="139">
        <v>91436</v>
      </c>
      <c r="O30" s="147"/>
    </row>
    <row r="31" spans="1:15" ht="15.75" x14ac:dyDescent="0.25">
      <c r="A31" s="133" t="s">
        <v>116</v>
      </c>
      <c r="B31" s="145">
        <v>104</v>
      </c>
      <c r="C31" s="145">
        <v>82</v>
      </c>
      <c r="D31" s="145">
        <v>95</v>
      </c>
      <c r="E31" s="145">
        <v>831</v>
      </c>
      <c r="F31" s="145">
        <v>1275</v>
      </c>
      <c r="G31" s="145">
        <v>1528</v>
      </c>
      <c r="H31" s="145">
        <v>612</v>
      </c>
      <c r="I31" s="145">
        <v>494</v>
      </c>
      <c r="J31" s="145">
        <v>15</v>
      </c>
      <c r="K31" s="145">
        <v>317</v>
      </c>
      <c r="L31" s="145">
        <v>220</v>
      </c>
      <c r="M31" s="145">
        <v>533</v>
      </c>
      <c r="N31" s="135">
        <v>6106</v>
      </c>
      <c r="O31" s="160">
        <v>1.2493426935140986E-2</v>
      </c>
    </row>
    <row r="32" spans="1:15" ht="15.75" x14ac:dyDescent="0.25">
      <c r="A32" s="132"/>
      <c r="B32" s="158"/>
      <c r="C32" s="158"/>
      <c r="D32" s="158"/>
      <c r="E32" s="158"/>
      <c r="F32" s="158"/>
      <c r="G32" s="158"/>
      <c r="H32" s="158"/>
      <c r="I32" s="158"/>
      <c r="J32" s="158"/>
      <c r="K32" s="158"/>
      <c r="L32" s="158"/>
      <c r="M32" s="158"/>
      <c r="N32" s="158"/>
      <c r="O32" s="143"/>
    </row>
    <row r="33" spans="1:15" ht="15.75" x14ac:dyDescent="0.25">
      <c r="A33" s="151" t="s">
        <v>95</v>
      </c>
      <c r="B33" s="152">
        <v>820</v>
      </c>
      <c r="C33" s="152">
        <v>1867</v>
      </c>
      <c r="D33" s="152">
        <v>1388</v>
      </c>
      <c r="E33" s="152">
        <v>3742</v>
      </c>
      <c r="F33" s="152">
        <v>4378</v>
      </c>
      <c r="G33" s="152">
        <v>7052</v>
      </c>
      <c r="H33" s="152">
        <v>8282</v>
      </c>
      <c r="I33" s="152">
        <v>7595</v>
      </c>
      <c r="J33" s="152">
        <v>5153</v>
      </c>
      <c r="K33" s="152">
        <v>10989</v>
      </c>
      <c r="L33" s="152">
        <v>644</v>
      </c>
      <c r="M33" s="152">
        <v>574</v>
      </c>
      <c r="N33" s="151"/>
      <c r="O33" s="166"/>
    </row>
    <row r="34" spans="1:15" ht="15.75" x14ac:dyDescent="0.25">
      <c r="A34" s="137" t="s">
        <v>96</v>
      </c>
      <c r="B34" s="146">
        <v>5</v>
      </c>
      <c r="C34" s="146">
        <v>0</v>
      </c>
      <c r="D34" s="146">
        <v>46</v>
      </c>
      <c r="E34" s="146">
        <v>49</v>
      </c>
      <c r="F34" s="146">
        <v>489</v>
      </c>
      <c r="G34" s="146">
        <v>414</v>
      </c>
      <c r="H34" s="146">
        <v>1459</v>
      </c>
      <c r="I34" s="146">
        <v>240</v>
      </c>
      <c r="J34" s="146">
        <v>116</v>
      </c>
      <c r="K34" s="146">
        <v>0</v>
      </c>
      <c r="L34" s="146">
        <v>42</v>
      </c>
      <c r="M34" s="146">
        <v>14</v>
      </c>
      <c r="N34" s="137"/>
      <c r="O34" s="147"/>
    </row>
    <row r="35" spans="1:15" ht="15.75" x14ac:dyDescent="0.25">
      <c r="A35" s="140" t="s">
        <v>97</v>
      </c>
      <c r="B35" s="161">
        <v>185.2258064516129</v>
      </c>
      <c r="C35" s="161">
        <v>336.89285714285717</v>
      </c>
      <c r="D35" s="161">
        <v>350.83870967741933</v>
      </c>
      <c r="E35" s="161">
        <v>801.3</v>
      </c>
      <c r="F35" s="161">
        <v>1971.0645161290322</v>
      </c>
      <c r="G35" s="161">
        <v>2836.1666666666665</v>
      </c>
      <c r="H35" s="161">
        <v>5200</v>
      </c>
      <c r="I35" s="161">
        <v>2585.9032258064517</v>
      </c>
      <c r="J35" s="161">
        <v>994.9666666666667</v>
      </c>
      <c r="K35" s="161">
        <v>355.61290322580646</v>
      </c>
      <c r="L35" s="161">
        <v>185.53333333333333</v>
      </c>
      <c r="M35" s="161">
        <v>133</v>
      </c>
      <c r="N35" s="140"/>
      <c r="O35" s="150"/>
    </row>
    <row r="36" spans="1:15" ht="15.75" x14ac:dyDescent="0.25">
      <c r="A36" s="132"/>
      <c r="B36" s="132"/>
      <c r="C36" s="132"/>
      <c r="D36" s="132"/>
      <c r="E36" s="132"/>
      <c r="F36" s="132"/>
      <c r="G36" s="132"/>
      <c r="H36" s="132"/>
      <c r="I36" s="132"/>
      <c r="J36" s="132"/>
      <c r="K36" s="132"/>
      <c r="L36" s="132"/>
      <c r="M36" s="132"/>
      <c r="N36" s="132"/>
      <c r="O36" s="143"/>
    </row>
    <row r="37" spans="1:15" ht="15.75" x14ac:dyDescent="0.25">
      <c r="A37" s="186" t="s">
        <v>112</v>
      </c>
      <c r="B37" s="152">
        <v>4556</v>
      </c>
      <c r="C37" s="152">
        <v>12940</v>
      </c>
      <c r="D37" s="152">
        <v>9159</v>
      </c>
      <c r="E37" s="152">
        <v>26760</v>
      </c>
      <c r="F37" s="152">
        <v>54150</v>
      </c>
      <c r="G37" s="152">
        <v>93655</v>
      </c>
      <c r="H37" s="152">
        <v>146090</v>
      </c>
      <c r="I37" s="152">
        <v>80605</v>
      </c>
      <c r="J37" s="152">
        <v>35137</v>
      </c>
      <c r="K37" s="152">
        <v>15304</v>
      </c>
      <c r="L37" s="152">
        <v>6776</v>
      </c>
      <c r="M37" s="152">
        <v>4489</v>
      </c>
      <c r="N37" s="151">
        <v>489621</v>
      </c>
      <c r="O37" s="153"/>
    </row>
    <row r="38" spans="1:15" ht="15.75" x14ac:dyDescent="0.25">
      <c r="A38" s="140" t="s">
        <v>102</v>
      </c>
      <c r="B38" s="148">
        <v>1186</v>
      </c>
      <c r="C38" s="148">
        <v>-3228</v>
      </c>
      <c r="D38" s="148">
        <v>1717</v>
      </c>
      <c r="E38" s="148">
        <v>-2721</v>
      </c>
      <c r="F38" s="148">
        <v>6978</v>
      </c>
      <c r="G38" s="148">
        <v>-8340</v>
      </c>
      <c r="H38" s="148">
        <v>15110</v>
      </c>
      <c r="I38" s="148">
        <v>-442</v>
      </c>
      <c r="J38" s="148">
        <v>-5288</v>
      </c>
      <c r="K38" s="148">
        <v>-4280</v>
      </c>
      <c r="L38" s="148">
        <v>-1210</v>
      </c>
      <c r="M38" s="148">
        <v>-366</v>
      </c>
      <c r="N38" s="140">
        <v>-884</v>
      </c>
      <c r="O38" s="155"/>
    </row>
    <row r="39" spans="1:15" x14ac:dyDescent="0.15">
      <c r="O39" s="162"/>
    </row>
    <row r="40" spans="1:15" ht="15.75" x14ac:dyDescent="0.25">
      <c r="A40" s="187" t="s">
        <v>159</v>
      </c>
      <c r="B40" s="184"/>
      <c r="C40" s="184"/>
      <c r="D40" s="184"/>
      <c r="E40" s="184"/>
      <c r="F40" s="184"/>
      <c r="G40" s="184"/>
      <c r="H40" s="184"/>
      <c r="I40" s="184"/>
      <c r="J40" s="184"/>
      <c r="K40" s="184"/>
      <c r="L40" s="184"/>
      <c r="M40" s="184"/>
      <c r="N40" s="185"/>
      <c r="O40" s="162"/>
    </row>
    <row r="41" spans="1:15" ht="15.75" x14ac:dyDescent="0.25">
      <c r="A41" s="163"/>
      <c r="O41" s="162"/>
    </row>
  </sheetData>
  <sheetProtection password="C4AC" sheet="1" objects="1" scenarios="1"/>
  <phoneticPr fontId="4" type="noConversion"/>
  <pageMargins left="0.78740157480314965" right="0.78740157480314965" top="0.39370078740157483" bottom="0.39370078740157483" header="0.51181102362204722" footer="0.51181102362204722"/>
  <pageSetup paperSize="9" scale="70" fitToHeight="0" orientation="landscape" horizontalDpi="300" r:id="rId1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2"/>
  <sheetViews>
    <sheetView zoomScale="75" zoomScaleNormal="75" workbookViewId="0">
      <selection activeCell="A2" sqref="A2"/>
    </sheetView>
  </sheetViews>
  <sheetFormatPr defaultRowHeight="12" x14ac:dyDescent="0.15"/>
  <cols>
    <col min="1" max="1" width="42.125" customWidth="1"/>
    <col min="2" max="6" width="9.125" bestFit="1" customWidth="1"/>
    <col min="7" max="8" width="9.875" bestFit="1" customWidth="1"/>
    <col min="9" max="11" width="9.125" bestFit="1" customWidth="1"/>
    <col min="12" max="12" width="10.375" customWidth="1"/>
    <col min="13" max="13" width="9.125" bestFit="1" customWidth="1"/>
    <col min="14" max="14" width="10.25" customWidth="1"/>
    <col min="15" max="15" width="14.125" customWidth="1"/>
  </cols>
  <sheetData>
    <row r="1" spans="1:15" ht="20.25" x14ac:dyDescent="0.3">
      <c r="A1" s="156" t="s">
        <v>15</v>
      </c>
      <c r="C1" s="156"/>
      <c r="D1" s="156" t="str">
        <f>Kalenteri!$H$1</f>
        <v>KÄVIJÄTILASTO 2013</v>
      </c>
      <c r="E1" s="157"/>
      <c r="G1" s="158"/>
      <c r="H1" s="132"/>
      <c r="I1" s="156" t="s">
        <v>113</v>
      </c>
      <c r="J1" s="132"/>
      <c r="K1" s="132"/>
      <c r="L1" s="132"/>
      <c r="M1" s="132"/>
      <c r="N1" s="132"/>
      <c r="O1" s="143"/>
    </row>
    <row r="2" spans="1:15" ht="15.75" x14ac:dyDescent="0.25">
      <c r="A2" s="132"/>
      <c r="B2" s="132"/>
      <c r="C2" s="132"/>
      <c r="D2" s="132"/>
      <c r="E2" s="132"/>
      <c r="F2" s="132"/>
      <c r="G2" s="132"/>
      <c r="H2" s="132"/>
      <c r="I2" s="132"/>
      <c r="J2" s="132"/>
      <c r="K2" s="132"/>
      <c r="L2" s="132"/>
      <c r="M2" s="132"/>
      <c r="N2" s="132"/>
      <c r="O2" s="143"/>
    </row>
    <row r="3" spans="1:15" ht="15.75" x14ac:dyDescent="0.25">
      <c r="A3" s="132"/>
      <c r="B3" s="132"/>
      <c r="C3" s="132"/>
      <c r="D3" s="132"/>
      <c r="E3" s="132"/>
      <c r="F3" s="132"/>
      <c r="G3" s="132"/>
      <c r="H3" s="132"/>
      <c r="I3" s="132"/>
      <c r="J3" s="132"/>
      <c r="K3" s="132"/>
      <c r="L3" s="132"/>
      <c r="M3" s="132"/>
      <c r="N3" s="132"/>
      <c r="O3" s="143"/>
    </row>
    <row r="4" spans="1:15" ht="15.75" x14ac:dyDescent="0.25">
      <c r="A4" s="132" t="s">
        <v>93</v>
      </c>
      <c r="B4" s="132"/>
      <c r="C4" s="132"/>
      <c r="D4" s="132"/>
      <c r="E4" s="132"/>
      <c r="F4" s="132"/>
      <c r="G4" s="132"/>
      <c r="H4" s="132"/>
      <c r="I4" s="132"/>
      <c r="J4" s="132"/>
      <c r="K4" s="132"/>
      <c r="L4" s="132"/>
      <c r="M4" s="132"/>
      <c r="N4" s="132"/>
      <c r="O4" s="159" t="s">
        <v>114</v>
      </c>
    </row>
    <row r="5" spans="1:15" ht="15.75" x14ac:dyDescent="0.25">
      <c r="A5" s="132"/>
      <c r="B5" s="132" t="s">
        <v>22</v>
      </c>
      <c r="C5" s="132" t="s">
        <v>23</v>
      </c>
      <c r="D5" s="132" t="s">
        <v>24</v>
      </c>
      <c r="E5" s="132" t="s">
        <v>25</v>
      </c>
      <c r="F5" s="132" t="s">
        <v>26</v>
      </c>
      <c r="G5" s="132" t="s">
        <v>27</v>
      </c>
      <c r="H5" s="132" t="s">
        <v>28</v>
      </c>
      <c r="I5" s="132" t="s">
        <v>29</v>
      </c>
      <c r="J5" s="132" t="s">
        <v>30</v>
      </c>
      <c r="K5" s="132" t="s">
        <v>31</v>
      </c>
      <c r="L5" s="132" t="s">
        <v>32</v>
      </c>
      <c r="M5" s="132" t="s">
        <v>33</v>
      </c>
      <c r="N5" s="132" t="s">
        <v>7</v>
      </c>
      <c r="O5" s="143" t="s">
        <v>115</v>
      </c>
    </row>
    <row r="6" spans="1:15" ht="15.75" x14ac:dyDescent="0.25">
      <c r="A6" s="133" t="s">
        <v>94</v>
      </c>
      <c r="B6" s="134">
        <f>Yht1!$AD$38</f>
        <v>6730</v>
      </c>
      <c r="C6" s="134">
        <f>Yht2!$AD$38</f>
        <v>14162</v>
      </c>
      <c r="D6" s="134">
        <f>Yht3!$AD$38</f>
        <v>14378</v>
      </c>
      <c r="E6" s="134">
        <f>Yht4!$AD$38</f>
        <v>15113</v>
      </c>
      <c r="F6" s="134">
        <f>Yht5!$AD$38</f>
        <v>59619</v>
      </c>
      <c r="G6" s="134">
        <f>Yht6!$AD$38</f>
        <v>92408</v>
      </c>
      <c r="H6" s="134">
        <f>Yht7!$AD$38</f>
        <v>153545</v>
      </c>
      <c r="I6" s="134">
        <f>Yht8!$AD$38</f>
        <v>75614</v>
      </c>
      <c r="J6" s="134">
        <f>Yht9!$AD$38</f>
        <v>37836</v>
      </c>
      <c r="K6" s="134">
        <f>Yht10!$AD$38</f>
        <v>18035</v>
      </c>
      <c r="L6" s="134">
        <f>Yht11!$AD$38</f>
        <v>6054</v>
      </c>
      <c r="M6" s="134">
        <f>Yht12!$AD$38</f>
        <v>8668</v>
      </c>
      <c r="N6" s="135">
        <f>SUM(B6:M6)</f>
        <v>502162</v>
      </c>
      <c r="O6" s="136"/>
    </row>
    <row r="7" spans="1:15" ht="15.75" x14ac:dyDescent="0.25">
      <c r="A7" s="137" t="s">
        <v>101</v>
      </c>
      <c r="B7" s="138">
        <f>'N1'!$AD$38</f>
        <v>5428</v>
      </c>
      <c r="C7" s="138">
        <f>'N2'!$AD$38</f>
        <v>13483</v>
      </c>
      <c r="D7" s="138">
        <f>'N3'!$AD$38</f>
        <v>14167</v>
      </c>
      <c r="E7" s="138">
        <f>'N4'!$AD$38</f>
        <v>14671</v>
      </c>
      <c r="F7" s="138">
        <f>'N5'!$AD$38</f>
        <v>59144</v>
      </c>
      <c r="G7" s="138">
        <f>'N6'!$AD$38</f>
        <v>91912</v>
      </c>
      <c r="H7" s="138">
        <f>'N7'!$AD$38</f>
        <v>151822</v>
      </c>
      <c r="I7" s="138">
        <f>'N8'!$AD$38</f>
        <v>70995</v>
      </c>
      <c r="J7" s="138">
        <f>'N9'!$AD$38</f>
        <v>35926</v>
      </c>
      <c r="K7" s="138">
        <f>'N10'!$AD$38</f>
        <v>17549</v>
      </c>
      <c r="L7" s="138">
        <f>'N11'!$AD$38</f>
        <v>5956</v>
      </c>
      <c r="M7" s="138">
        <f>'N12'!$AD$38</f>
        <v>8255</v>
      </c>
      <c r="N7" s="139">
        <f>SUM(B7:M7)</f>
        <v>489308</v>
      </c>
      <c r="O7" s="154">
        <f>N7/N6</f>
        <v>0.97440268279957465</v>
      </c>
    </row>
    <row r="8" spans="1:15" ht="15.75" x14ac:dyDescent="0.25">
      <c r="A8" s="140" t="s">
        <v>100</v>
      </c>
      <c r="B8" s="141">
        <f>'K1'!$AD$38</f>
        <v>1302</v>
      </c>
      <c r="C8" s="141">
        <f>'K2'!$AD$38</f>
        <v>679</v>
      </c>
      <c r="D8" s="141">
        <f>'K3'!$AD$38</f>
        <v>211</v>
      </c>
      <c r="E8" s="141">
        <f>'K4'!$AD$38</f>
        <v>442</v>
      </c>
      <c r="F8" s="141">
        <f>'K5'!$AD$38</f>
        <v>475</v>
      </c>
      <c r="G8" s="141">
        <f>'K6'!$AD$38</f>
        <v>496</v>
      </c>
      <c r="H8" s="141">
        <f>'K7'!$AD$38</f>
        <v>1723</v>
      </c>
      <c r="I8" s="141">
        <f>'K8'!$AD$38</f>
        <v>4619</v>
      </c>
      <c r="J8" s="141">
        <f>'K9'!$AD$38</f>
        <v>1910</v>
      </c>
      <c r="K8" s="141">
        <f>'K10'!$AD$38</f>
        <v>486</v>
      </c>
      <c r="L8" s="141">
        <f>'K11'!$AD$38</f>
        <v>98</v>
      </c>
      <c r="M8" s="141">
        <f>'K12'!$AD$38</f>
        <v>413</v>
      </c>
      <c r="N8" s="142">
        <f>SUM(B8:M8)</f>
        <v>12854</v>
      </c>
      <c r="O8" s="155">
        <f>N8/N6</f>
        <v>2.5597317200425362E-2</v>
      </c>
    </row>
    <row r="9" spans="1:15" ht="15.75" x14ac:dyDescent="0.25">
      <c r="A9" s="132"/>
      <c r="B9" s="132"/>
      <c r="C9" s="132"/>
      <c r="D9" s="132"/>
      <c r="E9" s="132"/>
      <c r="F9" s="132"/>
      <c r="G9" s="132"/>
      <c r="H9" s="132"/>
      <c r="I9" s="132"/>
      <c r="J9" s="132"/>
      <c r="K9" s="132"/>
      <c r="L9" s="132"/>
      <c r="M9" s="132"/>
      <c r="N9" s="132"/>
      <c r="O9" s="143"/>
    </row>
    <row r="10" spans="1:15" ht="15.75" x14ac:dyDescent="0.25">
      <c r="A10" s="144" t="s">
        <v>106</v>
      </c>
      <c r="B10" s="145"/>
      <c r="C10" s="145"/>
      <c r="D10" s="145"/>
      <c r="E10" s="145"/>
      <c r="F10" s="145"/>
      <c r="G10" s="145"/>
      <c r="H10" s="145"/>
      <c r="I10" s="145"/>
      <c r="J10" s="145"/>
      <c r="K10" s="145"/>
      <c r="L10" s="145"/>
      <c r="M10" s="145"/>
      <c r="N10" s="135"/>
      <c r="O10" s="136"/>
    </row>
    <row r="11" spans="1:15" ht="15.75" x14ac:dyDescent="0.25">
      <c r="A11" s="137" t="s">
        <v>107</v>
      </c>
      <c r="B11" s="146">
        <f>Yht1!$K$36</f>
        <v>6725</v>
      </c>
      <c r="C11" s="146">
        <f>Yht2!$K$36</f>
        <v>14162</v>
      </c>
      <c r="D11" s="146">
        <f>Yht3!$K$36</f>
        <v>14378</v>
      </c>
      <c r="E11" s="146">
        <f>Yht4!$K$36</f>
        <v>15113</v>
      </c>
      <c r="F11" s="146">
        <f>Yht5!$K$36</f>
        <v>43908</v>
      </c>
      <c r="G11" s="146">
        <f>Yht6!$K$36</f>
        <v>62390</v>
      </c>
      <c r="H11" s="146">
        <f>Yht7!$K$36</f>
        <v>100135</v>
      </c>
      <c r="I11" s="146">
        <f>Yht8!$K$36</f>
        <v>51296</v>
      </c>
      <c r="J11" s="146">
        <f>Yht9!$K$36</f>
        <v>29745</v>
      </c>
      <c r="K11" s="146">
        <f>Yht10!$K$36</f>
        <v>18025</v>
      </c>
      <c r="L11" s="146">
        <f>Yht11!$K$36</f>
        <v>5938</v>
      </c>
      <c r="M11" s="146">
        <f>Yht12!$K$36</f>
        <v>8668</v>
      </c>
      <c r="N11" s="139">
        <f>SUM(B11:M11)</f>
        <v>370483</v>
      </c>
      <c r="O11" s="136">
        <f>N11/N6</f>
        <v>0.73777585719349537</v>
      </c>
    </row>
    <row r="12" spans="1:15" ht="15.75" x14ac:dyDescent="0.25">
      <c r="A12" s="137" t="s">
        <v>108</v>
      </c>
      <c r="B12" s="146">
        <f>Yht1!$T$36</f>
        <v>5</v>
      </c>
      <c r="C12" s="146">
        <f>Yht2!$T$36</f>
        <v>0</v>
      </c>
      <c r="D12" s="146">
        <f>Yht3!$T$36</f>
        <v>0</v>
      </c>
      <c r="E12" s="146">
        <f>Yht4!$T$36</f>
        <v>0</v>
      </c>
      <c r="F12" s="146">
        <f>Yht5!$T$36</f>
        <v>14793</v>
      </c>
      <c r="G12" s="146">
        <f>Yht6!$T$36</f>
        <v>22881</v>
      </c>
      <c r="H12" s="146">
        <f>Yht7!$T$36</f>
        <v>41768</v>
      </c>
      <c r="I12" s="146">
        <f>Yht8!$T$36</f>
        <v>19081</v>
      </c>
      <c r="J12" s="146">
        <f>Yht9!$T$36</f>
        <v>7299</v>
      </c>
      <c r="K12" s="146">
        <f>Yht10!$T$36</f>
        <v>0</v>
      </c>
      <c r="L12" s="146">
        <f>Yht11!$T$36</f>
        <v>116</v>
      </c>
      <c r="M12" s="146">
        <f>Yht12!$T$36</f>
        <v>0</v>
      </c>
      <c r="N12" s="135">
        <f>SUM(B12:M12)</f>
        <v>105943</v>
      </c>
      <c r="O12" s="136">
        <f>N12/N6</f>
        <v>0.21097374950713116</v>
      </c>
    </row>
    <row r="13" spans="1:15" ht="15.75" x14ac:dyDescent="0.25">
      <c r="A13" s="140" t="s">
        <v>109</v>
      </c>
      <c r="B13" s="148">
        <f>Yht1!$AC$36</f>
        <v>0</v>
      </c>
      <c r="C13" s="148">
        <f>Yht2!$AC$36</f>
        <v>0</v>
      </c>
      <c r="D13" s="148">
        <f>Yht3!$AC$36</f>
        <v>0</v>
      </c>
      <c r="E13" s="148">
        <f>Yht4!$AC$36</f>
        <v>0</v>
      </c>
      <c r="F13" s="148">
        <f>Yht5!$AC$36</f>
        <v>918</v>
      </c>
      <c r="G13" s="148">
        <f>Yht6!$AC$36</f>
        <v>7137</v>
      </c>
      <c r="H13" s="148">
        <f>Yht7!$AC$36</f>
        <v>11642</v>
      </c>
      <c r="I13" s="148">
        <f>Yht8!$AC$36</f>
        <v>5237</v>
      </c>
      <c r="J13" s="148">
        <f>Yht9!$AC$36</f>
        <v>792</v>
      </c>
      <c r="K13" s="148">
        <f>Yht10!$AC$36</f>
        <v>10</v>
      </c>
      <c r="L13" s="148">
        <f>Yht11!$AC$36</f>
        <v>0</v>
      </c>
      <c r="M13" s="148">
        <f>Yht12!$AC$36</f>
        <v>0</v>
      </c>
      <c r="N13" s="135">
        <f>SUM(B13:M13)</f>
        <v>25736</v>
      </c>
      <c r="O13" s="160">
        <f>N13/N6</f>
        <v>5.125039329937351E-2</v>
      </c>
    </row>
    <row r="14" spans="1:15" ht="15.75" x14ac:dyDescent="0.25">
      <c r="A14" s="132"/>
      <c r="B14" s="132"/>
      <c r="C14" s="132"/>
      <c r="D14" s="132"/>
      <c r="E14" s="132"/>
      <c r="F14" s="132"/>
      <c r="G14" s="132"/>
      <c r="H14" s="132"/>
      <c r="I14" s="132"/>
      <c r="J14" s="132"/>
      <c r="K14" s="132"/>
      <c r="L14" s="132"/>
      <c r="M14" s="132"/>
      <c r="N14" s="132"/>
      <c r="O14" s="143"/>
    </row>
    <row r="15" spans="1:15" ht="15.75" x14ac:dyDescent="0.25">
      <c r="A15" s="149" t="s">
        <v>36</v>
      </c>
      <c r="B15" s="148"/>
      <c r="C15" s="148"/>
      <c r="D15" s="148"/>
      <c r="E15" s="148"/>
      <c r="F15" s="148"/>
      <c r="G15" s="148"/>
      <c r="H15" s="148"/>
      <c r="I15" s="148"/>
      <c r="J15" s="148"/>
      <c r="K15" s="148"/>
      <c r="L15" s="148"/>
      <c r="M15" s="148"/>
      <c r="N15" s="148"/>
      <c r="O15" s="150"/>
    </row>
    <row r="16" spans="1:15" ht="15.75" x14ac:dyDescent="0.25">
      <c r="A16" s="151" t="s">
        <v>98</v>
      </c>
      <c r="B16" s="152">
        <f t="shared" ref="B16:M16" si="0">SUM(B17:B20)</f>
        <v>5541</v>
      </c>
      <c r="C16" s="152">
        <f t="shared" si="0"/>
        <v>11636</v>
      </c>
      <c r="D16" s="152">
        <f t="shared" si="0"/>
        <v>10870</v>
      </c>
      <c r="E16" s="152">
        <f t="shared" si="0"/>
        <v>11004</v>
      </c>
      <c r="F16" s="152">
        <f t="shared" si="0"/>
        <v>42240</v>
      </c>
      <c r="G16" s="152">
        <f t="shared" si="0"/>
        <v>71760</v>
      </c>
      <c r="H16" s="152">
        <f t="shared" si="0"/>
        <v>122126</v>
      </c>
      <c r="I16" s="152">
        <f t="shared" si="0"/>
        <v>60544</v>
      </c>
      <c r="J16" s="152">
        <f t="shared" si="0"/>
        <v>28907</v>
      </c>
      <c r="K16" s="152">
        <f t="shared" si="0"/>
        <v>8668</v>
      </c>
      <c r="L16" s="152">
        <f t="shared" si="0"/>
        <v>4740</v>
      </c>
      <c r="M16" s="152">
        <f t="shared" si="0"/>
        <v>7366</v>
      </c>
      <c r="N16" s="135">
        <f t="shared" ref="N16:N21" si="1">SUM(B16:M16)</f>
        <v>385402</v>
      </c>
      <c r="O16" s="160">
        <f>N16/N6</f>
        <v>0.76748539315997621</v>
      </c>
    </row>
    <row r="17" spans="1:15" ht="15.75" x14ac:dyDescent="0.25">
      <c r="A17" s="137" t="s">
        <v>34</v>
      </c>
      <c r="B17" s="146">
        <f>Yht1!$C$36+Yht1!$D$36+Yht1!$L$36+Yht1!$M$36+Yht1!$U$36+Yht1!$V$36</f>
        <v>4673</v>
      </c>
      <c r="C17" s="146">
        <f>Yht2!$C$36+Yht2!$D$36+Yht2!$L$36+Yht2!$M$36+Yht2!$U$36+Yht2!$V$36</f>
        <v>10413</v>
      </c>
      <c r="D17" s="146">
        <f>Yht3!$C$36+Yht3!$D$36+Yht3!$L$36+Yht3!$M$36+Yht3!$U$36+Yht3!$V$36</f>
        <v>9835</v>
      </c>
      <c r="E17" s="146">
        <f>Yht4!$C$36+Yht4!$D$36+Yht4!$L$36+Yht4!$M$36+Yht4!$U$36+Yht4!$V$36</f>
        <v>10029</v>
      </c>
      <c r="F17" s="146">
        <f>Yht5!$C$36+Yht5!$D$36+Yht5!$L$36+Yht5!$M$36+Yht5!$U$36+Yht5!$V$36</f>
        <v>39681</v>
      </c>
      <c r="G17" s="146">
        <f>Yht6!$C$36+Yht6!$D$36+Yht6!$L$36+Yht6!$M$36+Yht6!$U$36+Yht6!$V$36</f>
        <v>65699</v>
      </c>
      <c r="H17" s="146">
        <f>Yht7!$C$36+Yht7!$D$36+Yht7!$L$36+Yht7!$M$36+Yht7!$U$36+Yht7!$V$36</f>
        <v>109641</v>
      </c>
      <c r="I17" s="146">
        <f>Yht8!$C$36+Yht8!$D$36+Yht8!$L$36+Yht8!$M$36+Yht8!$U$36+Yht8!$V$36</f>
        <v>55213</v>
      </c>
      <c r="J17" s="146">
        <f>Yht9!$C$36+Yht9!$D$36+Yht9!$L$36+Yht9!$M$36+Yht9!$U$36+Yht9!$V$36</f>
        <v>27499</v>
      </c>
      <c r="K17" s="146">
        <f>Yht10!$C$36+Yht10!$D$36+Yht10!$L$36+Yht10!$M$36+Yht10!$U$36+Yht10!$V$36</f>
        <v>7787</v>
      </c>
      <c r="L17" s="146">
        <f>Yht11!$C$36+Yht11!$D$36+Yht11!$L$36+Yht11!$M$36+Yht11!$U$36+Yht11!$V$36</f>
        <v>4371</v>
      </c>
      <c r="M17" s="146">
        <f>Yht12!$C$36+Yht12!$D$36+Yht12!$L$36+Yht12!$M$36+Yht12!$U$36+Yht12!$V$36</f>
        <v>3759</v>
      </c>
      <c r="N17" s="139">
        <f t="shared" si="1"/>
        <v>348600</v>
      </c>
      <c r="O17" s="147"/>
    </row>
    <row r="18" spans="1:15" ht="15.75" x14ac:dyDescent="0.25">
      <c r="A18" s="137" t="s">
        <v>35</v>
      </c>
      <c r="B18" s="146">
        <f>Yht1!$I$36+Yht1!$J$36+Yht1!$R$36+Yht1!$S$36+Yht1!$AA$36+Yht1!$AB$36</f>
        <v>51</v>
      </c>
      <c r="C18" s="146">
        <f>Yht2!$I$36+Yht2!$J$36+Yht2!$R$36+Yht2!$S$36+Yht2!$AA$36+Yht2!$AB$36</f>
        <v>470</v>
      </c>
      <c r="D18" s="146">
        <f>Yht3!$I$36+Yht3!$J$36+Yht3!$R$36+Yht3!$S$36+Yht3!$AA$36+Yht3!$AB$36</f>
        <v>445</v>
      </c>
      <c r="E18" s="146">
        <f>Yht4!$I$36+Yht4!$J$36+Yht4!$R$36+Yht4!$S$36+Yht4!$AA$36+Yht4!$AB$36</f>
        <v>347</v>
      </c>
      <c r="F18" s="146">
        <f>Yht5!$I$36+Yht5!$J$36+Yht5!$R$36+Yht5!$S$36+Yht5!$AA$36+Yht5!$AB$36</f>
        <v>1502</v>
      </c>
      <c r="G18" s="146">
        <f>Yht6!$I$36+Yht6!$J$36+Yht6!$R$36+Yht6!$S$36+Yht6!$AA$36+Yht6!$AB$36</f>
        <v>5281</v>
      </c>
      <c r="H18" s="146">
        <f>Yht7!$I$36+Yht7!$J$36+Yht7!$R$36+Yht7!$S$36+Yht7!$AA$36+Yht7!$AB$36</f>
        <v>11695</v>
      </c>
      <c r="I18" s="146">
        <f>Yht8!$I$36+Yht8!$J$36+Yht8!$R$36+Yht8!$S$36+Yht8!$AA$36+Yht8!$AB$36</f>
        <v>3954</v>
      </c>
      <c r="J18" s="146">
        <f>Yht9!$I$36+Yht9!$J$36+Yht9!$R$36+Yht9!$S$36+Yht9!$AA$36+Yht9!$AB$36</f>
        <v>785</v>
      </c>
      <c r="K18" s="146">
        <f>Yht10!$I$36+Yht10!$J$36+Yht10!$R$36+Yht10!$S$36+Yht10!$AA$36+Yht10!$AB$36</f>
        <v>570</v>
      </c>
      <c r="L18" s="146">
        <f>Yht11!$I$36+Yht11!$J$36+Yht11!$R$36+Yht11!$S$36+Yht11!$AA$36+Yht11!$AB$36</f>
        <v>75</v>
      </c>
      <c r="M18" s="146">
        <f>Yht12!$I$36+Yht12!$J$36+Yht12!$R$36+Yht12!$S$36+Yht12!$AA$36+Yht12!$AB$36</f>
        <v>3335</v>
      </c>
      <c r="N18" s="139">
        <f t="shared" si="1"/>
        <v>28510</v>
      </c>
      <c r="O18" s="147"/>
    </row>
    <row r="19" spans="1:15" ht="15.75" x14ac:dyDescent="0.25">
      <c r="A19" s="137" t="s">
        <v>110</v>
      </c>
      <c r="B19" s="146">
        <f>Yht1!$E$36+Yht1!$N$36+Yht1!$W$36</f>
        <v>65</v>
      </c>
      <c r="C19" s="146">
        <f>Yht2!$E$36+Yht2!$N$36+Yht2!$W$36</f>
        <v>47</v>
      </c>
      <c r="D19" s="146">
        <f>Yht3!$E$36+Yht3!$N$36+Yht3!$W$36</f>
        <v>54</v>
      </c>
      <c r="E19" s="146">
        <f>Yht4!$E$36+Yht4!$N$36+Yht4!$W$36</f>
        <v>63</v>
      </c>
      <c r="F19" s="146">
        <f>Yht5!$E$36+Yht5!$N$36+Yht5!$W$36</f>
        <v>94</v>
      </c>
      <c r="G19" s="146">
        <f>Yht6!$E$36+Yht6!$N$36+Yht6!$W$36</f>
        <v>57</v>
      </c>
      <c r="H19" s="146">
        <f>Yht7!$E$36+Yht7!$N$36+Yht7!$W$36</f>
        <v>145</v>
      </c>
      <c r="I19" s="146">
        <f>Yht8!$E$36+Yht8!$N$36+Yht8!$W$36</f>
        <v>829</v>
      </c>
      <c r="J19" s="146">
        <f>Yht9!$E$36+Yht9!$N$36+Yht9!$W$36</f>
        <v>24</v>
      </c>
      <c r="K19" s="146">
        <f>Yht10!$E$36+Yht10!$N$36+Yht10!$W$36</f>
        <v>25</v>
      </c>
      <c r="L19" s="146">
        <f>Yht11!$E$36+Yht11!$N$36+Yht11!$W$36</f>
        <v>32</v>
      </c>
      <c r="M19" s="146">
        <f>Yht12!$E$36+Yht12!$N$36+Yht12!$W$36</f>
        <v>16</v>
      </c>
      <c r="N19" s="139">
        <f t="shared" si="1"/>
        <v>1451</v>
      </c>
      <c r="O19" s="147"/>
    </row>
    <row r="20" spans="1:15" ht="15.75" x14ac:dyDescent="0.25">
      <c r="A20" s="137" t="s">
        <v>111</v>
      </c>
      <c r="B20" s="146">
        <f>Yht1!$F$36+Yht1!$O$36+Yht1!$X$36</f>
        <v>752</v>
      </c>
      <c r="C20" s="146">
        <f>Yht2!$F$36+Yht2!$O$36+Yht2!$X$36</f>
        <v>706</v>
      </c>
      <c r="D20" s="146">
        <f>Yht3!$F$36+Yht3!$O$36+Yht3!$X$36</f>
        <v>536</v>
      </c>
      <c r="E20" s="146">
        <f>Yht4!$F$36+Yht4!$O$36+Yht4!$X$36</f>
        <v>565</v>
      </c>
      <c r="F20" s="146">
        <f>Yht5!$F$36+Yht5!$O$36+Yht5!$X$36</f>
        <v>963</v>
      </c>
      <c r="G20" s="146">
        <f>Yht6!$F$36+Yht6!$O$36+Yht6!$X$36</f>
        <v>723</v>
      </c>
      <c r="H20" s="146">
        <f>Yht7!$F$36+Yht7!$O$36+Yht7!$X$36</f>
        <v>645</v>
      </c>
      <c r="I20" s="146">
        <f>Yht8!$F$36+Yht8!$O$36+Yht8!$X$36</f>
        <v>548</v>
      </c>
      <c r="J20" s="146">
        <f>Yht9!$F$36+Yht9!$O$36+Yht9!$X$36</f>
        <v>599</v>
      </c>
      <c r="K20" s="146">
        <f>Yht10!$F$36+Yht10!$O$36+Yht10!$X$36</f>
        <v>286</v>
      </c>
      <c r="L20" s="146">
        <f>Yht11!$F$36+Yht11!$O$36+Yht11!$X$36</f>
        <v>262</v>
      </c>
      <c r="M20" s="146">
        <f>Yht12!$F$36+Yht12!$O$36+Yht12!$X$36</f>
        <v>256</v>
      </c>
      <c r="N20" s="139">
        <f t="shared" si="1"/>
        <v>6841</v>
      </c>
      <c r="O20" s="147"/>
    </row>
    <row r="21" spans="1:15" ht="15.75" x14ac:dyDescent="0.25">
      <c r="A21" s="140" t="s">
        <v>99</v>
      </c>
      <c r="B21" s="148">
        <f>Yht1!$G$36+Yht1!$H$36+Yht1!$P$36+Yht1!$Q$36+Yht1!$Y$36+Yht1!$Z$36</f>
        <v>1189</v>
      </c>
      <c r="C21" s="148">
        <f>Yht2!$G$36+Yht2!$H$36+Yht2!$P$36+Yht2!$Q$36+Yht2!$Y$36+Yht2!$Z$36</f>
        <v>2526</v>
      </c>
      <c r="D21" s="148">
        <f>Yht3!$G$36+Yht3!$H$36+Yht3!$P$36+Yht3!$Q$36+Yht3!$Y$36+Yht3!$Z$36</f>
        <v>3508</v>
      </c>
      <c r="E21" s="148">
        <f>Yht4!$G$36+Yht4!$H$36+Yht4!$P$36+Yht4!$Q$36+Yht4!$Y$36+Yht4!$Z$36</f>
        <v>4109</v>
      </c>
      <c r="F21" s="148">
        <f>Yht5!$G$36+Yht5!$H$36+Yht5!$P$36+Yht5!$Q$36+Yht5!$Y$36+Yht5!$Z$36</f>
        <v>17379</v>
      </c>
      <c r="G21" s="148">
        <f>Yht6!$G$36+Yht6!$H$36+Yht6!$P$36+Yht6!$Q$36+Yht6!$Y$36+Yht6!$Z$36</f>
        <v>20648</v>
      </c>
      <c r="H21" s="148">
        <f>Yht7!$G$36+Yht7!$H$36+Yht7!$P$36+Yht7!$Q$36+Yht7!$Y$36+Yht7!$Z$36</f>
        <v>31419</v>
      </c>
      <c r="I21" s="148">
        <f>Yht8!$G$36+Yht8!$H$36+Yht8!$P$36+Yht8!$Q$36+Yht8!$Y$36+Yht8!$Z$36</f>
        <v>15070</v>
      </c>
      <c r="J21" s="148">
        <f>Yht9!$G$36+Yht9!$H$36+Yht9!$P$36+Yht9!$Q$36+Yht9!$Y$36+Yht9!$Z$36</f>
        <v>8929</v>
      </c>
      <c r="K21" s="148">
        <f>Yht10!$G$36+Yht10!$H$36+Yht10!$P$36+Yht10!$Q$36+Yht10!$Y$36+Yht10!$Z$36</f>
        <v>9367</v>
      </c>
      <c r="L21" s="148">
        <f>Yht11!$G$36+Yht11!$H$36+Yht11!$P$36+Yht11!$Q$36+Yht11!$Y$36+Yht11!$Z$36</f>
        <v>1314</v>
      </c>
      <c r="M21" s="148">
        <f>Yht12!$G$36+Yht12!$H$36+Yht12!$P$36+Yht12!$Q$36+Yht12!$Y$36+Yht12!$Z$36</f>
        <v>1302</v>
      </c>
      <c r="N21" s="135">
        <f t="shared" si="1"/>
        <v>116760</v>
      </c>
      <c r="O21" s="160">
        <f>N21/N6</f>
        <v>0.23251460684002373</v>
      </c>
    </row>
    <row r="22" spans="1:15" ht="15.75" x14ac:dyDescent="0.25">
      <c r="A22" s="132"/>
      <c r="B22" s="158"/>
      <c r="C22" s="158"/>
      <c r="D22" s="158"/>
      <c r="E22" s="158"/>
      <c r="F22" s="158"/>
      <c r="G22" s="158"/>
      <c r="H22" s="158"/>
      <c r="I22" s="158"/>
      <c r="J22" s="158"/>
      <c r="K22" s="158"/>
      <c r="L22" s="158"/>
      <c r="M22" s="158"/>
      <c r="N22" s="158"/>
      <c r="O22" s="143"/>
    </row>
    <row r="23" spans="1:15" ht="15.75" x14ac:dyDescent="0.25">
      <c r="A23" s="151" t="s">
        <v>37</v>
      </c>
      <c r="B23" s="152">
        <f t="shared" ref="B23:M23" si="2">SUM(B24:B26)</f>
        <v>3180</v>
      </c>
      <c r="C23" s="152">
        <f t="shared" si="2"/>
        <v>8432</v>
      </c>
      <c r="D23" s="152">
        <f t="shared" si="2"/>
        <v>8303</v>
      </c>
      <c r="E23" s="152">
        <f t="shared" si="2"/>
        <v>8350</v>
      </c>
      <c r="F23" s="152">
        <f t="shared" si="2"/>
        <v>26038</v>
      </c>
      <c r="G23" s="152">
        <f t="shared" si="2"/>
        <v>53669</v>
      </c>
      <c r="H23" s="152">
        <f t="shared" si="2"/>
        <v>91377</v>
      </c>
      <c r="I23" s="152">
        <f t="shared" si="2"/>
        <v>46435</v>
      </c>
      <c r="J23" s="152">
        <f t="shared" si="2"/>
        <v>23634</v>
      </c>
      <c r="K23" s="152">
        <f t="shared" si="2"/>
        <v>10541</v>
      </c>
      <c r="L23" s="152">
        <f t="shared" si="2"/>
        <v>3664</v>
      </c>
      <c r="M23" s="152">
        <f t="shared" si="2"/>
        <v>4437</v>
      </c>
      <c r="N23" s="135">
        <f t="shared" ref="N23:N31" si="3">SUM(B23:M23)</f>
        <v>288060</v>
      </c>
      <c r="O23" s="160">
        <f>N23/N6</f>
        <v>0.57363958244550561</v>
      </c>
    </row>
    <row r="24" spans="1:15" ht="15.75" x14ac:dyDescent="0.25">
      <c r="A24" s="137" t="s">
        <v>34</v>
      </c>
      <c r="B24" s="146">
        <f>Yht1!$C$36+Yht1!$L$36+Yht1!$U$36</f>
        <v>3100</v>
      </c>
      <c r="C24" s="146">
        <f>Yht2!$C$36+Yht2!$L$36+Yht2!$U$36</f>
        <v>7977</v>
      </c>
      <c r="D24" s="146">
        <f>Yht3!$C$36+Yht3!$L$36+Yht3!$U$36</f>
        <v>7838</v>
      </c>
      <c r="E24" s="146">
        <f>Yht4!$C$36+Yht4!$L$36+Yht4!$U$36</f>
        <v>7805</v>
      </c>
      <c r="F24" s="146">
        <f>Yht5!$C$36+Yht5!$L$36+Yht5!$U$36</f>
        <v>23871</v>
      </c>
      <c r="G24" s="146">
        <f>Yht6!$C$36+Yht6!$L$36+Yht6!$U$36</f>
        <v>49614</v>
      </c>
      <c r="H24" s="146">
        <f>Yht7!$C$36+Yht7!$L$36+Yht7!$U$36</f>
        <v>84617</v>
      </c>
      <c r="I24" s="146">
        <f>Yht8!$C$36+Yht8!$L$36+Yht8!$U$36</f>
        <v>43612</v>
      </c>
      <c r="J24" s="146">
        <f>Yht9!$C$36+Yht9!$L$36+Yht9!$U$36</f>
        <v>22047</v>
      </c>
      <c r="K24" s="146">
        <f>Yht10!$C$36+Yht10!$L$36+Yht10!$U$36</f>
        <v>5750</v>
      </c>
      <c r="L24" s="146">
        <f>Yht11!$C$36+Yht11!$L$36+Yht11!$U$36</f>
        <v>3513</v>
      </c>
      <c r="M24" s="146">
        <f>Yht12!$C$36+Yht12!$L$36+Yht12!$U$36</f>
        <v>2978</v>
      </c>
      <c r="N24" s="139">
        <f t="shared" si="3"/>
        <v>262722</v>
      </c>
      <c r="O24" s="147"/>
    </row>
    <row r="25" spans="1:15" ht="15.75" x14ac:dyDescent="0.25">
      <c r="A25" s="137" t="s">
        <v>35</v>
      </c>
      <c r="B25" s="146">
        <f>Yht1!$I$36+Yht1!$R$36+Yht1!$AA$36</f>
        <v>18</v>
      </c>
      <c r="C25" s="146">
        <f>Yht2!$I$36+Yht2!$R$36+Yht2!$AA$36</f>
        <v>188</v>
      </c>
      <c r="D25" s="146">
        <f>Yht3!$I$36+Yht3!$R$36+Yht3!$AA$36</f>
        <v>179</v>
      </c>
      <c r="E25" s="146">
        <f>Yht4!$I$36+Yht4!$R$36+Yht4!$AA$36</f>
        <v>203</v>
      </c>
      <c r="F25" s="146">
        <f>Yht5!$I$36+Yht5!$R$36+Yht5!$AA$36</f>
        <v>607</v>
      </c>
      <c r="G25" s="146">
        <f>Yht6!$I$36+Yht6!$R$36+Yht6!$AA$36</f>
        <v>2117</v>
      </c>
      <c r="H25" s="146">
        <f>Yht7!$I$36+Yht7!$R$36+Yht7!$AA$36</f>
        <v>4716</v>
      </c>
      <c r="I25" s="146">
        <f>Yht8!$I$36+Yht8!$R$36+Yht8!$AA$36</f>
        <v>1585</v>
      </c>
      <c r="J25" s="146">
        <f>Yht9!$I$36+Yht9!$R$36+Yht9!$AA$36</f>
        <v>314</v>
      </c>
      <c r="K25" s="146">
        <f>Yht10!$I$36+Yht10!$R$36+Yht10!$AA$36</f>
        <v>228</v>
      </c>
      <c r="L25" s="146">
        <f>Yht11!$I$36+Yht11!$R$36+Yht11!$AA$36</f>
        <v>30</v>
      </c>
      <c r="M25" s="146">
        <f>Yht12!$I$36+Yht12!$R$36+Yht12!$AA$36</f>
        <v>1337</v>
      </c>
      <c r="N25" s="139">
        <f t="shared" si="3"/>
        <v>11522</v>
      </c>
      <c r="O25" s="147"/>
    </row>
    <row r="26" spans="1:15" ht="15.75" x14ac:dyDescent="0.25">
      <c r="A26" s="140" t="s">
        <v>103</v>
      </c>
      <c r="B26" s="148">
        <f>Yht1!$G$36+Yht1!$P$36+Yht1!$Y$36</f>
        <v>62</v>
      </c>
      <c r="C26" s="148">
        <f>Yht2!$G$36+Yht2!$P$36+Yht2!$Y$36</f>
        <v>267</v>
      </c>
      <c r="D26" s="148">
        <f>Yht3!$G$36+Yht3!$P$36+Yht3!$Y$36</f>
        <v>286</v>
      </c>
      <c r="E26" s="148">
        <f>Yht4!$G$36+Yht4!$P$36+Yht4!$Y$36</f>
        <v>342</v>
      </c>
      <c r="F26" s="148">
        <f>Yht5!$G$36+Yht5!$P$36+Yht5!$Y$36</f>
        <v>1560</v>
      </c>
      <c r="G26" s="148">
        <f>Yht6!$G$36+Yht6!$P$36+Yht6!$Y$36</f>
        <v>1938</v>
      </c>
      <c r="H26" s="148">
        <f>Yht7!$G$36+Yht7!$P$36+Yht7!$Y$36</f>
        <v>2044</v>
      </c>
      <c r="I26" s="148">
        <f>Yht8!$G$36+Yht8!$P$36+Yht8!$Y$36</f>
        <v>1238</v>
      </c>
      <c r="J26" s="148">
        <f>Yht9!$G$36+Yht9!$P$36+Yht9!$Y$36</f>
        <v>1273</v>
      </c>
      <c r="K26" s="148">
        <f>Yht10!$G$36+Yht10!$P$36+Yht10!$Y$36</f>
        <v>4563</v>
      </c>
      <c r="L26" s="148">
        <f>Yht11!$G$36+Yht11!$P$36+Yht11!$Y$36</f>
        <v>121</v>
      </c>
      <c r="M26" s="148">
        <f>Yht12!$G$36+Yht12!$P$36+Yht12!$Y$36</f>
        <v>122</v>
      </c>
      <c r="N26" s="142">
        <f t="shared" si="3"/>
        <v>13816</v>
      </c>
      <c r="O26" s="147"/>
    </row>
    <row r="27" spans="1:15" ht="15.75" x14ac:dyDescent="0.25">
      <c r="A27" s="151" t="s">
        <v>38</v>
      </c>
      <c r="B27" s="152">
        <f t="shared" ref="B27:M27" si="4">SUM(B28:B30)</f>
        <v>2733</v>
      </c>
      <c r="C27" s="152">
        <f t="shared" si="4"/>
        <v>4977</v>
      </c>
      <c r="D27" s="152">
        <f t="shared" si="4"/>
        <v>5485</v>
      </c>
      <c r="E27" s="152">
        <f t="shared" si="4"/>
        <v>6135</v>
      </c>
      <c r="F27" s="152">
        <f t="shared" si="4"/>
        <v>32524</v>
      </c>
      <c r="G27" s="152">
        <f t="shared" si="4"/>
        <v>37959</v>
      </c>
      <c r="H27" s="152">
        <f t="shared" si="4"/>
        <v>61378</v>
      </c>
      <c r="I27" s="152">
        <f t="shared" si="4"/>
        <v>27802</v>
      </c>
      <c r="J27" s="152">
        <f t="shared" si="4"/>
        <v>13579</v>
      </c>
      <c r="K27" s="152">
        <f t="shared" si="4"/>
        <v>7183</v>
      </c>
      <c r="L27" s="152">
        <f t="shared" si="4"/>
        <v>2096</v>
      </c>
      <c r="M27" s="152">
        <f t="shared" si="4"/>
        <v>3959</v>
      </c>
      <c r="N27" s="135">
        <f t="shared" si="3"/>
        <v>205810</v>
      </c>
      <c r="O27" s="136">
        <f>N27/N6</f>
        <v>0.40984781803481746</v>
      </c>
    </row>
    <row r="28" spans="1:15" ht="15.75" x14ac:dyDescent="0.25">
      <c r="A28" s="137" t="s">
        <v>104</v>
      </c>
      <c r="B28" s="146">
        <f>Yht1!$D$36+Yht1!$M$36+Yht1!$V$36</f>
        <v>1573</v>
      </c>
      <c r="C28" s="146">
        <f>Yht2!$D$36+Yht2!$M$36+Yht2!$V$36</f>
        <v>2436</v>
      </c>
      <c r="D28" s="146">
        <f>Yht3!$D$36+Yht3!$M$36+Yht3!$V$36</f>
        <v>1997</v>
      </c>
      <c r="E28" s="146">
        <f>Yht4!$D$36+Yht4!$M$36+Yht4!$V$36</f>
        <v>2224</v>
      </c>
      <c r="F28" s="146">
        <f>Yht5!$D$36+Yht5!$M$36+Yht5!$V$36</f>
        <v>15810</v>
      </c>
      <c r="G28" s="146">
        <f>Yht6!$D$36+Yht6!$M$36+Yht6!$V$36</f>
        <v>16085</v>
      </c>
      <c r="H28" s="146">
        <f>Yht7!$D$36+Yht7!$M$36+Yht7!$V$36</f>
        <v>25024</v>
      </c>
      <c r="I28" s="146">
        <f>Yht8!$D$36+Yht8!$M$36+Yht8!$V$36</f>
        <v>11601</v>
      </c>
      <c r="J28" s="146">
        <f>Yht9!$D$36+Yht9!$M$36+Yht9!$V$36</f>
        <v>5452</v>
      </c>
      <c r="K28" s="146">
        <f>Yht10!$D$36+Yht10!$M$36+Yht10!$V$36</f>
        <v>2037</v>
      </c>
      <c r="L28" s="146">
        <f>Yht11!$D$36+Yht11!$M$36+Yht11!$V$36</f>
        <v>858</v>
      </c>
      <c r="M28" s="146">
        <f>Yht12!$D$36+Yht12!$M$36+Yht12!$V$36</f>
        <v>781</v>
      </c>
      <c r="N28" s="139">
        <f t="shared" si="3"/>
        <v>85878</v>
      </c>
      <c r="O28" s="147"/>
    </row>
    <row r="29" spans="1:15" ht="15.75" x14ac:dyDescent="0.25">
      <c r="A29" s="137" t="s">
        <v>35</v>
      </c>
      <c r="B29" s="146">
        <f>Yht1!$J$36+Yht1!$S$36+Yht1!$AB$36</f>
        <v>33</v>
      </c>
      <c r="C29" s="146">
        <f>Yht2!$J$36+Yht2!$S$36+Yht2!$AB$36</f>
        <v>282</v>
      </c>
      <c r="D29" s="146">
        <f>Yht3!$J$36+Yht3!$S$36+Yht3!$AB$36</f>
        <v>266</v>
      </c>
      <c r="E29" s="146">
        <f>Yht4!$J$36+Yht4!$S$36+Yht4!$AB$36</f>
        <v>144</v>
      </c>
      <c r="F29" s="146">
        <f>Yht5!$J$36+Yht5!$S$36+Yht5!$AB$36</f>
        <v>895</v>
      </c>
      <c r="G29" s="146">
        <f>Yht6!$J$36+Yht6!$S$36+Yht6!$AB$36</f>
        <v>3164</v>
      </c>
      <c r="H29" s="146">
        <f>Yht7!$J$36+Yht7!$S$36+Yht7!$AB$36</f>
        <v>6979</v>
      </c>
      <c r="I29" s="146">
        <f>Yht8!$J$36+Yht8!$S$36+Yht8!$AB$36</f>
        <v>2369</v>
      </c>
      <c r="J29" s="146">
        <f>Yht9!$J$36+Yht9!$S$36+Yht9!$AB$36</f>
        <v>471</v>
      </c>
      <c r="K29" s="146">
        <f>Yht10!$J$36+Yht10!$S$36+Yht10!$AB$36</f>
        <v>342</v>
      </c>
      <c r="L29" s="146">
        <f>Yht11!$J$36+Yht11!$S$36+Yht11!$AB$36</f>
        <v>45</v>
      </c>
      <c r="M29" s="146">
        <f>Yht12!$J$36+Yht12!$S$36+Yht12!$AB$36</f>
        <v>1998</v>
      </c>
      <c r="N29" s="139">
        <f t="shared" si="3"/>
        <v>16988</v>
      </c>
      <c r="O29" s="147"/>
    </row>
    <row r="30" spans="1:15" ht="15.75" x14ac:dyDescent="0.25">
      <c r="A30" s="137" t="s">
        <v>105</v>
      </c>
      <c r="B30" s="146">
        <f>Yht1!$H$36+Yht1!$Q$36+Yht1!$Z$36</f>
        <v>1127</v>
      </c>
      <c r="C30" s="146">
        <f>Yht2!$H$36+Yht2!$Q$36+Yht2!$Z$36</f>
        <v>2259</v>
      </c>
      <c r="D30" s="146">
        <f>Yht3!$H$36+Yht3!$Q$36+Yht3!$Z$36</f>
        <v>3222</v>
      </c>
      <c r="E30" s="146">
        <f>Yht4!$H$36+Yht4!$Q$36+Yht4!$Z$36</f>
        <v>3767</v>
      </c>
      <c r="F30" s="146">
        <f>Yht5!$H$36+Yht5!$Q$36+Yht5!$Z$36</f>
        <v>15819</v>
      </c>
      <c r="G30" s="146">
        <f>Yht6!$H$36+Yht6!$Q$36+Yht6!$Z$36</f>
        <v>18710</v>
      </c>
      <c r="H30" s="146">
        <f>Yht7!$H$36+Yht7!$Q$36+Yht7!$Z$36</f>
        <v>29375</v>
      </c>
      <c r="I30" s="146">
        <f>Yht8!$H$36+Yht8!$Q$36+Yht8!$Z$36</f>
        <v>13832</v>
      </c>
      <c r="J30" s="146">
        <f>Yht9!$H$36+Yht9!$Q$36+Yht9!$Z$36</f>
        <v>7656</v>
      </c>
      <c r="K30" s="146">
        <f>Yht10!$H$36+Yht10!$Q$36+Yht10!$Z$36</f>
        <v>4804</v>
      </c>
      <c r="L30" s="146">
        <f>Yht11!$H$36+Yht11!$Q$36+Yht11!$Z$36</f>
        <v>1193</v>
      </c>
      <c r="M30" s="146">
        <f>Yht12!$H$36+Yht12!$Q$36+Yht12!$Z$36</f>
        <v>1180</v>
      </c>
      <c r="N30" s="139">
        <f t="shared" si="3"/>
        <v>102944</v>
      </c>
      <c r="O30" s="147"/>
    </row>
    <row r="31" spans="1:15" ht="15.75" x14ac:dyDescent="0.25">
      <c r="A31" s="133" t="s">
        <v>116</v>
      </c>
      <c r="B31" s="145">
        <f t="shared" ref="B31:M31" si="5">SUM(B19:B20)</f>
        <v>817</v>
      </c>
      <c r="C31" s="145">
        <f t="shared" si="5"/>
        <v>753</v>
      </c>
      <c r="D31" s="145">
        <f t="shared" si="5"/>
        <v>590</v>
      </c>
      <c r="E31" s="145">
        <f t="shared" si="5"/>
        <v>628</v>
      </c>
      <c r="F31" s="145">
        <f t="shared" si="5"/>
        <v>1057</v>
      </c>
      <c r="G31" s="145">
        <f t="shared" si="5"/>
        <v>780</v>
      </c>
      <c r="H31" s="145">
        <f t="shared" si="5"/>
        <v>790</v>
      </c>
      <c r="I31" s="145">
        <f t="shared" si="5"/>
        <v>1377</v>
      </c>
      <c r="J31" s="145">
        <f t="shared" si="5"/>
        <v>623</v>
      </c>
      <c r="K31" s="145">
        <f t="shared" si="5"/>
        <v>311</v>
      </c>
      <c r="L31" s="145">
        <f t="shared" si="5"/>
        <v>294</v>
      </c>
      <c r="M31" s="145">
        <f t="shared" si="5"/>
        <v>272</v>
      </c>
      <c r="N31" s="135">
        <f t="shared" si="3"/>
        <v>8292</v>
      </c>
      <c r="O31" s="160">
        <f>N31/N6</f>
        <v>1.6512599519676915E-2</v>
      </c>
    </row>
    <row r="32" spans="1:15" ht="15.75" x14ac:dyDescent="0.25">
      <c r="A32" s="132"/>
      <c r="B32" s="158"/>
      <c r="C32" s="158"/>
      <c r="D32" s="158"/>
      <c r="E32" s="158"/>
      <c r="F32" s="158"/>
      <c r="G32" s="158"/>
      <c r="H32" s="158"/>
      <c r="I32" s="158"/>
      <c r="J32" s="158"/>
      <c r="K32" s="158"/>
      <c r="L32" s="158"/>
      <c r="M32" s="158"/>
      <c r="N32" s="158"/>
      <c r="O32" s="143"/>
    </row>
    <row r="33" spans="1:15" ht="15.75" x14ac:dyDescent="0.25">
      <c r="A33" s="151" t="s">
        <v>95</v>
      </c>
      <c r="B33" s="152">
        <f>MAX(Yht1!$AD$5:'Yht1'!$AD$35)</f>
        <v>1027</v>
      </c>
      <c r="C33" s="152">
        <f>MAX(Yht2!$AD$5:'Yht2'!$AD$32)</f>
        <v>1687</v>
      </c>
      <c r="D33" s="152">
        <f>MAX(Yht3!$AD$5:'Yht3'!$AD$35)</f>
        <v>2246</v>
      </c>
      <c r="E33" s="152">
        <f>MAX(Yht4!$AD$5:'Yht4'!$AD$34)</f>
        <v>2367</v>
      </c>
      <c r="F33" s="152">
        <f>MAX(Yht5!$AD$5:'Yht5'!$AD$35)</f>
        <v>3601</v>
      </c>
      <c r="G33" s="152">
        <f>MAX(Yht6!$AD$5:'Yht6'!$AD$34)</f>
        <v>6305</v>
      </c>
      <c r="H33" s="152">
        <f>MAX(Yht7!$AD$5:'Yht7'!$AD$35)</f>
        <v>7522</v>
      </c>
      <c r="I33" s="152">
        <f>MAX(Yht8!$AD$5:'Yht8'!$AD$35)</f>
        <v>6028</v>
      </c>
      <c r="J33" s="152">
        <f>MAX(Yht9!$AD$5:'Yht9'!$AD$34)</f>
        <v>7578</v>
      </c>
      <c r="K33" s="152">
        <f>MAX(Yht10!$AD$5:'Yht10'!$AD$35)</f>
        <v>6578</v>
      </c>
      <c r="L33" s="152">
        <f>MAX(Yht11!$AD$5:'Yht11'!$AD$34)</f>
        <v>858</v>
      </c>
      <c r="M33" s="152">
        <f>MAX(Yht12!$AD$5:'Yht12'!$AD$35)</f>
        <v>3506</v>
      </c>
      <c r="N33" s="151"/>
      <c r="O33" s="166"/>
    </row>
    <row r="34" spans="1:15" ht="15.75" x14ac:dyDescent="0.25">
      <c r="A34" s="137" t="s">
        <v>96</v>
      </c>
      <c r="B34" s="146">
        <f>MIN(Yht1!$AD$5:'Yht1'!$AD$35)</f>
        <v>28</v>
      </c>
      <c r="C34" s="146">
        <f>MIN(Yht2!$AD$5:'Yht2'!$AD$32)</f>
        <v>44</v>
      </c>
      <c r="D34" s="146">
        <f>MIN(Yht3!$AD$5:'Yht3'!$AD$35)</f>
        <v>74</v>
      </c>
      <c r="E34" s="146">
        <f>MIN(Yht4!$AD$5:'Yht4'!$AD$34)</f>
        <v>140</v>
      </c>
      <c r="F34" s="146">
        <f>MIN(Yht5!$AD$5:'Yht5'!$AD$35)</f>
        <v>726</v>
      </c>
      <c r="G34" s="146">
        <f>MIN(Yht6!$AD$5:'Yht6'!$AD$34)</f>
        <v>481</v>
      </c>
      <c r="H34" s="146">
        <f>MIN(Yht7!$AD$5:'Yht7'!$AD$35)</f>
        <v>2220</v>
      </c>
      <c r="I34" s="146">
        <f>MIN(Yht8!$AD$5:'Yht8'!$AD$35)</f>
        <v>148</v>
      </c>
      <c r="J34" s="146">
        <f>MIN(Yht9!$AD$5:'Yht9'!$AD$34)</f>
        <v>99</v>
      </c>
      <c r="K34" s="146">
        <f>MIN(Yht10!$AD$5:'Yht10'!$AD$35)</f>
        <v>51</v>
      </c>
      <c r="L34" s="146">
        <f>MIN(Yht11!$AD$5:'Yht11'!$AD$34)</f>
        <v>23</v>
      </c>
      <c r="M34" s="146">
        <f>MIN(Yht12!$AD$5:'Yht12'!$AD$35)</f>
        <v>19</v>
      </c>
      <c r="N34" s="137"/>
      <c r="O34" s="147"/>
    </row>
    <row r="35" spans="1:15" ht="15.75" x14ac:dyDescent="0.25">
      <c r="A35" s="140" t="s">
        <v>97</v>
      </c>
      <c r="B35" s="161">
        <f>AVERAGE(Yht1!$AD$5:$AD$35)</f>
        <v>217.09677419354838</v>
      </c>
      <c r="C35" s="161">
        <f>AVERAGE(Yht2!$AD$5:$AD$32)</f>
        <v>505.78571428571428</v>
      </c>
      <c r="D35" s="161">
        <f>AVERAGE(Yht3!$AD$5:$AD$35)</f>
        <v>463.80645161290323</v>
      </c>
      <c r="E35" s="161">
        <f>AVERAGE(Yht4!$AD$5:$AD$34)</f>
        <v>503.76666666666665</v>
      </c>
      <c r="F35" s="161">
        <f>AVERAGE(Yht5!$AD$5:$AD$35)</f>
        <v>1923.1935483870968</v>
      </c>
      <c r="G35" s="161">
        <f>AVERAGE(Yht6!$AD$5:$AD$34)</f>
        <v>3080.2666666666669</v>
      </c>
      <c r="H35" s="161">
        <f>AVERAGE(Yht7!$AD$5:$AD$35)</f>
        <v>4953.0645161290322</v>
      </c>
      <c r="I35" s="161">
        <f>AVERAGE(Yht8!$AD$5:$AD$35)</f>
        <v>2439.1612903225805</v>
      </c>
      <c r="J35" s="161">
        <f>AVERAGE(Yht9!$AD$5:$AD$34)</f>
        <v>1261.2</v>
      </c>
      <c r="K35" s="161">
        <f>AVERAGE(Yht10!$AD$5:$AD$35)</f>
        <v>581.77419354838707</v>
      </c>
      <c r="L35" s="161">
        <f>AVERAGE(Yht11!$AD$5:$AD$34)</f>
        <v>201.8</v>
      </c>
      <c r="M35" s="161">
        <f>AVERAGE(Yht12!$AD$5:$AD$35)</f>
        <v>279.61290322580646</v>
      </c>
      <c r="N35" s="140"/>
      <c r="O35" s="150"/>
    </row>
    <row r="36" spans="1:15" ht="15.75" x14ac:dyDescent="0.25">
      <c r="A36" s="132"/>
      <c r="B36" s="132"/>
      <c r="C36" s="132"/>
      <c r="D36" s="132"/>
      <c r="E36" s="132"/>
      <c r="F36" s="132"/>
      <c r="G36" s="132"/>
      <c r="H36" s="132"/>
      <c r="I36" s="132"/>
      <c r="J36" s="132"/>
      <c r="K36" s="132"/>
      <c r="L36" s="132"/>
      <c r="M36" s="132"/>
      <c r="N36" s="132"/>
      <c r="O36" s="143"/>
    </row>
    <row r="37" spans="1:15" ht="15.75" x14ac:dyDescent="0.25">
      <c r="A37" s="186" t="s">
        <v>112</v>
      </c>
      <c r="B37" s="152">
        <f>Edellisvuosi!$B$6</f>
        <v>5742</v>
      </c>
      <c r="C37" s="152">
        <f>Edellisvuosi!$C$6</f>
        <v>9712</v>
      </c>
      <c r="D37" s="152">
        <f>Edellisvuosi!$D$6</f>
        <v>10876</v>
      </c>
      <c r="E37" s="152">
        <f>Edellisvuosi!$E$6</f>
        <v>24039</v>
      </c>
      <c r="F37" s="152">
        <f>Edellisvuosi!$F$6</f>
        <v>61128</v>
      </c>
      <c r="G37" s="152">
        <f>Edellisvuosi!$G$6</f>
        <v>85315</v>
      </c>
      <c r="H37" s="152">
        <f>Edellisvuosi!$H$6</f>
        <v>161200</v>
      </c>
      <c r="I37" s="152">
        <f>Edellisvuosi!$I$6</f>
        <v>80163</v>
      </c>
      <c r="J37" s="152">
        <f>Edellisvuosi!$J$6</f>
        <v>29849</v>
      </c>
      <c r="K37" s="152">
        <f>Edellisvuosi!$K$6</f>
        <v>11024</v>
      </c>
      <c r="L37" s="152">
        <f>Edellisvuosi!$L$6</f>
        <v>5566</v>
      </c>
      <c r="M37" s="152">
        <f>Edellisvuosi!$M$6</f>
        <v>4123</v>
      </c>
      <c r="N37" s="151">
        <f>Edellisvuosi!$N$6</f>
        <v>488737</v>
      </c>
      <c r="O37" s="153"/>
    </row>
    <row r="38" spans="1:15" ht="15.75" x14ac:dyDescent="0.25">
      <c r="A38" s="140" t="s">
        <v>102</v>
      </c>
      <c r="B38" s="148">
        <f t="shared" ref="B38:N38" si="6">SUM(B6-B37)</f>
        <v>988</v>
      </c>
      <c r="C38" s="148">
        <f t="shared" si="6"/>
        <v>4450</v>
      </c>
      <c r="D38" s="148">
        <f t="shared" si="6"/>
        <v>3502</v>
      </c>
      <c r="E38" s="148">
        <f t="shared" si="6"/>
        <v>-8926</v>
      </c>
      <c r="F38" s="148">
        <f t="shared" si="6"/>
        <v>-1509</v>
      </c>
      <c r="G38" s="148">
        <f t="shared" si="6"/>
        <v>7093</v>
      </c>
      <c r="H38" s="148">
        <f t="shared" si="6"/>
        <v>-7655</v>
      </c>
      <c r="I38" s="148">
        <f t="shared" si="6"/>
        <v>-4549</v>
      </c>
      <c r="J38" s="148">
        <f t="shared" si="6"/>
        <v>7987</v>
      </c>
      <c r="K38" s="148">
        <f t="shared" si="6"/>
        <v>7011</v>
      </c>
      <c r="L38" s="148">
        <f t="shared" si="6"/>
        <v>488</v>
      </c>
      <c r="M38" s="148">
        <f t="shared" si="6"/>
        <v>4545</v>
      </c>
      <c r="N38" s="140">
        <f t="shared" si="6"/>
        <v>13425</v>
      </c>
      <c r="O38" s="155"/>
    </row>
    <row r="39" spans="1:15" x14ac:dyDescent="0.15">
      <c r="O39" s="162"/>
    </row>
    <row r="40" spans="1:15" ht="15.75" x14ac:dyDescent="0.25">
      <c r="A40" s="190"/>
      <c r="B40" s="191"/>
      <c r="C40" s="191"/>
      <c r="D40" s="191"/>
      <c r="E40" s="191"/>
      <c r="F40" s="191"/>
      <c r="G40" s="191"/>
      <c r="H40" s="191"/>
      <c r="I40" s="191"/>
      <c r="J40" s="191"/>
      <c r="K40" s="191"/>
      <c r="L40" s="191"/>
      <c r="M40" s="191"/>
      <c r="N40" s="191"/>
      <c r="O40" s="192"/>
    </row>
    <row r="41" spans="1:15" ht="15.75" x14ac:dyDescent="0.25">
      <c r="A41" s="163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162"/>
    </row>
    <row r="42" spans="1:15" x14ac:dyDescent="0.15">
      <c r="A42" s="23"/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</row>
  </sheetData>
  <sheetProtection password="C4AC" sheet="1" objects="1" scenarios="1"/>
  <phoneticPr fontId="0" type="noConversion"/>
  <pageMargins left="0.17" right="0.17" top="0.6" bottom="0.64" header="0.4921259845" footer="0.4921259845"/>
  <pageSetup paperSize="9" scale="75" fitToHeight="0" orientation="landscape" horizontalDpi="300" r:id="rId1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view="pageLayout" zoomScaleNormal="100" workbookViewId="0"/>
  </sheetViews>
  <sheetFormatPr defaultRowHeight="12" x14ac:dyDescent="0.15"/>
  <sheetData/>
  <sheetProtection sheet="1" objects="1" scenarios="1"/>
  <phoneticPr fontId="4" type="noConversion"/>
  <pageMargins left="0.75" right="0.17" top="0.64" bottom="1" header="0.4921259845" footer="0.4921259845"/>
  <pageSetup paperSize="9" fitToHeight="0" orientation="landscape" horizontalDpi="300" r:id="rId1"/>
  <headerFooter alignWithMargins="0">
    <oddFooter xml:space="preserve">&amp;CKorkeasaaren eläintarha
Kävijätilasto 2013&amp;RTulostettu &amp;D  </oddFooter>
  </headerFooter>
  <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view="pageLayout" zoomScaleNormal="100" workbookViewId="0">
      <selection activeCell="N1" sqref="N1"/>
    </sheetView>
  </sheetViews>
  <sheetFormatPr defaultRowHeight="12" x14ac:dyDescent="0.15"/>
  <sheetData/>
  <sheetProtection password="C4AC" sheet="1" objects="1" scenarios="1"/>
  <phoneticPr fontId="4" type="noConversion"/>
  <pageMargins left="0.75" right="0.17" top="0.71" bottom="0.81" header="0.4921259845" footer="0.27"/>
  <pageSetup paperSize="9" orientation="landscape" horizontalDpi="300" r:id="rId1"/>
  <headerFooter alignWithMargins="0">
    <oddFooter>&amp;CKorkeasaaren eläintarha
Kävijätilasto 2013&amp;RTulostettu &amp;D</oddFooter>
  </headerFooter>
  <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view="pageLayout" zoomScaleNormal="100" workbookViewId="0">
      <selection activeCell="N1" sqref="N1"/>
    </sheetView>
  </sheetViews>
  <sheetFormatPr defaultRowHeight="12" x14ac:dyDescent="0.15"/>
  <sheetData/>
  <sheetProtection password="C4AC" sheet="1" objects="1" scenarios="1"/>
  <phoneticPr fontId="4" type="noConversion"/>
  <pageMargins left="0.75" right="0.17" top="0.74" bottom="0.64" header="0.4921259845" footer="0.24"/>
  <pageSetup paperSize="9" orientation="landscape" horizontalDpi="300" r:id="rId1"/>
  <headerFooter alignWithMargins="0">
    <oddFooter>&amp;CKorkeasaaren eläintarha
Kävijätilasto 2013&amp;RTulostettu &amp;D</oddFooter>
  </headerFooter>
  <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"/>
  <sheetViews>
    <sheetView view="pageLayout" zoomScaleNormal="100" workbookViewId="0">
      <selection activeCell="N1" sqref="N1"/>
    </sheetView>
  </sheetViews>
  <sheetFormatPr defaultRowHeight="12" x14ac:dyDescent="0.15"/>
  <sheetData/>
  <sheetProtection password="C4AC" sheet="1" objects="1" scenarios="1"/>
  <phoneticPr fontId="4" type="noConversion"/>
  <pageMargins left="1.5354330708661419" right="0.78740157480314965" top="0.98425196850393704" bottom="0.98425196850393704" header="0.51181102362204722" footer="0.51181102362204722"/>
  <pageSetup paperSize="9" scale="96" fitToHeight="0" orientation="landscape" horizontalDpi="300" r:id="rId1"/>
  <headerFooter alignWithMargins="0">
    <oddFooter>&amp;CKorkeasaaren eläintarha
Kävijätilasto 2013&amp;RTulostettu &amp;D</oddFooter>
  </headerFooter>
  <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84"/>
  <sheetViews>
    <sheetView view="pageLayout" zoomScaleNormal="75" workbookViewId="0">
      <selection activeCell="R1" sqref="R1"/>
    </sheetView>
  </sheetViews>
  <sheetFormatPr defaultRowHeight="12" x14ac:dyDescent="0.15"/>
  <cols>
    <col min="1" max="1" width="10.25" bestFit="1" customWidth="1"/>
    <col min="2" max="2" width="14" customWidth="1"/>
    <col min="4" max="4" width="10.25" bestFit="1" customWidth="1"/>
    <col min="18" max="18" width="3.125" customWidth="1"/>
  </cols>
  <sheetData>
    <row r="1" spans="1:10" ht="18.75" customHeight="1" x14ac:dyDescent="0.3">
      <c r="A1">
        <f>Kalenteri!A1</f>
        <v>41275</v>
      </c>
      <c r="B1">
        <f t="shared" ref="B1:B59" si="0">WEEKDAY(A1)</f>
        <v>3</v>
      </c>
      <c r="C1">
        <f t="shared" ref="C1:C59" si="1">MONTH(A1)</f>
        <v>1</v>
      </c>
      <c r="D1" s="130">
        <f>+A1</f>
        <v>41275</v>
      </c>
      <c r="E1">
        <f>Yht1!AD5</f>
        <v>233</v>
      </c>
      <c r="H1" s="168"/>
    </row>
    <row r="2" spans="1:10" ht="18.75" customHeight="1" x14ac:dyDescent="0.25">
      <c r="A2">
        <f>Kalenteri!A2</f>
        <v>41276</v>
      </c>
      <c r="B2">
        <f t="shared" si="0"/>
        <v>4</v>
      </c>
      <c r="C2">
        <f t="shared" si="1"/>
        <v>1</v>
      </c>
      <c r="D2" s="130">
        <f t="shared" ref="D2:D63" si="2">+A2</f>
        <v>41276</v>
      </c>
      <c r="E2">
        <f>Yht1!AD6</f>
        <v>315</v>
      </c>
      <c r="G2" s="131"/>
      <c r="H2" s="131"/>
      <c r="I2" s="131"/>
      <c r="J2" s="131"/>
    </row>
    <row r="3" spans="1:10" ht="18.75" customHeight="1" x14ac:dyDescent="0.25">
      <c r="A3">
        <f>Kalenteri!A3</f>
        <v>41277</v>
      </c>
      <c r="B3">
        <f t="shared" si="0"/>
        <v>5</v>
      </c>
      <c r="C3">
        <f t="shared" si="1"/>
        <v>1</v>
      </c>
      <c r="D3" s="130">
        <f t="shared" si="2"/>
        <v>41277</v>
      </c>
      <c r="E3">
        <f>Yht1!AD7</f>
        <v>696</v>
      </c>
      <c r="G3" s="131"/>
      <c r="H3" s="131"/>
      <c r="I3" s="131"/>
      <c r="J3" s="131"/>
    </row>
    <row r="4" spans="1:10" ht="18.75" x14ac:dyDescent="0.25">
      <c r="A4">
        <f>Kalenteri!A4</f>
        <v>41278</v>
      </c>
      <c r="B4">
        <f t="shared" si="0"/>
        <v>6</v>
      </c>
      <c r="C4">
        <f t="shared" si="1"/>
        <v>1</v>
      </c>
      <c r="D4" s="130">
        <f t="shared" si="2"/>
        <v>41278</v>
      </c>
      <c r="E4">
        <f>Yht1!AD8</f>
        <v>643</v>
      </c>
    </row>
    <row r="5" spans="1:10" ht="18.75" x14ac:dyDescent="0.25">
      <c r="A5">
        <f>Kalenteri!A5</f>
        <v>41279</v>
      </c>
      <c r="B5">
        <f t="shared" si="0"/>
        <v>7</v>
      </c>
      <c r="C5">
        <f t="shared" si="1"/>
        <v>1</v>
      </c>
      <c r="D5" s="130">
        <f t="shared" si="2"/>
        <v>41279</v>
      </c>
      <c r="E5">
        <f>Yht1!AD9</f>
        <v>1027</v>
      </c>
    </row>
    <row r="6" spans="1:10" ht="18.75" x14ac:dyDescent="0.25">
      <c r="A6">
        <f>Kalenteri!A6</f>
        <v>41280</v>
      </c>
      <c r="B6">
        <f t="shared" si="0"/>
        <v>1</v>
      </c>
      <c r="C6">
        <f t="shared" si="1"/>
        <v>1</v>
      </c>
      <c r="D6" s="130">
        <f t="shared" si="2"/>
        <v>41280</v>
      </c>
      <c r="E6">
        <f>Yht1!AD10</f>
        <v>732</v>
      </c>
    </row>
    <row r="7" spans="1:10" ht="18.75" x14ac:dyDescent="0.25">
      <c r="A7">
        <f>Kalenteri!A7</f>
        <v>41281</v>
      </c>
      <c r="B7">
        <f t="shared" si="0"/>
        <v>2</v>
      </c>
      <c r="C7">
        <f t="shared" si="1"/>
        <v>1</v>
      </c>
      <c r="D7" s="130">
        <f t="shared" si="2"/>
        <v>41281</v>
      </c>
      <c r="E7">
        <f>Yht1!AD11</f>
        <v>177</v>
      </c>
    </row>
    <row r="8" spans="1:10" ht="18.75" x14ac:dyDescent="0.25">
      <c r="A8">
        <f>Kalenteri!A8</f>
        <v>41282</v>
      </c>
      <c r="B8">
        <f t="shared" si="0"/>
        <v>3</v>
      </c>
      <c r="C8">
        <f t="shared" si="1"/>
        <v>1</v>
      </c>
      <c r="D8" s="130">
        <f t="shared" si="2"/>
        <v>41282</v>
      </c>
      <c r="E8">
        <f>Yht1!AD12</f>
        <v>88</v>
      </c>
    </row>
    <row r="9" spans="1:10" ht="18.75" x14ac:dyDescent="0.25">
      <c r="A9">
        <f>Kalenteri!A9</f>
        <v>41283</v>
      </c>
      <c r="B9">
        <f t="shared" si="0"/>
        <v>4</v>
      </c>
      <c r="C9">
        <f t="shared" si="1"/>
        <v>1</v>
      </c>
      <c r="D9" s="130">
        <f t="shared" si="2"/>
        <v>41283</v>
      </c>
      <c r="E9">
        <f>Yht1!AD13</f>
        <v>70</v>
      </c>
    </row>
    <row r="10" spans="1:10" ht="18.75" x14ac:dyDescent="0.25">
      <c r="A10">
        <f>Kalenteri!A10</f>
        <v>41284</v>
      </c>
      <c r="B10">
        <f t="shared" si="0"/>
        <v>5</v>
      </c>
      <c r="C10">
        <f t="shared" si="1"/>
        <v>1</v>
      </c>
      <c r="D10" s="130">
        <f t="shared" si="2"/>
        <v>41284</v>
      </c>
      <c r="E10">
        <f>Yht1!AD14</f>
        <v>58</v>
      </c>
    </row>
    <row r="11" spans="1:10" ht="18.75" x14ac:dyDescent="0.25">
      <c r="A11">
        <f>Kalenteri!A11</f>
        <v>41285</v>
      </c>
      <c r="B11">
        <f t="shared" si="0"/>
        <v>6</v>
      </c>
      <c r="C11">
        <f t="shared" si="1"/>
        <v>1</v>
      </c>
      <c r="D11" s="130">
        <f t="shared" si="2"/>
        <v>41285</v>
      </c>
      <c r="E11">
        <f>Yht1!AD15</f>
        <v>62</v>
      </c>
    </row>
    <row r="12" spans="1:10" ht="18.75" x14ac:dyDescent="0.25">
      <c r="A12">
        <f>Kalenteri!A12</f>
        <v>41286</v>
      </c>
      <c r="B12">
        <f t="shared" si="0"/>
        <v>7</v>
      </c>
      <c r="C12">
        <f t="shared" si="1"/>
        <v>1</v>
      </c>
      <c r="D12" s="130">
        <f t="shared" si="2"/>
        <v>41286</v>
      </c>
      <c r="E12">
        <f>Yht1!AD16</f>
        <v>209</v>
      </c>
      <c r="G12" s="131"/>
    </row>
    <row r="13" spans="1:10" ht="18.75" x14ac:dyDescent="0.25">
      <c r="A13">
        <f>Kalenteri!A13</f>
        <v>41287</v>
      </c>
      <c r="B13">
        <f t="shared" si="0"/>
        <v>1</v>
      </c>
      <c r="C13">
        <f t="shared" si="1"/>
        <v>1</v>
      </c>
      <c r="D13" s="130">
        <f t="shared" si="2"/>
        <v>41287</v>
      </c>
      <c r="E13">
        <f>Yht1!AD17</f>
        <v>268</v>
      </c>
      <c r="G13" s="131"/>
      <c r="H13" s="131"/>
    </row>
    <row r="14" spans="1:10" ht="18.75" x14ac:dyDescent="0.25">
      <c r="A14">
        <f>Kalenteri!A14</f>
        <v>41288</v>
      </c>
      <c r="B14">
        <f t="shared" si="0"/>
        <v>2</v>
      </c>
      <c r="C14">
        <f t="shared" si="1"/>
        <v>1</v>
      </c>
      <c r="D14" s="130">
        <f t="shared" si="2"/>
        <v>41288</v>
      </c>
      <c r="E14">
        <f>Yht1!AD18</f>
        <v>56</v>
      </c>
      <c r="G14" s="131"/>
      <c r="H14" s="131"/>
    </row>
    <row r="15" spans="1:10" ht="18.75" x14ac:dyDescent="0.25">
      <c r="A15">
        <f>Kalenteri!A15</f>
        <v>41289</v>
      </c>
      <c r="B15">
        <f t="shared" si="0"/>
        <v>3</v>
      </c>
      <c r="C15">
        <f t="shared" si="1"/>
        <v>1</v>
      </c>
      <c r="D15" s="130">
        <f t="shared" si="2"/>
        <v>41289</v>
      </c>
      <c r="E15">
        <f>Yht1!AD19</f>
        <v>29</v>
      </c>
      <c r="G15" s="131"/>
      <c r="H15" s="131"/>
    </row>
    <row r="16" spans="1:10" ht="18.75" x14ac:dyDescent="0.25">
      <c r="A16">
        <f>Kalenteri!A16</f>
        <v>41290</v>
      </c>
      <c r="B16">
        <f t="shared" si="0"/>
        <v>4</v>
      </c>
      <c r="C16">
        <f t="shared" si="1"/>
        <v>1</v>
      </c>
      <c r="D16" s="130">
        <f t="shared" si="2"/>
        <v>41290</v>
      </c>
      <c r="E16">
        <f>Yht1!AD20</f>
        <v>38</v>
      </c>
      <c r="G16" s="131"/>
      <c r="H16" s="131"/>
    </row>
    <row r="17" spans="1:8" ht="18.75" x14ac:dyDescent="0.25">
      <c r="A17">
        <f>Kalenteri!A17</f>
        <v>41291</v>
      </c>
      <c r="B17">
        <f t="shared" si="0"/>
        <v>5</v>
      </c>
      <c r="C17">
        <f t="shared" si="1"/>
        <v>1</v>
      </c>
      <c r="D17" s="130">
        <f t="shared" si="2"/>
        <v>41291</v>
      </c>
      <c r="E17">
        <f>Yht1!AD21</f>
        <v>43</v>
      </c>
      <c r="G17" s="167"/>
      <c r="H17" s="165"/>
    </row>
    <row r="18" spans="1:8" ht="18.75" x14ac:dyDescent="0.25">
      <c r="A18">
        <f>Kalenteri!A18</f>
        <v>41292</v>
      </c>
      <c r="B18">
        <f t="shared" si="0"/>
        <v>6</v>
      </c>
      <c r="C18">
        <f t="shared" si="1"/>
        <v>1</v>
      </c>
      <c r="D18" s="130">
        <f t="shared" si="2"/>
        <v>41292</v>
      </c>
      <c r="E18">
        <f>Yht1!AD22</f>
        <v>37</v>
      </c>
      <c r="G18" s="131"/>
      <c r="H18" s="131"/>
    </row>
    <row r="19" spans="1:8" ht="18.75" x14ac:dyDescent="0.25">
      <c r="A19">
        <f>Kalenteri!A19</f>
        <v>41293</v>
      </c>
      <c r="B19">
        <f t="shared" si="0"/>
        <v>7</v>
      </c>
      <c r="C19">
        <f t="shared" si="1"/>
        <v>1</v>
      </c>
      <c r="D19" s="130">
        <f t="shared" si="2"/>
        <v>41293</v>
      </c>
      <c r="E19">
        <f>Yht1!AD23</f>
        <v>67</v>
      </c>
      <c r="H19" s="131"/>
    </row>
    <row r="20" spans="1:8" ht="18.75" x14ac:dyDescent="0.25">
      <c r="A20">
        <f>Kalenteri!A20</f>
        <v>41294</v>
      </c>
      <c r="B20">
        <f t="shared" si="0"/>
        <v>1</v>
      </c>
      <c r="C20">
        <f t="shared" si="1"/>
        <v>1</v>
      </c>
      <c r="D20" s="130">
        <f t="shared" si="2"/>
        <v>41294</v>
      </c>
      <c r="E20">
        <f>Yht1!AD24</f>
        <v>347</v>
      </c>
      <c r="G20" s="131"/>
      <c r="H20" s="131"/>
    </row>
    <row r="21" spans="1:8" ht="18.75" x14ac:dyDescent="0.25">
      <c r="A21">
        <f>Kalenteri!A21</f>
        <v>41295</v>
      </c>
      <c r="B21">
        <f t="shared" si="0"/>
        <v>2</v>
      </c>
      <c r="C21">
        <f t="shared" si="1"/>
        <v>1</v>
      </c>
      <c r="D21" s="130">
        <f t="shared" si="2"/>
        <v>41295</v>
      </c>
      <c r="E21">
        <f>Yht1!AD25</f>
        <v>43</v>
      </c>
      <c r="G21" s="131"/>
      <c r="H21" s="131"/>
    </row>
    <row r="22" spans="1:8" ht="18.75" x14ac:dyDescent="0.25">
      <c r="A22">
        <f>Kalenteri!A22</f>
        <v>41296</v>
      </c>
      <c r="B22">
        <f t="shared" si="0"/>
        <v>3</v>
      </c>
      <c r="C22">
        <f t="shared" si="1"/>
        <v>1</v>
      </c>
      <c r="D22" s="130">
        <f t="shared" si="2"/>
        <v>41296</v>
      </c>
      <c r="E22">
        <f>Yht1!AD26</f>
        <v>36</v>
      </c>
    </row>
    <row r="23" spans="1:8" ht="18.75" x14ac:dyDescent="0.25">
      <c r="A23">
        <f>Kalenteri!A23</f>
        <v>41297</v>
      </c>
      <c r="B23">
        <f t="shared" si="0"/>
        <v>4</v>
      </c>
      <c r="C23">
        <f t="shared" si="1"/>
        <v>1</v>
      </c>
      <c r="D23" s="130">
        <f t="shared" si="2"/>
        <v>41297</v>
      </c>
      <c r="E23">
        <f>Yht1!AD27</f>
        <v>28</v>
      </c>
    </row>
    <row r="24" spans="1:8" ht="18.75" x14ac:dyDescent="0.25">
      <c r="A24">
        <f>Kalenteri!A24</f>
        <v>41298</v>
      </c>
      <c r="B24">
        <f t="shared" si="0"/>
        <v>5</v>
      </c>
      <c r="C24">
        <f t="shared" si="1"/>
        <v>1</v>
      </c>
      <c r="D24" s="130">
        <f t="shared" si="2"/>
        <v>41298</v>
      </c>
      <c r="E24">
        <f>Yht1!AD28</f>
        <v>73</v>
      </c>
    </row>
    <row r="25" spans="1:8" ht="18.75" x14ac:dyDescent="0.25">
      <c r="A25">
        <f>Kalenteri!A25</f>
        <v>41299</v>
      </c>
      <c r="B25">
        <f t="shared" si="0"/>
        <v>6</v>
      </c>
      <c r="C25">
        <f t="shared" si="1"/>
        <v>1</v>
      </c>
      <c r="D25" s="130">
        <f t="shared" si="2"/>
        <v>41299</v>
      </c>
      <c r="E25">
        <f>Yht1!AD29</f>
        <v>83</v>
      </c>
    </row>
    <row r="26" spans="1:8" ht="18.75" x14ac:dyDescent="0.25">
      <c r="A26">
        <f>Kalenteri!A26</f>
        <v>41300</v>
      </c>
      <c r="B26">
        <f t="shared" si="0"/>
        <v>7</v>
      </c>
      <c r="C26">
        <f t="shared" si="1"/>
        <v>1</v>
      </c>
      <c r="D26" s="130">
        <f t="shared" si="2"/>
        <v>41300</v>
      </c>
      <c r="E26">
        <f>Yht1!AD30</f>
        <v>573</v>
      </c>
    </row>
    <row r="27" spans="1:8" ht="18.75" x14ac:dyDescent="0.25">
      <c r="A27">
        <f>Kalenteri!A27</f>
        <v>41301</v>
      </c>
      <c r="B27">
        <f t="shared" si="0"/>
        <v>1</v>
      </c>
      <c r="C27">
        <f t="shared" si="1"/>
        <v>1</v>
      </c>
      <c r="D27" s="130">
        <f t="shared" si="2"/>
        <v>41301</v>
      </c>
      <c r="E27">
        <f>Yht1!AD31</f>
        <v>444</v>
      </c>
    </row>
    <row r="28" spans="1:8" ht="18.75" x14ac:dyDescent="0.25">
      <c r="A28">
        <f>Kalenteri!A28</f>
        <v>41302</v>
      </c>
      <c r="B28">
        <f t="shared" si="0"/>
        <v>2</v>
      </c>
      <c r="C28">
        <f t="shared" si="1"/>
        <v>1</v>
      </c>
      <c r="D28" s="130">
        <f t="shared" si="2"/>
        <v>41302</v>
      </c>
      <c r="E28">
        <f>Yht1!AD32</f>
        <v>35</v>
      </c>
    </row>
    <row r="29" spans="1:8" ht="18.75" x14ac:dyDescent="0.25">
      <c r="A29">
        <f>Kalenteri!A29</f>
        <v>41303</v>
      </c>
      <c r="B29">
        <f t="shared" si="0"/>
        <v>3</v>
      </c>
      <c r="C29">
        <f t="shared" si="1"/>
        <v>1</v>
      </c>
      <c r="D29" s="130">
        <f t="shared" si="2"/>
        <v>41303</v>
      </c>
      <c r="E29">
        <f>Yht1!AD33</f>
        <v>56</v>
      </c>
    </row>
    <row r="30" spans="1:8" ht="18.75" x14ac:dyDescent="0.25">
      <c r="A30">
        <f>Kalenteri!A30</f>
        <v>41304</v>
      </c>
      <c r="B30">
        <f t="shared" si="0"/>
        <v>4</v>
      </c>
      <c r="C30">
        <f t="shared" si="1"/>
        <v>1</v>
      </c>
      <c r="D30" s="130">
        <f t="shared" si="2"/>
        <v>41304</v>
      </c>
      <c r="E30">
        <f>Yht1!AD34</f>
        <v>59</v>
      </c>
    </row>
    <row r="31" spans="1:8" ht="18.75" x14ac:dyDescent="0.25">
      <c r="A31">
        <f>Kalenteri!A31</f>
        <v>41305</v>
      </c>
      <c r="B31">
        <f t="shared" si="0"/>
        <v>5</v>
      </c>
      <c r="C31">
        <f t="shared" si="1"/>
        <v>1</v>
      </c>
      <c r="D31" s="130">
        <f t="shared" si="2"/>
        <v>41305</v>
      </c>
      <c r="E31">
        <f>Yht1!AD35</f>
        <v>105</v>
      </c>
    </row>
    <row r="32" spans="1:8" ht="18.75" x14ac:dyDescent="0.25">
      <c r="A32">
        <f>Kalenteri!A32</f>
        <v>41306</v>
      </c>
      <c r="B32">
        <f t="shared" si="0"/>
        <v>6</v>
      </c>
      <c r="C32">
        <f t="shared" si="1"/>
        <v>2</v>
      </c>
      <c r="D32" s="130">
        <f t="shared" si="2"/>
        <v>41306</v>
      </c>
      <c r="E32">
        <f>Yht2!AD5</f>
        <v>44</v>
      </c>
    </row>
    <row r="33" spans="1:5" ht="18.75" x14ac:dyDescent="0.25">
      <c r="A33">
        <f>Kalenteri!A33</f>
        <v>41307</v>
      </c>
      <c r="B33">
        <f t="shared" si="0"/>
        <v>7</v>
      </c>
      <c r="C33">
        <f t="shared" si="1"/>
        <v>2</v>
      </c>
      <c r="D33" s="130">
        <f t="shared" si="2"/>
        <v>41307</v>
      </c>
      <c r="E33">
        <f>Yht2!AD6</f>
        <v>974</v>
      </c>
    </row>
    <row r="34" spans="1:5" ht="18.75" x14ac:dyDescent="0.25">
      <c r="A34">
        <f>Kalenteri!A34</f>
        <v>41308</v>
      </c>
      <c r="B34">
        <f t="shared" si="0"/>
        <v>1</v>
      </c>
      <c r="C34">
        <f t="shared" si="1"/>
        <v>2</v>
      </c>
      <c r="D34" s="130">
        <f t="shared" si="2"/>
        <v>41308</v>
      </c>
      <c r="E34">
        <f>Yht2!AD7</f>
        <v>1687</v>
      </c>
    </row>
    <row r="35" spans="1:5" ht="18.75" x14ac:dyDescent="0.25">
      <c r="A35">
        <f>Kalenteri!A35</f>
        <v>41309</v>
      </c>
      <c r="B35">
        <f t="shared" si="0"/>
        <v>2</v>
      </c>
      <c r="C35">
        <f t="shared" si="1"/>
        <v>2</v>
      </c>
      <c r="D35" s="130">
        <f t="shared" si="2"/>
        <v>41309</v>
      </c>
      <c r="E35">
        <f>Yht2!AD8</f>
        <v>98</v>
      </c>
    </row>
    <row r="36" spans="1:5" ht="18.75" x14ac:dyDescent="0.25">
      <c r="A36">
        <f>Kalenteri!A36</f>
        <v>41310</v>
      </c>
      <c r="B36">
        <f t="shared" si="0"/>
        <v>3</v>
      </c>
      <c r="C36">
        <f t="shared" si="1"/>
        <v>2</v>
      </c>
      <c r="D36" s="130">
        <f t="shared" si="2"/>
        <v>41310</v>
      </c>
      <c r="E36">
        <f>Yht2!AD9</f>
        <v>99</v>
      </c>
    </row>
    <row r="37" spans="1:5" ht="18.75" x14ac:dyDescent="0.25">
      <c r="A37">
        <f>Kalenteri!A37</f>
        <v>41311</v>
      </c>
      <c r="B37">
        <f t="shared" si="0"/>
        <v>4</v>
      </c>
      <c r="C37">
        <f t="shared" si="1"/>
        <v>2</v>
      </c>
      <c r="D37" s="130">
        <f t="shared" si="2"/>
        <v>41311</v>
      </c>
      <c r="E37">
        <f>Yht2!AD10</f>
        <v>72</v>
      </c>
    </row>
    <row r="38" spans="1:5" ht="18.75" x14ac:dyDescent="0.25">
      <c r="A38">
        <f>Kalenteri!A38</f>
        <v>41312</v>
      </c>
      <c r="B38">
        <f t="shared" si="0"/>
        <v>5</v>
      </c>
      <c r="C38">
        <f t="shared" si="1"/>
        <v>2</v>
      </c>
      <c r="D38" s="130">
        <f t="shared" si="2"/>
        <v>41312</v>
      </c>
      <c r="E38">
        <f>Yht2!AD11</f>
        <v>92</v>
      </c>
    </row>
    <row r="39" spans="1:5" ht="18.75" x14ac:dyDescent="0.25">
      <c r="A39">
        <f>Kalenteri!A39</f>
        <v>41313</v>
      </c>
      <c r="B39">
        <f t="shared" si="0"/>
        <v>6</v>
      </c>
      <c r="C39">
        <f t="shared" si="1"/>
        <v>2</v>
      </c>
      <c r="D39" s="130">
        <f t="shared" si="2"/>
        <v>41313</v>
      </c>
      <c r="E39">
        <f>Yht2!AD12</f>
        <v>100</v>
      </c>
    </row>
    <row r="40" spans="1:5" ht="18.75" x14ac:dyDescent="0.25">
      <c r="A40">
        <f>Kalenteri!A40</f>
        <v>41314</v>
      </c>
      <c r="B40">
        <f t="shared" si="0"/>
        <v>7</v>
      </c>
      <c r="C40">
        <f t="shared" si="1"/>
        <v>2</v>
      </c>
      <c r="D40" s="130">
        <f t="shared" si="2"/>
        <v>41314</v>
      </c>
      <c r="E40">
        <f>Yht2!AD13</f>
        <v>1036</v>
      </c>
    </row>
    <row r="41" spans="1:5" ht="18.75" x14ac:dyDescent="0.25">
      <c r="A41">
        <f>Kalenteri!A41</f>
        <v>41315</v>
      </c>
      <c r="B41">
        <f t="shared" si="0"/>
        <v>1</v>
      </c>
      <c r="C41">
        <f t="shared" si="1"/>
        <v>2</v>
      </c>
      <c r="D41" s="130">
        <f t="shared" si="2"/>
        <v>41315</v>
      </c>
      <c r="E41">
        <f>Yht2!AD14</f>
        <v>1467</v>
      </c>
    </row>
    <row r="42" spans="1:5" ht="18.75" x14ac:dyDescent="0.25">
      <c r="A42">
        <f>Kalenteri!A42</f>
        <v>41316</v>
      </c>
      <c r="B42">
        <f t="shared" si="0"/>
        <v>2</v>
      </c>
      <c r="C42">
        <f t="shared" si="1"/>
        <v>2</v>
      </c>
      <c r="D42" s="130">
        <f t="shared" si="2"/>
        <v>41316</v>
      </c>
      <c r="E42">
        <f>Yht2!AD15</f>
        <v>172</v>
      </c>
    </row>
    <row r="43" spans="1:5" ht="18.75" x14ac:dyDescent="0.25">
      <c r="A43">
        <f>Kalenteri!A43</f>
        <v>41317</v>
      </c>
      <c r="B43">
        <f t="shared" si="0"/>
        <v>3</v>
      </c>
      <c r="C43">
        <f t="shared" si="1"/>
        <v>2</v>
      </c>
      <c r="D43" s="130">
        <f t="shared" si="2"/>
        <v>41317</v>
      </c>
      <c r="E43">
        <f>Yht2!AD16</f>
        <v>155</v>
      </c>
    </row>
    <row r="44" spans="1:5" ht="18.75" x14ac:dyDescent="0.25">
      <c r="A44">
        <f>Kalenteri!A44</f>
        <v>41318</v>
      </c>
      <c r="B44">
        <f t="shared" si="0"/>
        <v>4</v>
      </c>
      <c r="C44">
        <f t="shared" si="1"/>
        <v>2</v>
      </c>
      <c r="D44" s="130">
        <f t="shared" si="2"/>
        <v>41318</v>
      </c>
      <c r="E44">
        <f>Yht2!AD17</f>
        <v>277</v>
      </c>
    </row>
    <row r="45" spans="1:5" ht="18.75" x14ac:dyDescent="0.25">
      <c r="A45">
        <f>Kalenteri!A45</f>
        <v>41319</v>
      </c>
      <c r="B45">
        <f t="shared" si="0"/>
        <v>5</v>
      </c>
      <c r="C45">
        <f t="shared" si="1"/>
        <v>2</v>
      </c>
      <c r="D45" s="130">
        <f t="shared" si="2"/>
        <v>41319</v>
      </c>
      <c r="E45">
        <f>Yht2!AD18</f>
        <v>223</v>
      </c>
    </row>
    <row r="46" spans="1:5" ht="18.75" x14ac:dyDescent="0.25">
      <c r="A46">
        <f>Kalenteri!A46</f>
        <v>41320</v>
      </c>
      <c r="B46">
        <f t="shared" si="0"/>
        <v>6</v>
      </c>
      <c r="C46">
        <f t="shared" si="1"/>
        <v>2</v>
      </c>
      <c r="D46" s="130">
        <f t="shared" si="2"/>
        <v>41320</v>
      </c>
      <c r="E46">
        <f>Yht2!AD19</f>
        <v>211</v>
      </c>
    </row>
    <row r="47" spans="1:5" ht="18.75" x14ac:dyDescent="0.25">
      <c r="A47">
        <f>Kalenteri!A47</f>
        <v>41321</v>
      </c>
      <c r="B47">
        <f t="shared" si="0"/>
        <v>7</v>
      </c>
      <c r="C47">
        <f t="shared" si="1"/>
        <v>2</v>
      </c>
      <c r="D47" s="130">
        <f t="shared" si="2"/>
        <v>41321</v>
      </c>
      <c r="E47">
        <f>Yht2!AD20</f>
        <v>834</v>
      </c>
    </row>
    <row r="48" spans="1:5" ht="18.75" x14ac:dyDescent="0.25">
      <c r="A48">
        <f>Kalenteri!A48</f>
        <v>41322</v>
      </c>
      <c r="B48">
        <f t="shared" si="0"/>
        <v>1</v>
      </c>
      <c r="C48">
        <f t="shared" si="1"/>
        <v>2</v>
      </c>
      <c r="D48" s="130">
        <f t="shared" si="2"/>
        <v>41322</v>
      </c>
      <c r="E48">
        <f>Yht2!AD21</f>
        <v>790</v>
      </c>
    </row>
    <row r="49" spans="1:5" ht="18.75" x14ac:dyDescent="0.25">
      <c r="A49">
        <f>Kalenteri!A49</f>
        <v>41323</v>
      </c>
      <c r="B49">
        <f t="shared" si="0"/>
        <v>2</v>
      </c>
      <c r="C49">
        <f t="shared" si="1"/>
        <v>2</v>
      </c>
      <c r="D49" s="130">
        <f t="shared" si="2"/>
        <v>41323</v>
      </c>
      <c r="E49">
        <f>Yht2!AD22</f>
        <v>444</v>
      </c>
    </row>
    <row r="50" spans="1:5" ht="18.75" x14ac:dyDescent="0.25">
      <c r="A50">
        <f>Kalenteri!A50</f>
        <v>41324</v>
      </c>
      <c r="B50">
        <f t="shared" si="0"/>
        <v>3</v>
      </c>
      <c r="C50">
        <f t="shared" si="1"/>
        <v>2</v>
      </c>
      <c r="D50" s="130">
        <f t="shared" si="2"/>
        <v>41324</v>
      </c>
      <c r="E50">
        <f>Yht2!AD23</f>
        <v>450</v>
      </c>
    </row>
    <row r="51" spans="1:5" ht="18.75" x14ac:dyDescent="0.25">
      <c r="A51">
        <f>Kalenteri!A51</f>
        <v>41325</v>
      </c>
      <c r="B51">
        <f t="shared" si="0"/>
        <v>4</v>
      </c>
      <c r="C51">
        <f t="shared" si="1"/>
        <v>2</v>
      </c>
      <c r="D51" s="130">
        <f t="shared" si="2"/>
        <v>41325</v>
      </c>
      <c r="E51">
        <f>Yht2!AD24</f>
        <v>595</v>
      </c>
    </row>
    <row r="52" spans="1:5" ht="18.75" x14ac:dyDescent="0.25">
      <c r="A52">
        <f>Kalenteri!A52</f>
        <v>41326</v>
      </c>
      <c r="B52">
        <f t="shared" si="0"/>
        <v>5</v>
      </c>
      <c r="C52">
        <f t="shared" si="1"/>
        <v>2</v>
      </c>
      <c r="D52" s="130">
        <f t="shared" si="2"/>
        <v>41326</v>
      </c>
      <c r="E52">
        <f>Yht2!AD25</f>
        <v>606</v>
      </c>
    </row>
    <row r="53" spans="1:5" ht="18.75" x14ac:dyDescent="0.25">
      <c r="A53">
        <f>Kalenteri!A53</f>
        <v>41327</v>
      </c>
      <c r="B53">
        <f t="shared" si="0"/>
        <v>6</v>
      </c>
      <c r="C53">
        <f t="shared" si="1"/>
        <v>2</v>
      </c>
      <c r="D53" s="130">
        <f t="shared" si="2"/>
        <v>41327</v>
      </c>
      <c r="E53">
        <f>Yht2!AD26</f>
        <v>684</v>
      </c>
    </row>
    <row r="54" spans="1:5" ht="18.75" x14ac:dyDescent="0.25">
      <c r="A54">
        <f>Kalenteri!A54</f>
        <v>41328</v>
      </c>
      <c r="B54">
        <f t="shared" si="0"/>
        <v>7</v>
      </c>
      <c r="C54">
        <f t="shared" si="1"/>
        <v>2</v>
      </c>
      <c r="D54" s="130">
        <f t="shared" si="2"/>
        <v>41328</v>
      </c>
      <c r="E54">
        <f>Yht2!AD27</f>
        <v>735</v>
      </c>
    </row>
    <row r="55" spans="1:5" ht="18.75" x14ac:dyDescent="0.25">
      <c r="A55">
        <f>Kalenteri!A55</f>
        <v>41329</v>
      </c>
      <c r="B55">
        <f t="shared" si="0"/>
        <v>1</v>
      </c>
      <c r="C55">
        <f t="shared" si="1"/>
        <v>2</v>
      </c>
      <c r="D55" s="130">
        <f t="shared" si="2"/>
        <v>41329</v>
      </c>
      <c r="E55">
        <f>Yht2!AD28</f>
        <v>1046</v>
      </c>
    </row>
    <row r="56" spans="1:5" ht="18.75" x14ac:dyDescent="0.25">
      <c r="A56">
        <f>Kalenteri!A56</f>
        <v>41330</v>
      </c>
      <c r="B56">
        <f t="shared" si="0"/>
        <v>2</v>
      </c>
      <c r="C56">
        <f t="shared" si="1"/>
        <v>2</v>
      </c>
      <c r="D56" s="130">
        <f t="shared" si="2"/>
        <v>41330</v>
      </c>
      <c r="E56">
        <f>Yht2!AD29</f>
        <v>317</v>
      </c>
    </row>
    <row r="57" spans="1:5" ht="18.75" x14ac:dyDescent="0.25">
      <c r="A57">
        <f>Kalenteri!A57</f>
        <v>41331</v>
      </c>
      <c r="B57">
        <f t="shared" si="0"/>
        <v>3</v>
      </c>
      <c r="C57">
        <f t="shared" si="1"/>
        <v>2</v>
      </c>
      <c r="D57" s="130">
        <f t="shared" si="2"/>
        <v>41331</v>
      </c>
      <c r="E57">
        <f>Yht2!AD30</f>
        <v>190</v>
      </c>
    </row>
    <row r="58" spans="1:5" ht="18.75" x14ac:dyDescent="0.25">
      <c r="A58">
        <f>Kalenteri!A58</f>
        <v>41332</v>
      </c>
      <c r="B58">
        <f t="shared" si="0"/>
        <v>4</v>
      </c>
      <c r="C58">
        <f t="shared" si="1"/>
        <v>2</v>
      </c>
      <c r="D58" s="130">
        <f t="shared" si="2"/>
        <v>41332</v>
      </c>
      <c r="E58">
        <f>Yht2!AD31</f>
        <v>335</v>
      </c>
    </row>
    <row r="59" spans="1:5" ht="18.75" x14ac:dyDescent="0.25">
      <c r="A59">
        <f>Kalenteri!A59</f>
        <v>41333</v>
      </c>
      <c r="B59">
        <f t="shared" si="0"/>
        <v>5</v>
      </c>
      <c r="C59">
        <f t="shared" si="1"/>
        <v>2</v>
      </c>
      <c r="D59" s="130">
        <f t="shared" si="2"/>
        <v>41333</v>
      </c>
      <c r="E59">
        <f>Yht2!AD32</f>
        <v>429</v>
      </c>
    </row>
    <row r="60" spans="1:5" ht="18.75" x14ac:dyDescent="0.25">
      <c r="A60">
        <f>Kalenteri!A61</f>
        <v>41335</v>
      </c>
      <c r="B60">
        <f>WEEKDAY(A60)</f>
        <v>7</v>
      </c>
      <c r="C60">
        <f>MONTH(A60)</f>
        <v>3</v>
      </c>
      <c r="D60" s="130">
        <f t="shared" si="2"/>
        <v>41335</v>
      </c>
      <c r="E60">
        <f>Yht3!AD6</f>
        <v>509</v>
      </c>
    </row>
    <row r="61" spans="1:5" ht="18.75" x14ac:dyDescent="0.25">
      <c r="A61">
        <f>Kalenteri!A62</f>
        <v>41336</v>
      </c>
      <c r="B61">
        <f>WEEKDAY(A61)</f>
        <v>1</v>
      </c>
      <c r="C61">
        <f>MONTH(A61)</f>
        <v>3</v>
      </c>
      <c r="D61" s="130">
        <f t="shared" si="2"/>
        <v>41336</v>
      </c>
      <c r="E61">
        <f>Yht3!AD7</f>
        <v>192</v>
      </c>
    </row>
    <row r="62" spans="1:5" ht="18.75" x14ac:dyDescent="0.25">
      <c r="A62">
        <f>Kalenteri!A63</f>
        <v>41337</v>
      </c>
      <c r="B62">
        <f>WEEKDAY(A62)</f>
        <v>2</v>
      </c>
      <c r="C62">
        <f>MONTH(A62)</f>
        <v>3</v>
      </c>
      <c r="D62" s="130">
        <f t="shared" si="2"/>
        <v>41337</v>
      </c>
      <c r="E62">
        <f>Yht3!AD8</f>
        <v>100</v>
      </c>
    </row>
    <row r="63" spans="1:5" ht="18.75" x14ac:dyDescent="0.25">
      <c r="A63">
        <f>Kalenteri!A64</f>
        <v>41338</v>
      </c>
      <c r="B63">
        <f>WEEKDAY(A63)</f>
        <v>3</v>
      </c>
      <c r="C63">
        <f>MONTH(A63)</f>
        <v>3</v>
      </c>
      <c r="D63" s="130">
        <f t="shared" si="2"/>
        <v>41338</v>
      </c>
      <c r="E63">
        <f>Yht3!AD9</f>
        <v>174</v>
      </c>
    </row>
    <row r="64" spans="1:5" ht="18.75" x14ac:dyDescent="0.25">
      <c r="A64">
        <f>Kalenteri!A65</f>
        <v>41339</v>
      </c>
      <c r="B64">
        <f t="shared" ref="B64:B127" si="3">WEEKDAY(A64)</f>
        <v>4</v>
      </c>
      <c r="C64">
        <f t="shared" ref="C64:C127" si="4">MONTH(A64)</f>
        <v>3</v>
      </c>
      <c r="D64" s="130">
        <f t="shared" ref="D64:D127" si="5">+A64</f>
        <v>41339</v>
      </c>
      <c r="E64">
        <f>Yht3!AD10</f>
        <v>206</v>
      </c>
    </row>
    <row r="65" spans="1:5" ht="18.75" x14ac:dyDescent="0.25">
      <c r="A65">
        <f>Kalenteri!A66</f>
        <v>41340</v>
      </c>
      <c r="B65">
        <f t="shared" si="3"/>
        <v>5</v>
      </c>
      <c r="C65">
        <f t="shared" si="4"/>
        <v>3</v>
      </c>
      <c r="D65" s="130">
        <f t="shared" si="5"/>
        <v>41340</v>
      </c>
      <c r="E65">
        <f>Yht3!AD11</f>
        <v>288</v>
      </c>
    </row>
    <row r="66" spans="1:5" ht="18.75" x14ac:dyDescent="0.25">
      <c r="A66">
        <f>Kalenteri!A67</f>
        <v>41341</v>
      </c>
      <c r="B66">
        <f t="shared" si="3"/>
        <v>6</v>
      </c>
      <c r="C66">
        <f t="shared" si="4"/>
        <v>3</v>
      </c>
      <c r="D66" s="130">
        <f t="shared" si="5"/>
        <v>41341</v>
      </c>
      <c r="E66">
        <f>Yht3!AD12</f>
        <v>308</v>
      </c>
    </row>
    <row r="67" spans="1:5" ht="18.75" x14ac:dyDescent="0.25">
      <c r="A67">
        <f>Kalenteri!A68</f>
        <v>41342</v>
      </c>
      <c r="B67">
        <f t="shared" si="3"/>
        <v>7</v>
      </c>
      <c r="C67">
        <f t="shared" si="4"/>
        <v>3</v>
      </c>
      <c r="D67" s="130">
        <f t="shared" si="5"/>
        <v>41342</v>
      </c>
      <c r="E67">
        <f>Yht3!AD13</f>
        <v>606</v>
      </c>
    </row>
    <row r="68" spans="1:5" ht="18.75" x14ac:dyDescent="0.25">
      <c r="A68">
        <f>Kalenteri!A69</f>
        <v>41343</v>
      </c>
      <c r="B68">
        <f t="shared" si="3"/>
        <v>1</v>
      </c>
      <c r="C68">
        <f t="shared" si="4"/>
        <v>3</v>
      </c>
      <c r="D68" s="130">
        <f t="shared" si="5"/>
        <v>41343</v>
      </c>
      <c r="E68">
        <f>Yht3!AD14</f>
        <v>496</v>
      </c>
    </row>
    <row r="69" spans="1:5" ht="18.75" x14ac:dyDescent="0.25">
      <c r="A69">
        <f>Kalenteri!A70</f>
        <v>41344</v>
      </c>
      <c r="B69">
        <f t="shared" si="3"/>
        <v>2</v>
      </c>
      <c r="C69">
        <f t="shared" si="4"/>
        <v>3</v>
      </c>
      <c r="D69" s="130">
        <f t="shared" si="5"/>
        <v>41344</v>
      </c>
      <c r="E69">
        <f>Yht3!AD15</f>
        <v>87</v>
      </c>
    </row>
    <row r="70" spans="1:5" ht="18.75" x14ac:dyDescent="0.25">
      <c r="A70">
        <f>Kalenteri!A71</f>
        <v>41345</v>
      </c>
      <c r="B70">
        <f t="shared" si="3"/>
        <v>3</v>
      </c>
      <c r="C70">
        <f t="shared" si="4"/>
        <v>3</v>
      </c>
      <c r="D70" s="130">
        <f t="shared" si="5"/>
        <v>41345</v>
      </c>
      <c r="E70">
        <f>Yht3!AD16</f>
        <v>74</v>
      </c>
    </row>
    <row r="71" spans="1:5" ht="18.75" x14ac:dyDescent="0.25">
      <c r="A71">
        <f>Kalenteri!A72</f>
        <v>41346</v>
      </c>
      <c r="B71">
        <f t="shared" si="3"/>
        <v>4</v>
      </c>
      <c r="C71">
        <f t="shared" si="4"/>
        <v>3</v>
      </c>
      <c r="D71" s="130">
        <f t="shared" si="5"/>
        <v>41346</v>
      </c>
      <c r="E71">
        <f>Yht3!AD17</f>
        <v>76</v>
      </c>
    </row>
    <row r="72" spans="1:5" ht="18.75" x14ac:dyDescent="0.25">
      <c r="A72">
        <f>Kalenteri!A73</f>
        <v>41347</v>
      </c>
      <c r="B72">
        <f t="shared" si="3"/>
        <v>5</v>
      </c>
      <c r="C72">
        <f t="shared" si="4"/>
        <v>3</v>
      </c>
      <c r="D72" s="130">
        <f t="shared" si="5"/>
        <v>41347</v>
      </c>
      <c r="E72">
        <f>Yht3!AD18</f>
        <v>79</v>
      </c>
    </row>
    <row r="73" spans="1:5" ht="18.75" x14ac:dyDescent="0.25">
      <c r="A73">
        <f>Kalenteri!A74</f>
        <v>41348</v>
      </c>
      <c r="B73">
        <f t="shared" si="3"/>
        <v>6</v>
      </c>
      <c r="C73">
        <f t="shared" si="4"/>
        <v>3</v>
      </c>
      <c r="D73" s="130">
        <f t="shared" si="5"/>
        <v>41348</v>
      </c>
      <c r="E73">
        <f>Yht3!AD19</f>
        <v>102</v>
      </c>
    </row>
    <row r="74" spans="1:5" ht="18.75" x14ac:dyDescent="0.25">
      <c r="A74">
        <f>Kalenteri!A75</f>
        <v>41349</v>
      </c>
      <c r="B74">
        <f t="shared" si="3"/>
        <v>7</v>
      </c>
      <c r="C74">
        <f t="shared" si="4"/>
        <v>3</v>
      </c>
      <c r="D74" s="130">
        <f t="shared" si="5"/>
        <v>41349</v>
      </c>
      <c r="E74">
        <f>Yht3!AD20</f>
        <v>722</v>
      </c>
    </row>
    <row r="75" spans="1:5" ht="18.75" x14ac:dyDescent="0.25">
      <c r="A75">
        <f>Kalenteri!A76</f>
        <v>41350</v>
      </c>
      <c r="B75">
        <f t="shared" si="3"/>
        <v>1</v>
      </c>
      <c r="C75">
        <f t="shared" si="4"/>
        <v>3</v>
      </c>
      <c r="D75" s="130">
        <f t="shared" si="5"/>
        <v>41350</v>
      </c>
      <c r="E75">
        <f>Yht3!AD21</f>
        <v>988</v>
      </c>
    </row>
    <row r="76" spans="1:5" ht="18.75" x14ac:dyDescent="0.25">
      <c r="A76">
        <f>Kalenteri!A77</f>
        <v>41351</v>
      </c>
      <c r="B76">
        <f t="shared" si="3"/>
        <v>2</v>
      </c>
      <c r="C76">
        <f t="shared" si="4"/>
        <v>3</v>
      </c>
      <c r="D76" s="130">
        <f t="shared" si="5"/>
        <v>41351</v>
      </c>
      <c r="E76">
        <f>Yht3!AD22</f>
        <v>165</v>
      </c>
    </row>
    <row r="77" spans="1:5" ht="18.75" x14ac:dyDescent="0.25">
      <c r="A77">
        <f>Kalenteri!A78</f>
        <v>41352</v>
      </c>
      <c r="B77">
        <f t="shared" si="3"/>
        <v>3</v>
      </c>
      <c r="C77">
        <f t="shared" si="4"/>
        <v>3</v>
      </c>
      <c r="D77" s="130">
        <f t="shared" si="5"/>
        <v>41352</v>
      </c>
      <c r="E77">
        <f>Yht3!AD23</f>
        <v>107</v>
      </c>
    </row>
    <row r="78" spans="1:5" ht="18.75" x14ac:dyDescent="0.25">
      <c r="A78">
        <f>Kalenteri!A79</f>
        <v>41353</v>
      </c>
      <c r="B78">
        <f t="shared" si="3"/>
        <v>4</v>
      </c>
      <c r="C78">
        <f t="shared" si="4"/>
        <v>3</v>
      </c>
      <c r="D78" s="130">
        <f t="shared" si="5"/>
        <v>41353</v>
      </c>
      <c r="E78">
        <f>Yht3!AD24</f>
        <v>108</v>
      </c>
    </row>
    <row r="79" spans="1:5" ht="18.75" x14ac:dyDescent="0.25">
      <c r="A79">
        <f>Kalenteri!A80</f>
        <v>41354</v>
      </c>
      <c r="B79">
        <f t="shared" si="3"/>
        <v>5</v>
      </c>
      <c r="C79">
        <f t="shared" si="4"/>
        <v>3</v>
      </c>
      <c r="D79" s="130">
        <f t="shared" si="5"/>
        <v>41354</v>
      </c>
      <c r="E79">
        <f>Yht3!AD25</f>
        <v>128</v>
      </c>
    </row>
    <row r="80" spans="1:5" ht="18.75" x14ac:dyDescent="0.25">
      <c r="A80">
        <f>Kalenteri!A81</f>
        <v>41355</v>
      </c>
      <c r="B80">
        <f t="shared" si="3"/>
        <v>6</v>
      </c>
      <c r="C80">
        <f t="shared" si="4"/>
        <v>3</v>
      </c>
      <c r="D80" s="130">
        <f t="shared" si="5"/>
        <v>41355</v>
      </c>
      <c r="E80">
        <f>Yht3!AD26</f>
        <v>135</v>
      </c>
    </row>
    <row r="81" spans="1:5" ht="18.75" x14ac:dyDescent="0.25">
      <c r="A81">
        <f>Kalenteri!A82</f>
        <v>41356</v>
      </c>
      <c r="B81">
        <f t="shared" si="3"/>
        <v>7</v>
      </c>
      <c r="C81">
        <f t="shared" si="4"/>
        <v>3</v>
      </c>
      <c r="D81" s="130">
        <f t="shared" si="5"/>
        <v>41356</v>
      </c>
      <c r="E81">
        <f>Yht3!AD27</f>
        <v>597</v>
      </c>
    </row>
    <row r="82" spans="1:5" ht="18.75" x14ac:dyDescent="0.25">
      <c r="A82">
        <f>Kalenteri!A83</f>
        <v>41357</v>
      </c>
      <c r="B82">
        <f t="shared" si="3"/>
        <v>1</v>
      </c>
      <c r="C82">
        <f t="shared" si="4"/>
        <v>3</v>
      </c>
      <c r="D82" s="130">
        <f t="shared" si="5"/>
        <v>41357</v>
      </c>
      <c r="E82">
        <f>Yht3!AD28</f>
        <v>660</v>
      </c>
    </row>
    <row r="83" spans="1:5" ht="18.75" x14ac:dyDescent="0.25">
      <c r="A83">
        <f>Kalenteri!A84</f>
        <v>41358</v>
      </c>
      <c r="B83">
        <f t="shared" si="3"/>
        <v>2</v>
      </c>
      <c r="C83">
        <f t="shared" si="4"/>
        <v>3</v>
      </c>
      <c r="D83" s="130">
        <f t="shared" si="5"/>
        <v>41358</v>
      </c>
      <c r="E83">
        <f>Yht3!AD29</f>
        <v>190</v>
      </c>
    </row>
    <row r="84" spans="1:5" ht="18.75" x14ac:dyDescent="0.25">
      <c r="A84">
        <f>Kalenteri!A85</f>
        <v>41359</v>
      </c>
      <c r="B84">
        <f t="shared" si="3"/>
        <v>3</v>
      </c>
      <c r="C84">
        <f t="shared" si="4"/>
        <v>3</v>
      </c>
      <c r="D84" s="130">
        <f t="shared" si="5"/>
        <v>41359</v>
      </c>
      <c r="E84">
        <f>Yht3!AD30</f>
        <v>325</v>
      </c>
    </row>
    <row r="85" spans="1:5" ht="18.75" x14ac:dyDescent="0.25">
      <c r="A85">
        <f>Kalenteri!A86</f>
        <v>41360</v>
      </c>
      <c r="B85">
        <f t="shared" si="3"/>
        <v>4</v>
      </c>
      <c r="C85">
        <f t="shared" si="4"/>
        <v>3</v>
      </c>
      <c r="D85" s="130">
        <f t="shared" si="5"/>
        <v>41360</v>
      </c>
      <c r="E85">
        <f>Yht3!AD31</f>
        <v>247</v>
      </c>
    </row>
    <row r="86" spans="1:5" ht="18.75" x14ac:dyDescent="0.25">
      <c r="A86">
        <f>Kalenteri!A87</f>
        <v>41361</v>
      </c>
      <c r="B86">
        <f t="shared" si="3"/>
        <v>5</v>
      </c>
      <c r="C86">
        <f t="shared" si="4"/>
        <v>3</v>
      </c>
      <c r="D86" s="130">
        <f t="shared" si="5"/>
        <v>41361</v>
      </c>
      <c r="E86">
        <f>Yht3!AD32</f>
        <v>220</v>
      </c>
    </row>
    <row r="87" spans="1:5" ht="18.75" x14ac:dyDescent="0.25">
      <c r="A87">
        <f>Kalenteri!A88</f>
        <v>41362</v>
      </c>
      <c r="B87">
        <f t="shared" si="3"/>
        <v>6</v>
      </c>
      <c r="C87">
        <f t="shared" si="4"/>
        <v>3</v>
      </c>
      <c r="D87" s="130">
        <f t="shared" si="5"/>
        <v>41362</v>
      </c>
      <c r="E87">
        <f>Yht3!AD33</f>
        <v>2199</v>
      </c>
    </row>
    <row r="88" spans="1:5" ht="18.75" x14ac:dyDescent="0.25">
      <c r="A88">
        <f>Kalenteri!A89</f>
        <v>41363</v>
      </c>
      <c r="B88">
        <f t="shared" si="3"/>
        <v>7</v>
      </c>
      <c r="C88">
        <f t="shared" si="4"/>
        <v>3</v>
      </c>
      <c r="D88" s="130">
        <f t="shared" si="5"/>
        <v>41363</v>
      </c>
      <c r="E88">
        <f>Yht3!AD34</f>
        <v>1772</v>
      </c>
    </row>
    <row r="89" spans="1:5" ht="18.75" x14ac:dyDescent="0.25">
      <c r="A89">
        <f>Kalenteri!A90</f>
        <v>41364</v>
      </c>
      <c r="B89">
        <f t="shared" si="3"/>
        <v>1</v>
      </c>
      <c r="C89">
        <f t="shared" si="4"/>
        <v>3</v>
      </c>
      <c r="D89" s="130">
        <f t="shared" si="5"/>
        <v>41364</v>
      </c>
      <c r="E89">
        <f>Yht3!AD35</f>
        <v>2246</v>
      </c>
    </row>
    <row r="90" spans="1:5" ht="18.75" x14ac:dyDescent="0.25">
      <c r="A90">
        <f>Kalenteri!A91</f>
        <v>41365</v>
      </c>
      <c r="B90">
        <f t="shared" si="3"/>
        <v>2</v>
      </c>
      <c r="C90">
        <f t="shared" si="4"/>
        <v>4</v>
      </c>
      <c r="D90" s="130">
        <f t="shared" si="5"/>
        <v>41365</v>
      </c>
      <c r="E90">
        <f>Yht4!AD5</f>
        <v>2367</v>
      </c>
    </row>
    <row r="91" spans="1:5" ht="18.75" x14ac:dyDescent="0.25">
      <c r="A91">
        <f>Kalenteri!A92</f>
        <v>41366</v>
      </c>
      <c r="B91">
        <f t="shared" si="3"/>
        <v>3</v>
      </c>
      <c r="C91">
        <f t="shared" si="4"/>
        <v>4</v>
      </c>
      <c r="D91" s="130">
        <f t="shared" si="5"/>
        <v>41366</v>
      </c>
      <c r="E91">
        <f>Yht4!AD6</f>
        <v>178</v>
      </c>
    </row>
    <row r="92" spans="1:5" ht="18.75" x14ac:dyDescent="0.25">
      <c r="A92">
        <f>Kalenteri!A93</f>
        <v>41367</v>
      </c>
      <c r="B92">
        <f t="shared" si="3"/>
        <v>4</v>
      </c>
      <c r="C92">
        <f t="shared" si="4"/>
        <v>4</v>
      </c>
      <c r="D92" s="130">
        <f t="shared" si="5"/>
        <v>41367</v>
      </c>
      <c r="E92">
        <f>Yht4!AD7</f>
        <v>262</v>
      </c>
    </row>
    <row r="93" spans="1:5" ht="18.75" x14ac:dyDescent="0.25">
      <c r="A93">
        <f>Kalenteri!A94</f>
        <v>41368</v>
      </c>
      <c r="B93">
        <f t="shared" si="3"/>
        <v>5</v>
      </c>
      <c r="C93">
        <f t="shared" si="4"/>
        <v>4</v>
      </c>
      <c r="D93" s="130">
        <f t="shared" si="5"/>
        <v>41368</v>
      </c>
      <c r="E93">
        <f>Yht4!AD8</f>
        <v>201</v>
      </c>
    </row>
    <row r="94" spans="1:5" ht="18.75" x14ac:dyDescent="0.25">
      <c r="A94">
        <f>Kalenteri!A95</f>
        <v>41369</v>
      </c>
      <c r="B94">
        <f t="shared" si="3"/>
        <v>6</v>
      </c>
      <c r="C94">
        <f t="shared" si="4"/>
        <v>4</v>
      </c>
      <c r="D94" s="130">
        <f t="shared" si="5"/>
        <v>41369</v>
      </c>
      <c r="E94">
        <f>Yht4!AD9</f>
        <v>272</v>
      </c>
    </row>
    <row r="95" spans="1:5" ht="18.75" x14ac:dyDescent="0.25">
      <c r="A95">
        <f>Kalenteri!A96</f>
        <v>41370</v>
      </c>
      <c r="B95">
        <f t="shared" si="3"/>
        <v>7</v>
      </c>
      <c r="C95">
        <f t="shared" si="4"/>
        <v>4</v>
      </c>
      <c r="D95" s="130">
        <f t="shared" si="5"/>
        <v>41370</v>
      </c>
      <c r="E95">
        <f>Yht4!AD10</f>
        <v>1317</v>
      </c>
    </row>
    <row r="96" spans="1:5" ht="18.75" x14ac:dyDescent="0.25">
      <c r="A96">
        <f>Kalenteri!A97</f>
        <v>41371</v>
      </c>
      <c r="B96">
        <f t="shared" si="3"/>
        <v>1</v>
      </c>
      <c r="C96">
        <f t="shared" si="4"/>
        <v>4</v>
      </c>
      <c r="D96" s="130">
        <f t="shared" si="5"/>
        <v>41371</v>
      </c>
      <c r="E96">
        <f>Yht4!AD11</f>
        <v>724</v>
      </c>
    </row>
    <row r="97" spans="1:5" ht="18.75" x14ac:dyDescent="0.25">
      <c r="A97">
        <f>Kalenteri!A98</f>
        <v>41372</v>
      </c>
      <c r="B97">
        <f t="shared" si="3"/>
        <v>2</v>
      </c>
      <c r="C97">
        <f t="shared" si="4"/>
        <v>4</v>
      </c>
      <c r="D97" s="130">
        <f t="shared" si="5"/>
        <v>41372</v>
      </c>
      <c r="E97">
        <f>Yht4!AD12</f>
        <v>172</v>
      </c>
    </row>
    <row r="98" spans="1:5" ht="18.75" x14ac:dyDescent="0.25">
      <c r="A98">
        <f>Kalenteri!A99</f>
        <v>41373</v>
      </c>
      <c r="B98">
        <f t="shared" si="3"/>
        <v>3</v>
      </c>
      <c r="C98">
        <f t="shared" si="4"/>
        <v>4</v>
      </c>
      <c r="D98" s="130">
        <f t="shared" si="5"/>
        <v>41373</v>
      </c>
      <c r="E98">
        <f>Yht4!AD13</f>
        <v>217</v>
      </c>
    </row>
    <row r="99" spans="1:5" ht="18.75" x14ac:dyDescent="0.25">
      <c r="A99">
        <f>Kalenteri!A100</f>
        <v>41374</v>
      </c>
      <c r="B99">
        <f t="shared" si="3"/>
        <v>4</v>
      </c>
      <c r="C99">
        <f t="shared" si="4"/>
        <v>4</v>
      </c>
      <c r="D99" s="130">
        <f t="shared" si="5"/>
        <v>41374</v>
      </c>
      <c r="E99">
        <f>Yht4!AD14</f>
        <v>241</v>
      </c>
    </row>
    <row r="100" spans="1:5" ht="18.75" x14ac:dyDescent="0.25">
      <c r="A100">
        <f>Kalenteri!A101</f>
        <v>41375</v>
      </c>
      <c r="B100">
        <f t="shared" si="3"/>
        <v>5</v>
      </c>
      <c r="C100">
        <f t="shared" si="4"/>
        <v>4</v>
      </c>
      <c r="D100" s="130">
        <f t="shared" si="5"/>
        <v>41375</v>
      </c>
      <c r="E100">
        <f>Yht4!AD15</f>
        <v>140</v>
      </c>
    </row>
    <row r="101" spans="1:5" ht="18.75" x14ac:dyDescent="0.25">
      <c r="A101">
        <f>Kalenteri!A102</f>
        <v>41376</v>
      </c>
      <c r="B101">
        <f t="shared" si="3"/>
        <v>6</v>
      </c>
      <c r="C101">
        <f t="shared" si="4"/>
        <v>4</v>
      </c>
      <c r="D101" s="130">
        <f t="shared" si="5"/>
        <v>41376</v>
      </c>
      <c r="E101">
        <f>Yht4!AD16</f>
        <v>198</v>
      </c>
    </row>
    <row r="102" spans="1:5" ht="18.75" x14ac:dyDescent="0.25">
      <c r="A102">
        <f>Kalenteri!A103</f>
        <v>41377</v>
      </c>
      <c r="B102">
        <f t="shared" si="3"/>
        <v>7</v>
      </c>
      <c r="C102">
        <f t="shared" si="4"/>
        <v>4</v>
      </c>
      <c r="D102" s="130">
        <f t="shared" si="5"/>
        <v>41377</v>
      </c>
      <c r="E102">
        <f>Yht4!AD17</f>
        <v>178</v>
      </c>
    </row>
    <row r="103" spans="1:5" ht="18.75" x14ac:dyDescent="0.25">
      <c r="A103">
        <f>Kalenteri!A104</f>
        <v>41378</v>
      </c>
      <c r="B103">
        <f t="shared" si="3"/>
        <v>1</v>
      </c>
      <c r="C103">
        <f t="shared" si="4"/>
        <v>4</v>
      </c>
      <c r="D103" s="130">
        <f t="shared" si="5"/>
        <v>41378</v>
      </c>
      <c r="E103">
        <f>Yht4!AD18</f>
        <v>572</v>
      </c>
    </row>
    <row r="104" spans="1:5" ht="18.75" x14ac:dyDescent="0.25">
      <c r="A104">
        <f>Kalenteri!A105</f>
        <v>41379</v>
      </c>
      <c r="B104">
        <f t="shared" si="3"/>
        <v>2</v>
      </c>
      <c r="C104">
        <f t="shared" si="4"/>
        <v>4</v>
      </c>
      <c r="D104" s="130">
        <f t="shared" si="5"/>
        <v>41379</v>
      </c>
      <c r="E104">
        <f>Yht4!AD19</f>
        <v>273</v>
      </c>
    </row>
    <row r="105" spans="1:5" ht="18.75" x14ac:dyDescent="0.25">
      <c r="A105">
        <f>Kalenteri!A106</f>
        <v>41380</v>
      </c>
      <c r="B105">
        <f t="shared" si="3"/>
        <v>3</v>
      </c>
      <c r="C105">
        <f t="shared" si="4"/>
        <v>4</v>
      </c>
      <c r="D105" s="130">
        <f t="shared" si="5"/>
        <v>41380</v>
      </c>
      <c r="E105">
        <f>Yht4!AD20</f>
        <v>306</v>
      </c>
    </row>
    <row r="106" spans="1:5" ht="18.75" x14ac:dyDescent="0.25">
      <c r="A106">
        <f>Kalenteri!A107</f>
        <v>41381</v>
      </c>
      <c r="B106">
        <f t="shared" si="3"/>
        <v>4</v>
      </c>
      <c r="C106">
        <f t="shared" si="4"/>
        <v>4</v>
      </c>
      <c r="D106" s="130">
        <f t="shared" si="5"/>
        <v>41381</v>
      </c>
      <c r="E106">
        <f>Yht4!AD21</f>
        <v>140</v>
      </c>
    </row>
    <row r="107" spans="1:5" ht="18.75" x14ac:dyDescent="0.25">
      <c r="A107">
        <f>Kalenteri!A108</f>
        <v>41382</v>
      </c>
      <c r="B107">
        <f t="shared" si="3"/>
        <v>5</v>
      </c>
      <c r="C107">
        <f t="shared" si="4"/>
        <v>4</v>
      </c>
      <c r="D107" s="130">
        <f t="shared" si="5"/>
        <v>41382</v>
      </c>
      <c r="E107">
        <f>Yht4!AD22</f>
        <v>189</v>
      </c>
    </row>
    <row r="108" spans="1:5" ht="18.75" x14ac:dyDescent="0.25">
      <c r="A108">
        <f>Kalenteri!A109</f>
        <v>41383</v>
      </c>
      <c r="B108">
        <f t="shared" si="3"/>
        <v>6</v>
      </c>
      <c r="C108">
        <f t="shared" si="4"/>
        <v>4</v>
      </c>
      <c r="D108" s="130">
        <f t="shared" si="5"/>
        <v>41383</v>
      </c>
      <c r="E108">
        <f>Yht4!AD23</f>
        <v>251</v>
      </c>
    </row>
    <row r="109" spans="1:5" ht="18.75" x14ac:dyDescent="0.25">
      <c r="A109">
        <f>Kalenteri!A110</f>
        <v>41384</v>
      </c>
      <c r="B109">
        <f t="shared" si="3"/>
        <v>7</v>
      </c>
      <c r="C109">
        <f t="shared" si="4"/>
        <v>4</v>
      </c>
      <c r="D109" s="130">
        <f t="shared" si="5"/>
        <v>41384</v>
      </c>
      <c r="E109">
        <f>Yht4!AD24</f>
        <v>1253</v>
      </c>
    </row>
    <row r="110" spans="1:5" ht="18.75" x14ac:dyDescent="0.25">
      <c r="A110">
        <f>Kalenteri!A111</f>
        <v>41385</v>
      </c>
      <c r="B110">
        <f t="shared" si="3"/>
        <v>1</v>
      </c>
      <c r="C110">
        <f t="shared" si="4"/>
        <v>4</v>
      </c>
      <c r="D110" s="130">
        <f t="shared" si="5"/>
        <v>41385</v>
      </c>
      <c r="E110">
        <f>Yht4!AD25</f>
        <v>1504</v>
      </c>
    </row>
    <row r="111" spans="1:5" ht="18.75" x14ac:dyDescent="0.25">
      <c r="A111">
        <f>Kalenteri!A112</f>
        <v>41386</v>
      </c>
      <c r="B111">
        <f t="shared" si="3"/>
        <v>2</v>
      </c>
      <c r="C111">
        <f t="shared" si="4"/>
        <v>4</v>
      </c>
      <c r="D111" s="130">
        <f t="shared" si="5"/>
        <v>41386</v>
      </c>
      <c r="E111">
        <f>Yht4!AD26</f>
        <v>462</v>
      </c>
    </row>
    <row r="112" spans="1:5" ht="18.75" x14ac:dyDescent="0.25">
      <c r="A112">
        <f>Kalenteri!A113</f>
        <v>41387</v>
      </c>
      <c r="B112">
        <f t="shared" si="3"/>
        <v>3</v>
      </c>
      <c r="C112">
        <f t="shared" si="4"/>
        <v>4</v>
      </c>
      <c r="D112" s="130">
        <f t="shared" si="5"/>
        <v>41387</v>
      </c>
      <c r="E112">
        <f>Yht4!AD27</f>
        <v>176</v>
      </c>
    </row>
    <row r="113" spans="1:5" ht="18.75" x14ac:dyDescent="0.25">
      <c r="A113">
        <f>Kalenteri!A114</f>
        <v>41388</v>
      </c>
      <c r="B113">
        <f t="shared" si="3"/>
        <v>4</v>
      </c>
      <c r="C113">
        <f t="shared" si="4"/>
        <v>4</v>
      </c>
      <c r="D113" s="130">
        <f t="shared" si="5"/>
        <v>41388</v>
      </c>
      <c r="E113">
        <f>Yht4!AD28</f>
        <v>362</v>
      </c>
    </row>
    <row r="114" spans="1:5" ht="18.75" x14ac:dyDescent="0.25">
      <c r="A114">
        <f>Kalenteri!A115</f>
        <v>41389</v>
      </c>
      <c r="B114">
        <f t="shared" si="3"/>
        <v>5</v>
      </c>
      <c r="C114">
        <f t="shared" si="4"/>
        <v>4</v>
      </c>
      <c r="D114" s="130">
        <f t="shared" si="5"/>
        <v>41389</v>
      </c>
      <c r="E114">
        <f>Yht4!AD29</f>
        <v>286</v>
      </c>
    </row>
    <row r="115" spans="1:5" ht="18.75" x14ac:dyDescent="0.25">
      <c r="A115">
        <f>Kalenteri!A116</f>
        <v>41390</v>
      </c>
      <c r="B115">
        <f t="shared" si="3"/>
        <v>6</v>
      </c>
      <c r="C115">
        <f t="shared" si="4"/>
        <v>4</v>
      </c>
      <c r="D115" s="130">
        <f t="shared" si="5"/>
        <v>41390</v>
      </c>
      <c r="E115">
        <f>Yht4!AD30</f>
        <v>317</v>
      </c>
    </row>
    <row r="116" spans="1:5" ht="18.75" x14ac:dyDescent="0.25">
      <c r="A116">
        <f>Kalenteri!A117</f>
        <v>41391</v>
      </c>
      <c r="B116">
        <f t="shared" si="3"/>
        <v>7</v>
      </c>
      <c r="C116">
        <f t="shared" si="4"/>
        <v>4</v>
      </c>
      <c r="D116" s="130">
        <f t="shared" si="5"/>
        <v>41391</v>
      </c>
      <c r="E116">
        <f>Yht4!AD31</f>
        <v>855</v>
      </c>
    </row>
    <row r="117" spans="1:5" ht="18.75" x14ac:dyDescent="0.25">
      <c r="A117">
        <f>Kalenteri!A118</f>
        <v>41392</v>
      </c>
      <c r="B117">
        <f t="shared" si="3"/>
        <v>1</v>
      </c>
      <c r="C117">
        <f t="shared" si="4"/>
        <v>4</v>
      </c>
      <c r="D117" s="130">
        <f t="shared" si="5"/>
        <v>41392</v>
      </c>
      <c r="E117">
        <f>Yht4!AD32</f>
        <v>1164</v>
      </c>
    </row>
    <row r="118" spans="1:5" ht="18.75" x14ac:dyDescent="0.25">
      <c r="A118">
        <f>Kalenteri!A119</f>
        <v>41393</v>
      </c>
      <c r="B118">
        <f t="shared" si="3"/>
        <v>2</v>
      </c>
      <c r="C118">
        <f t="shared" si="4"/>
        <v>4</v>
      </c>
      <c r="D118" s="130">
        <f t="shared" si="5"/>
        <v>41393</v>
      </c>
      <c r="E118">
        <f>Yht4!AD33</f>
        <v>325</v>
      </c>
    </row>
    <row r="119" spans="1:5" ht="18.75" x14ac:dyDescent="0.25">
      <c r="A119">
        <f>Kalenteri!A120</f>
        <v>41394</v>
      </c>
      <c r="B119">
        <f t="shared" si="3"/>
        <v>3</v>
      </c>
      <c r="C119">
        <f t="shared" si="4"/>
        <v>4</v>
      </c>
      <c r="D119" s="130">
        <f t="shared" si="5"/>
        <v>41394</v>
      </c>
      <c r="E119">
        <f>Yht4!AD34</f>
        <v>211</v>
      </c>
    </row>
    <row r="120" spans="1:5" ht="18.75" x14ac:dyDescent="0.25">
      <c r="A120">
        <f>Kalenteri!A121</f>
        <v>41395</v>
      </c>
      <c r="B120">
        <f t="shared" si="3"/>
        <v>4</v>
      </c>
      <c r="C120">
        <f t="shared" si="4"/>
        <v>5</v>
      </c>
      <c r="D120" s="130">
        <f t="shared" si="5"/>
        <v>41395</v>
      </c>
      <c r="E120">
        <f>Yht5!AD5</f>
        <v>2233</v>
      </c>
    </row>
    <row r="121" spans="1:5" ht="18.75" x14ac:dyDescent="0.25">
      <c r="A121">
        <f>Kalenteri!A122</f>
        <v>41396</v>
      </c>
      <c r="B121">
        <f t="shared" si="3"/>
        <v>5</v>
      </c>
      <c r="C121">
        <f t="shared" si="4"/>
        <v>5</v>
      </c>
      <c r="D121" s="130">
        <f t="shared" si="5"/>
        <v>41396</v>
      </c>
      <c r="E121">
        <f>Yht5!AD6</f>
        <v>1184</v>
      </c>
    </row>
    <row r="122" spans="1:5" ht="18.75" x14ac:dyDescent="0.25">
      <c r="A122">
        <f>Kalenteri!A123</f>
        <v>41397</v>
      </c>
      <c r="B122">
        <f t="shared" si="3"/>
        <v>6</v>
      </c>
      <c r="C122">
        <f t="shared" si="4"/>
        <v>5</v>
      </c>
      <c r="D122" s="130">
        <f t="shared" si="5"/>
        <v>41397</v>
      </c>
      <c r="E122">
        <f>Yht5!AD7</f>
        <v>2004</v>
      </c>
    </row>
    <row r="123" spans="1:5" ht="18.75" x14ac:dyDescent="0.25">
      <c r="A123">
        <f>Kalenteri!A124</f>
        <v>41398</v>
      </c>
      <c r="B123">
        <f t="shared" si="3"/>
        <v>7</v>
      </c>
      <c r="C123">
        <f t="shared" si="4"/>
        <v>5</v>
      </c>
      <c r="D123" s="130">
        <f t="shared" si="5"/>
        <v>41398</v>
      </c>
      <c r="E123">
        <f>Yht5!AD8</f>
        <v>2441</v>
      </c>
    </row>
    <row r="124" spans="1:5" ht="18.75" x14ac:dyDescent="0.25">
      <c r="A124">
        <f>Kalenteri!A125</f>
        <v>41399</v>
      </c>
      <c r="B124">
        <f t="shared" si="3"/>
        <v>1</v>
      </c>
      <c r="C124">
        <f t="shared" si="4"/>
        <v>5</v>
      </c>
      <c r="D124" s="130">
        <f t="shared" si="5"/>
        <v>41399</v>
      </c>
      <c r="E124">
        <f>Yht5!AD9</f>
        <v>884</v>
      </c>
    </row>
    <row r="125" spans="1:5" ht="18.75" x14ac:dyDescent="0.25">
      <c r="A125">
        <f>Kalenteri!A126</f>
        <v>41400</v>
      </c>
      <c r="B125">
        <f t="shared" si="3"/>
        <v>2</v>
      </c>
      <c r="C125">
        <f t="shared" si="4"/>
        <v>5</v>
      </c>
      <c r="D125" s="130">
        <f t="shared" si="5"/>
        <v>41400</v>
      </c>
      <c r="E125">
        <f>Yht5!AD10</f>
        <v>726</v>
      </c>
    </row>
    <row r="126" spans="1:5" ht="18.75" x14ac:dyDescent="0.25">
      <c r="A126">
        <f>Kalenteri!A127</f>
        <v>41401</v>
      </c>
      <c r="B126">
        <f t="shared" si="3"/>
        <v>3</v>
      </c>
      <c r="C126">
        <f t="shared" si="4"/>
        <v>5</v>
      </c>
      <c r="D126" s="130">
        <f t="shared" si="5"/>
        <v>41401</v>
      </c>
      <c r="E126">
        <f>Yht5!AD11</f>
        <v>1523</v>
      </c>
    </row>
    <row r="127" spans="1:5" ht="18.75" x14ac:dyDescent="0.25">
      <c r="A127">
        <f>Kalenteri!A128</f>
        <v>41402</v>
      </c>
      <c r="B127">
        <f t="shared" si="3"/>
        <v>4</v>
      </c>
      <c r="C127">
        <f t="shared" si="4"/>
        <v>5</v>
      </c>
      <c r="D127" s="130">
        <f t="shared" si="5"/>
        <v>41402</v>
      </c>
      <c r="E127">
        <f>Yht5!AD12</f>
        <v>1344</v>
      </c>
    </row>
    <row r="128" spans="1:5" ht="18.75" x14ac:dyDescent="0.25">
      <c r="A128">
        <f>Kalenteri!A129</f>
        <v>41403</v>
      </c>
      <c r="B128">
        <f t="shared" ref="B128:B191" si="6">WEEKDAY(A128)</f>
        <v>5</v>
      </c>
      <c r="C128">
        <f t="shared" ref="C128:C191" si="7">MONTH(A128)</f>
        <v>5</v>
      </c>
      <c r="D128" s="130">
        <f t="shared" ref="D128:D191" si="8">+A128</f>
        <v>41403</v>
      </c>
      <c r="E128">
        <f>Yht5!AD13</f>
        <v>2758</v>
      </c>
    </row>
    <row r="129" spans="1:5" ht="18.75" x14ac:dyDescent="0.25">
      <c r="A129">
        <f>Kalenteri!A130</f>
        <v>41404</v>
      </c>
      <c r="B129">
        <f t="shared" si="6"/>
        <v>6</v>
      </c>
      <c r="C129">
        <f t="shared" si="7"/>
        <v>5</v>
      </c>
      <c r="D129" s="130">
        <f t="shared" si="8"/>
        <v>41404</v>
      </c>
      <c r="E129">
        <f>Yht5!AD14</f>
        <v>2139</v>
      </c>
    </row>
    <row r="130" spans="1:5" ht="18.75" x14ac:dyDescent="0.25">
      <c r="A130">
        <f>Kalenteri!A131</f>
        <v>41405</v>
      </c>
      <c r="B130">
        <f t="shared" si="6"/>
        <v>7</v>
      </c>
      <c r="C130">
        <f t="shared" si="7"/>
        <v>5</v>
      </c>
      <c r="D130" s="130">
        <f t="shared" si="8"/>
        <v>41405</v>
      </c>
      <c r="E130">
        <f>Yht5!AD15</f>
        <v>2812</v>
      </c>
    </row>
    <row r="131" spans="1:5" ht="18.75" x14ac:dyDescent="0.25">
      <c r="A131">
        <f>Kalenteri!A132</f>
        <v>41406</v>
      </c>
      <c r="B131">
        <f t="shared" si="6"/>
        <v>1</v>
      </c>
      <c r="C131">
        <f t="shared" si="7"/>
        <v>5</v>
      </c>
      <c r="D131" s="130">
        <f t="shared" si="8"/>
        <v>41406</v>
      </c>
      <c r="E131">
        <f>Yht5!AD16</f>
        <v>1154</v>
      </c>
    </row>
    <row r="132" spans="1:5" ht="18.75" x14ac:dyDescent="0.25">
      <c r="A132">
        <f>Kalenteri!A133</f>
        <v>41407</v>
      </c>
      <c r="B132">
        <f t="shared" si="6"/>
        <v>2</v>
      </c>
      <c r="C132">
        <f t="shared" si="7"/>
        <v>5</v>
      </c>
      <c r="D132" s="130">
        <f t="shared" si="8"/>
        <v>41407</v>
      </c>
      <c r="E132">
        <f>Yht5!AD17</f>
        <v>1589</v>
      </c>
    </row>
    <row r="133" spans="1:5" ht="18.75" x14ac:dyDescent="0.25">
      <c r="A133">
        <f>Kalenteri!A134</f>
        <v>41408</v>
      </c>
      <c r="B133">
        <f t="shared" si="6"/>
        <v>3</v>
      </c>
      <c r="C133">
        <f t="shared" si="7"/>
        <v>5</v>
      </c>
      <c r="D133" s="130">
        <f t="shared" si="8"/>
        <v>41408</v>
      </c>
      <c r="E133">
        <f>Yht5!AD18</f>
        <v>1741</v>
      </c>
    </row>
    <row r="134" spans="1:5" ht="18.75" x14ac:dyDescent="0.25">
      <c r="A134">
        <f>Kalenteri!A135</f>
        <v>41409</v>
      </c>
      <c r="B134">
        <f t="shared" si="6"/>
        <v>4</v>
      </c>
      <c r="C134">
        <f t="shared" si="7"/>
        <v>5</v>
      </c>
      <c r="D134" s="130">
        <f t="shared" si="8"/>
        <v>41409</v>
      </c>
      <c r="E134">
        <f>Yht5!AD19</f>
        <v>1596</v>
      </c>
    </row>
    <row r="135" spans="1:5" ht="18.75" x14ac:dyDescent="0.25">
      <c r="A135">
        <f>Kalenteri!A136</f>
        <v>41410</v>
      </c>
      <c r="B135">
        <f t="shared" si="6"/>
        <v>5</v>
      </c>
      <c r="C135">
        <f t="shared" si="7"/>
        <v>5</v>
      </c>
      <c r="D135" s="130">
        <f t="shared" si="8"/>
        <v>41410</v>
      </c>
      <c r="E135">
        <f>Yht5!AD20</f>
        <v>1662</v>
      </c>
    </row>
    <row r="136" spans="1:5" ht="18.75" x14ac:dyDescent="0.25">
      <c r="A136">
        <f>Kalenteri!A137</f>
        <v>41411</v>
      </c>
      <c r="B136">
        <f t="shared" si="6"/>
        <v>6</v>
      </c>
      <c r="C136">
        <f t="shared" si="7"/>
        <v>5</v>
      </c>
      <c r="D136" s="130">
        <f t="shared" si="8"/>
        <v>41411</v>
      </c>
      <c r="E136">
        <f>Yht5!AD21</f>
        <v>1302</v>
      </c>
    </row>
    <row r="137" spans="1:5" ht="18.75" x14ac:dyDescent="0.25">
      <c r="A137">
        <f>Kalenteri!A138</f>
        <v>41412</v>
      </c>
      <c r="B137">
        <f t="shared" si="6"/>
        <v>7</v>
      </c>
      <c r="C137">
        <f t="shared" si="7"/>
        <v>5</v>
      </c>
      <c r="D137" s="130">
        <f t="shared" si="8"/>
        <v>41412</v>
      </c>
      <c r="E137">
        <f>Yht5!AD22</f>
        <v>1595</v>
      </c>
    </row>
    <row r="138" spans="1:5" ht="18.75" x14ac:dyDescent="0.25">
      <c r="A138">
        <f>Kalenteri!A139</f>
        <v>41413</v>
      </c>
      <c r="B138">
        <f t="shared" si="6"/>
        <v>1</v>
      </c>
      <c r="C138">
        <f t="shared" si="7"/>
        <v>5</v>
      </c>
      <c r="D138" s="130">
        <f t="shared" si="8"/>
        <v>41413</v>
      </c>
      <c r="E138">
        <f>Yht5!AD23</f>
        <v>2996</v>
      </c>
    </row>
    <row r="139" spans="1:5" ht="18.75" x14ac:dyDescent="0.25">
      <c r="A139">
        <f>Kalenteri!A140</f>
        <v>41414</v>
      </c>
      <c r="B139">
        <f t="shared" si="6"/>
        <v>2</v>
      </c>
      <c r="C139">
        <f t="shared" si="7"/>
        <v>5</v>
      </c>
      <c r="D139" s="130">
        <f t="shared" si="8"/>
        <v>41414</v>
      </c>
      <c r="E139">
        <f>Yht5!AD24</f>
        <v>1327</v>
      </c>
    </row>
    <row r="140" spans="1:5" ht="18.75" x14ac:dyDescent="0.25">
      <c r="A140">
        <f>Kalenteri!A141</f>
        <v>41415</v>
      </c>
      <c r="B140">
        <f t="shared" si="6"/>
        <v>3</v>
      </c>
      <c r="C140">
        <f t="shared" si="7"/>
        <v>5</v>
      </c>
      <c r="D140" s="130">
        <f t="shared" si="8"/>
        <v>41415</v>
      </c>
      <c r="E140">
        <f>Yht5!AD25</f>
        <v>2106</v>
      </c>
    </row>
    <row r="141" spans="1:5" ht="18.75" x14ac:dyDescent="0.25">
      <c r="A141">
        <f>Kalenteri!A142</f>
        <v>41416</v>
      </c>
      <c r="B141">
        <f t="shared" si="6"/>
        <v>4</v>
      </c>
      <c r="C141">
        <f t="shared" si="7"/>
        <v>5</v>
      </c>
      <c r="D141" s="130">
        <f t="shared" si="8"/>
        <v>41416</v>
      </c>
      <c r="E141">
        <f>Yht5!AD26</f>
        <v>1473</v>
      </c>
    </row>
    <row r="142" spans="1:5" ht="18.75" x14ac:dyDescent="0.25">
      <c r="A142">
        <f>Kalenteri!A143</f>
        <v>41417</v>
      </c>
      <c r="B142">
        <f t="shared" si="6"/>
        <v>5</v>
      </c>
      <c r="C142">
        <f t="shared" si="7"/>
        <v>5</v>
      </c>
      <c r="D142" s="130">
        <f t="shared" si="8"/>
        <v>41417</v>
      </c>
      <c r="E142">
        <f>Yht5!AD27</f>
        <v>2255</v>
      </c>
    </row>
    <row r="143" spans="1:5" ht="18.75" x14ac:dyDescent="0.25">
      <c r="A143">
        <f>Kalenteri!A144</f>
        <v>41418</v>
      </c>
      <c r="B143">
        <f t="shared" si="6"/>
        <v>6</v>
      </c>
      <c r="C143">
        <f t="shared" si="7"/>
        <v>5</v>
      </c>
      <c r="D143" s="130">
        <f t="shared" si="8"/>
        <v>41418</v>
      </c>
      <c r="E143">
        <f>Yht5!AD28</f>
        <v>1824</v>
      </c>
    </row>
    <row r="144" spans="1:5" ht="18.75" x14ac:dyDescent="0.25">
      <c r="A144">
        <f>Kalenteri!A145</f>
        <v>41419</v>
      </c>
      <c r="B144">
        <f t="shared" si="6"/>
        <v>7</v>
      </c>
      <c r="C144">
        <f t="shared" si="7"/>
        <v>5</v>
      </c>
      <c r="D144" s="130">
        <f t="shared" si="8"/>
        <v>41419</v>
      </c>
      <c r="E144">
        <f>Yht5!AD29</f>
        <v>3601</v>
      </c>
    </row>
    <row r="145" spans="1:5" ht="18.75" x14ac:dyDescent="0.25">
      <c r="A145">
        <f>Kalenteri!A146</f>
        <v>41420</v>
      </c>
      <c r="B145">
        <f t="shared" si="6"/>
        <v>1</v>
      </c>
      <c r="C145">
        <f t="shared" si="7"/>
        <v>5</v>
      </c>
      <c r="D145" s="130">
        <f t="shared" si="8"/>
        <v>41420</v>
      </c>
      <c r="E145">
        <f>Yht5!AD30</f>
        <v>1703</v>
      </c>
    </row>
    <row r="146" spans="1:5" ht="18.75" x14ac:dyDescent="0.25">
      <c r="A146">
        <f>Kalenteri!A147</f>
        <v>41421</v>
      </c>
      <c r="B146">
        <f t="shared" si="6"/>
        <v>2</v>
      </c>
      <c r="C146">
        <f t="shared" si="7"/>
        <v>5</v>
      </c>
      <c r="D146" s="130">
        <f t="shared" si="8"/>
        <v>41421</v>
      </c>
      <c r="E146">
        <f>Yht5!AD31</f>
        <v>1714</v>
      </c>
    </row>
    <row r="147" spans="1:5" ht="18.75" x14ac:dyDescent="0.25">
      <c r="A147">
        <f>Kalenteri!A148</f>
        <v>41422</v>
      </c>
      <c r="B147">
        <f t="shared" si="6"/>
        <v>3</v>
      </c>
      <c r="C147">
        <f t="shared" si="7"/>
        <v>5</v>
      </c>
      <c r="D147" s="130">
        <f t="shared" si="8"/>
        <v>41422</v>
      </c>
      <c r="E147">
        <f>Yht5!AD32</f>
        <v>2880</v>
      </c>
    </row>
    <row r="148" spans="1:5" ht="18.75" x14ac:dyDescent="0.25">
      <c r="A148">
        <f>Kalenteri!A149</f>
        <v>41423</v>
      </c>
      <c r="B148">
        <f t="shared" si="6"/>
        <v>4</v>
      </c>
      <c r="C148">
        <f t="shared" si="7"/>
        <v>5</v>
      </c>
      <c r="D148" s="130">
        <f t="shared" si="8"/>
        <v>41423</v>
      </c>
      <c r="E148">
        <f>Yht5!AD33</f>
        <v>2483</v>
      </c>
    </row>
    <row r="149" spans="1:5" ht="18.75" x14ac:dyDescent="0.25">
      <c r="A149">
        <f>Kalenteri!A150</f>
        <v>41424</v>
      </c>
      <c r="B149">
        <f t="shared" si="6"/>
        <v>5</v>
      </c>
      <c r="C149">
        <f t="shared" si="7"/>
        <v>5</v>
      </c>
      <c r="D149" s="130">
        <f t="shared" si="8"/>
        <v>41424</v>
      </c>
      <c r="E149">
        <f>Yht5!AD34</f>
        <v>2872</v>
      </c>
    </row>
    <row r="150" spans="1:5" ht="18.75" x14ac:dyDescent="0.25">
      <c r="A150">
        <f>Kalenteri!A151</f>
        <v>41425</v>
      </c>
      <c r="B150">
        <f t="shared" si="6"/>
        <v>6</v>
      </c>
      <c r="C150">
        <f t="shared" si="7"/>
        <v>5</v>
      </c>
      <c r="D150" s="130">
        <f t="shared" si="8"/>
        <v>41425</v>
      </c>
      <c r="E150">
        <f>Yht5!AD35</f>
        <v>1698</v>
      </c>
    </row>
    <row r="151" spans="1:5" ht="18.75" x14ac:dyDescent="0.25">
      <c r="A151">
        <f>Kalenteri!A152</f>
        <v>41426</v>
      </c>
      <c r="B151">
        <f t="shared" si="6"/>
        <v>7</v>
      </c>
      <c r="C151">
        <f t="shared" si="7"/>
        <v>6</v>
      </c>
      <c r="D151" s="130">
        <f t="shared" si="8"/>
        <v>41426</v>
      </c>
      <c r="E151">
        <f>Yht6!AD5</f>
        <v>3788</v>
      </c>
    </row>
    <row r="152" spans="1:5" ht="18.75" x14ac:dyDescent="0.25">
      <c r="A152">
        <f>Kalenteri!A153</f>
        <v>41427</v>
      </c>
      <c r="B152">
        <f t="shared" si="6"/>
        <v>1</v>
      </c>
      <c r="C152">
        <f t="shared" si="7"/>
        <v>6</v>
      </c>
      <c r="D152" s="130">
        <f t="shared" si="8"/>
        <v>41427</v>
      </c>
      <c r="E152">
        <f>Yht6!AD6</f>
        <v>4325</v>
      </c>
    </row>
    <row r="153" spans="1:5" ht="18.75" x14ac:dyDescent="0.25">
      <c r="A153">
        <f>Kalenteri!A154</f>
        <v>41428</v>
      </c>
      <c r="B153">
        <f t="shared" si="6"/>
        <v>2</v>
      </c>
      <c r="C153">
        <f t="shared" si="7"/>
        <v>6</v>
      </c>
      <c r="D153" s="130">
        <f t="shared" si="8"/>
        <v>41428</v>
      </c>
      <c r="E153">
        <f>Yht6!AD7</f>
        <v>2301</v>
      </c>
    </row>
    <row r="154" spans="1:5" ht="18.75" x14ac:dyDescent="0.25">
      <c r="A154">
        <f>Kalenteri!A155</f>
        <v>41429</v>
      </c>
      <c r="B154">
        <f t="shared" si="6"/>
        <v>3</v>
      </c>
      <c r="C154">
        <f t="shared" si="7"/>
        <v>6</v>
      </c>
      <c r="D154" s="130">
        <f t="shared" si="8"/>
        <v>41429</v>
      </c>
      <c r="E154">
        <f>Yht6!AD8</f>
        <v>2482</v>
      </c>
    </row>
    <row r="155" spans="1:5" ht="18.75" x14ac:dyDescent="0.25">
      <c r="A155">
        <f>Kalenteri!A156</f>
        <v>41430</v>
      </c>
      <c r="B155">
        <f t="shared" si="6"/>
        <v>4</v>
      </c>
      <c r="C155">
        <f t="shared" si="7"/>
        <v>6</v>
      </c>
      <c r="D155" s="130">
        <f t="shared" si="8"/>
        <v>41430</v>
      </c>
      <c r="E155">
        <f>Yht6!AD9</f>
        <v>2296</v>
      </c>
    </row>
    <row r="156" spans="1:5" ht="18.75" x14ac:dyDescent="0.25">
      <c r="A156">
        <f>Kalenteri!A157</f>
        <v>41431</v>
      </c>
      <c r="B156">
        <f t="shared" si="6"/>
        <v>5</v>
      </c>
      <c r="C156">
        <f t="shared" si="7"/>
        <v>6</v>
      </c>
      <c r="D156" s="130">
        <f t="shared" si="8"/>
        <v>41431</v>
      </c>
      <c r="E156">
        <f>Yht6!AD10</f>
        <v>2472</v>
      </c>
    </row>
    <row r="157" spans="1:5" ht="18.75" x14ac:dyDescent="0.25">
      <c r="A157">
        <f>Kalenteri!A158</f>
        <v>41432</v>
      </c>
      <c r="B157">
        <f t="shared" si="6"/>
        <v>6</v>
      </c>
      <c r="C157">
        <f t="shared" si="7"/>
        <v>6</v>
      </c>
      <c r="D157" s="130">
        <f t="shared" si="8"/>
        <v>41432</v>
      </c>
      <c r="E157">
        <f>Yht6!AD11</f>
        <v>2422</v>
      </c>
    </row>
    <row r="158" spans="1:5" ht="18.75" x14ac:dyDescent="0.25">
      <c r="A158">
        <f>Kalenteri!A159</f>
        <v>41433</v>
      </c>
      <c r="B158">
        <f t="shared" si="6"/>
        <v>7</v>
      </c>
      <c r="C158">
        <f t="shared" si="7"/>
        <v>6</v>
      </c>
      <c r="D158" s="130">
        <f t="shared" si="8"/>
        <v>41433</v>
      </c>
      <c r="E158">
        <f>Yht6!AD12</f>
        <v>6305</v>
      </c>
    </row>
    <row r="159" spans="1:5" ht="18.75" x14ac:dyDescent="0.25">
      <c r="A159">
        <f>Kalenteri!A160</f>
        <v>41434</v>
      </c>
      <c r="B159">
        <f t="shared" si="6"/>
        <v>1</v>
      </c>
      <c r="C159">
        <f t="shared" si="7"/>
        <v>6</v>
      </c>
      <c r="D159" s="130">
        <f t="shared" si="8"/>
        <v>41434</v>
      </c>
      <c r="E159">
        <f>Yht6!AD13</f>
        <v>4962</v>
      </c>
    </row>
    <row r="160" spans="1:5" ht="18.75" x14ac:dyDescent="0.25">
      <c r="A160">
        <f>Kalenteri!A161</f>
        <v>41435</v>
      </c>
      <c r="B160">
        <f t="shared" si="6"/>
        <v>2</v>
      </c>
      <c r="C160">
        <f t="shared" si="7"/>
        <v>6</v>
      </c>
      <c r="D160" s="130">
        <f t="shared" si="8"/>
        <v>41435</v>
      </c>
      <c r="E160">
        <f>Yht6!AD14</f>
        <v>2552</v>
      </c>
    </row>
    <row r="161" spans="1:5" ht="18.75" x14ac:dyDescent="0.25">
      <c r="A161">
        <f>Kalenteri!A162</f>
        <v>41436</v>
      </c>
      <c r="B161">
        <f t="shared" si="6"/>
        <v>3</v>
      </c>
      <c r="C161">
        <f t="shared" si="7"/>
        <v>6</v>
      </c>
      <c r="D161" s="130">
        <f t="shared" si="8"/>
        <v>41436</v>
      </c>
      <c r="E161">
        <f>Yht6!AD15</f>
        <v>2377</v>
      </c>
    </row>
    <row r="162" spans="1:5" ht="18.75" x14ac:dyDescent="0.25">
      <c r="A162">
        <f>Kalenteri!A163</f>
        <v>41437</v>
      </c>
      <c r="B162">
        <f t="shared" si="6"/>
        <v>4</v>
      </c>
      <c r="C162">
        <f t="shared" si="7"/>
        <v>6</v>
      </c>
      <c r="D162" s="130">
        <f t="shared" si="8"/>
        <v>41437</v>
      </c>
      <c r="E162">
        <f>Yht6!AD16</f>
        <v>1954</v>
      </c>
    </row>
    <row r="163" spans="1:5" ht="18.75" x14ac:dyDescent="0.25">
      <c r="A163">
        <f>Kalenteri!A164</f>
        <v>41438</v>
      </c>
      <c r="B163">
        <f t="shared" si="6"/>
        <v>5</v>
      </c>
      <c r="C163">
        <f t="shared" si="7"/>
        <v>6</v>
      </c>
      <c r="D163" s="130">
        <f t="shared" si="8"/>
        <v>41438</v>
      </c>
      <c r="E163">
        <f>Yht6!AD17</f>
        <v>3043</v>
      </c>
    </row>
    <row r="164" spans="1:5" ht="18.75" x14ac:dyDescent="0.25">
      <c r="A164">
        <f>Kalenteri!A165</f>
        <v>41439</v>
      </c>
      <c r="B164">
        <f t="shared" si="6"/>
        <v>6</v>
      </c>
      <c r="C164">
        <f t="shared" si="7"/>
        <v>6</v>
      </c>
      <c r="D164" s="130">
        <f t="shared" si="8"/>
        <v>41439</v>
      </c>
      <c r="E164">
        <f>Yht6!AD18</f>
        <v>481</v>
      </c>
    </row>
    <row r="165" spans="1:5" ht="18.75" x14ac:dyDescent="0.25">
      <c r="A165">
        <f>Kalenteri!A166</f>
        <v>41440</v>
      </c>
      <c r="B165">
        <f t="shared" si="6"/>
        <v>7</v>
      </c>
      <c r="C165">
        <f t="shared" si="7"/>
        <v>6</v>
      </c>
      <c r="D165" s="130">
        <f t="shared" si="8"/>
        <v>41440</v>
      </c>
      <c r="E165">
        <f>Yht6!AD19</f>
        <v>5748</v>
      </c>
    </row>
    <row r="166" spans="1:5" ht="18.75" x14ac:dyDescent="0.25">
      <c r="A166">
        <f>Kalenteri!A167</f>
        <v>41441</v>
      </c>
      <c r="B166">
        <f t="shared" si="6"/>
        <v>1</v>
      </c>
      <c r="C166">
        <f t="shared" si="7"/>
        <v>6</v>
      </c>
      <c r="D166" s="130">
        <f t="shared" si="8"/>
        <v>41441</v>
      </c>
      <c r="E166">
        <f>Yht6!AD20</f>
        <v>2714</v>
      </c>
    </row>
    <row r="167" spans="1:5" ht="18.75" x14ac:dyDescent="0.25">
      <c r="A167">
        <f>Kalenteri!A168</f>
        <v>41442</v>
      </c>
      <c r="B167">
        <f t="shared" si="6"/>
        <v>2</v>
      </c>
      <c r="C167">
        <f t="shared" si="7"/>
        <v>6</v>
      </c>
      <c r="D167" s="130">
        <f t="shared" si="8"/>
        <v>41442</v>
      </c>
      <c r="E167">
        <f>Yht6!AD21</f>
        <v>1764</v>
      </c>
    </row>
    <row r="168" spans="1:5" ht="18.75" x14ac:dyDescent="0.25">
      <c r="A168">
        <f>Kalenteri!A169</f>
        <v>41443</v>
      </c>
      <c r="B168">
        <f t="shared" si="6"/>
        <v>3</v>
      </c>
      <c r="C168">
        <f t="shared" si="7"/>
        <v>6</v>
      </c>
      <c r="D168" s="130">
        <f t="shared" si="8"/>
        <v>41443</v>
      </c>
      <c r="E168">
        <f>Yht6!AD22</f>
        <v>3671</v>
      </c>
    </row>
    <row r="169" spans="1:5" ht="18.75" x14ac:dyDescent="0.25">
      <c r="A169">
        <f>Kalenteri!A170</f>
        <v>41444</v>
      </c>
      <c r="B169">
        <f t="shared" si="6"/>
        <v>4</v>
      </c>
      <c r="C169">
        <f t="shared" si="7"/>
        <v>6</v>
      </c>
      <c r="D169" s="130">
        <f t="shared" si="8"/>
        <v>41444</v>
      </c>
      <c r="E169">
        <f>Yht6!AD23</f>
        <v>3027</v>
      </c>
    </row>
    <row r="170" spans="1:5" ht="18.75" x14ac:dyDescent="0.25">
      <c r="A170">
        <f>Kalenteri!A171</f>
        <v>41445</v>
      </c>
      <c r="B170">
        <f t="shared" si="6"/>
        <v>5</v>
      </c>
      <c r="C170">
        <f t="shared" si="7"/>
        <v>6</v>
      </c>
      <c r="D170" s="130">
        <f t="shared" si="8"/>
        <v>41445</v>
      </c>
      <c r="E170">
        <f>Yht6!AD24</f>
        <v>1009</v>
      </c>
    </row>
    <row r="171" spans="1:5" ht="18.75" x14ac:dyDescent="0.25">
      <c r="A171">
        <f>Kalenteri!A172</f>
        <v>41446</v>
      </c>
      <c r="B171">
        <f t="shared" si="6"/>
        <v>6</v>
      </c>
      <c r="C171">
        <f t="shared" si="7"/>
        <v>6</v>
      </c>
      <c r="D171" s="130">
        <f t="shared" si="8"/>
        <v>41446</v>
      </c>
      <c r="E171">
        <f>Yht6!AD25</f>
        <v>2389</v>
      </c>
    </row>
    <row r="172" spans="1:5" ht="18.75" x14ac:dyDescent="0.25">
      <c r="A172">
        <f>Kalenteri!A173</f>
        <v>41447</v>
      </c>
      <c r="B172">
        <f t="shared" si="6"/>
        <v>7</v>
      </c>
      <c r="C172">
        <f t="shared" si="7"/>
        <v>6</v>
      </c>
      <c r="D172" s="130">
        <f t="shared" si="8"/>
        <v>41447</v>
      </c>
      <c r="E172">
        <f>Yht6!AD26</f>
        <v>2555</v>
      </c>
    </row>
    <row r="173" spans="1:5" ht="18.75" x14ac:dyDescent="0.25">
      <c r="A173">
        <f>Kalenteri!A174</f>
        <v>41448</v>
      </c>
      <c r="B173">
        <f t="shared" si="6"/>
        <v>1</v>
      </c>
      <c r="C173">
        <f t="shared" si="7"/>
        <v>6</v>
      </c>
      <c r="D173" s="130">
        <f t="shared" si="8"/>
        <v>41448</v>
      </c>
      <c r="E173">
        <f>Yht6!AD27</f>
        <v>3766</v>
      </c>
    </row>
    <row r="174" spans="1:5" ht="18.75" x14ac:dyDescent="0.25">
      <c r="A174">
        <f>Kalenteri!A175</f>
        <v>41449</v>
      </c>
      <c r="B174">
        <f t="shared" si="6"/>
        <v>2</v>
      </c>
      <c r="C174">
        <f t="shared" si="7"/>
        <v>6</v>
      </c>
      <c r="D174" s="130">
        <f t="shared" si="8"/>
        <v>41449</v>
      </c>
      <c r="E174">
        <f>Yht6!AD28</f>
        <v>2579</v>
      </c>
    </row>
    <row r="175" spans="1:5" ht="18.75" x14ac:dyDescent="0.25">
      <c r="A175">
        <f>Kalenteri!A176</f>
        <v>41450</v>
      </c>
      <c r="B175">
        <f t="shared" si="6"/>
        <v>3</v>
      </c>
      <c r="C175">
        <f t="shared" si="7"/>
        <v>6</v>
      </c>
      <c r="D175" s="130">
        <f t="shared" si="8"/>
        <v>41450</v>
      </c>
      <c r="E175">
        <f>Yht6!AD29</f>
        <v>3328</v>
      </c>
    </row>
    <row r="176" spans="1:5" ht="18.75" x14ac:dyDescent="0.25">
      <c r="A176">
        <f>Kalenteri!A177</f>
        <v>41451</v>
      </c>
      <c r="B176">
        <f t="shared" si="6"/>
        <v>4</v>
      </c>
      <c r="C176">
        <f t="shared" si="7"/>
        <v>6</v>
      </c>
      <c r="D176" s="130">
        <f t="shared" si="8"/>
        <v>41451</v>
      </c>
      <c r="E176">
        <f>Yht6!AD30</f>
        <v>3463</v>
      </c>
    </row>
    <row r="177" spans="1:5" ht="18.75" x14ac:dyDescent="0.25">
      <c r="A177">
        <f>Kalenteri!A178</f>
        <v>41452</v>
      </c>
      <c r="B177">
        <f t="shared" si="6"/>
        <v>5</v>
      </c>
      <c r="C177">
        <f t="shared" si="7"/>
        <v>6</v>
      </c>
      <c r="D177" s="130">
        <f t="shared" si="8"/>
        <v>41452</v>
      </c>
      <c r="E177">
        <f>Yht6!AD31</f>
        <v>1730</v>
      </c>
    </row>
    <row r="178" spans="1:5" ht="18.75" x14ac:dyDescent="0.25">
      <c r="A178">
        <f>Kalenteri!A179</f>
        <v>41453</v>
      </c>
      <c r="B178">
        <f t="shared" si="6"/>
        <v>6</v>
      </c>
      <c r="C178">
        <f t="shared" si="7"/>
        <v>6</v>
      </c>
      <c r="D178" s="130">
        <f t="shared" si="8"/>
        <v>41453</v>
      </c>
      <c r="E178">
        <f>Yht6!AD32</f>
        <v>3858</v>
      </c>
    </row>
    <row r="179" spans="1:5" ht="18.75" x14ac:dyDescent="0.25">
      <c r="A179">
        <f>Kalenteri!A180</f>
        <v>41454</v>
      </c>
      <c r="B179">
        <f t="shared" si="6"/>
        <v>7</v>
      </c>
      <c r="C179">
        <f t="shared" si="7"/>
        <v>6</v>
      </c>
      <c r="D179" s="130">
        <f t="shared" si="8"/>
        <v>41454</v>
      </c>
      <c r="E179">
        <f>Yht6!AD33</f>
        <v>3830</v>
      </c>
    </row>
    <row r="180" spans="1:5" ht="18.75" x14ac:dyDescent="0.25">
      <c r="A180">
        <f>Kalenteri!A181</f>
        <v>41455</v>
      </c>
      <c r="B180">
        <f t="shared" si="6"/>
        <v>1</v>
      </c>
      <c r="C180">
        <f t="shared" si="7"/>
        <v>6</v>
      </c>
      <c r="D180" s="130">
        <f t="shared" si="8"/>
        <v>41455</v>
      </c>
      <c r="E180">
        <f>Yht6!AD34</f>
        <v>5217</v>
      </c>
    </row>
    <row r="181" spans="1:5" ht="18.75" x14ac:dyDescent="0.25">
      <c r="A181">
        <f>Kalenteri!A182</f>
        <v>41456</v>
      </c>
      <c r="B181">
        <f t="shared" si="6"/>
        <v>2</v>
      </c>
      <c r="C181">
        <f t="shared" si="7"/>
        <v>7</v>
      </c>
      <c r="D181" s="130">
        <f t="shared" si="8"/>
        <v>41456</v>
      </c>
      <c r="E181">
        <f>Yht7!AD5</f>
        <v>3984</v>
      </c>
    </row>
    <row r="182" spans="1:5" ht="18.75" x14ac:dyDescent="0.25">
      <c r="A182">
        <f>Kalenteri!A183</f>
        <v>41457</v>
      </c>
      <c r="B182">
        <f t="shared" si="6"/>
        <v>3</v>
      </c>
      <c r="C182">
        <f t="shared" si="7"/>
        <v>7</v>
      </c>
      <c r="D182" s="130">
        <f t="shared" si="8"/>
        <v>41457</v>
      </c>
      <c r="E182">
        <f>Yht7!AD6</f>
        <v>6210</v>
      </c>
    </row>
    <row r="183" spans="1:5" ht="18.75" x14ac:dyDescent="0.25">
      <c r="A183">
        <f>Kalenteri!A184</f>
        <v>41458</v>
      </c>
      <c r="B183">
        <f t="shared" si="6"/>
        <v>4</v>
      </c>
      <c r="C183">
        <f t="shared" si="7"/>
        <v>7</v>
      </c>
      <c r="D183" s="130">
        <f t="shared" si="8"/>
        <v>41458</v>
      </c>
      <c r="E183">
        <f>Yht7!AD7</f>
        <v>5232</v>
      </c>
    </row>
    <row r="184" spans="1:5" ht="18.75" x14ac:dyDescent="0.25">
      <c r="A184">
        <f>Kalenteri!A185</f>
        <v>41459</v>
      </c>
      <c r="B184">
        <f t="shared" si="6"/>
        <v>5</v>
      </c>
      <c r="C184">
        <f t="shared" si="7"/>
        <v>7</v>
      </c>
      <c r="D184" s="130">
        <f t="shared" si="8"/>
        <v>41459</v>
      </c>
      <c r="E184">
        <f>Yht7!AD8</f>
        <v>4167</v>
      </c>
    </row>
    <row r="185" spans="1:5" ht="18.75" x14ac:dyDescent="0.25">
      <c r="A185">
        <f>Kalenteri!A186</f>
        <v>41460</v>
      </c>
      <c r="B185">
        <f t="shared" si="6"/>
        <v>6</v>
      </c>
      <c r="C185">
        <f t="shared" si="7"/>
        <v>7</v>
      </c>
      <c r="D185" s="130">
        <f t="shared" si="8"/>
        <v>41460</v>
      </c>
      <c r="E185">
        <f>Yht7!AD9</f>
        <v>3635</v>
      </c>
    </row>
    <row r="186" spans="1:5" ht="18.75" x14ac:dyDescent="0.25">
      <c r="A186">
        <f>Kalenteri!A187</f>
        <v>41461</v>
      </c>
      <c r="B186">
        <f t="shared" si="6"/>
        <v>7</v>
      </c>
      <c r="C186">
        <f t="shared" si="7"/>
        <v>7</v>
      </c>
      <c r="D186" s="130">
        <f t="shared" si="8"/>
        <v>41461</v>
      </c>
      <c r="E186">
        <f>Yht7!AD10</f>
        <v>5651</v>
      </c>
    </row>
    <row r="187" spans="1:5" ht="18.75" x14ac:dyDescent="0.25">
      <c r="A187">
        <f>Kalenteri!A188</f>
        <v>41462</v>
      </c>
      <c r="B187">
        <f t="shared" si="6"/>
        <v>1</v>
      </c>
      <c r="C187">
        <f t="shared" si="7"/>
        <v>7</v>
      </c>
      <c r="D187" s="130">
        <f t="shared" si="8"/>
        <v>41462</v>
      </c>
      <c r="E187">
        <f>Yht7!AD11</f>
        <v>5347</v>
      </c>
    </row>
    <row r="188" spans="1:5" ht="18.75" x14ac:dyDescent="0.25">
      <c r="A188">
        <f>Kalenteri!A189</f>
        <v>41463</v>
      </c>
      <c r="B188">
        <f t="shared" si="6"/>
        <v>2</v>
      </c>
      <c r="C188">
        <f t="shared" si="7"/>
        <v>7</v>
      </c>
      <c r="D188" s="130">
        <f t="shared" si="8"/>
        <v>41463</v>
      </c>
      <c r="E188">
        <f>Yht7!AD12</f>
        <v>4706</v>
      </c>
    </row>
    <row r="189" spans="1:5" ht="18.75" x14ac:dyDescent="0.25">
      <c r="A189">
        <f>Kalenteri!A190</f>
        <v>41464</v>
      </c>
      <c r="B189">
        <f t="shared" si="6"/>
        <v>3</v>
      </c>
      <c r="C189">
        <f t="shared" si="7"/>
        <v>7</v>
      </c>
      <c r="D189" s="130">
        <f t="shared" si="8"/>
        <v>41464</v>
      </c>
      <c r="E189">
        <f>Yht7!AD13</f>
        <v>6867</v>
      </c>
    </row>
    <row r="190" spans="1:5" ht="18.75" x14ac:dyDescent="0.25">
      <c r="A190">
        <f>Kalenteri!A191</f>
        <v>41465</v>
      </c>
      <c r="B190">
        <f t="shared" si="6"/>
        <v>4</v>
      </c>
      <c r="C190">
        <f t="shared" si="7"/>
        <v>7</v>
      </c>
      <c r="D190" s="130">
        <f t="shared" si="8"/>
        <v>41465</v>
      </c>
      <c r="E190">
        <f>Yht7!AD14</f>
        <v>2220</v>
      </c>
    </row>
    <row r="191" spans="1:5" ht="18.75" x14ac:dyDescent="0.25">
      <c r="A191">
        <f>Kalenteri!A192</f>
        <v>41466</v>
      </c>
      <c r="B191">
        <f t="shared" si="6"/>
        <v>5</v>
      </c>
      <c r="C191">
        <f t="shared" si="7"/>
        <v>7</v>
      </c>
      <c r="D191" s="130">
        <f t="shared" si="8"/>
        <v>41466</v>
      </c>
      <c r="E191">
        <f>Yht7!AD15</f>
        <v>6497</v>
      </c>
    </row>
    <row r="192" spans="1:5" ht="18.75" x14ac:dyDescent="0.25">
      <c r="A192">
        <f>Kalenteri!A193</f>
        <v>41467</v>
      </c>
      <c r="B192">
        <f t="shared" ref="B192:B255" si="9">WEEKDAY(A192)</f>
        <v>6</v>
      </c>
      <c r="C192">
        <f t="shared" ref="C192:C255" si="10">MONTH(A192)</f>
        <v>7</v>
      </c>
      <c r="D192" s="130">
        <f t="shared" ref="D192:D255" si="11">+A192</f>
        <v>41467</v>
      </c>
      <c r="E192">
        <f>Yht7!AD16</f>
        <v>4713</v>
      </c>
    </row>
    <row r="193" spans="1:5" ht="18.75" x14ac:dyDescent="0.25">
      <c r="A193">
        <f>Kalenteri!A194</f>
        <v>41468</v>
      </c>
      <c r="B193">
        <f t="shared" si="9"/>
        <v>7</v>
      </c>
      <c r="C193">
        <f t="shared" si="10"/>
        <v>7</v>
      </c>
      <c r="D193" s="130">
        <f t="shared" si="11"/>
        <v>41468</v>
      </c>
      <c r="E193">
        <f>Yht7!AD17</f>
        <v>6560</v>
      </c>
    </row>
    <row r="194" spans="1:5" ht="18.75" x14ac:dyDescent="0.25">
      <c r="A194">
        <f>Kalenteri!A195</f>
        <v>41469</v>
      </c>
      <c r="B194">
        <f t="shared" si="9"/>
        <v>1</v>
      </c>
      <c r="C194">
        <f t="shared" si="10"/>
        <v>7</v>
      </c>
      <c r="D194" s="130">
        <f t="shared" si="11"/>
        <v>41469</v>
      </c>
      <c r="E194">
        <f>Yht7!AD18</f>
        <v>5127</v>
      </c>
    </row>
    <row r="195" spans="1:5" ht="18.75" x14ac:dyDescent="0.25">
      <c r="A195">
        <f>Kalenteri!A196</f>
        <v>41470</v>
      </c>
      <c r="B195">
        <f t="shared" si="9"/>
        <v>2</v>
      </c>
      <c r="C195">
        <f t="shared" si="10"/>
        <v>7</v>
      </c>
      <c r="D195" s="130">
        <f t="shared" si="11"/>
        <v>41470</v>
      </c>
      <c r="E195">
        <f>Yht7!AD19</f>
        <v>5236</v>
      </c>
    </row>
    <row r="196" spans="1:5" ht="18.75" x14ac:dyDescent="0.25">
      <c r="A196">
        <f>Kalenteri!A197</f>
        <v>41471</v>
      </c>
      <c r="B196">
        <f t="shared" si="9"/>
        <v>3</v>
      </c>
      <c r="C196">
        <f t="shared" si="10"/>
        <v>7</v>
      </c>
      <c r="D196" s="130">
        <f t="shared" si="11"/>
        <v>41471</v>
      </c>
      <c r="E196">
        <f>Yht7!AD20</f>
        <v>7522</v>
      </c>
    </row>
    <row r="197" spans="1:5" ht="18.75" x14ac:dyDescent="0.25">
      <c r="A197">
        <f>Kalenteri!A198</f>
        <v>41472</v>
      </c>
      <c r="B197">
        <f t="shared" si="9"/>
        <v>4</v>
      </c>
      <c r="C197">
        <f t="shared" si="10"/>
        <v>7</v>
      </c>
      <c r="D197" s="130">
        <f t="shared" si="11"/>
        <v>41472</v>
      </c>
      <c r="E197">
        <f>Yht7!AD21</f>
        <v>6800</v>
      </c>
    </row>
    <row r="198" spans="1:5" ht="18.75" x14ac:dyDescent="0.25">
      <c r="A198">
        <f>Kalenteri!A199</f>
        <v>41473</v>
      </c>
      <c r="B198">
        <f t="shared" si="9"/>
        <v>5</v>
      </c>
      <c r="C198">
        <f t="shared" si="10"/>
        <v>7</v>
      </c>
      <c r="D198" s="130">
        <f t="shared" si="11"/>
        <v>41473</v>
      </c>
      <c r="E198">
        <f>Yht7!AD22</f>
        <v>3154</v>
      </c>
    </row>
    <row r="199" spans="1:5" ht="18.75" x14ac:dyDescent="0.25">
      <c r="A199">
        <f>Kalenteri!A200</f>
        <v>41474</v>
      </c>
      <c r="B199">
        <f t="shared" si="9"/>
        <v>6</v>
      </c>
      <c r="C199">
        <f t="shared" si="10"/>
        <v>7</v>
      </c>
      <c r="D199" s="130">
        <f t="shared" si="11"/>
        <v>41474</v>
      </c>
      <c r="E199">
        <f>Yht7!AD23</f>
        <v>2791</v>
      </c>
    </row>
    <row r="200" spans="1:5" ht="18.75" x14ac:dyDescent="0.25">
      <c r="A200">
        <f>Kalenteri!A201</f>
        <v>41475</v>
      </c>
      <c r="B200">
        <f t="shared" si="9"/>
        <v>7</v>
      </c>
      <c r="C200">
        <f t="shared" si="10"/>
        <v>7</v>
      </c>
      <c r="D200" s="130">
        <f t="shared" si="11"/>
        <v>41475</v>
      </c>
      <c r="E200">
        <f>Yht7!AD24</f>
        <v>5870</v>
      </c>
    </row>
    <row r="201" spans="1:5" ht="18.75" x14ac:dyDescent="0.25">
      <c r="A201">
        <f>Kalenteri!A202</f>
        <v>41476</v>
      </c>
      <c r="B201">
        <f t="shared" si="9"/>
        <v>1</v>
      </c>
      <c r="C201">
        <f t="shared" si="10"/>
        <v>7</v>
      </c>
      <c r="D201" s="130">
        <f t="shared" si="11"/>
        <v>41476</v>
      </c>
      <c r="E201">
        <f>Yht7!AD25</f>
        <v>4720</v>
      </c>
    </row>
    <row r="202" spans="1:5" ht="18.75" x14ac:dyDescent="0.25">
      <c r="A202">
        <f>Kalenteri!A203</f>
        <v>41477</v>
      </c>
      <c r="B202">
        <f t="shared" si="9"/>
        <v>2</v>
      </c>
      <c r="C202">
        <f t="shared" si="10"/>
        <v>7</v>
      </c>
      <c r="D202" s="130">
        <f t="shared" si="11"/>
        <v>41477</v>
      </c>
      <c r="E202">
        <f>Yht7!AD26</f>
        <v>2849</v>
      </c>
    </row>
    <row r="203" spans="1:5" ht="18.75" x14ac:dyDescent="0.25">
      <c r="A203">
        <f>Kalenteri!A204</f>
        <v>41478</v>
      </c>
      <c r="B203">
        <f t="shared" si="9"/>
        <v>3</v>
      </c>
      <c r="C203">
        <f t="shared" si="10"/>
        <v>7</v>
      </c>
      <c r="D203" s="130">
        <f t="shared" si="11"/>
        <v>41478</v>
      </c>
      <c r="E203">
        <f>Yht7!AD27</f>
        <v>6587</v>
      </c>
    </row>
    <row r="204" spans="1:5" ht="18.75" x14ac:dyDescent="0.25">
      <c r="A204">
        <f>Kalenteri!A205</f>
        <v>41479</v>
      </c>
      <c r="B204">
        <f t="shared" si="9"/>
        <v>4</v>
      </c>
      <c r="C204">
        <f t="shared" si="10"/>
        <v>7</v>
      </c>
      <c r="D204" s="130">
        <f t="shared" si="11"/>
        <v>41479</v>
      </c>
      <c r="E204">
        <f>Yht7!AD28</f>
        <v>5681</v>
      </c>
    </row>
    <row r="205" spans="1:5" ht="18.75" x14ac:dyDescent="0.25">
      <c r="A205">
        <f>Kalenteri!A206</f>
        <v>41480</v>
      </c>
      <c r="B205">
        <f t="shared" si="9"/>
        <v>5</v>
      </c>
      <c r="C205">
        <f t="shared" si="10"/>
        <v>7</v>
      </c>
      <c r="D205" s="130">
        <f t="shared" si="11"/>
        <v>41480</v>
      </c>
      <c r="E205">
        <f>Yht7!AD29</f>
        <v>5202</v>
      </c>
    </row>
    <row r="206" spans="1:5" ht="18.75" x14ac:dyDescent="0.25">
      <c r="A206">
        <f>Kalenteri!A207</f>
        <v>41481</v>
      </c>
      <c r="B206">
        <f t="shared" si="9"/>
        <v>6</v>
      </c>
      <c r="C206">
        <f t="shared" si="10"/>
        <v>7</v>
      </c>
      <c r="D206" s="130">
        <f t="shared" si="11"/>
        <v>41481</v>
      </c>
      <c r="E206">
        <f>Yht7!AD30</f>
        <v>3867</v>
      </c>
    </row>
    <row r="207" spans="1:5" ht="18.75" x14ac:dyDescent="0.25">
      <c r="A207">
        <f>Kalenteri!A208</f>
        <v>41482</v>
      </c>
      <c r="B207">
        <f t="shared" si="9"/>
        <v>7</v>
      </c>
      <c r="C207">
        <f t="shared" si="10"/>
        <v>7</v>
      </c>
      <c r="D207" s="130">
        <f t="shared" si="11"/>
        <v>41482</v>
      </c>
      <c r="E207">
        <f>Yht7!AD31</f>
        <v>5805</v>
      </c>
    </row>
    <row r="208" spans="1:5" ht="18.75" x14ac:dyDescent="0.25">
      <c r="A208">
        <f>Kalenteri!A209</f>
        <v>41483</v>
      </c>
      <c r="B208">
        <f t="shared" si="9"/>
        <v>1</v>
      </c>
      <c r="C208">
        <f t="shared" si="10"/>
        <v>7</v>
      </c>
      <c r="D208" s="130">
        <f t="shared" si="11"/>
        <v>41483</v>
      </c>
      <c r="E208">
        <f>Yht7!AD32</f>
        <v>4309</v>
      </c>
    </row>
    <row r="209" spans="1:5" ht="18.75" x14ac:dyDescent="0.25">
      <c r="A209">
        <f>Kalenteri!A210</f>
        <v>41484</v>
      </c>
      <c r="B209">
        <f t="shared" si="9"/>
        <v>2</v>
      </c>
      <c r="C209">
        <f t="shared" si="10"/>
        <v>7</v>
      </c>
      <c r="D209" s="130">
        <f t="shared" si="11"/>
        <v>41484</v>
      </c>
      <c r="E209">
        <f>Yht7!AD33</f>
        <v>3968</v>
      </c>
    </row>
    <row r="210" spans="1:5" ht="18.75" x14ac:dyDescent="0.25">
      <c r="A210">
        <f>Kalenteri!A211</f>
        <v>41485</v>
      </c>
      <c r="B210">
        <f t="shared" si="9"/>
        <v>3</v>
      </c>
      <c r="C210">
        <f t="shared" si="10"/>
        <v>7</v>
      </c>
      <c r="D210" s="130">
        <f t="shared" si="11"/>
        <v>41485</v>
      </c>
      <c r="E210">
        <f>Yht7!AD34</f>
        <v>3942</v>
      </c>
    </row>
    <row r="211" spans="1:5" ht="18.75" x14ac:dyDescent="0.25">
      <c r="A211">
        <f>Kalenteri!A212</f>
        <v>41486</v>
      </c>
      <c r="B211">
        <f t="shared" si="9"/>
        <v>4</v>
      </c>
      <c r="C211">
        <f t="shared" si="10"/>
        <v>7</v>
      </c>
      <c r="D211" s="130">
        <f t="shared" si="11"/>
        <v>41486</v>
      </c>
      <c r="E211">
        <f>Yht7!AD35</f>
        <v>4326</v>
      </c>
    </row>
    <row r="212" spans="1:5" ht="18.75" x14ac:dyDescent="0.25">
      <c r="A212">
        <f>Kalenteri!A213</f>
        <v>41487</v>
      </c>
      <c r="B212">
        <f t="shared" si="9"/>
        <v>5</v>
      </c>
      <c r="C212">
        <f t="shared" si="10"/>
        <v>8</v>
      </c>
      <c r="D212" s="130">
        <f t="shared" si="11"/>
        <v>41487</v>
      </c>
      <c r="E212">
        <f>Yht8!AD5</f>
        <v>2542</v>
      </c>
    </row>
    <row r="213" spans="1:5" ht="18.75" x14ac:dyDescent="0.25">
      <c r="A213">
        <f>Kalenteri!A214</f>
        <v>41488</v>
      </c>
      <c r="B213">
        <f t="shared" si="9"/>
        <v>6</v>
      </c>
      <c r="C213">
        <f t="shared" si="10"/>
        <v>8</v>
      </c>
      <c r="D213" s="130">
        <f t="shared" si="11"/>
        <v>41488</v>
      </c>
      <c r="E213">
        <f>Yht8!AD6</f>
        <v>3929</v>
      </c>
    </row>
    <row r="214" spans="1:5" ht="18.75" x14ac:dyDescent="0.25">
      <c r="A214">
        <f>Kalenteri!A215</f>
        <v>41489</v>
      </c>
      <c r="B214">
        <f t="shared" si="9"/>
        <v>7</v>
      </c>
      <c r="C214">
        <f t="shared" si="10"/>
        <v>8</v>
      </c>
      <c r="D214" s="130">
        <f t="shared" si="11"/>
        <v>41489</v>
      </c>
      <c r="E214">
        <f>Yht8!AD7</f>
        <v>6028</v>
      </c>
    </row>
    <row r="215" spans="1:5" ht="18.75" x14ac:dyDescent="0.25">
      <c r="A215">
        <f>Kalenteri!A216</f>
        <v>41490</v>
      </c>
      <c r="B215">
        <f t="shared" si="9"/>
        <v>1</v>
      </c>
      <c r="C215">
        <f t="shared" si="10"/>
        <v>8</v>
      </c>
      <c r="D215" s="130">
        <f t="shared" si="11"/>
        <v>41490</v>
      </c>
      <c r="E215">
        <f>Yht8!AD8</f>
        <v>4596</v>
      </c>
    </row>
    <row r="216" spans="1:5" ht="18.75" x14ac:dyDescent="0.25">
      <c r="A216">
        <f>Kalenteri!A217</f>
        <v>41491</v>
      </c>
      <c r="B216">
        <f t="shared" si="9"/>
        <v>2</v>
      </c>
      <c r="C216">
        <f t="shared" si="10"/>
        <v>8</v>
      </c>
      <c r="D216" s="130">
        <f t="shared" si="11"/>
        <v>41491</v>
      </c>
      <c r="E216">
        <f>Yht8!AD9</f>
        <v>3064</v>
      </c>
    </row>
    <row r="217" spans="1:5" ht="18.75" x14ac:dyDescent="0.25">
      <c r="A217">
        <f>Kalenteri!A218</f>
        <v>41492</v>
      </c>
      <c r="B217">
        <f t="shared" si="9"/>
        <v>3</v>
      </c>
      <c r="C217">
        <f t="shared" si="10"/>
        <v>8</v>
      </c>
      <c r="D217" s="130">
        <f t="shared" si="11"/>
        <v>41492</v>
      </c>
      <c r="E217">
        <f>Yht8!AD10</f>
        <v>4377</v>
      </c>
    </row>
    <row r="218" spans="1:5" ht="18.75" x14ac:dyDescent="0.25">
      <c r="A218">
        <f>Kalenteri!A219</f>
        <v>41493</v>
      </c>
      <c r="B218">
        <f t="shared" si="9"/>
        <v>4</v>
      </c>
      <c r="C218">
        <f t="shared" si="10"/>
        <v>8</v>
      </c>
      <c r="D218" s="130">
        <f t="shared" si="11"/>
        <v>41493</v>
      </c>
      <c r="E218">
        <f>Yht8!AD11</f>
        <v>3362</v>
      </c>
    </row>
    <row r="219" spans="1:5" ht="18.75" x14ac:dyDescent="0.25">
      <c r="A219">
        <f>Kalenteri!A220</f>
        <v>41494</v>
      </c>
      <c r="B219">
        <f t="shared" si="9"/>
        <v>5</v>
      </c>
      <c r="C219">
        <f t="shared" si="10"/>
        <v>8</v>
      </c>
      <c r="D219" s="130">
        <f t="shared" si="11"/>
        <v>41494</v>
      </c>
      <c r="E219">
        <f>Yht8!AD12</f>
        <v>2800</v>
      </c>
    </row>
    <row r="220" spans="1:5" ht="18.75" x14ac:dyDescent="0.25">
      <c r="A220">
        <f>Kalenteri!A221</f>
        <v>41495</v>
      </c>
      <c r="B220">
        <f t="shared" si="9"/>
        <v>6</v>
      </c>
      <c r="C220">
        <f t="shared" si="10"/>
        <v>8</v>
      </c>
      <c r="D220" s="130">
        <f t="shared" si="11"/>
        <v>41495</v>
      </c>
      <c r="E220">
        <f>Yht8!AD13</f>
        <v>1427</v>
      </c>
    </row>
    <row r="221" spans="1:5" ht="18.75" x14ac:dyDescent="0.25">
      <c r="A221">
        <f>Kalenteri!A222</f>
        <v>41496</v>
      </c>
      <c r="B221">
        <f t="shared" si="9"/>
        <v>7</v>
      </c>
      <c r="C221">
        <f t="shared" si="10"/>
        <v>8</v>
      </c>
      <c r="D221" s="130">
        <f t="shared" si="11"/>
        <v>41496</v>
      </c>
      <c r="E221">
        <f>Yht8!AD14</f>
        <v>4338</v>
      </c>
    </row>
    <row r="222" spans="1:5" ht="18.75" x14ac:dyDescent="0.25">
      <c r="A222">
        <f>Kalenteri!A223</f>
        <v>41497</v>
      </c>
      <c r="B222">
        <f t="shared" si="9"/>
        <v>1</v>
      </c>
      <c r="C222">
        <f t="shared" si="10"/>
        <v>8</v>
      </c>
      <c r="D222" s="130">
        <f t="shared" si="11"/>
        <v>41497</v>
      </c>
      <c r="E222">
        <f>Yht8!AD15</f>
        <v>3638</v>
      </c>
    </row>
    <row r="223" spans="1:5" ht="18.75" x14ac:dyDescent="0.25">
      <c r="A223">
        <f>Kalenteri!A224</f>
        <v>41498</v>
      </c>
      <c r="B223">
        <f t="shared" si="9"/>
        <v>2</v>
      </c>
      <c r="C223">
        <f t="shared" si="10"/>
        <v>8</v>
      </c>
      <c r="D223" s="130">
        <f t="shared" si="11"/>
        <v>41498</v>
      </c>
      <c r="E223">
        <f>Yht8!AD16</f>
        <v>838</v>
      </c>
    </row>
    <row r="224" spans="1:5" ht="18.75" x14ac:dyDescent="0.25">
      <c r="A224">
        <f>Kalenteri!A225</f>
        <v>41499</v>
      </c>
      <c r="B224">
        <f t="shared" si="9"/>
        <v>3</v>
      </c>
      <c r="C224">
        <f t="shared" si="10"/>
        <v>8</v>
      </c>
      <c r="D224" s="130">
        <f t="shared" si="11"/>
        <v>41499</v>
      </c>
      <c r="E224">
        <f>Yht8!AD17</f>
        <v>750</v>
      </c>
    </row>
    <row r="225" spans="1:5" ht="18.75" x14ac:dyDescent="0.25">
      <c r="A225">
        <f>Kalenteri!A226</f>
        <v>41500</v>
      </c>
      <c r="B225">
        <f t="shared" si="9"/>
        <v>4</v>
      </c>
      <c r="C225">
        <f t="shared" si="10"/>
        <v>8</v>
      </c>
      <c r="D225" s="130">
        <f t="shared" si="11"/>
        <v>41500</v>
      </c>
      <c r="E225">
        <f>Yht8!AD18</f>
        <v>148</v>
      </c>
    </row>
    <row r="226" spans="1:5" ht="18.75" x14ac:dyDescent="0.25">
      <c r="A226">
        <f>Kalenteri!A227</f>
        <v>41501</v>
      </c>
      <c r="B226">
        <f t="shared" si="9"/>
        <v>5</v>
      </c>
      <c r="C226">
        <f t="shared" si="10"/>
        <v>8</v>
      </c>
      <c r="D226" s="130">
        <f t="shared" si="11"/>
        <v>41501</v>
      </c>
      <c r="E226">
        <f>Yht8!AD19</f>
        <v>885</v>
      </c>
    </row>
    <row r="227" spans="1:5" ht="18.75" x14ac:dyDescent="0.25">
      <c r="A227">
        <f>Kalenteri!A228</f>
        <v>41502</v>
      </c>
      <c r="B227">
        <f t="shared" si="9"/>
        <v>6</v>
      </c>
      <c r="C227">
        <f t="shared" si="10"/>
        <v>8</v>
      </c>
      <c r="D227" s="130">
        <f t="shared" si="11"/>
        <v>41502</v>
      </c>
      <c r="E227">
        <f>Yht8!AD20</f>
        <v>2224</v>
      </c>
    </row>
    <row r="228" spans="1:5" ht="18.75" x14ac:dyDescent="0.25">
      <c r="A228">
        <f>Kalenteri!A229</f>
        <v>41503</v>
      </c>
      <c r="B228">
        <f t="shared" si="9"/>
        <v>7</v>
      </c>
      <c r="C228">
        <f t="shared" si="10"/>
        <v>8</v>
      </c>
      <c r="D228" s="130">
        <f t="shared" si="11"/>
        <v>41503</v>
      </c>
      <c r="E228">
        <f>Yht8!AD21</f>
        <v>4880</v>
      </c>
    </row>
    <row r="229" spans="1:5" ht="18.75" x14ac:dyDescent="0.25">
      <c r="A229">
        <f>Kalenteri!A230</f>
        <v>41504</v>
      </c>
      <c r="B229">
        <f t="shared" si="9"/>
        <v>1</v>
      </c>
      <c r="C229">
        <f t="shared" si="10"/>
        <v>8</v>
      </c>
      <c r="D229" s="130">
        <f t="shared" si="11"/>
        <v>41504</v>
      </c>
      <c r="E229">
        <f>Yht8!AD22</f>
        <v>3366</v>
      </c>
    </row>
    <row r="230" spans="1:5" ht="18.75" x14ac:dyDescent="0.25">
      <c r="A230">
        <f>Kalenteri!A231</f>
        <v>41505</v>
      </c>
      <c r="B230">
        <f t="shared" si="9"/>
        <v>2</v>
      </c>
      <c r="C230">
        <f t="shared" si="10"/>
        <v>8</v>
      </c>
      <c r="D230" s="130">
        <f t="shared" si="11"/>
        <v>41505</v>
      </c>
      <c r="E230">
        <f>Yht8!AD23</f>
        <v>540</v>
      </c>
    </row>
    <row r="231" spans="1:5" ht="18.75" x14ac:dyDescent="0.25">
      <c r="A231">
        <f>Kalenteri!A232</f>
        <v>41506</v>
      </c>
      <c r="B231">
        <f t="shared" si="9"/>
        <v>3</v>
      </c>
      <c r="C231">
        <f t="shared" si="10"/>
        <v>8</v>
      </c>
      <c r="D231" s="130">
        <f t="shared" si="11"/>
        <v>41506</v>
      </c>
      <c r="E231">
        <f>Yht8!AD24</f>
        <v>1522</v>
      </c>
    </row>
    <row r="232" spans="1:5" ht="18.75" x14ac:dyDescent="0.25">
      <c r="A232">
        <f>Kalenteri!A233</f>
        <v>41507</v>
      </c>
      <c r="B232">
        <f t="shared" si="9"/>
        <v>4</v>
      </c>
      <c r="C232">
        <f t="shared" si="10"/>
        <v>8</v>
      </c>
      <c r="D232" s="130">
        <f t="shared" si="11"/>
        <v>41507</v>
      </c>
      <c r="E232">
        <f>Yht8!AD25</f>
        <v>1542</v>
      </c>
    </row>
    <row r="233" spans="1:5" ht="18.75" x14ac:dyDescent="0.25">
      <c r="A233">
        <f>Kalenteri!A234</f>
        <v>41508</v>
      </c>
      <c r="B233">
        <f t="shared" si="9"/>
        <v>5</v>
      </c>
      <c r="C233">
        <f t="shared" si="10"/>
        <v>8</v>
      </c>
      <c r="D233" s="130">
        <f t="shared" si="11"/>
        <v>41508</v>
      </c>
      <c r="E233">
        <f>Yht8!AD26</f>
        <v>703</v>
      </c>
    </row>
    <row r="234" spans="1:5" ht="18.75" x14ac:dyDescent="0.25">
      <c r="A234">
        <f>Kalenteri!A235</f>
        <v>41509</v>
      </c>
      <c r="B234">
        <f t="shared" si="9"/>
        <v>6</v>
      </c>
      <c r="C234">
        <f t="shared" si="10"/>
        <v>8</v>
      </c>
      <c r="D234" s="130">
        <f t="shared" si="11"/>
        <v>41509</v>
      </c>
      <c r="E234">
        <f>Yht8!AD27</f>
        <v>1635</v>
      </c>
    </row>
    <row r="235" spans="1:5" ht="18.75" x14ac:dyDescent="0.25">
      <c r="A235">
        <f>Kalenteri!A236</f>
        <v>41510</v>
      </c>
      <c r="B235">
        <f t="shared" si="9"/>
        <v>7</v>
      </c>
      <c r="C235">
        <f t="shared" si="10"/>
        <v>8</v>
      </c>
      <c r="D235" s="130">
        <f t="shared" si="11"/>
        <v>41510</v>
      </c>
      <c r="E235">
        <f>Yht8!AD28</f>
        <v>5040</v>
      </c>
    </row>
    <row r="236" spans="1:5" ht="18.75" x14ac:dyDescent="0.25">
      <c r="A236">
        <f>Kalenteri!A237</f>
        <v>41511</v>
      </c>
      <c r="B236">
        <f t="shared" si="9"/>
        <v>1</v>
      </c>
      <c r="C236">
        <f t="shared" si="10"/>
        <v>8</v>
      </c>
      <c r="D236" s="130">
        <f t="shared" si="11"/>
        <v>41511</v>
      </c>
      <c r="E236">
        <f>Yht8!AD29</f>
        <v>3620</v>
      </c>
    </row>
    <row r="237" spans="1:5" ht="18.75" x14ac:dyDescent="0.25">
      <c r="A237">
        <f>Kalenteri!A238</f>
        <v>41512</v>
      </c>
      <c r="B237">
        <f t="shared" si="9"/>
        <v>2</v>
      </c>
      <c r="C237">
        <f t="shared" si="10"/>
        <v>8</v>
      </c>
      <c r="D237" s="130">
        <f t="shared" si="11"/>
        <v>41512</v>
      </c>
      <c r="E237">
        <f>Yht8!AD30</f>
        <v>1180</v>
      </c>
    </row>
    <row r="238" spans="1:5" ht="18.75" x14ac:dyDescent="0.25">
      <c r="A238">
        <f>Kalenteri!A239</f>
        <v>41513</v>
      </c>
      <c r="B238">
        <f t="shared" si="9"/>
        <v>3</v>
      </c>
      <c r="C238">
        <f t="shared" si="10"/>
        <v>8</v>
      </c>
      <c r="D238" s="130">
        <f t="shared" si="11"/>
        <v>41513</v>
      </c>
      <c r="E238">
        <f>Yht8!AD31</f>
        <v>1174</v>
      </c>
    </row>
    <row r="239" spans="1:5" ht="18.75" x14ac:dyDescent="0.25">
      <c r="A239">
        <f>Kalenteri!A240</f>
        <v>41514</v>
      </c>
      <c r="B239">
        <f t="shared" si="9"/>
        <v>4</v>
      </c>
      <c r="C239">
        <f t="shared" si="10"/>
        <v>8</v>
      </c>
      <c r="D239" s="130">
        <f t="shared" si="11"/>
        <v>41514</v>
      </c>
      <c r="E239">
        <f>Yht8!AD32</f>
        <v>1211</v>
      </c>
    </row>
    <row r="240" spans="1:5" ht="18.75" x14ac:dyDescent="0.25">
      <c r="A240">
        <f>Kalenteri!A241</f>
        <v>41515</v>
      </c>
      <c r="B240">
        <f t="shared" si="9"/>
        <v>5</v>
      </c>
      <c r="C240">
        <f t="shared" si="10"/>
        <v>8</v>
      </c>
      <c r="D240" s="130">
        <f t="shared" si="11"/>
        <v>41515</v>
      </c>
      <c r="E240">
        <f>Yht8!AD33</f>
        <v>847</v>
      </c>
    </row>
    <row r="241" spans="1:5" ht="18.75" x14ac:dyDescent="0.25">
      <c r="A241">
        <f>Kalenteri!A242</f>
        <v>41516</v>
      </c>
      <c r="B241">
        <f t="shared" si="9"/>
        <v>6</v>
      </c>
      <c r="C241">
        <f t="shared" si="10"/>
        <v>8</v>
      </c>
      <c r="D241" s="130">
        <f t="shared" si="11"/>
        <v>41516</v>
      </c>
      <c r="E241">
        <f>Yht8!AD34</f>
        <v>1083</v>
      </c>
    </row>
    <row r="242" spans="1:5" ht="18.75" x14ac:dyDescent="0.25">
      <c r="A242">
        <f>Kalenteri!A243</f>
        <v>41517</v>
      </c>
      <c r="B242">
        <f t="shared" si="9"/>
        <v>7</v>
      </c>
      <c r="C242">
        <f t="shared" si="10"/>
        <v>8</v>
      </c>
      <c r="D242" s="130">
        <f t="shared" si="11"/>
        <v>41517</v>
      </c>
      <c r="E242">
        <f>Yht8!AD35</f>
        <v>2325</v>
      </c>
    </row>
    <row r="243" spans="1:5" ht="18.75" x14ac:dyDescent="0.25">
      <c r="A243">
        <f>Kalenteri!A244</f>
        <v>41518</v>
      </c>
      <c r="B243">
        <f t="shared" si="9"/>
        <v>1</v>
      </c>
      <c r="C243">
        <f t="shared" si="10"/>
        <v>9</v>
      </c>
      <c r="D243" s="130">
        <f t="shared" si="11"/>
        <v>41518</v>
      </c>
      <c r="E243">
        <f>Yht9!AD5</f>
        <v>1154</v>
      </c>
    </row>
    <row r="244" spans="1:5" ht="18.75" x14ac:dyDescent="0.25">
      <c r="A244">
        <f>Kalenteri!A245</f>
        <v>41519</v>
      </c>
      <c r="B244">
        <f t="shared" si="9"/>
        <v>2</v>
      </c>
      <c r="C244">
        <f t="shared" si="10"/>
        <v>9</v>
      </c>
      <c r="D244" s="130">
        <f t="shared" si="11"/>
        <v>41519</v>
      </c>
      <c r="E244">
        <f>Yht9!AD6</f>
        <v>238</v>
      </c>
    </row>
    <row r="245" spans="1:5" ht="18.75" x14ac:dyDescent="0.25">
      <c r="A245">
        <f>Kalenteri!A246</f>
        <v>41520</v>
      </c>
      <c r="B245">
        <f t="shared" si="9"/>
        <v>3</v>
      </c>
      <c r="C245">
        <f t="shared" si="10"/>
        <v>9</v>
      </c>
      <c r="D245" s="130">
        <f t="shared" si="11"/>
        <v>41520</v>
      </c>
      <c r="E245">
        <f>Yht9!AD7</f>
        <v>539</v>
      </c>
    </row>
    <row r="246" spans="1:5" ht="18.75" x14ac:dyDescent="0.25">
      <c r="A246">
        <f>Kalenteri!A247</f>
        <v>41521</v>
      </c>
      <c r="B246">
        <f t="shared" si="9"/>
        <v>4</v>
      </c>
      <c r="C246">
        <f t="shared" si="10"/>
        <v>9</v>
      </c>
      <c r="D246" s="130">
        <f t="shared" si="11"/>
        <v>41521</v>
      </c>
      <c r="E246">
        <f>Yht9!AD8</f>
        <v>411</v>
      </c>
    </row>
    <row r="247" spans="1:5" ht="18.75" x14ac:dyDescent="0.25">
      <c r="A247">
        <f>Kalenteri!A248</f>
        <v>41522</v>
      </c>
      <c r="B247">
        <f t="shared" si="9"/>
        <v>5</v>
      </c>
      <c r="C247">
        <f t="shared" si="10"/>
        <v>9</v>
      </c>
      <c r="D247" s="130">
        <f t="shared" si="11"/>
        <v>41522</v>
      </c>
      <c r="E247">
        <f>Yht9!AD9</f>
        <v>593</v>
      </c>
    </row>
    <row r="248" spans="1:5" ht="18.75" x14ac:dyDescent="0.25">
      <c r="A248">
        <f>Kalenteri!A249</f>
        <v>41523</v>
      </c>
      <c r="B248">
        <f t="shared" si="9"/>
        <v>6</v>
      </c>
      <c r="C248">
        <f t="shared" si="10"/>
        <v>9</v>
      </c>
      <c r="D248" s="130">
        <f t="shared" si="11"/>
        <v>41523</v>
      </c>
      <c r="E248">
        <f>Yht9!AD10</f>
        <v>5495</v>
      </c>
    </row>
    <row r="249" spans="1:5" ht="18.75" x14ac:dyDescent="0.25">
      <c r="A249">
        <f>Kalenteri!A250</f>
        <v>41524</v>
      </c>
      <c r="B249">
        <f t="shared" si="9"/>
        <v>7</v>
      </c>
      <c r="C249">
        <f t="shared" si="10"/>
        <v>9</v>
      </c>
      <c r="D249" s="130">
        <f t="shared" si="11"/>
        <v>41524</v>
      </c>
      <c r="E249">
        <f>Yht9!AD11</f>
        <v>4130</v>
      </c>
    </row>
    <row r="250" spans="1:5" ht="18.75" x14ac:dyDescent="0.25">
      <c r="A250">
        <f>Kalenteri!A251</f>
        <v>41525</v>
      </c>
      <c r="B250">
        <f t="shared" si="9"/>
        <v>1</v>
      </c>
      <c r="C250">
        <f t="shared" si="10"/>
        <v>9</v>
      </c>
      <c r="D250" s="130">
        <f t="shared" si="11"/>
        <v>41525</v>
      </c>
      <c r="E250">
        <f>Yht9!AD12</f>
        <v>2793</v>
      </c>
    </row>
    <row r="251" spans="1:5" ht="18.75" x14ac:dyDescent="0.25">
      <c r="A251">
        <f>Kalenteri!A252</f>
        <v>41526</v>
      </c>
      <c r="B251">
        <f t="shared" si="9"/>
        <v>2</v>
      </c>
      <c r="C251">
        <f t="shared" si="10"/>
        <v>9</v>
      </c>
      <c r="D251" s="130">
        <f t="shared" si="11"/>
        <v>41526</v>
      </c>
      <c r="E251">
        <f>Yht9!AD13</f>
        <v>503</v>
      </c>
    </row>
    <row r="252" spans="1:5" ht="18.75" x14ac:dyDescent="0.25">
      <c r="A252">
        <f>Kalenteri!A253</f>
        <v>41527</v>
      </c>
      <c r="B252">
        <f t="shared" si="9"/>
        <v>3</v>
      </c>
      <c r="C252">
        <f t="shared" si="10"/>
        <v>9</v>
      </c>
      <c r="D252" s="130">
        <f t="shared" si="11"/>
        <v>41527</v>
      </c>
      <c r="E252">
        <f>Yht9!AD14</f>
        <v>232</v>
      </c>
    </row>
    <row r="253" spans="1:5" ht="18.75" x14ac:dyDescent="0.25">
      <c r="A253">
        <f>Kalenteri!A254</f>
        <v>41528</v>
      </c>
      <c r="B253">
        <f t="shared" si="9"/>
        <v>4</v>
      </c>
      <c r="C253">
        <f t="shared" si="10"/>
        <v>9</v>
      </c>
      <c r="D253" s="130">
        <f t="shared" si="11"/>
        <v>41528</v>
      </c>
      <c r="E253">
        <f>Yht9!AD15</f>
        <v>303</v>
      </c>
    </row>
    <row r="254" spans="1:5" ht="18.75" x14ac:dyDescent="0.25">
      <c r="A254">
        <f>Kalenteri!A255</f>
        <v>41529</v>
      </c>
      <c r="B254">
        <f t="shared" si="9"/>
        <v>5</v>
      </c>
      <c r="C254">
        <f t="shared" si="10"/>
        <v>9</v>
      </c>
      <c r="D254" s="130">
        <f t="shared" si="11"/>
        <v>41529</v>
      </c>
      <c r="E254">
        <f>Yht9!AD16</f>
        <v>517</v>
      </c>
    </row>
    <row r="255" spans="1:5" ht="18.75" x14ac:dyDescent="0.25">
      <c r="A255">
        <f>Kalenteri!A256</f>
        <v>41530</v>
      </c>
      <c r="B255">
        <f t="shared" si="9"/>
        <v>6</v>
      </c>
      <c r="C255">
        <f t="shared" si="10"/>
        <v>9</v>
      </c>
      <c r="D255" s="130">
        <f t="shared" si="11"/>
        <v>41530</v>
      </c>
      <c r="E255">
        <f>Yht9!AD17</f>
        <v>7578</v>
      </c>
    </row>
    <row r="256" spans="1:5" ht="18.75" x14ac:dyDescent="0.25">
      <c r="A256">
        <f>Kalenteri!A257</f>
        <v>41531</v>
      </c>
      <c r="B256">
        <f t="shared" ref="B256:B319" si="12">WEEKDAY(A256)</f>
        <v>7</v>
      </c>
      <c r="C256">
        <f t="shared" ref="C256:C319" si="13">MONTH(A256)</f>
        <v>9</v>
      </c>
      <c r="D256" s="130">
        <f t="shared" ref="D256:D319" si="14">+A256</f>
        <v>41531</v>
      </c>
      <c r="E256">
        <f>Yht9!AD18</f>
        <v>2696</v>
      </c>
    </row>
    <row r="257" spans="1:5" ht="18.75" x14ac:dyDescent="0.25">
      <c r="A257">
        <f>Kalenteri!A258</f>
        <v>41532</v>
      </c>
      <c r="B257">
        <f t="shared" si="12"/>
        <v>1</v>
      </c>
      <c r="C257">
        <f t="shared" si="13"/>
        <v>9</v>
      </c>
      <c r="D257" s="130">
        <f t="shared" si="14"/>
        <v>41532</v>
      </c>
      <c r="E257">
        <f>Yht9!AD19</f>
        <v>1436</v>
      </c>
    </row>
    <row r="258" spans="1:5" ht="18.75" x14ac:dyDescent="0.25">
      <c r="A258">
        <f>Kalenteri!A259</f>
        <v>41533</v>
      </c>
      <c r="B258">
        <f t="shared" si="12"/>
        <v>2</v>
      </c>
      <c r="C258">
        <f t="shared" si="13"/>
        <v>9</v>
      </c>
      <c r="D258" s="130">
        <f t="shared" si="14"/>
        <v>41533</v>
      </c>
      <c r="E258">
        <f>Yht9!AD20</f>
        <v>312</v>
      </c>
    </row>
    <row r="259" spans="1:5" ht="18.75" x14ac:dyDescent="0.25">
      <c r="A259">
        <f>Kalenteri!A260</f>
        <v>41534</v>
      </c>
      <c r="B259">
        <f t="shared" si="12"/>
        <v>3</v>
      </c>
      <c r="C259">
        <f t="shared" si="13"/>
        <v>9</v>
      </c>
      <c r="D259" s="130">
        <f t="shared" si="14"/>
        <v>41534</v>
      </c>
      <c r="E259">
        <f>Yht9!AD21</f>
        <v>362</v>
      </c>
    </row>
    <row r="260" spans="1:5" ht="18.75" x14ac:dyDescent="0.25">
      <c r="A260">
        <f>Kalenteri!A261</f>
        <v>41535</v>
      </c>
      <c r="B260">
        <f t="shared" si="12"/>
        <v>4</v>
      </c>
      <c r="C260">
        <f t="shared" si="13"/>
        <v>9</v>
      </c>
      <c r="D260" s="130">
        <f t="shared" si="14"/>
        <v>41535</v>
      </c>
      <c r="E260">
        <f>Yht9!AD22</f>
        <v>375</v>
      </c>
    </row>
    <row r="261" spans="1:5" ht="18.75" x14ac:dyDescent="0.25">
      <c r="A261">
        <f>Kalenteri!A262</f>
        <v>41536</v>
      </c>
      <c r="B261">
        <f t="shared" si="12"/>
        <v>5</v>
      </c>
      <c r="C261">
        <f t="shared" si="13"/>
        <v>9</v>
      </c>
      <c r="D261" s="130">
        <f t="shared" si="14"/>
        <v>41536</v>
      </c>
      <c r="E261">
        <f>Yht9!AD23</f>
        <v>116</v>
      </c>
    </row>
    <row r="262" spans="1:5" ht="18.75" x14ac:dyDescent="0.25">
      <c r="A262">
        <f>Kalenteri!A263</f>
        <v>41537</v>
      </c>
      <c r="B262">
        <f t="shared" si="12"/>
        <v>6</v>
      </c>
      <c r="C262">
        <f t="shared" si="13"/>
        <v>9</v>
      </c>
      <c r="D262" s="130">
        <f t="shared" si="14"/>
        <v>41537</v>
      </c>
      <c r="E262">
        <f>Yht9!AD24</f>
        <v>407</v>
      </c>
    </row>
    <row r="263" spans="1:5" ht="18.75" x14ac:dyDescent="0.25">
      <c r="A263">
        <f>Kalenteri!A264</f>
        <v>41538</v>
      </c>
      <c r="B263">
        <f t="shared" si="12"/>
        <v>7</v>
      </c>
      <c r="C263">
        <f t="shared" si="13"/>
        <v>9</v>
      </c>
      <c r="D263" s="130">
        <f t="shared" si="14"/>
        <v>41538</v>
      </c>
      <c r="E263">
        <f>Yht9!AD25</f>
        <v>1464</v>
      </c>
    </row>
    <row r="264" spans="1:5" ht="18.75" x14ac:dyDescent="0.25">
      <c r="A264">
        <f>Kalenteri!A265</f>
        <v>41539</v>
      </c>
      <c r="B264">
        <f t="shared" si="12"/>
        <v>1</v>
      </c>
      <c r="C264">
        <f t="shared" si="13"/>
        <v>9</v>
      </c>
      <c r="D264" s="130">
        <f t="shared" si="14"/>
        <v>41539</v>
      </c>
      <c r="E264">
        <f>Yht9!AD26</f>
        <v>1288</v>
      </c>
    </row>
    <row r="265" spans="1:5" ht="18.75" x14ac:dyDescent="0.25">
      <c r="A265">
        <f>Kalenteri!A266</f>
        <v>41540</v>
      </c>
      <c r="B265">
        <f t="shared" si="12"/>
        <v>2</v>
      </c>
      <c r="C265">
        <f t="shared" si="13"/>
        <v>9</v>
      </c>
      <c r="D265" s="130">
        <f t="shared" si="14"/>
        <v>41540</v>
      </c>
      <c r="E265">
        <f>Yht9!AD27</f>
        <v>183</v>
      </c>
    </row>
    <row r="266" spans="1:5" ht="18.75" x14ac:dyDescent="0.25">
      <c r="A266">
        <f>Kalenteri!A267</f>
        <v>41541</v>
      </c>
      <c r="B266">
        <f t="shared" si="12"/>
        <v>3</v>
      </c>
      <c r="C266">
        <f t="shared" si="13"/>
        <v>9</v>
      </c>
      <c r="D266" s="130">
        <f t="shared" si="14"/>
        <v>41541</v>
      </c>
      <c r="E266">
        <f>Yht9!AD28</f>
        <v>207</v>
      </c>
    </row>
    <row r="267" spans="1:5" ht="18.75" x14ac:dyDescent="0.25">
      <c r="A267">
        <f>Kalenteri!A268</f>
        <v>41542</v>
      </c>
      <c r="B267">
        <f t="shared" si="12"/>
        <v>4</v>
      </c>
      <c r="C267">
        <f t="shared" si="13"/>
        <v>9</v>
      </c>
      <c r="D267" s="130">
        <f t="shared" si="14"/>
        <v>41542</v>
      </c>
      <c r="E267">
        <f>Yht9!AD29</f>
        <v>1795</v>
      </c>
    </row>
    <row r="268" spans="1:5" ht="18.75" x14ac:dyDescent="0.25">
      <c r="A268">
        <f>Kalenteri!A269</f>
        <v>41543</v>
      </c>
      <c r="B268">
        <f t="shared" si="12"/>
        <v>5</v>
      </c>
      <c r="C268">
        <f t="shared" si="13"/>
        <v>9</v>
      </c>
      <c r="D268" s="130">
        <f t="shared" si="14"/>
        <v>41543</v>
      </c>
      <c r="E268">
        <f>Yht9!AD30</f>
        <v>194</v>
      </c>
    </row>
    <row r="269" spans="1:5" ht="18.75" x14ac:dyDescent="0.25">
      <c r="A269">
        <f>Kalenteri!A270</f>
        <v>41544</v>
      </c>
      <c r="B269">
        <f t="shared" si="12"/>
        <v>6</v>
      </c>
      <c r="C269">
        <f t="shared" si="13"/>
        <v>9</v>
      </c>
      <c r="D269" s="130">
        <f t="shared" si="14"/>
        <v>41544</v>
      </c>
      <c r="E269">
        <f>Yht9!AD31</f>
        <v>398</v>
      </c>
    </row>
    <row r="270" spans="1:5" ht="18.75" x14ac:dyDescent="0.25">
      <c r="A270">
        <f>Kalenteri!A271</f>
        <v>41545</v>
      </c>
      <c r="B270">
        <f t="shared" si="12"/>
        <v>7</v>
      </c>
      <c r="C270">
        <f t="shared" si="13"/>
        <v>9</v>
      </c>
      <c r="D270" s="130">
        <f t="shared" si="14"/>
        <v>41545</v>
      </c>
      <c r="E270">
        <f>Yht9!AD32</f>
        <v>1167</v>
      </c>
    </row>
    <row r="271" spans="1:5" ht="18.75" x14ac:dyDescent="0.25">
      <c r="A271">
        <f>Kalenteri!A272</f>
        <v>41546</v>
      </c>
      <c r="B271">
        <f t="shared" si="12"/>
        <v>1</v>
      </c>
      <c r="C271">
        <f t="shared" si="13"/>
        <v>9</v>
      </c>
      <c r="D271" s="130">
        <f t="shared" si="14"/>
        <v>41546</v>
      </c>
      <c r="E271">
        <f>Yht9!AD33</f>
        <v>851</v>
      </c>
    </row>
    <row r="272" spans="1:5" ht="18.75" x14ac:dyDescent="0.25">
      <c r="A272">
        <f>Kalenteri!A273</f>
        <v>41547</v>
      </c>
      <c r="B272">
        <f t="shared" si="12"/>
        <v>2</v>
      </c>
      <c r="C272">
        <f t="shared" si="13"/>
        <v>9</v>
      </c>
      <c r="D272" s="130">
        <f t="shared" si="14"/>
        <v>41547</v>
      </c>
      <c r="E272">
        <f>Yht9!AD34</f>
        <v>99</v>
      </c>
    </row>
    <row r="273" spans="1:5" ht="18.75" x14ac:dyDescent="0.25">
      <c r="A273">
        <f>Kalenteri!A274</f>
        <v>41548</v>
      </c>
      <c r="B273">
        <f t="shared" si="12"/>
        <v>3</v>
      </c>
      <c r="C273">
        <f t="shared" si="13"/>
        <v>10</v>
      </c>
      <c r="D273" s="130">
        <f t="shared" si="14"/>
        <v>41548</v>
      </c>
      <c r="E273">
        <f>Yht10!AD5</f>
        <v>199</v>
      </c>
    </row>
    <row r="274" spans="1:5" ht="18.75" x14ac:dyDescent="0.25">
      <c r="A274">
        <f>Kalenteri!A275</f>
        <v>41549</v>
      </c>
      <c r="B274">
        <f t="shared" si="12"/>
        <v>4</v>
      </c>
      <c r="C274">
        <f t="shared" si="13"/>
        <v>10</v>
      </c>
      <c r="D274" s="130">
        <f t="shared" si="14"/>
        <v>41549</v>
      </c>
      <c r="E274">
        <f>Yht10!AD6</f>
        <v>130</v>
      </c>
    </row>
    <row r="275" spans="1:5" ht="18.75" x14ac:dyDescent="0.25">
      <c r="A275">
        <f>Kalenteri!A276</f>
        <v>41550</v>
      </c>
      <c r="B275">
        <f t="shared" si="12"/>
        <v>5</v>
      </c>
      <c r="C275">
        <f t="shared" si="13"/>
        <v>10</v>
      </c>
      <c r="D275" s="130">
        <f t="shared" si="14"/>
        <v>41550</v>
      </c>
      <c r="E275">
        <f>Yht10!AD7</f>
        <v>212</v>
      </c>
    </row>
    <row r="276" spans="1:5" ht="18.75" x14ac:dyDescent="0.25">
      <c r="A276">
        <f>Kalenteri!A277</f>
        <v>41551</v>
      </c>
      <c r="B276">
        <f t="shared" si="12"/>
        <v>6</v>
      </c>
      <c r="C276">
        <f t="shared" si="13"/>
        <v>10</v>
      </c>
      <c r="D276" s="130">
        <f t="shared" si="14"/>
        <v>41551</v>
      </c>
      <c r="E276">
        <f>Yht10!AD8</f>
        <v>6578</v>
      </c>
    </row>
    <row r="277" spans="1:5" ht="18.75" x14ac:dyDescent="0.25">
      <c r="A277">
        <f>Kalenteri!A278</f>
        <v>41552</v>
      </c>
      <c r="B277">
        <f t="shared" si="12"/>
        <v>7</v>
      </c>
      <c r="C277">
        <f t="shared" si="13"/>
        <v>10</v>
      </c>
      <c r="D277" s="130">
        <f t="shared" si="14"/>
        <v>41552</v>
      </c>
      <c r="E277">
        <f>Yht10!AD9</f>
        <v>924</v>
      </c>
    </row>
    <row r="278" spans="1:5" ht="18.75" x14ac:dyDescent="0.25">
      <c r="A278">
        <f>Kalenteri!A279</f>
        <v>41553</v>
      </c>
      <c r="B278">
        <f t="shared" si="12"/>
        <v>1</v>
      </c>
      <c r="C278">
        <f t="shared" si="13"/>
        <v>10</v>
      </c>
      <c r="D278" s="130">
        <f t="shared" si="14"/>
        <v>41553</v>
      </c>
      <c r="E278">
        <f>Yht10!AD10</f>
        <v>800</v>
      </c>
    </row>
    <row r="279" spans="1:5" ht="18.75" x14ac:dyDescent="0.25">
      <c r="A279">
        <f>Kalenteri!A280</f>
        <v>41554</v>
      </c>
      <c r="B279">
        <f t="shared" si="12"/>
        <v>2</v>
      </c>
      <c r="C279">
        <f t="shared" si="13"/>
        <v>10</v>
      </c>
      <c r="D279" s="130">
        <f t="shared" si="14"/>
        <v>41554</v>
      </c>
      <c r="E279">
        <f>Yht10!AD11</f>
        <v>246</v>
      </c>
    </row>
    <row r="280" spans="1:5" ht="18.75" x14ac:dyDescent="0.25">
      <c r="A280">
        <f>Kalenteri!A281</f>
        <v>41555</v>
      </c>
      <c r="B280">
        <f t="shared" si="12"/>
        <v>3</v>
      </c>
      <c r="C280">
        <f t="shared" si="13"/>
        <v>10</v>
      </c>
      <c r="D280" s="130">
        <f t="shared" si="14"/>
        <v>41555</v>
      </c>
      <c r="E280">
        <f>Yht10!AD12</f>
        <v>164</v>
      </c>
    </row>
    <row r="281" spans="1:5" ht="18.75" x14ac:dyDescent="0.25">
      <c r="A281">
        <f>Kalenteri!A282</f>
        <v>41556</v>
      </c>
      <c r="B281">
        <f t="shared" si="12"/>
        <v>4</v>
      </c>
      <c r="C281">
        <f t="shared" si="13"/>
        <v>10</v>
      </c>
      <c r="D281" s="130">
        <f t="shared" si="14"/>
        <v>41556</v>
      </c>
      <c r="E281">
        <f>Yht10!AD13</f>
        <v>64</v>
      </c>
    </row>
    <row r="282" spans="1:5" ht="18.75" x14ac:dyDescent="0.25">
      <c r="A282">
        <f>Kalenteri!A283</f>
        <v>41557</v>
      </c>
      <c r="B282">
        <f t="shared" si="12"/>
        <v>5</v>
      </c>
      <c r="C282">
        <f t="shared" si="13"/>
        <v>10</v>
      </c>
      <c r="D282" s="130">
        <f t="shared" si="14"/>
        <v>41557</v>
      </c>
      <c r="E282">
        <f>Yht10!AD14</f>
        <v>276</v>
      </c>
    </row>
    <row r="283" spans="1:5" ht="18.75" x14ac:dyDescent="0.25">
      <c r="A283">
        <f>Kalenteri!A284</f>
        <v>41558</v>
      </c>
      <c r="B283">
        <f t="shared" si="12"/>
        <v>6</v>
      </c>
      <c r="C283">
        <f t="shared" si="13"/>
        <v>10</v>
      </c>
      <c r="D283" s="130">
        <f t="shared" si="14"/>
        <v>41558</v>
      </c>
      <c r="E283">
        <f>Yht10!AD15</f>
        <v>254</v>
      </c>
    </row>
    <row r="284" spans="1:5" ht="18.75" x14ac:dyDescent="0.25">
      <c r="A284">
        <f>Kalenteri!A285</f>
        <v>41559</v>
      </c>
      <c r="B284">
        <f t="shared" si="12"/>
        <v>7</v>
      </c>
      <c r="C284">
        <f t="shared" si="13"/>
        <v>10</v>
      </c>
      <c r="D284" s="130">
        <f t="shared" si="14"/>
        <v>41559</v>
      </c>
      <c r="E284">
        <f>Yht10!AD16</f>
        <v>989</v>
      </c>
    </row>
    <row r="285" spans="1:5" ht="18.75" x14ac:dyDescent="0.25">
      <c r="A285">
        <f>Kalenteri!A286</f>
        <v>41560</v>
      </c>
      <c r="B285">
        <f t="shared" si="12"/>
        <v>1</v>
      </c>
      <c r="C285">
        <f t="shared" si="13"/>
        <v>10</v>
      </c>
      <c r="D285" s="130">
        <f t="shared" si="14"/>
        <v>41560</v>
      </c>
      <c r="E285">
        <f>Yht10!AD17</f>
        <v>938</v>
      </c>
    </row>
    <row r="286" spans="1:5" ht="18.75" x14ac:dyDescent="0.25">
      <c r="A286">
        <f>Kalenteri!A287</f>
        <v>41561</v>
      </c>
      <c r="B286">
        <f t="shared" si="12"/>
        <v>2</v>
      </c>
      <c r="C286">
        <f t="shared" si="13"/>
        <v>10</v>
      </c>
      <c r="D286" s="130">
        <f t="shared" si="14"/>
        <v>41561</v>
      </c>
      <c r="E286">
        <f>Yht10!AD18</f>
        <v>506</v>
      </c>
    </row>
    <row r="287" spans="1:5" ht="18.75" x14ac:dyDescent="0.25">
      <c r="A287">
        <f>Kalenteri!A288</f>
        <v>41562</v>
      </c>
      <c r="B287">
        <f t="shared" si="12"/>
        <v>3</v>
      </c>
      <c r="C287">
        <f t="shared" si="13"/>
        <v>10</v>
      </c>
      <c r="D287" s="130">
        <f t="shared" si="14"/>
        <v>41562</v>
      </c>
      <c r="E287">
        <f>Yht10!AD19</f>
        <v>540</v>
      </c>
    </row>
    <row r="288" spans="1:5" ht="18.75" x14ac:dyDescent="0.25">
      <c r="A288">
        <f>Kalenteri!A289</f>
        <v>41563</v>
      </c>
      <c r="B288">
        <f t="shared" si="12"/>
        <v>4</v>
      </c>
      <c r="C288">
        <f t="shared" si="13"/>
        <v>10</v>
      </c>
      <c r="D288" s="130">
        <f t="shared" si="14"/>
        <v>41563</v>
      </c>
      <c r="E288">
        <f>Yht10!AD20</f>
        <v>760</v>
      </c>
    </row>
    <row r="289" spans="1:5" ht="18.75" x14ac:dyDescent="0.25">
      <c r="A289">
        <f>Kalenteri!A290</f>
        <v>41564</v>
      </c>
      <c r="B289">
        <f t="shared" si="12"/>
        <v>5</v>
      </c>
      <c r="C289">
        <f t="shared" si="13"/>
        <v>10</v>
      </c>
      <c r="D289" s="130">
        <f t="shared" si="14"/>
        <v>41564</v>
      </c>
      <c r="E289">
        <f>Yht10!AD21</f>
        <v>870</v>
      </c>
    </row>
    <row r="290" spans="1:5" ht="18.75" x14ac:dyDescent="0.25">
      <c r="A290">
        <f>Kalenteri!A291</f>
        <v>41565</v>
      </c>
      <c r="B290">
        <f t="shared" si="12"/>
        <v>6</v>
      </c>
      <c r="C290">
        <f t="shared" si="13"/>
        <v>10</v>
      </c>
      <c r="D290" s="130">
        <f t="shared" si="14"/>
        <v>41565</v>
      </c>
      <c r="E290">
        <f>Yht10!AD22</f>
        <v>104</v>
      </c>
    </row>
    <row r="291" spans="1:5" ht="18.75" x14ac:dyDescent="0.25">
      <c r="A291">
        <f>Kalenteri!A292</f>
        <v>41566</v>
      </c>
      <c r="B291">
        <f t="shared" si="12"/>
        <v>7</v>
      </c>
      <c r="C291">
        <f t="shared" si="13"/>
        <v>10</v>
      </c>
      <c r="D291" s="130">
        <f t="shared" si="14"/>
        <v>41566</v>
      </c>
      <c r="E291">
        <f>Yht10!AD23</f>
        <v>885</v>
      </c>
    </row>
    <row r="292" spans="1:5" ht="18.75" x14ac:dyDescent="0.25">
      <c r="A292">
        <f>Kalenteri!A293</f>
        <v>41567</v>
      </c>
      <c r="B292">
        <f t="shared" si="12"/>
        <v>1</v>
      </c>
      <c r="C292">
        <f t="shared" si="13"/>
        <v>10</v>
      </c>
      <c r="D292" s="130">
        <f t="shared" si="14"/>
        <v>41567</v>
      </c>
      <c r="E292">
        <f>Yht10!AD24</f>
        <v>569</v>
      </c>
    </row>
    <row r="293" spans="1:5" ht="18.75" x14ac:dyDescent="0.25">
      <c r="A293">
        <f>Kalenteri!A294</f>
        <v>41568</v>
      </c>
      <c r="B293">
        <f t="shared" si="12"/>
        <v>2</v>
      </c>
      <c r="C293">
        <f t="shared" si="13"/>
        <v>10</v>
      </c>
      <c r="D293" s="130">
        <f t="shared" si="14"/>
        <v>41568</v>
      </c>
      <c r="E293">
        <f>Yht10!AD25</f>
        <v>266</v>
      </c>
    </row>
    <row r="294" spans="1:5" ht="18.75" x14ac:dyDescent="0.25">
      <c r="A294">
        <f>Kalenteri!A295</f>
        <v>41569</v>
      </c>
      <c r="B294">
        <f t="shared" si="12"/>
        <v>3</v>
      </c>
      <c r="C294">
        <f t="shared" si="13"/>
        <v>10</v>
      </c>
      <c r="D294" s="130">
        <f t="shared" si="14"/>
        <v>41569</v>
      </c>
      <c r="E294">
        <f>Yht10!AD26</f>
        <v>224</v>
      </c>
    </row>
    <row r="295" spans="1:5" ht="18.75" x14ac:dyDescent="0.25">
      <c r="A295">
        <f>Kalenteri!A296</f>
        <v>41570</v>
      </c>
      <c r="B295">
        <f t="shared" si="12"/>
        <v>4</v>
      </c>
      <c r="C295">
        <f t="shared" si="13"/>
        <v>10</v>
      </c>
      <c r="D295" s="130">
        <f t="shared" si="14"/>
        <v>41570</v>
      </c>
      <c r="E295">
        <f>Yht10!AD27</f>
        <v>142</v>
      </c>
    </row>
    <row r="296" spans="1:5" ht="18.75" x14ac:dyDescent="0.25">
      <c r="A296">
        <f>Kalenteri!A297</f>
        <v>41571</v>
      </c>
      <c r="B296">
        <f t="shared" si="12"/>
        <v>5</v>
      </c>
      <c r="C296">
        <f t="shared" si="13"/>
        <v>10</v>
      </c>
      <c r="D296" s="130">
        <f t="shared" si="14"/>
        <v>41571</v>
      </c>
      <c r="E296">
        <f>Yht10!AD28</f>
        <v>64</v>
      </c>
    </row>
    <row r="297" spans="1:5" ht="18.75" x14ac:dyDescent="0.25">
      <c r="A297">
        <f>Kalenteri!A298</f>
        <v>41572</v>
      </c>
      <c r="B297">
        <f t="shared" si="12"/>
        <v>6</v>
      </c>
      <c r="C297">
        <f t="shared" si="13"/>
        <v>10</v>
      </c>
      <c r="D297" s="130">
        <f t="shared" si="14"/>
        <v>41572</v>
      </c>
      <c r="E297">
        <f>Yht10!AD29</f>
        <v>250</v>
      </c>
    </row>
    <row r="298" spans="1:5" ht="18.75" x14ac:dyDescent="0.25">
      <c r="A298">
        <f>Kalenteri!A299</f>
        <v>41573</v>
      </c>
      <c r="B298">
        <f t="shared" si="12"/>
        <v>7</v>
      </c>
      <c r="C298">
        <f t="shared" si="13"/>
        <v>10</v>
      </c>
      <c r="D298" s="130">
        <f t="shared" si="14"/>
        <v>41573</v>
      </c>
      <c r="E298">
        <f>Yht10!AD30</f>
        <v>125</v>
      </c>
    </row>
    <row r="299" spans="1:5" ht="18.75" x14ac:dyDescent="0.25">
      <c r="A299">
        <f>Kalenteri!A300</f>
        <v>41574</v>
      </c>
      <c r="B299">
        <f t="shared" si="12"/>
        <v>1</v>
      </c>
      <c r="C299">
        <f t="shared" si="13"/>
        <v>10</v>
      </c>
      <c r="D299" s="130">
        <f t="shared" si="14"/>
        <v>41574</v>
      </c>
      <c r="E299">
        <f>Yht10!AD31</f>
        <v>468</v>
      </c>
    </row>
    <row r="300" spans="1:5" ht="18.75" x14ac:dyDescent="0.25">
      <c r="A300">
        <f>Kalenteri!A301</f>
        <v>41575</v>
      </c>
      <c r="B300">
        <f t="shared" si="12"/>
        <v>2</v>
      </c>
      <c r="C300">
        <f t="shared" si="13"/>
        <v>10</v>
      </c>
      <c r="D300" s="130">
        <f t="shared" si="14"/>
        <v>41575</v>
      </c>
      <c r="E300">
        <f>Yht10!AD32</f>
        <v>72</v>
      </c>
    </row>
    <row r="301" spans="1:5" ht="18.75" x14ac:dyDescent="0.25">
      <c r="A301">
        <f>Kalenteri!A302</f>
        <v>41576</v>
      </c>
      <c r="B301">
        <f t="shared" si="12"/>
        <v>3</v>
      </c>
      <c r="C301">
        <f t="shared" si="13"/>
        <v>10</v>
      </c>
      <c r="D301" s="130">
        <f t="shared" si="14"/>
        <v>41576</v>
      </c>
      <c r="E301">
        <f>Yht10!AD33</f>
        <v>51</v>
      </c>
    </row>
    <row r="302" spans="1:5" ht="18.75" x14ac:dyDescent="0.25">
      <c r="A302">
        <f>Kalenteri!A303</f>
        <v>41577</v>
      </c>
      <c r="B302">
        <f t="shared" si="12"/>
        <v>4</v>
      </c>
      <c r="C302">
        <f t="shared" si="13"/>
        <v>10</v>
      </c>
      <c r="D302" s="130">
        <f t="shared" si="14"/>
        <v>41577</v>
      </c>
      <c r="E302">
        <f>Yht10!AD34</f>
        <v>163</v>
      </c>
    </row>
    <row r="303" spans="1:5" ht="18.75" x14ac:dyDescent="0.25">
      <c r="A303">
        <f>Kalenteri!A304</f>
        <v>41578</v>
      </c>
      <c r="B303">
        <f t="shared" si="12"/>
        <v>5</v>
      </c>
      <c r="C303">
        <f t="shared" si="13"/>
        <v>10</v>
      </c>
      <c r="D303" s="130">
        <f t="shared" si="14"/>
        <v>41578</v>
      </c>
      <c r="E303">
        <f>Yht10!AD35</f>
        <v>202</v>
      </c>
    </row>
    <row r="304" spans="1:5" ht="18.75" x14ac:dyDescent="0.25">
      <c r="A304">
        <f>Kalenteri!A305</f>
        <v>41579</v>
      </c>
      <c r="B304">
        <f t="shared" si="12"/>
        <v>6</v>
      </c>
      <c r="C304">
        <f t="shared" si="13"/>
        <v>11</v>
      </c>
      <c r="D304" s="130">
        <f t="shared" si="14"/>
        <v>41579</v>
      </c>
      <c r="E304">
        <f>Yht11!AD5</f>
        <v>172</v>
      </c>
    </row>
    <row r="305" spans="1:5" ht="18.75" x14ac:dyDescent="0.25">
      <c r="A305">
        <f>Kalenteri!A306</f>
        <v>41580</v>
      </c>
      <c r="B305">
        <f t="shared" si="12"/>
        <v>7</v>
      </c>
      <c r="C305">
        <f t="shared" si="13"/>
        <v>11</v>
      </c>
      <c r="D305" s="130">
        <f t="shared" si="14"/>
        <v>41580</v>
      </c>
      <c r="E305">
        <f>Yht11!AD6</f>
        <v>858</v>
      </c>
    </row>
    <row r="306" spans="1:5" ht="18.75" x14ac:dyDescent="0.25">
      <c r="A306">
        <f>Kalenteri!A307</f>
        <v>41581</v>
      </c>
      <c r="B306">
        <f t="shared" si="12"/>
        <v>1</v>
      </c>
      <c r="C306">
        <f t="shared" si="13"/>
        <v>11</v>
      </c>
      <c r="D306" s="130">
        <f t="shared" si="14"/>
        <v>41581</v>
      </c>
      <c r="E306">
        <f>Yht11!AD7</f>
        <v>699</v>
      </c>
    </row>
    <row r="307" spans="1:5" ht="18.75" x14ac:dyDescent="0.25">
      <c r="A307">
        <f>Kalenteri!A308</f>
        <v>41582</v>
      </c>
      <c r="B307">
        <f t="shared" si="12"/>
        <v>2</v>
      </c>
      <c r="C307">
        <f t="shared" si="13"/>
        <v>11</v>
      </c>
      <c r="D307" s="130">
        <f t="shared" si="14"/>
        <v>41582</v>
      </c>
      <c r="E307">
        <f>Yht11!AD8</f>
        <v>90</v>
      </c>
    </row>
    <row r="308" spans="1:5" ht="18.75" x14ac:dyDescent="0.25">
      <c r="A308">
        <f>Kalenteri!A309</f>
        <v>41583</v>
      </c>
      <c r="B308">
        <f t="shared" si="12"/>
        <v>3</v>
      </c>
      <c r="C308">
        <f t="shared" si="13"/>
        <v>11</v>
      </c>
      <c r="D308" s="130">
        <f t="shared" si="14"/>
        <v>41583</v>
      </c>
      <c r="E308">
        <f>Yht11!AD9</f>
        <v>60</v>
      </c>
    </row>
    <row r="309" spans="1:5" ht="18.75" x14ac:dyDescent="0.25">
      <c r="A309">
        <f>Kalenteri!A310</f>
        <v>41584</v>
      </c>
      <c r="B309">
        <f t="shared" si="12"/>
        <v>4</v>
      </c>
      <c r="C309">
        <f t="shared" si="13"/>
        <v>11</v>
      </c>
      <c r="D309" s="130">
        <f t="shared" si="14"/>
        <v>41584</v>
      </c>
      <c r="E309">
        <f>Yht11!AD10</f>
        <v>297</v>
      </c>
    </row>
    <row r="310" spans="1:5" ht="18.75" x14ac:dyDescent="0.25">
      <c r="A310">
        <f>Kalenteri!A311</f>
        <v>41585</v>
      </c>
      <c r="B310">
        <f t="shared" si="12"/>
        <v>5</v>
      </c>
      <c r="C310">
        <f t="shared" si="13"/>
        <v>11</v>
      </c>
      <c r="D310" s="130">
        <f t="shared" si="14"/>
        <v>41585</v>
      </c>
      <c r="E310">
        <f>Yht11!AD11</f>
        <v>173</v>
      </c>
    </row>
    <row r="311" spans="1:5" ht="18.75" x14ac:dyDescent="0.25">
      <c r="A311">
        <f>Kalenteri!A312</f>
        <v>41586</v>
      </c>
      <c r="B311">
        <f t="shared" si="12"/>
        <v>6</v>
      </c>
      <c r="C311">
        <f t="shared" si="13"/>
        <v>11</v>
      </c>
      <c r="D311" s="130">
        <f t="shared" si="14"/>
        <v>41586</v>
      </c>
      <c r="E311">
        <f>Yht11!AD12</f>
        <v>218</v>
      </c>
    </row>
    <row r="312" spans="1:5" ht="18.75" x14ac:dyDescent="0.25">
      <c r="A312">
        <f>Kalenteri!A313</f>
        <v>41587</v>
      </c>
      <c r="B312">
        <f t="shared" si="12"/>
        <v>7</v>
      </c>
      <c r="C312">
        <f t="shared" si="13"/>
        <v>11</v>
      </c>
      <c r="D312" s="130">
        <f t="shared" si="14"/>
        <v>41587</v>
      </c>
      <c r="E312">
        <f>Yht11!AD13</f>
        <v>405</v>
      </c>
    </row>
    <row r="313" spans="1:5" ht="18.75" x14ac:dyDescent="0.25">
      <c r="A313">
        <f>Kalenteri!A314</f>
        <v>41588</v>
      </c>
      <c r="B313">
        <f t="shared" si="12"/>
        <v>1</v>
      </c>
      <c r="C313">
        <f t="shared" si="13"/>
        <v>11</v>
      </c>
      <c r="D313" s="130">
        <f t="shared" si="14"/>
        <v>41588</v>
      </c>
      <c r="E313">
        <f>Yht11!AD14</f>
        <v>213</v>
      </c>
    </row>
    <row r="314" spans="1:5" ht="18.75" x14ac:dyDescent="0.25">
      <c r="A314">
        <f>Kalenteri!A315</f>
        <v>41589</v>
      </c>
      <c r="B314">
        <f t="shared" si="12"/>
        <v>2</v>
      </c>
      <c r="C314">
        <f t="shared" si="13"/>
        <v>11</v>
      </c>
      <c r="D314" s="130">
        <f t="shared" si="14"/>
        <v>41589</v>
      </c>
      <c r="E314">
        <f>Yht11!AD15</f>
        <v>112</v>
      </c>
    </row>
    <row r="315" spans="1:5" ht="18.75" x14ac:dyDescent="0.25">
      <c r="A315">
        <f>Kalenteri!A316</f>
        <v>41590</v>
      </c>
      <c r="B315">
        <f t="shared" si="12"/>
        <v>3</v>
      </c>
      <c r="C315">
        <f t="shared" si="13"/>
        <v>11</v>
      </c>
      <c r="D315" s="130">
        <f t="shared" si="14"/>
        <v>41590</v>
      </c>
      <c r="E315">
        <f>Yht11!AD16</f>
        <v>116</v>
      </c>
    </row>
    <row r="316" spans="1:5" ht="18.75" x14ac:dyDescent="0.25">
      <c r="A316">
        <f>Kalenteri!A317</f>
        <v>41591</v>
      </c>
      <c r="B316">
        <f t="shared" si="12"/>
        <v>4</v>
      </c>
      <c r="C316">
        <f t="shared" si="13"/>
        <v>11</v>
      </c>
      <c r="D316" s="130">
        <f t="shared" si="14"/>
        <v>41591</v>
      </c>
      <c r="E316">
        <f>Yht11!AD17</f>
        <v>101</v>
      </c>
    </row>
    <row r="317" spans="1:5" ht="18.75" x14ac:dyDescent="0.25">
      <c r="A317">
        <f>Kalenteri!A318</f>
        <v>41592</v>
      </c>
      <c r="B317">
        <f t="shared" si="12"/>
        <v>5</v>
      </c>
      <c r="C317">
        <f t="shared" si="13"/>
        <v>11</v>
      </c>
      <c r="D317" s="130">
        <f t="shared" si="14"/>
        <v>41592</v>
      </c>
      <c r="E317">
        <f>Yht11!AD18</f>
        <v>86</v>
      </c>
    </row>
    <row r="318" spans="1:5" ht="18.75" x14ac:dyDescent="0.25">
      <c r="A318">
        <f>Kalenteri!A319</f>
        <v>41593</v>
      </c>
      <c r="B318">
        <f t="shared" si="12"/>
        <v>6</v>
      </c>
      <c r="C318">
        <f t="shared" si="13"/>
        <v>11</v>
      </c>
      <c r="D318" s="130">
        <f t="shared" si="14"/>
        <v>41593</v>
      </c>
      <c r="E318">
        <f>Yht11!AD19</f>
        <v>100</v>
      </c>
    </row>
    <row r="319" spans="1:5" ht="18.75" x14ac:dyDescent="0.25">
      <c r="A319">
        <f>Kalenteri!A320</f>
        <v>41594</v>
      </c>
      <c r="B319">
        <f t="shared" si="12"/>
        <v>7</v>
      </c>
      <c r="C319">
        <f t="shared" si="13"/>
        <v>11</v>
      </c>
      <c r="D319" s="130">
        <f t="shared" si="14"/>
        <v>41594</v>
      </c>
      <c r="E319">
        <f>Yht11!AD20</f>
        <v>415</v>
      </c>
    </row>
    <row r="320" spans="1:5" ht="18.75" x14ac:dyDescent="0.25">
      <c r="A320">
        <f>Kalenteri!A321</f>
        <v>41595</v>
      </c>
      <c r="B320">
        <f t="shared" ref="B320:B364" si="15">WEEKDAY(A320)</f>
        <v>1</v>
      </c>
      <c r="C320">
        <f t="shared" ref="C320:C364" si="16">MONTH(A320)</f>
        <v>11</v>
      </c>
      <c r="D320" s="130">
        <f t="shared" ref="D320:D368" si="17">+A320</f>
        <v>41595</v>
      </c>
      <c r="E320">
        <f>Yht11!AD21</f>
        <v>304</v>
      </c>
    </row>
    <row r="321" spans="1:5" ht="18.75" x14ac:dyDescent="0.25">
      <c r="A321">
        <f>Kalenteri!A322</f>
        <v>41596</v>
      </c>
      <c r="B321">
        <f t="shared" si="15"/>
        <v>2</v>
      </c>
      <c r="C321">
        <f t="shared" si="16"/>
        <v>11</v>
      </c>
      <c r="D321" s="130">
        <f t="shared" si="17"/>
        <v>41596</v>
      </c>
      <c r="E321">
        <f>Yht11!AD22</f>
        <v>68</v>
      </c>
    </row>
    <row r="322" spans="1:5" ht="18.75" x14ac:dyDescent="0.25">
      <c r="A322">
        <f>Kalenteri!A323</f>
        <v>41597</v>
      </c>
      <c r="B322">
        <f t="shared" si="15"/>
        <v>3</v>
      </c>
      <c r="C322">
        <f t="shared" si="16"/>
        <v>11</v>
      </c>
      <c r="D322" s="130">
        <f t="shared" si="17"/>
        <v>41597</v>
      </c>
      <c r="E322">
        <f>Yht11!AD23</f>
        <v>23</v>
      </c>
    </row>
    <row r="323" spans="1:5" ht="18.75" x14ac:dyDescent="0.25">
      <c r="A323">
        <f>Kalenteri!A324</f>
        <v>41598</v>
      </c>
      <c r="B323">
        <f t="shared" si="15"/>
        <v>4</v>
      </c>
      <c r="C323">
        <f t="shared" si="16"/>
        <v>11</v>
      </c>
      <c r="D323" s="130">
        <f t="shared" si="17"/>
        <v>41598</v>
      </c>
      <c r="E323">
        <f>Yht11!AD24</f>
        <v>79</v>
      </c>
    </row>
    <row r="324" spans="1:5" ht="18.75" x14ac:dyDescent="0.25">
      <c r="A324">
        <f>Kalenteri!A325</f>
        <v>41599</v>
      </c>
      <c r="B324">
        <f t="shared" si="15"/>
        <v>5</v>
      </c>
      <c r="C324">
        <f t="shared" si="16"/>
        <v>11</v>
      </c>
      <c r="D324" s="130">
        <f t="shared" si="17"/>
        <v>41599</v>
      </c>
      <c r="E324">
        <f>Yht11!AD25</f>
        <v>82</v>
      </c>
    </row>
    <row r="325" spans="1:5" ht="18.75" x14ac:dyDescent="0.25">
      <c r="A325">
        <f>Kalenteri!A326</f>
        <v>41600</v>
      </c>
      <c r="B325">
        <f t="shared" si="15"/>
        <v>6</v>
      </c>
      <c r="C325">
        <f t="shared" si="16"/>
        <v>11</v>
      </c>
      <c r="D325" s="130">
        <f t="shared" si="17"/>
        <v>41600</v>
      </c>
      <c r="E325">
        <f>Yht11!AD26</f>
        <v>93</v>
      </c>
    </row>
    <row r="326" spans="1:5" ht="18.75" x14ac:dyDescent="0.25">
      <c r="A326">
        <f>Kalenteri!A327</f>
        <v>41601</v>
      </c>
      <c r="B326">
        <f t="shared" si="15"/>
        <v>7</v>
      </c>
      <c r="C326">
        <f t="shared" si="16"/>
        <v>11</v>
      </c>
      <c r="D326" s="130">
        <f t="shared" si="17"/>
        <v>41601</v>
      </c>
      <c r="E326">
        <f>Yht11!AD27</f>
        <v>358</v>
      </c>
    </row>
    <row r="327" spans="1:5" ht="18.75" x14ac:dyDescent="0.25">
      <c r="A327">
        <f>Kalenteri!A328</f>
        <v>41602</v>
      </c>
      <c r="B327">
        <f t="shared" si="15"/>
        <v>1</v>
      </c>
      <c r="C327">
        <f t="shared" si="16"/>
        <v>11</v>
      </c>
      <c r="D327" s="130">
        <f t="shared" si="17"/>
        <v>41602</v>
      </c>
      <c r="E327">
        <f>Yht11!AD28</f>
        <v>343</v>
      </c>
    </row>
    <row r="328" spans="1:5" ht="18.75" x14ac:dyDescent="0.25">
      <c r="A328">
        <f>Kalenteri!A329</f>
        <v>41603</v>
      </c>
      <c r="B328">
        <f t="shared" si="15"/>
        <v>2</v>
      </c>
      <c r="C328">
        <f t="shared" si="16"/>
        <v>11</v>
      </c>
      <c r="D328" s="130">
        <f t="shared" si="17"/>
        <v>41603</v>
      </c>
      <c r="E328">
        <f>Yht11!AD29</f>
        <v>57</v>
      </c>
    </row>
    <row r="329" spans="1:5" ht="18.75" x14ac:dyDescent="0.25">
      <c r="A329">
        <f>Kalenteri!A330</f>
        <v>41604</v>
      </c>
      <c r="B329">
        <f t="shared" si="15"/>
        <v>3</v>
      </c>
      <c r="C329">
        <f t="shared" si="16"/>
        <v>11</v>
      </c>
      <c r="D329" s="130">
        <f t="shared" si="17"/>
        <v>41604</v>
      </c>
      <c r="E329">
        <f>Yht11!AD30</f>
        <v>143</v>
      </c>
    </row>
    <row r="330" spans="1:5" ht="18.75" x14ac:dyDescent="0.25">
      <c r="A330">
        <f>Kalenteri!A331</f>
        <v>41605</v>
      </c>
      <c r="B330">
        <f t="shared" si="15"/>
        <v>4</v>
      </c>
      <c r="C330">
        <f t="shared" si="16"/>
        <v>11</v>
      </c>
      <c r="D330" s="130">
        <f t="shared" si="17"/>
        <v>41605</v>
      </c>
      <c r="E330">
        <f>Yht11!AD31</f>
        <v>50</v>
      </c>
    </row>
    <row r="331" spans="1:5" ht="18.75" x14ac:dyDescent="0.25">
      <c r="A331">
        <f>Kalenteri!A332</f>
        <v>41606</v>
      </c>
      <c r="B331">
        <f t="shared" si="15"/>
        <v>5</v>
      </c>
      <c r="C331">
        <f t="shared" si="16"/>
        <v>11</v>
      </c>
      <c r="D331" s="130">
        <f t="shared" si="17"/>
        <v>41606</v>
      </c>
      <c r="E331">
        <f>Yht11!AD32</f>
        <v>71</v>
      </c>
    </row>
    <row r="332" spans="1:5" ht="18.75" x14ac:dyDescent="0.25">
      <c r="A332">
        <f>Kalenteri!A333</f>
        <v>41607</v>
      </c>
      <c r="B332">
        <f t="shared" si="15"/>
        <v>6</v>
      </c>
      <c r="C332">
        <f t="shared" si="16"/>
        <v>11</v>
      </c>
      <c r="D332" s="130">
        <f t="shared" si="17"/>
        <v>41607</v>
      </c>
      <c r="E332">
        <f>Yht11!AD33</f>
        <v>80</v>
      </c>
    </row>
    <row r="333" spans="1:5" ht="18.75" x14ac:dyDescent="0.25">
      <c r="A333">
        <f>Kalenteri!A334</f>
        <v>41608</v>
      </c>
      <c r="B333">
        <f t="shared" si="15"/>
        <v>7</v>
      </c>
      <c r="C333">
        <f t="shared" si="16"/>
        <v>11</v>
      </c>
      <c r="D333" s="130">
        <f t="shared" si="17"/>
        <v>41608</v>
      </c>
      <c r="E333">
        <f>Yht11!AD34</f>
        <v>188</v>
      </c>
    </row>
    <row r="334" spans="1:5" ht="18.75" x14ac:dyDescent="0.25">
      <c r="A334">
        <f>Kalenteri!A335</f>
        <v>41609</v>
      </c>
      <c r="B334">
        <f t="shared" si="15"/>
        <v>1</v>
      </c>
      <c r="C334">
        <f t="shared" si="16"/>
        <v>12</v>
      </c>
      <c r="D334" s="130">
        <f t="shared" si="17"/>
        <v>41609</v>
      </c>
      <c r="E334">
        <f>Yht12!AD5</f>
        <v>116</v>
      </c>
    </row>
    <row r="335" spans="1:5" ht="18.75" x14ac:dyDescent="0.25">
      <c r="A335">
        <f>Kalenteri!A336</f>
        <v>41610</v>
      </c>
      <c r="B335">
        <f t="shared" si="15"/>
        <v>2</v>
      </c>
      <c r="C335">
        <f t="shared" si="16"/>
        <v>12</v>
      </c>
      <c r="D335" s="130">
        <f t="shared" si="17"/>
        <v>41610</v>
      </c>
      <c r="E335">
        <f>Yht12!AD6</f>
        <v>69</v>
      </c>
    </row>
    <row r="336" spans="1:5" ht="18.75" x14ac:dyDescent="0.25">
      <c r="A336">
        <f>Kalenteri!A337</f>
        <v>41611</v>
      </c>
      <c r="B336">
        <f t="shared" si="15"/>
        <v>3</v>
      </c>
      <c r="C336">
        <f t="shared" si="16"/>
        <v>12</v>
      </c>
      <c r="D336" s="130">
        <f t="shared" si="17"/>
        <v>41611</v>
      </c>
      <c r="E336">
        <f>Yht12!AD7</f>
        <v>24</v>
      </c>
    </row>
    <row r="337" spans="1:5" ht="18.75" x14ac:dyDescent="0.25">
      <c r="A337">
        <f>Kalenteri!A338</f>
        <v>41612</v>
      </c>
      <c r="B337">
        <f t="shared" si="15"/>
        <v>4</v>
      </c>
      <c r="C337">
        <f t="shared" si="16"/>
        <v>12</v>
      </c>
      <c r="D337" s="130">
        <f t="shared" si="17"/>
        <v>41612</v>
      </c>
      <c r="E337">
        <f>Yht12!AD8</f>
        <v>55</v>
      </c>
    </row>
    <row r="338" spans="1:5" ht="18.75" x14ac:dyDescent="0.25">
      <c r="A338">
        <f>Kalenteri!A339</f>
        <v>41613</v>
      </c>
      <c r="B338">
        <f t="shared" si="15"/>
        <v>5</v>
      </c>
      <c r="C338">
        <f t="shared" si="16"/>
        <v>12</v>
      </c>
      <c r="D338" s="130">
        <f t="shared" si="17"/>
        <v>41613</v>
      </c>
      <c r="E338">
        <f>Yht12!AD9</f>
        <v>54</v>
      </c>
    </row>
    <row r="339" spans="1:5" ht="18.75" x14ac:dyDescent="0.25">
      <c r="A339">
        <f>Kalenteri!A340</f>
        <v>41614</v>
      </c>
      <c r="B339">
        <f t="shared" si="15"/>
        <v>6</v>
      </c>
      <c r="C339">
        <f t="shared" si="16"/>
        <v>12</v>
      </c>
      <c r="D339" s="130">
        <f t="shared" si="17"/>
        <v>41614</v>
      </c>
      <c r="E339">
        <f>Yht12!AD10</f>
        <v>207</v>
      </c>
    </row>
    <row r="340" spans="1:5" ht="18.75" x14ac:dyDescent="0.25">
      <c r="A340">
        <f>Kalenteri!A341</f>
        <v>41615</v>
      </c>
      <c r="B340">
        <f t="shared" si="15"/>
        <v>7</v>
      </c>
      <c r="C340">
        <f t="shared" si="16"/>
        <v>12</v>
      </c>
      <c r="D340" s="130">
        <f t="shared" si="17"/>
        <v>41615</v>
      </c>
      <c r="E340">
        <f>Yht12!AD11</f>
        <v>287</v>
      </c>
    </row>
    <row r="341" spans="1:5" ht="18.75" x14ac:dyDescent="0.25">
      <c r="A341">
        <f>Kalenteri!A342</f>
        <v>41616</v>
      </c>
      <c r="B341">
        <f t="shared" si="15"/>
        <v>1</v>
      </c>
      <c r="C341">
        <f t="shared" si="16"/>
        <v>12</v>
      </c>
      <c r="D341" s="130">
        <f t="shared" si="17"/>
        <v>41616</v>
      </c>
      <c r="E341">
        <f>Yht12!AD12</f>
        <v>265</v>
      </c>
    </row>
    <row r="342" spans="1:5" ht="18.75" x14ac:dyDescent="0.25">
      <c r="A342">
        <f>Kalenteri!A343</f>
        <v>41617</v>
      </c>
      <c r="B342">
        <f t="shared" si="15"/>
        <v>2</v>
      </c>
      <c r="C342">
        <f t="shared" si="16"/>
        <v>12</v>
      </c>
      <c r="D342" s="130">
        <f t="shared" si="17"/>
        <v>41617</v>
      </c>
      <c r="E342">
        <f>Yht12!AD13</f>
        <v>86</v>
      </c>
    </row>
    <row r="343" spans="1:5" ht="18.75" x14ac:dyDescent="0.25">
      <c r="A343">
        <f>Kalenteri!A344</f>
        <v>41618</v>
      </c>
      <c r="B343">
        <f t="shared" si="15"/>
        <v>3</v>
      </c>
      <c r="C343">
        <f t="shared" si="16"/>
        <v>12</v>
      </c>
      <c r="D343" s="130">
        <f t="shared" si="17"/>
        <v>41618</v>
      </c>
      <c r="E343">
        <f>Yht12!AD14</f>
        <v>52</v>
      </c>
    </row>
    <row r="344" spans="1:5" ht="18.75" x14ac:dyDescent="0.25">
      <c r="A344">
        <f>Kalenteri!A345</f>
        <v>41619</v>
      </c>
      <c r="B344">
        <f t="shared" si="15"/>
        <v>4</v>
      </c>
      <c r="C344">
        <f t="shared" si="16"/>
        <v>12</v>
      </c>
      <c r="D344" s="130">
        <f t="shared" si="17"/>
        <v>41619</v>
      </c>
      <c r="E344">
        <f>Yht12!AD15</f>
        <v>130</v>
      </c>
    </row>
    <row r="345" spans="1:5" ht="18.75" x14ac:dyDescent="0.25">
      <c r="A345">
        <f>Kalenteri!A346</f>
        <v>41620</v>
      </c>
      <c r="B345">
        <f t="shared" si="15"/>
        <v>5</v>
      </c>
      <c r="C345">
        <f t="shared" si="16"/>
        <v>12</v>
      </c>
      <c r="D345" s="130">
        <f t="shared" si="17"/>
        <v>41620</v>
      </c>
      <c r="E345">
        <f>Yht12!AD16</f>
        <v>63</v>
      </c>
    </row>
    <row r="346" spans="1:5" ht="18.75" x14ac:dyDescent="0.25">
      <c r="A346">
        <f>Kalenteri!A347</f>
        <v>41621</v>
      </c>
      <c r="B346">
        <f t="shared" si="15"/>
        <v>6</v>
      </c>
      <c r="C346">
        <f t="shared" si="16"/>
        <v>12</v>
      </c>
      <c r="D346" s="130">
        <f t="shared" si="17"/>
        <v>41621</v>
      </c>
      <c r="E346">
        <f>Yht12!AD17</f>
        <v>64</v>
      </c>
    </row>
    <row r="347" spans="1:5" ht="18.75" x14ac:dyDescent="0.25">
      <c r="A347">
        <f>Kalenteri!A348</f>
        <v>41622</v>
      </c>
      <c r="B347">
        <f t="shared" si="15"/>
        <v>7</v>
      </c>
      <c r="C347">
        <f t="shared" si="16"/>
        <v>12</v>
      </c>
      <c r="D347" s="130">
        <f t="shared" si="17"/>
        <v>41622</v>
      </c>
      <c r="E347">
        <f>Yht12!AD18</f>
        <v>215</v>
      </c>
    </row>
    <row r="348" spans="1:5" ht="18.75" x14ac:dyDescent="0.25">
      <c r="A348">
        <f>Kalenteri!A349</f>
        <v>41623</v>
      </c>
      <c r="B348">
        <f t="shared" si="15"/>
        <v>1</v>
      </c>
      <c r="C348">
        <f t="shared" si="16"/>
        <v>12</v>
      </c>
      <c r="D348" s="130">
        <f t="shared" si="17"/>
        <v>41623</v>
      </c>
      <c r="E348">
        <f>Yht12!AD19</f>
        <v>85</v>
      </c>
    </row>
    <row r="349" spans="1:5" ht="18.75" x14ac:dyDescent="0.25">
      <c r="A349">
        <f>Kalenteri!A350</f>
        <v>41624</v>
      </c>
      <c r="B349">
        <f t="shared" si="15"/>
        <v>2</v>
      </c>
      <c r="C349">
        <f t="shared" si="16"/>
        <v>12</v>
      </c>
      <c r="D349" s="130">
        <f t="shared" si="17"/>
        <v>41624</v>
      </c>
      <c r="E349">
        <f>Yht12!AD20</f>
        <v>67</v>
      </c>
    </row>
    <row r="350" spans="1:5" ht="18.75" x14ac:dyDescent="0.25">
      <c r="A350">
        <f>Kalenteri!A351</f>
        <v>41625</v>
      </c>
      <c r="B350">
        <f t="shared" si="15"/>
        <v>3</v>
      </c>
      <c r="C350">
        <f t="shared" si="16"/>
        <v>12</v>
      </c>
      <c r="D350" s="130">
        <f t="shared" si="17"/>
        <v>41625</v>
      </c>
      <c r="E350">
        <f>Yht12!AD21</f>
        <v>83</v>
      </c>
    </row>
    <row r="351" spans="1:5" ht="18.75" x14ac:dyDescent="0.25">
      <c r="A351">
        <f>Kalenteri!A352</f>
        <v>41626</v>
      </c>
      <c r="B351">
        <f t="shared" si="15"/>
        <v>4</v>
      </c>
      <c r="C351">
        <f t="shared" si="16"/>
        <v>12</v>
      </c>
      <c r="D351" s="130">
        <f t="shared" si="17"/>
        <v>41626</v>
      </c>
      <c r="E351">
        <f>Yht12!AD22</f>
        <v>67</v>
      </c>
    </row>
    <row r="352" spans="1:5" ht="18.75" x14ac:dyDescent="0.25">
      <c r="A352">
        <f>Kalenteri!A353</f>
        <v>41627</v>
      </c>
      <c r="B352">
        <f t="shared" si="15"/>
        <v>5</v>
      </c>
      <c r="C352">
        <f t="shared" si="16"/>
        <v>12</v>
      </c>
      <c r="D352" s="130">
        <f t="shared" si="17"/>
        <v>41627</v>
      </c>
      <c r="E352">
        <f>Yht12!AD23</f>
        <v>19</v>
      </c>
    </row>
    <row r="353" spans="1:6" ht="18.75" x14ac:dyDescent="0.25">
      <c r="A353">
        <f>Kalenteri!A354</f>
        <v>41628</v>
      </c>
      <c r="B353">
        <f t="shared" si="15"/>
        <v>6</v>
      </c>
      <c r="C353">
        <f t="shared" si="16"/>
        <v>12</v>
      </c>
      <c r="D353" s="130">
        <f t="shared" si="17"/>
        <v>41628</v>
      </c>
      <c r="E353">
        <f>Yht12!AD24</f>
        <v>64</v>
      </c>
    </row>
    <row r="354" spans="1:6" ht="18.75" x14ac:dyDescent="0.25">
      <c r="A354">
        <f>Kalenteri!A355</f>
        <v>41629</v>
      </c>
      <c r="B354">
        <f t="shared" si="15"/>
        <v>7</v>
      </c>
      <c r="C354">
        <f t="shared" si="16"/>
        <v>12</v>
      </c>
      <c r="D354" s="130">
        <f t="shared" si="17"/>
        <v>41629</v>
      </c>
      <c r="E354">
        <f>Yht12!AD25</f>
        <v>215</v>
      </c>
    </row>
    <row r="355" spans="1:6" ht="18.75" x14ac:dyDescent="0.25">
      <c r="A355">
        <f>Kalenteri!A356</f>
        <v>41630</v>
      </c>
      <c r="B355">
        <f t="shared" si="15"/>
        <v>1</v>
      </c>
      <c r="C355">
        <f t="shared" si="16"/>
        <v>12</v>
      </c>
      <c r="D355" s="130">
        <f t="shared" si="17"/>
        <v>41630</v>
      </c>
      <c r="E355">
        <f>Yht12!AD26</f>
        <v>131</v>
      </c>
    </row>
    <row r="356" spans="1:6" ht="18.75" x14ac:dyDescent="0.25">
      <c r="A356">
        <f>Kalenteri!A357</f>
        <v>41631</v>
      </c>
      <c r="B356">
        <f t="shared" si="15"/>
        <v>2</v>
      </c>
      <c r="C356">
        <f t="shared" si="16"/>
        <v>12</v>
      </c>
      <c r="D356" s="130">
        <f t="shared" si="17"/>
        <v>41631</v>
      </c>
      <c r="E356">
        <f>Yht12!AD27</f>
        <v>160</v>
      </c>
    </row>
    <row r="357" spans="1:6" ht="18.75" x14ac:dyDescent="0.25">
      <c r="A357">
        <f>Kalenteri!A358</f>
        <v>41632</v>
      </c>
      <c r="B357">
        <f t="shared" si="15"/>
        <v>3</v>
      </c>
      <c r="C357">
        <f t="shared" si="16"/>
        <v>12</v>
      </c>
      <c r="D357" s="130">
        <f t="shared" si="17"/>
        <v>41632</v>
      </c>
      <c r="E357">
        <f>Yht12!AD28</f>
        <v>38</v>
      </c>
    </row>
    <row r="358" spans="1:6" ht="18.75" x14ac:dyDescent="0.25">
      <c r="A358">
        <f>Kalenteri!A359</f>
        <v>41633</v>
      </c>
      <c r="B358">
        <f t="shared" si="15"/>
        <v>4</v>
      </c>
      <c r="C358">
        <f t="shared" si="16"/>
        <v>12</v>
      </c>
      <c r="D358" s="130">
        <f t="shared" si="17"/>
        <v>41633</v>
      </c>
      <c r="E358">
        <f>Yht12!AD29</f>
        <v>303</v>
      </c>
    </row>
    <row r="359" spans="1:6" ht="18.75" x14ac:dyDescent="0.25">
      <c r="A359">
        <f>Kalenteri!A360</f>
        <v>41634</v>
      </c>
      <c r="B359">
        <f t="shared" si="15"/>
        <v>5</v>
      </c>
      <c r="C359">
        <f t="shared" si="16"/>
        <v>12</v>
      </c>
      <c r="D359" s="130">
        <f t="shared" si="17"/>
        <v>41634</v>
      </c>
      <c r="E359">
        <f>Yht12!AD30</f>
        <v>459</v>
      </c>
    </row>
    <row r="360" spans="1:6" ht="18.75" x14ac:dyDescent="0.25">
      <c r="A360">
        <f>Kalenteri!A361</f>
        <v>41635</v>
      </c>
      <c r="B360">
        <f t="shared" si="15"/>
        <v>6</v>
      </c>
      <c r="C360">
        <f t="shared" si="16"/>
        <v>12</v>
      </c>
      <c r="D360" s="130">
        <f t="shared" si="17"/>
        <v>41635</v>
      </c>
      <c r="E360">
        <f>Yht12!AD31</f>
        <v>203</v>
      </c>
    </row>
    <row r="361" spans="1:6" ht="18.75" x14ac:dyDescent="0.25">
      <c r="A361">
        <f>Kalenteri!A362</f>
        <v>41636</v>
      </c>
      <c r="B361">
        <f t="shared" si="15"/>
        <v>7</v>
      </c>
      <c r="C361">
        <f t="shared" si="16"/>
        <v>12</v>
      </c>
      <c r="D361" s="130">
        <f t="shared" si="17"/>
        <v>41636</v>
      </c>
      <c r="E361">
        <f>Yht12!AD32</f>
        <v>278</v>
      </c>
    </row>
    <row r="362" spans="1:6" ht="18.75" x14ac:dyDescent="0.25">
      <c r="A362">
        <f>Kalenteri!A363</f>
        <v>41637</v>
      </c>
      <c r="B362">
        <f t="shared" si="15"/>
        <v>1</v>
      </c>
      <c r="C362">
        <f t="shared" si="16"/>
        <v>12</v>
      </c>
      <c r="D362" s="130">
        <f t="shared" si="17"/>
        <v>41637</v>
      </c>
      <c r="E362">
        <f>Yht12!AD33</f>
        <v>640</v>
      </c>
    </row>
    <row r="363" spans="1:6" ht="18.75" x14ac:dyDescent="0.25">
      <c r="A363">
        <f>Kalenteri!A364</f>
        <v>41638</v>
      </c>
      <c r="B363">
        <f t="shared" si="15"/>
        <v>2</v>
      </c>
      <c r="C363">
        <f t="shared" si="16"/>
        <v>12</v>
      </c>
      <c r="D363" s="130">
        <f t="shared" si="17"/>
        <v>41638</v>
      </c>
      <c r="E363">
        <f>Yht12!AD34</f>
        <v>663</v>
      </c>
    </row>
    <row r="364" spans="1:6" ht="18.75" x14ac:dyDescent="0.25">
      <c r="A364">
        <f>Kalenteri!A365</f>
        <v>41639</v>
      </c>
      <c r="B364">
        <f t="shared" si="15"/>
        <v>3</v>
      </c>
      <c r="C364">
        <f t="shared" si="16"/>
        <v>12</v>
      </c>
      <c r="D364" s="130">
        <f t="shared" si="17"/>
        <v>41639</v>
      </c>
      <c r="E364">
        <f>Yht12!AD35</f>
        <v>3506</v>
      </c>
    </row>
    <row r="365" spans="1:6" ht="18.75" x14ac:dyDescent="0.25">
      <c r="D365" s="130"/>
    </row>
    <row r="366" spans="1:6" ht="18.75" x14ac:dyDescent="0.25">
      <c r="D366" s="130"/>
    </row>
    <row r="367" spans="1:6" ht="18.75" x14ac:dyDescent="0.25">
      <c r="D367" s="130"/>
    </row>
    <row r="368" spans="1:6" ht="18.75" x14ac:dyDescent="0.25">
      <c r="A368">
        <f>Kalenteri!$A$370</f>
        <v>0</v>
      </c>
      <c r="B368">
        <f>WEEKDAY(A368)</f>
        <v>7</v>
      </c>
      <c r="C368">
        <f>MONTH(A368)</f>
        <v>1</v>
      </c>
      <c r="D368" s="130">
        <f t="shared" si="17"/>
        <v>0</v>
      </c>
      <c r="F368" t="s">
        <v>141</v>
      </c>
    </row>
    <row r="384" spans="4:4" x14ac:dyDescent="0.15">
      <c r="D384">
        <f>+D73+1</f>
        <v>41349</v>
      </c>
    </row>
  </sheetData>
  <sheetProtection password="C4AC" sheet="1" objects="1" scenarios="1"/>
  <phoneticPr fontId="22" type="noConversion"/>
  <pageMargins left="0.28000000000000003" right="0.17" top="0.22" bottom="0.23" header="0.17" footer="0.17"/>
  <pageSetup paperSize="9" scale="82" fitToHeight="0" orientation="landscape" horizontalDpi="300" r:id="rId1"/>
  <headerFooter alignWithMargins="0">
    <oddFooter>&amp;CKorkeasaaren eläintarha
Kävijätilasto 2013&amp;RTulostettu &amp;D</oddFooter>
  </headerFooter>
  <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8"/>
  <sheetViews>
    <sheetView view="pageLayout" topLeftCell="A4" zoomScaleNormal="75" workbookViewId="0">
      <selection activeCell="P1" sqref="P1"/>
    </sheetView>
  </sheetViews>
  <sheetFormatPr defaultRowHeight="12" x14ac:dyDescent="0.15"/>
  <cols>
    <col min="1" max="1" width="11" customWidth="1"/>
    <col min="2" max="6" width="9.125" bestFit="1" customWidth="1"/>
    <col min="7" max="8" width="9.875" bestFit="1" customWidth="1"/>
    <col min="9" max="11" width="9.125" bestFit="1" customWidth="1"/>
    <col min="12" max="12" width="10.375" customWidth="1"/>
    <col min="13" max="13" width="9.125" bestFit="1" customWidth="1"/>
    <col min="14" max="14" width="12.625" customWidth="1"/>
    <col min="15" max="15" width="15.125" customWidth="1"/>
  </cols>
  <sheetData>
    <row r="1" spans="1:13" ht="15.75" x14ac:dyDescent="0.25">
      <c r="A1" s="177"/>
      <c r="B1" s="177"/>
      <c r="C1" s="177"/>
      <c r="D1" s="177"/>
      <c r="E1" s="177"/>
      <c r="F1" s="177"/>
      <c r="G1" s="177"/>
      <c r="H1" s="177"/>
      <c r="I1" s="177"/>
      <c r="J1" s="177"/>
      <c r="K1" s="177"/>
      <c r="L1" s="177"/>
      <c r="M1" s="177"/>
    </row>
    <row r="2" spans="1:13" ht="15.75" x14ac:dyDescent="0.25">
      <c r="A2" s="177"/>
      <c r="B2" s="177"/>
      <c r="C2" s="177"/>
      <c r="D2" s="177"/>
      <c r="E2" s="177"/>
      <c r="F2" s="177"/>
      <c r="G2" s="177"/>
      <c r="H2" s="177"/>
      <c r="I2" s="177"/>
      <c r="J2" s="177"/>
      <c r="K2" s="177"/>
      <c r="L2" s="177"/>
      <c r="M2" s="177"/>
    </row>
    <row r="3" spans="1:13" ht="15.75" x14ac:dyDescent="0.25">
      <c r="A3" s="177"/>
      <c r="B3" s="177"/>
      <c r="C3" s="177"/>
      <c r="D3" s="177"/>
      <c r="E3" s="177"/>
      <c r="F3" s="177"/>
      <c r="G3" s="177"/>
      <c r="H3" s="177"/>
      <c r="I3" s="177"/>
      <c r="J3" s="177"/>
      <c r="K3" s="177"/>
      <c r="L3" s="177"/>
      <c r="M3" s="177"/>
    </row>
    <row r="4" spans="1:13" ht="15.75" x14ac:dyDescent="0.25">
      <c r="A4" s="177"/>
      <c r="B4" s="177"/>
      <c r="C4" s="177"/>
      <c r="D4" s="177"/>
      <c r="E4" s="177"/>
      <c r="F4" s="177"/>
      <c r="G4" s="177"/>
      <c r="H4" s="177"/>
      <c r="I4" s="177"/>
      <c r="J4" s="177"/>
      <c r="K4" s="177"/>
      <c r="L4" s="177"/>
      <c r="M4" s="177"/>
    </row>
    <row r="5" spans="1:13" ht="15.75" x14ac:dyDescent="0.25">
      <c r="A5" s="177"/>
      <c r="B5" s="177"/>
      <c r="C5" s="177"/>
      <c r="D5" s="177"/>
      <c r="E5" s="177"/>
      <c r="F5" s="177"/>
      <c r="G5" s="177"/>
      <c r="H5" s="177"/>
      <c r="I5" s="177"/>
      <c r="J5" s="177"/>
      <c r="K5" s="177"/>
      <c r="L5" s="177"/>
      <c r="M5" s="177"/>
    </row>
    <row r="6" spans="1:13" ht="15.75" x14ac:dyDescent="0.25">
      <c r="A6" s="177"/>
      <c r="B6" s="177"/>
      <c r="C6" s="177"/>
      <c r="D6" s="177"/>
      <c r="E6" s="177"/>
      <c r="F6" s="177"/>
      <c r="G6" s="177"/>
      <c r="H6" s="177"/>
      <c r="I6" s="177"/>
      <c r="J6" s="177"/>
      <c r="K6" s="177"/>
      <c r="L6" s="177"/>
      <c r="M6" s="177"/>
    </row>
    <row r="7" spans="1:13" ht="15.75" x14ac:dyDescent="0.25">
      <c r="A7" s="177"/>
      <c r="B7" s="177"/>
      <c r="C7" s="177"/>
      <c r="D7" s="177"/>
      <c r="E7" s="177"/>
      <c r="F7" s="177"/>
      <c r="G7" s="177"/>
      <c r="H7" s="177"/>
      <c r="I7" s="177"/>
      <c r="J7" s="177"/>
      <c r="K7" s="177"/>
      <c r="L7" s="177"/>
      <c r="M7" s="177"/>
    </row>
    <row r="8" spans="1:13" ht="15.75" x14ac:dyDescent="0.25">
      <c r="A8" s="177"/>
      <c r="B8" s="177"/>
      <c r="C8" s="177"/>
      <c r="D8" s="177"/>
      <c r="E8" s="177"/>
      <c r="F8" s="177"/>
      <c r="G8" s="177"/>
      <c r="H8" s="177"/>
      <c r="I8" s="177"/>
      <c r="J8" s="177"/>
      <c r="K8" s="177"/>
      <c r="L8" s="177"/>
      <c r="M8" s="177"/>
    </row>
    <row r="9" spans="1:13" ht="15.75" x14ac:dyDescent="0.25">
      <c r="A9" s="177"/>
      <c r="B9" s="177"/>
      <c r="C9" s="177"/>
      <c r="D9" s="177"/>
      <c r="E9" s="177"/>
      <c r="F9" s="177"/>
      <c r="G9" s="177"/>
      <c r="H9" s="177"/>
      <c r="I9" s="177"/>
      <c r="J9" s="177"/>
      <c r="K9" s="177"/>
      <c r="L9" s="177"/>
      <c r="M9" s="177"/>
    </row>
    <row r="10" spans="1:13" ht="15.75" x14ac:dyDescent="0.25">
      <c r="A10" s="177"/>
      <c r="B10" s="177"/>
      <c r="C10" s="177"/>
      <c r="D10" s="177"/>
      <c r="E10" s="177"/>
      <c r="F10" s="177"/>
      <c r="G10" s="177"/>
      <c r="H10" s="177"/>
      <c r="I10" s="177"/>
      <c r="J10" s="177"/>
      <c r="K10" s="177"/>
      <c r="L10" s="177"/>
      <c r="M10" s="177"/>
    </row>
    <row r="11" spans="1:13" ht="15.75" x14ac:dyDescent="0.25">
      <c r="A11" s="177"/>
      <c r="B11" s="177"/>
      <c r="C11" s="177"/>
      <c r="D11" s="177"/>
      <c r="E11" s="177"/>
      <c r="F11" s="177"/>
      <c r="G11" s="177"/>
      <c r="H11" s="177"/>
      <c r="I11" s="177"/>
      <c r="J11" s="177"/>
      <c r="K11" s="177"/>
      <c r="L11" s="177"/>
      <c r="M11" s="177"/>
    </row>
    <row r="12" spans="1:13" ht="15.75" x14ac:dyDescent="0.25">
      <c r="A12" s="177"/>
      <c r="B12" s="177"/>
      <c r="C12" s="177"/>
      <c r="D12" s="177"/>
      <c r="E12" s="177"/>
      <c r="F12" s="177"/>
      <c r="G12" s="177"/>
      <c r="H12" s="177"/>
      <c r="I12" s="177"/>
      <c r="J12" s="177"/>
      <c r="K12" s="177"/>
      <c r="L12" s="177"/>
      <c r="M12" s="177"/>
    </row>
    <row r="13" spans="1:13" ht="15.75" x14ac:dyDescent="0.25">
      <c r="A13" s="177"/>
      <c r="B13" s="177"/>
      <c r="C13" s="177"/>
      <c r="D13" s="177"/>
      <c r="E13" s="177"/>
      <c r="F13" s="177"/>
      <c r="G13" s="177"/>
      <c r="H13" s="177"/>
      <c r="I13" s="177"/>
      <c r="J13" s="177"/>
      <c r="K13" s="177"/>
      <c r="L13" s="177"/>
      <c r="M13" s="177"/>
    </row>
    <row r="14" spans="1:13" ht="15.75" x14ac:dyDescent="0.25">
      <c r="A14" s="177"/>
      <c r="B14" s="177"/>
      <c r="C14" s="177"/>
      <c r="D14" s="177"/>
      <c r="E14" s="177"/>
      <c r="F14" s="177"/>
      <c r="G14" s="177"/>
      <c r="H14" s="177"/>
      <c r="I14" s="177"/>
      <c r="J14" s="177"/>
      <c r="K14" s="177"/>
      <c r="L14" s="177"/>
      <c r="M14" s="177"/>
    </row>
    <row r="15" spans="1:13" ht="15.75" x14ac:dyDescent="0.25">
      <c r="A15" s="177"/>
      <c r="B15" s="177"/>
      <c r="C15" s="177"/>
      <c r="D15" s="177"/>
      <c r="E15" s="177"/>
      <c r="F15" s="177"/>
      <c r="G15" s="177"/>
      <c r="H15" s="177"/>
      <c r="I15" s="177"/>
      <c r="J15" s="177"/>
      <c r="K15" s="177"/>
      <c r="L15" s="177"/>
      <c r="M15" s="177"/>
    </row>
    <row r="16" spans="1:13" ht="15.75" x14ac:dyDescent="0.25">
      <c r="A16" s="177"/>
      <c r="B16" s="177"/>
      <c r="C16" s="177"/>
      <c r="D16" s="177"/>
      <c r="E16" s="177"/>
      <c r="F16" s="177"/>
      <c r="G16" s="177"/>
      <c r="H16" s="177"/>
      <c r="I16" s="177"/>
      <c r="J16" s="177"/>
      <c r="K16" s="177"/>
      <c r="L16" s="177"/>
      <c r="M16" s="177"/>
    </row>
    <row r="17" spans="1:13" ht="15.75" x14ac:dyDescent="0.25">
      <c r="A17" s="177"/>
      <c r="B17" s="177"/>
      <c r="C17" s="177"/>
      <c r="D17" s="177"/>
      <c r="E17" s="177"/>
      <c r="F17" s="177"/>
      <c r="G17" s="177"/>
      <c r="H17" s="177"/>
      <c r="I17" s="177"/>
      <c r="J17" s="177"/>
      <c r="K17" s="177"/>
      <c r="L17" s="177"/>
      <c r="M17" s="177"/>
    </row>
    <row r="18" spans="1:13" ht="15.75" x14ac:dyDescent="0.25">
      <c r="A18" s="177"/>
      <c r="B18" s="177"/>
      <c r="C18" s="177"/>
      <c r="D18" s="177"/>
      <c r="E18" s="177"/>
      <c r="F18" s="177"/>
      <c r="G18" s="177"/>
      <c r="H18" s="177"/>
      <c r="I18" s="177"/>
      <c r="J18" s="177"/>
      <c r="K18" s="177"/>
      <c r="L18" s="177"/>
      <c r="M18" s="177"/>
    </row>
    <row r="19" spans="1:13" ht="15.75" x14ac:dyDescent="0.25">
      <c r="A19" s="177"/>
      <c r="B19" s="177"/>
      <c r="C19" s="177"/>
      <c r="D19" s="177"/>
      <c r="E19" s="177"/>
      <c r="F19" s="177"/>
      <c r="G19" s="177"/>
      <c r="H19" s="177"/>
      <c r="I19" s="177"/>
      <c r="J19" s="177"/>
      <c r="K19" s="177"/>
      <c r="L19" s="177"/>
      <c r="M19" s="177"/>
    </row>
    <row r="20" spans="1:13" ht="15.75" x14ac:dyDescent="0.25">
      <c r="A20" s="177"/>
      <c r="B20" s="177"/>
      <c r="C20" s="177"/>
      <c r="D20" s="177"/>
      <c r="E20" s="177"/>
      <c r="F20" s="177"/>
      <c r="G20" s="177"/>
      <c r="H20" s="177"/>
      <c r="I20" s="177"/>
      <c r="J20" s="177"/>
      <c r="K20" s="177"/>
      <c r="L20" s="177"/>
      <c r="M20" s="177"/>
    </row>
    <row r="21" spans="1:13" ht="15.75" x14ac:dyDescent="0.25">
      <c r="A21" s="177"/>
      <c r="B21" s="177"/>
      <c r="C21" s="177"/>
      <c r="D21" s="177"/>
      <c r="E21" s="177"/>
      <c r="F21" s="177"/>
      <c r="G21" s="177"/>
      <c r="H21" s="177"/>
      <c r="I21" s="177"/>
      <c r="J21" s="177"/>
      <c r="K21" s="177"/>
      <c r="L21" s="177"/>
      <c r="M21" s="177"/>
    </row>
    <row r="22" spans="1:13" ht="15.75" x14ac:dyDescent="0.25">
      <c r="A22" s="177"/>
      <c r="B22" s="177"/>
      <c r="C22" s="177"/>
      <c r="D22" s="177"/>
      <c r="E22" s="177"/>
      <c r="F22" s="177"/>
      <c r="G22" s="177"/>
      <c r="H22" s="177"/>
      <c r="I22" s="177"/>
      <c r="J22" s="177"/>
      <c r="K22" s="177"/>
      <c r="L22" s="177"/>
      <c r="M22" s="177"/>
    </row>
    <row r="23" spans="1:13" ht="15.75" x14ac:dyDescent="0.25">
      <c r="A23" s="177"/>
      <c r="B23" s="177"/>
      <c r="C23" s="177"/>
      <c r="D23" s="177"/>
      <c r="E23" s="177"/>
      <c r="F23" s="177"/>
      <c r="G23" s="177"/>
      <c r="H23" s="177"/>
      <c r="I23" s="177"/>
      <c r="J23" s="177"/>
      <c r="K23" s="177"/>
      <c r="L23" s="177"/>
      <c r="M23" s="177"/>
    </row>
    <row r="24" spans="1:13" ht="15.75" x14ac:dyDescent="0.25">
      <c r="A24" s="177"/>
      <c r="B24" s="177"/>
      <c r="C24" s="177"/>
      <c r="D24" s="177"/>
      <c r="E24" s="177"/>
      <c r="F24" s="177"/>
      <c r="G24" s="177"/>
      <c r="H24" s="177"/>
      <c r="I24" s="177"/>
      <c r="J24" s="177"/>
      <c r="K24" s="177"/>
      <c r="L24" s="177"/>
      <c r="M24" s="177"/>
    </row>
    <row r="25" spans="1:13" ht="15.75" x14ac:dyDescent="0.25">
      <c r="A25" s="177"/>
      <c r="B25" s="177"/>
      <c r="C25" s="177"/>
      <c r="D25" s="177"/>
      <c r="E25" s="177"/>
      <c r="F25" s="177"/>
      <c r="G25" s="177"/>
      <c r="H25" s="177"/>
      <c r="I25" s="177"/>
      <c r="J25" s="177"/>
      <c r="K25" s="177"/>
      <c r="L25" s="177"/>
      <c r="M25" s="177"/>
    </row>
    <row r="26" spans="1:13" ht="15.75" x14ac:dyDescent="0.25">
      <c r="A26" s="177"/>
      <c r="B26" s="177"/>
      <c r="C26" s="177"/>
      <c r="D26" s="177"/>
      <c r="E26" s="177"/>
      <c r="F26" s="177"/>
      <c r="G26" s="177"/>
      <c r="H26" s="177"/>
      <c r="I26" s="177"/>
      <c r="J26" s="177"/>
      <c r="K26" s="177"/>
      <c r="L26" s="177"/>
      <c r="M26" s="177"/>
    </row>
    <row r="27" spans="1:13" ht="15.75" x14ac:dyDescent="0.25">
      <c r="A27" s="177"/>
      <c r="B27" s="177"/>
      <c r="C27" s="177"/>
      <c r="D27" s="177"/>
      <c r="E27" s="177"/>
      <c r="F27" s="177"/>
      <c r="G27" s="177"/>
      <c r="H27" s="177"/>
      <c r="I27" s="177"/>
      <c r="J27" s="177"/>
      <c r="K27" s="177"/>
      <c r="L27" s="177"/>
      <c r="M27" s="177"/>
    </row>
    <row r="28" spans="1:13" ht="15.75" x14ac:dyDescent="0.25">
      <c r="A28" s="177"/>
      <c r="B28" s="177"/>
      <c r="C28" s="177"/>
      <c r="D28" s="177"/>
      <c r="E28" s="177"/>
      <c r="F28" s="177"/>
      <c r="G28" s="177"/>
      <c r="H28" s="177"/>
      <c r="I28" s="177"/>
      <c r="J28" s="177"/>
      <c r="K28" s="177"/>
      <c r="L28" s="177"/>
      <c r="M28" s="177"/>
    </row>
    <row r="29" spans="1:13" ht="15.75" x14ac:dyDescent="0.25">
      <c r="A29" s="177"/>
      <c r="B29" s="177"/>
      <c r="C29" s="177"/>
      <c r="D29" s="177"/>
      <c r="E29" s="177"/>
      <c r="F29" s="177"/>
      <c r="G29" s="177"/>
      <c r="H29" s="177"/>
      <c r="I29" s="177"/>
      <c r="J29" s="177"/>
      <c r="K29" s="177"/>
      <c r="L29" s="177"/>
      <c r="M29" s="177"/>
    </row>
    <row r="30" spans="1:13" ht="15.75" x14ac:dyDescent="0.25">
      <c r="A30" s="177"/>
      <c r="B30" s="177"/>
      <c r="C30" s="177"/>
      <c r="D30" s="177"/>
      <c r="E30" s="177"/>
      <c r="F30" s="177"/>
      <c r="G30" s="177"/>
      <c r="H30" s="177"/>
      <c r="I30" s="177"/>
      <c r="J30" s="177"/>
      <c r="K30" s="177"/>
      <c r="L30" s="177"/>
      <c r="M30" s="177"/>
    </row>
    <row r="31" spans="1:13" ht="15.75" x14ac:dyDescent="0.25">
      <c r="A31" s="177"/>
      <c r="B31" s="177"/>
      <c r="C31" s="177"/>
      <c r="D31" s="177"/>
      <c r="E31" s="177"/>
      <c r="F31" s="177"/>
      <c r="G31" s="177"/>
      <c r="H31" s="177"/>
      <c r="I31" s="177"/>
      <c r="J31" s="177"/>
      <c r="K31" s="177"/>
      <c r="L31" s="177"/>
      <c r="M31" s="177"/>
    </row>
    <row r="32" spans="1:13" ht="15.75" x14ac:dyDescent="0.25">
      <c r="A32" s="177"/>
      <c r="B32" s="177"/>
      <c r="C32" s="177"/>
      <c r="D32" s="177"/>
      <c r="E32" s="177"/>
      <c r="F32" s="177"/>
      <c r="G32" s="177"/>
      <c r="H32" s="177"/>
      <c r="I32" s="177"/>
      <c r="J32" s="177"/>
      <c r="K32" s="177"/>
      <c r="L32" s="177"/>
      <c r="M32" s="177"/>
    </row>
    <row r="33" spans="1:15" ht="15.75" x14ac:dyDescent="0.25">
      <c r="A33" s="177"/>
      <c r="B33" s="177"/>
      <c r="C33" s="177"/>
      <c r="D33" s="177"/>
      <c r="E33" s="177"/>
      <c r="F33" s="177"/>
      <c r="G33" s="177"/>
      <c r="H33" s="177"/>
      <c r="I33" s="177"/>
      <c r="J33" s="177"/>
      <c r="K33" s="177"/>
      <c r="L33" s="177"/>
      <c r="M33" s="177"/>
    </row>
    <row r="34" spans="1:15" ht="15.75" x14ac:dyDescent="0.25">
      <c r="A34" s="177"/>
      <c r="B34" s="177"/>
      <c r="C34" s="177"/>
      <c r="D34" s="177"/>
      <c r="E34" s="177"/>
      <c r="F34" s="177"/>
      <c r="G34" s="177"/>
      <c r="H34" s="177"/>
      <c r="I34" s="177"/>
      <c r="J34" s="177"/>
      <c r="K34" s="177"/>
      <c r="L34" s="177"/>
      <c r="M34" s="177"/>
    </row>
    <row r="35" spans="1:15" ht="15.75" x14ac:dyDescent="0.25">
      <c r="A35" s="177"/>
      <c r="B35" s="177"/>
      <c r="C35" s="177"/>
      <c r="D35" s="177"/>
      <c r="E35" s="177"/>
      <c r="F35" s="177"/>
      <c r="G35" s="177"/>
      <c r="H35" s="177"/>
      <c r="I35" s="177"/>
      <c r="J35" s="177"/>
      <c r="K35" s="177"/>
      <c r="L35" s="177"/>
      <c r="M35" s="177"/>
    </row>
    <row r="36" spans="1:15" ht="15.75" x14ac:dyDescent="0.25">
      <c r="A36" s="177"/>
      <c r="B36" s="177"/>
      <c r="C36" s="177"/>
      <c r="D36" s="177"/>
      <c r="E36" s="177"/>
      <c r="F36" s="177"/>
      <c r="G36" s="177"/>
      <c r="H36" s="177"/>
      <c r="I36" s="177"/>
      <c r="J36" s="177"/>
      <c r="K36" s="177"/>
      <c r="L36" s="177"/>
      <c r="M36" s="177"/>
    </row>
    <row r="37" spans="1:15" ht="15.75" x14ac:dyDescent="0.25">
      <c r="A37" s="177"/>
      <c r="B37" s="177"/>
      <c r="C37" s="177"/>
      <c r="D37" s="177"/>
      <c r="E37" s="177"/>
      <c r="F37" s="177"/>
      <c r="G37" s="177"/>
      <c r="H37" s="177"/>
      <c r="I37" s="177"/>
      <c r="J37" s="177"/>
      <c r="K37" s="177"/>
      <c r="L37" s="177"/>
      <c r="M37" s="177"/>
    </row>
    <row r="38" spans="1:15" ht="15.75" x14ac:dyDescent="0.25">
      <c r="A38" s="177"/>
      <c r="B38" s="177"/>
      <c r="C38" s="177"/>
      <c r="D38" s="177"/>
      <c r="E38" s="177"/>
      <c r="F38" s="177"/>
      <c r="G38" s="177"/>
      <c r="H38" s="177"/>
      <c r="I38" s="177"/>
      <c r="J38" s="177"/>
      <c r="K38" s="177"/>
      <c r="L38" s="177"/>
      <c r="M38" s="177"/>
    </row>
    <row r="39" spans="1:15" ht="15.75" x14ac:dyDescent="0.25">
      <c r="A39" s="177"/>
      <c r="B39" s="177"/>
      <c r="C39" s="177"/>
      <c r="D39" s="177"/>
      <c r="E39" s="177"/>
      <c r="F39" s="177"/>
      <c r="G39" s="177"/>
      <c r="H39" s="177"/>
      <c r="I39" s="177"/>
      <c r="J39" s="177"/>
      <c r="K39" s="177"/>
      <c r="L39" s="177"/>
      <c r="M39" s="177"/>
    </row>
    <row r="40" spans="1:15" ht="15.75" x14ac:dyDescent="0.25">
      <c r="A40" s="177"/>
      <c r="B40" s="177"/>
      <c r="C40" s="177"/>
      <c r="D40" s="177"/>
      <c r="E40" s="177"/>
      <c r="F40" s="177"/>
      <c r="G40" s="177"/>
      <c r="H40" s="177"/>
      <c r="I40" s="177"/>
      <c r="J40" s="177"/>
      <c r="K40" s="177"/>
      <c r="L40" s="177"/>
      <c r="M40" s="177"/>
    </row>
    <row r="41" spans="1:15" ht="15.75" x14ac:dyDescent="0.25">
      <c r="A41" s="177"/>
      <c r="B41" s="177"/>
      <c r="C41" s="177"/>
      <c r="D41" s="177"/>
      <c r="E41" s="177"/>
      <c r="F41" s="177"/>
      <c r="G41" s="177"/>
      <c r="H41" s="177"/>
      <c r="I41" s="177"/>
      <c r="J41" s="177"/>
      <c r="K41" s="177"/>
      <c r="L41" s="177"/>
      <c r="M41" s="177"/>
      <c r="N41" s="177"/>
      <c r="O41" s="162"/>
    </row>
    <row r="42" spans="1:15" ht="15.75" x14ac:dyDescent="0.25">
      <c r="A42" s="177"/>
      <c r="B42" s="177"/>
      <c r="C42" s="177"/>
      <c r="D42" s="177"/>
      <c r="E42" s="177"/>
      <c r="F42" s="177"/>
      <c r="G42" s="177"/>
      <c r="H42" s="177"/>
      <c r="I42" s="177"/>
      <c r="J42" s="177"/>
      <c r="K42" s="177"/>
      <c r="L42" s="177"/>
      <c r="M42" s="177"/>
      <c r="N42" s="177"/>
    </row>
    <row r="43" spans="1:15" ht="15.75" x14ac:dyDescent="0.25">
      <c r="A43" s="177"/>
      <c r="B43" s="177"/>
      <c r="C43" s="177"/>
      <c r="D43" s="177"/>
      <c r="E43" s="177"/>
      <c r="F43" s="177"/>
      <c r="G43" s="177"/>
      <c r="H43" s="177"/>
      <c r="I43" s="177"/>
      <c r="J43" s="177"/>
      <c r="K43" s="177"/>
      <c r="L43" s="177"/>
      <c r="M43" s="177"/>
      <c r="N43" s="177"/>
    </row>
    <row r="44" spans="1:15" ht="15.75" x14ac:dyDescent="0.25">
      <c r="A44" s="177"/>
      <c r="B44" s="177"/>
      <c r="C44" s="177"/>
      <c r="D44" s="177"/>
      <c r="E44" s="177"/>
      <c r="F44" s="177"/>
      <c r="G44" s="177"/>
      <c r="H44" s="177"/>
      <c r="I44" s="177"/>
      <c r="J44" s="177"/>
      <c r="K44" s="177"/>
      <c r="L44" s="177"/>
      <c r="M44" s="177"/>
      <c r="N44" s="177"/>
    </row>
    <row r="45" spans="1:15" ht="15.75" x14ac:dyDescent="0.25">
      <c r="A45" s="177"/>
      <c r="B45" s="177"/>
      <c r="C45" s="177"/>
      <c r="D45" s="177"/>
      <c r="E45" s="177"/>
      <c r="F45" s="177"/>
      <c r="G45" s="177"/>
      <c r="H45" s="177"/>
      <c r="I45" s="177"/>
      <c r="J45" s="177"/>
      <c r="K45" s="177"/>
      <c r="L45" s="177"/>
      <c r="M45" s="177"/>
      <c r="N45" s="177"/>
    </row>
    <row r="46" spans="1:15" ht="15.75" x14ac:dyDescent="0.25">
      <c r="A46" s="177"/>
      <c r="B46" s="177"/>
      <c r="C46" s="177"/>
      <c r="D46" s="177"/>
      <c r="E46" s="177"/>
      <c r="F46" s="177"/>
      <c r="G46" s="177"/>
      <c r="H46" s="177"/>
      <c r="I46" s="177"/>
      <c r="J46" s="177"/>
      <c r="K46" s="177"/>
      <c r="L46" s="177"/>
      <c r="M46" s="177"/>
      <c r="N46" s="177"/>
    </row>
    <row r="47" spans="1:15" ht="15.75" x14ac:dyDescent="0.25">
      <c r="A47" s="178"/>
      <c r="B47" s="179" t="s">
        <v>22</v>
      </c>
      <c r="C47" s="179" t="s">
        <v>23</v>
      </c>
      <c r="D47" s="179" t="s">
        <v>24</v>
      </c>
      <c r="E47" s="179" t="s">
        <v>25</v>
      </c>
      <c r="F47" s="179" t="s">
        <v>26</v>
      </c>
      <c r="G47" s="179" t="s">
        <v>27</v>
      </c>
      <c r="H47" s="179" t="s">
        <v>28</v>
      </c>
      <c r="I47" s="179" t="s">
        <v>29</v>
      </c>
      <c r="J47" s="179" t="s">
        <v>30</v>
      </c>
      <c r="K47" s="179" t="s">
        <v>31</v>
      </c>
      <c r="L47" s="179" t="s">
        <v>32</v>
      </c>
      <c r="M47" s="179" t="s">
        <v>33</v>
      </c>
      <c r="N47" s="179" t="s">
        <v>0</v>
      </c>
    </row>
    <row r="48" spans="1:15" ht="15.75" x14ac:dyDescent="0.25">
      <c r="A48" s="178">
        <v>1998</v>
      </c>
      <c r="B48" s="180">
        <v>9003</v>
      </c>
      <c r="C48" s="180">
        <v>8616</v>
      </c>
      <c r="D48" s="180">
        <v>16822</v>
      </c>
      <c r="E48" s="180">
        <v>20503</v>
      </c>
      <c r="F48" s="180">
        <v>77447</v>
      </c>
      <c r="G48" s="180">
        <v>85396</v>
      </c>
      <c r="H48" s="180">
        <v>148381</v>
      </c>
      <c r="I48" s="180">
        <v>73915</v>
      </c>
      <c r="J48" s="180">
        <v>31680</v>
      </c>
      <c r="K48" s="180">
        <v>11086</v>
      </c>
      <c r="L48" s="180">
        <v>3104</v>
      </c>
      <c r="M48" s="180">
        <v>7849</v>
      </c>
      <c r="N48" s="180">
        <v>493802</v>
      </c>
    </row>
    <row r="49" spans="1:15" ht="15.75" x14ac:dyDescent="0.25">
      <c r="A49" s="178">
        <v>1999</v>
      </c>
      <c r="B49" s="180">
        <v>8949</v>
      </c>
      <c r="C49" s="180">
        <v>6929</v>
      </c>
      <c r="D49" s="180">
        <v>12178</v>
      </c>
      <c r="E49" s="180">
        <v>26415</v>
      </c>
      <c r="F49" s="180">
        <v>69728</v>
      </c>
      <c r="G49" s="180">
        <v>110647</v>
      </c>
      <c r="H49" s="180">
        <v>160652</v>
      </c>
      <c r="I49" s="180">
        <v>97951</v>
      </c>
      <c r="J49" s="180">
        <v>33482</v>
      </c>
      <c r="K49" s="180">
        <v>13869</v>
      </c>
      <c r="L49" s="180">
        <v>5119</v>
      </c>
      <c r="M49" s="180">
        <v>5980</v>
      </c>
      <c r="N49" s="180">
        <v>551899</v>
      </c>
    </row>
    <row r="50" spans="1:15" ht="15.75" x14ac:dyDescent="0.25">
      <c r="A50" s="178">
        <v>2000</v>
      </c>
      <c r="B50" s="180">
        <v>6721</v>
      </c>
      <c r="C50" s="180">
        <v>9374</v>
      </c>
      <c r="D50" s="180">
        <v>12271</v>
      </c>
      <c r="E50" s="180">
        <v>34262</v>
      </c>
      <c r="F50" s="180">
        <v>70416</v>
      </c>
      <c r="G50" s="180">
        <v>94011</v>
      </c>
      <c r="H50" s="180">
        <v>150414</v>
      </c>
      <c r="I50" s="180">
        <v>99397</v>
      </c>
      <c r="J50" s="180">
        <v>34547</v>
      </c>
      <c r="K50" s="180">
        <v>9457</v>
      </c>
      <c r="L50" s="180">
        <v>3525</v>
      </c>
      <c r="M50" s="180">
        <v>9818</v>
      </c>
      <c r="N50" s="180">
        <v>534213</v>
      </c>
    </row>
    <row r="51" spans="1:15" ht="15.75" x14ac:dyDescent="0.25">
      <c r="A51" s="178">
        <v>2001</v>
      </c>
      <c r="B51" s="181">
        <v>9085</v>
      </c>
      <c r="C51" s="181">
        <v>6889</v>
      </c>
      <c r="D51" s="181">
        <v>10154</v>
      </c>
      <c r="E51" s="181">
        <v>18785</v>
      </c>
      <c r="F51" s="181">
        <v>64361</v>
      </c>
      <c r="G51" s="181">
        <v>95856</v>
      </c>
      <c r="H51" s="181">
        <v>153801</v>
      </c>
      <c r="I51" s="181">
        <v>95712</v>
      </c>
      <c r="J51" s="181">
        <v>30910</v>
      </c>
      <c r="K51" s="181">
        <v>9780</v>
      </c>
      <c r="L51" s="181">
        <v>4671</v>
      </c>
      <c r="M51" s="181">
        <v>5796</v>
      </c>
      <c r="N51" s="182">
        <v>505800</v>
      </c>
    </row>
    <row r="52" spans="1:15" ht="15.75" x14ac:dyDescent="0.25">
      <c r="A52" s="178">
        <v>2002</v>
      </c>
      <c r="B52" s="181">
        <v>7513</v>
      </c>
      <c r="C52" s="181">
        <v>14809</v>
      </c>
      <c r="D52" s="181">
        <v>23403</v>
      </c>
      <c r="E52" s="181">
        <v>22841</v>
      </c>
      <c r="F52" s="181">
        <v>93342</v>
      </c>
      <c r="G52" s="181">
        <v>105846</v>
      </c>
      <c r="H52" s="181">
        <v>151023</v>
      </c>
      <c r="I52" s="181">
        <v>99497</v>
      </c>
      <c r="J52" s="181">
        <v>31054</v>
      </c>
      <c r="K52" s="181">
        <v>7402</v>
      </c>
      <c r="L52" s="181">
        <v>4310</v>
      </c>
      <c r="M52" s="181">
        <v>5534</v>
      </c>
      <c r="N52" s="182">
        <v>566574</v>
      </c>
    </row>
    <row r="53" spans="1:15" ht="15.75" x14ac:dyDescent="0.25">
      <c r="A53" s="178">
        <v>2003</v>
      </c>
      <c r="B53" s="181">
        <v>6938</v>
      </c>
      <c r="C53" s="181">
        <v>15538</v>
      </c>
      <c r="D53" s="181">
        <v>15061</v>
      </c>
      <c r="E53" s="181">
        <v>19435</v>
      </c>
      <c r="F53" s="181">
        <v>59874</v>
      </c>
      <c r="G53" s="181">
        <v>90873</v>
      </c>
      <c r="H53" s="181">
        <v>136697</v>
      </c>
      <c r="I53" s="181">
        <v>73619</v>
      </c>
      <c r="J53" s="181">
        <v>32636</v>
      </c>
      <c r="K53" s="181">
        <v>7887</v>
      </c>
      <c r="L53" s="181">
        <v>4462</v>
      </c>
      <c r="M53" s="181">
        <v>6039</v>
      </c>
      <c r="N53" s="182">
        <v>469059</v>
      </c>
    </row>
    <row r="54" spans="1:15" ht="15.75" x14ac:dyDescent="0.25">
      <c r="A54" s="178">
        <v>2004</v>
      </c>
      <c r="B54" s="181">
        <v>21941</v>
      </c>
      <c r="C54" s="181">
        <v>12473</v>
      </c>
      <c r="D54" s="181">
        <v>10599</v>
      </c>
      <c r="E54" s="181">
        <v>28549</v>
      </c>
      <c r="F54" s="181">
        <v>70105</v>
      </c>
      <c r="G54" s="181">
        <v>94967</v>
      </c>
      <c r="H54" s="181">
        <v>162767</v>
      </c>
      <c r="I54" s="181">
        <v>90242</v>
      </c>
      <c r="J54" s="181">
        <v>31149</v>
      </c>
      <c r="K54" s="181">
        <v>14139</v>
      </c>
      <c r="L54" s="181">
        <v>3621</v>
      </c>
      <c r="M54" s="181">
        <v>6535</v>
      </c>
      <c r="N54" s="182">
        <v>547087</v>
      </c>
    </row>
    <row r="55" spans="1:15" ht="15.75" x14ac:dyDescent="0.25">
      <c r="A55" s="178">
        <v>2005</v>
      </c>
      <c r="B55" s="181">
        <v>12240</v>
      </c>
      <c r="C55" s="181">
        <v>8806</v>
      </c>
      <c r="D55" s="181">
        <v>16063</v>
      </c>
      <c r="E55" s="181">
        <v>16469</v>
      </c>
      <c r="F55" s="181">
        <v>63378</v>
      </c>
      <c r="G55" s="181">
        <v>86333</v>
      </c>
      <c r="H55" s="181">
        <v>146930</v>
      </c>
      <c r="I55" s="181">
        <v>65538</v>
      </c>
      <c r="J55" s="181">
        <v>43946</v>
      </c>
      <c r="K55" s="181">
        <v>12949</v>
      </c>
      <c r="L55" s="181">
        <v>4548</v>
      </c>
      <c r="M55" s="181">
        <v>6002</v>
      </c>
      <c r="N55" s="182">
        <v>483202</v>
      </c>
    </row>
    <row r="56" spans="1:15" ht="15.75" x14ac:dyDescent="0.25">
      <c r="A56" s="178">
        <v>2006</v>
      </c>
      <c r="B56" s="181">
        <v>16829</v>
      </c>
      <c r="C56" s="181">
        <v>8403</v>
      </c>
      <c r="D56" s="181">
        <v>8894</v>
      </c>
      <c r="E56" s="181">
        <v>24514</v>
      </c>
      <c r="F56" s="181">
        <v>58885</v>
      </c>
      <c r="G56" s="181">
        <v>95209</v>
      </c>
      <c r="H56" s="181">
        <v>155408</v>
      </c>
      <c r="I56" s="181">
        <v>92396</v>
      </c>
      <c r="J56" s="181">
        <v>41081</v>
      </c>
      <c r="K56" s="181">
        <v>7539</v>
      </c>
      <c r="L56" s="181">
        <v>3007</v>
      </c>
      <c r="M56" s="181">
        <v>9506</v>
      </c>
      <c r="N56" s="182">
        <v>521671</v>
      </c>
    </row>
    <row r="57" spans="1:15" ht="15.75" x14ac:dyDescent="0.25">
      <c r="A57" s="178">
        <v>2007</v>
      </c>
      <c r="B57" s="183">
        <v>10354</v>
      </c>
      <c r="C57" s="183">
        <v>6124</v>
      </c>
      <c r="D57" s="183">
        <v>12301</v>
      </c>
      <c r="E57" s="183">
        <v>25732</v>
      </c>
      <c r="F57" s="183">
        <v>64080</v>
      </c>
      <c r="G57" s="183">
        <v>97709</v>
      </c>
      <c r="H57" s="183">
        <v>153796</v>
      </c>
      <c r="I57" s="183">
        <v>85757</v>
      </c>
      <c r="J57" s="134">
        <v>33799</v>
      </c>
      <c r="K57" s="181">
        <v>10396</v>
      </c>
      <c r="L57" s="181">
        <v>3247</v>
      </c>
      <c r="M57" s="181">
        <v>7668</v>
      </c>
      <c r="N57" s="135">
        <v>510963</v>
      </c>
    </row>
    <row r="58" spans="1:15" ht="15.75" x14ac:dyDescent="0.25">
      <c r="A58" s="178">
        <v>2008</v>
      </c>
      <c r="B58" s="181">
        <v>6207</v>
      </c>
      <c r="C58" s="181">
        <v>8913</v>
      </c>
      <c r="D58" s="181">
        <v>14193</v>
      </c>
      <c r="E58" s="181">
        <v>19422</v>
      </c>
      <c r="F58" s="181">
        <v>76060</v>
      </c>
      <c r="G58" s="181">
        <v>92546</v>
      </c>
      <c r="H58" s="181">
        <v>162622</v>
      </c>
      <c r="I58" s="181">
        <v>66395</v>
      </c>
      <c r="J58" s="181">
        <v>28340</v>
      </c>
      <c r="K58" s="181">
        <v>9481</v>
      </c>
      <c r="L58" s="181">
        <v>4602</v>
      </c>
      <c r="M58" s="181">
        <v>9250</v>
      </c>
      <c r="N58" s="182">
        <v>498031</v>
      </c>
    </row>
    <row r="59" spans="1:15" ht="15.75" x14ac:dyDescent="0.25">
      <c r="A59" s="178">
        <v>2009</v>
      </c>
      <c r="B59" s="181">
        <v>7204</v>
      </c>
      <c r="C59" s="181">
        <v>15264</v>
      </c>
      <c r="D59" s="181">
        <v>10485</v>
      </c>
      <c r="E59" s="181">
        <v>22177</v>
      </c>
      <c r="F59" s="181">
        <v>78270</v>
      </c>
      <c r="G59" s="181">
        <v>102745</v>
      </c>
      <c r="H59" s="181">
        <v>166623</v>
      </c>
      <c r="I59" s="181">
        <v>88526</v>
      </c>
      <c r="J59" s="181">
        <v>36910</v>
      </c>
      <c r="K59" s="181">
        <v>10251</v>
      </c>
      <c r="L59" s="181">
        <v>4067</v>
      </c>
      <c r="M59" s="181">
        <v>3679</v>
      </c>
      <c r="N59" s="182">
        <v>546201</v>
      </c>
    </row>
    <row r="60" spans="1:15" ht="15.75" x14ac:dyDescent="0.25">
      <c r="A60" s="178">
        <v>2010</v>
      </c>
      <c r="B60" s="181">
        <v>3344</v>
      </c>
      <c r="C60" s="181">
        <v>3926</v>
      </c>
      <c r="D60" s="181">
        <v>7285</v>
      </c>
      <c r="E60" s="181">
        <v>15354</v>
      </c>
      <c r="F60" s="181">
        <v>57940</v>
      </c>
      <c r="G60" s="181">
        <v>96356</v>
      </c>
      <c r="H60" s="181">
        <v>131430</v>
      </c>
      <c r="I60" s="181">
        <v>73749</v>
      </c>
      <c r="J60" s="181">
        <v>24154</v>
      </c>
      <c r="K60" s="181">
        <v>14470</v>
      </c>
      <c r="L60" s="181">
        <v>4767</v>
      </c>
      <c r="M60" s="181">
        <v>3360</v>
      </c>
      <c r="N60" s="182">
        <v>436135</v>
      </c>
    </row>
    <row r="61" spans="1:15" ht="15.75" x14ac:dyDescent="0.25">
      <c r="A61" s="178">
        <v>2011</v>
      </c>
      <c r="B61" s="181">
        <v>4556</v>
      </c>
      <c r="C61" s="181">
        <v>12940</v>
      </c>
      <c r="D61" s="181">
        <v>9159</v>
      </c>
      <c r="E61" s="181">
        <v>26760</v>
      </c>
      <c r="F61" s="181">
        <v>54150</v>
      </c>
      <c r="G61" s="181">
        <v>93655</v>
      </c>
      <c r="H61" s="181">
        <v>146090</v>
      </c>
      <c r="I61" s="181">
        <v>80605</v>
      </c>
      <c r="J61" s="181">
        <v>35137</v>
      </c>
      <c r="K61" s="181">
        <v>15304</v>
      </c>
      <c r="L61" s="181">
        <v>6776</v>
      </c>
      <c r="M61" s="181">
        <v>4489</v>
      </c>
      <c r="N61" s="182">
        <v>489621</v>
      </c>
      <c r="O61" s="189" t="s">
        <v>162</v>
      </c>
    </row>
    <row r="62" spans="1:15" ht="15.75" x14ac:dyDescent="0.25">
      <c r="A62" s="178">
        <v>2012</v>
      </c>
      <c r="B62" s="181">
        <v>5742</v>
      </c>
      <c r="C62" s="181">
        <v>9712</v>
      </c>
      <c r="D62" s="181">
        <v>10876</v>
      </c>
      <c r="E62" s="181">
        <v>24039</v>
      </c>
      <c r="F62" s="181">
        <v>61128</v>
      </c>
      <c r="G62" s="181">
        <v>85315</v>
      </c>
      <c r="H62" s="181">
        <v>161200</v>
      </c>
      <c r="I62" s="181">
        <v>80163</v>
      </c>
      <c r="J62" s="181">
        <v>29849</v>
      </c>
      <c r="K62" s="181">
        <v>11024</v>
      </c>
      <c r="L62" s="181">
        <v>5566</v>
      </c>
      <c r="M62" s="181">
        <v>4123</v>
      </c>
      <c r="N62" s="182">
        <v>488737</v>
      </c>
    </row>
    <row r="63" spans="1:15" ht="15.75" x14ac:dyDescent="0.25">
      <c r="A63" s="178">
        <v>2013</v>
      </c>
      <c r="B63" s="181">
        <f>Yht1!$AD$38</f>
        <v>6730</v>
      </c>
      <c r="C63" s="181">
        <f>Yht2!$AD$38</f>
        <v>14162</v>
      </c>
      <c r="D63" s="181">
        <f>Yht3!$AD$38</f>
        <v>14378</v>
      </c>
      <c r="E63" s="181">
        <f>Yht4!$AD$38</f>
        <v>15113</v>
      </c>
      <c r="F63" s="181">
        <f>Yht5!$AD$38</f>
        <v>59619</v>
      </c>
      <c r="G63" s="181">
        <f>Yht6!$AD$38</f>
        <v>92408</v>
      </c>
      <c r="H63" s="181">
        <f>Yht7!$AD$38</f>
        <v>153545</v>
      </c>
      <c r="I63" s="181">
        <f>Yht8!$AD$38</f>
        <v>75614</v>
      </c>
      <c r="J63" s="181">
        <f>Yht9!$AD$38</f>
        <v>37836</v>
      </c>
      <c r="K63" s="181">
        <f>Yht10!$AD$38</f>
        <v>18035</v>
      </c>
      <c r="L63" s="181">
        <f>Yht11!$AD$38</f>
        <v>6054</v>
      </c>
      <c r="M63" s="181">
        <f>Yht12!$AD$38</f>
        <v>8668</v>
      </c>
      <c r="N63" s="182">
        <f>SUM(B63:M63)</f>
        <v>502162</v>
      </c>
    </row>
    <row r="67" spans="2:16" x14ac:dyDescent="0.15">
      <c r="B67">
        <v>2011</v>
      </c>
      <c r="C67">
        <v>4556</v>
      </c>
      <c r="D67">
        <v>12940</v>
      </c>
      <c r="E67">
        <v>9159</v>
      </c>
      <c r="F67">
        <v>26760</v>
      </c>
      <c r="G67">
        <v>54150</v>
      </c>
      <c r="H67">
        <v>93655</v>
      </c>
      <c r="I67">
        <v>146090</v>
      </c>
      <c r="J67">
        <v>80605</v>
      </c>
      <c r="K67">
        <v>35137</v>
      </c>
      <c r="L67">
        <v>15304</v>
      </c>
      <c r="M67">
        <v>6776</v>
      </c>
      <c r="N67">
        <v>4489</v>
      </c>
      <c r="O67">
        <v>489621</v>
      </c>
      <c r="P67" t="s">
        <v>162</v>
      </c>
    </row>
    <row r="68" spans="2:16" x14ac:dyDescent="0.15">
      <c r="B68">
        <v>2012</v>
      </c>
      <c r="C68">
        <v>5742</v>
      </c>
      <c r="D68">
        <v>9712</v>
      </c>
      <c r="E68">
        <v>10876</v>
      </c>
      <c r="F68">
        <v>24039</v>
      </c>
      <c r="G68">
        <v>61128</v>
      </c>
      <c r="H68">
        <v>85315</v>
      </c>
      <c r="I68">
        <v>161200</v>
      </c>
      <c r="J68">
        <v>80163</v>
      </c>
      <c r="K68">
        <v>29849</v>
      </c>
      <c r="L68">
        <v>11024</v>
      </c>
      <c r="M68">
        <v>5566</v>
      </c>
      <c r="N68">
        <v>4123</v>
      </c>
      <c r="O68">
        <v>488737</v>
      </c>
    </row>
  </sheetData>
  <sheetProtection password="C4AC" sheet="1" objects="1" scenarios="1"/>
  <phoneticPr fontId="0" type="noConversion"/>
  <pageMargins left="0.75" right="0.41" top="0.6" bottom="0.64" header="0.4921259845" footer="0.4921259845"/>
  <pageSetup paperSize="9" scale="75" fitToHeight="0" orientation="landscape" horizontalDpi="300" r:id="rId1"/>
  <headerFooter alignWithMargins="0">
    <oddFooter>&amp;C&amp;12Korkeasaaren eläintarha
Kävijätilasto 2013&amp;R&amp;12Tulostettu &amp;D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/>
  <dimension ref="A1:AJ42"/>
  <sheetViews>
    <sheetView showGridLines="0" zoomScale="80" zoomScaleNormal="80" workbookViewId="0"/>
  </sheetViews>
  <sheetFormatPr defaultColWidth="9.75" defaultRowHeight="12.75" x14ac:dyDescent="0.2"/>
  <cols>
    <col min="1" max="1" width="3.75" style="1" customWidth="1"/>
    <col min="2" max="2" width="2.75" style="1" customWidth="1"/>
    <col min="3" max="4" width="6.125" style="1" customWidth="1"/>
    <col min="5" max="5" width="4" style="1" customWidth="1"/>
    <col min="6" max="6" width="4.5" style="1" customWidth="1"/>
    <col min="7" max="10" width="6.125" style="1" customWidth="1"/>
    <col min="11" max="11" width="5.875" style="1" customWidth="1"/>
    <col min="12" max="13" width="6.125" style="1" customWidth="1"/>
    <col min="14" max="14" width="5.25" style="1" customWidth="1"/>
    <col min="15" max="15" width="4.5" style="1" customWidth="1"/>
    <col min="16" max="16" width="6.125" style="1" customWidth="1"/>
    <col min="17" max="17" width="5.5" style="1" customWidth="1"/>
    <col min="18" max="19" width="6.125" style="1" customWidth="1"/>
    <col min="20" max="20" width="5.875" style="1" customWidth="1"/>
    <col min="21" max="22" width="6.125" style="1" customWidth="1"/>
    <col min="23" max="23" width="4.375" style="1" customWidth="1"/>
    <col min="24" max="24" width="4.25" style="1" customWidth="1"/>
    <col min="25" max="29" width="6.125" style="1" customWidth="1"/>
    <col min="30" max="36" width="15.625" style="1" customWidth="1"/>
  </cols>
  <sheetData>
    <row r="1" spans="1:36" ht="30" customHeight="1" x14ac:dyDescent="0.35">
      <c r="A1" s="22"/>
      <c r="B1" s="4"/>
      <c r="C1" s="105" t="s">
        <v>15</v>
      </c>
      <c r="D1" s="106"/>
      <c r="E1" s="106"/>
      <c r="F1" s="106"/>
      <c r="G1" s="106"/>
      <c r="H1" s="106"/>
      <c r="I1" s="106"/>
      <c r="J1" s="106"/>
      <c r="K1" s="106"/>
      <c r="L1" s="105" t="str">
        <f>Kalenteri!$H$1</f>
        <v>KÄVIJÄTILASTO 2013</v>
      </c>
      <c r="M1" s="107"/>
      <c r="N1" s="107"/>
      <c r="O1" s="107"/>
      <c r="P1" s="106"/>
      <c r="Q1" s="106"/>
      <c r="R1" s="105" t="s">
        <v>73</v>
      </c>
      <c r="S1" s="108"/>
      <c r="T1" s="106"/>
      <c r="U1" s="109"/>
      <c r="V1" s="105" t="s">
        <v>20</v>
      </c>
      <c r="W1" s="109"/>
      <c r="X1" s="106"/>
      <c r="Y1" s="106"/>
      <c r="Z1" s="106"/>
      <c r="AA1" s="106"/>
      <c r="AB1" s="106"/>
      <c r="AC1" s="106"/>
      <c r="AD1" s="110"/>
      <c r="AE1" s="4"/>
      <c r="AF1" s="4"/>
      <c r="AG1" s="4"/>
      <c r="AH1" s="4"/>
      <c r="AI1" s="4"/>
      <c r="AJ1" s="4"/>
    </row>
    <row r="2" spans="1:36" ht="30" customHeight="1" x14ac:dyDescent="0.3">
      <c r="A2" s="3"/>
      <c r="B2" s="4"/>
      <c r="C2" s="72"/>
      <c r="D2" s="73"/>
      <c r="E2" s="74" t="s">
        <v>1</v>
      </c>
      <c r="F2" s="75"/>
      <c r="G2" s="75"/>
      <c r="H2" s="75"/>
      <c r="I2" s="75"/>
      <c r="J2" s="75"/>
      <c r="K2" s="76"/>
      <c r="L2" s="72"/>
      <c r="M2" s="77"/>
      <c r="N2" s="73"/>
      <c r="O2" s="74" t="s">
        <v>2</v>
      </c>
      <c r="P2" s="75"/>
      <c r="Q2" s="75"/>
      <c r="R2" s="75"/>
      <c r="S2" s="75"/>
      <c r="T2" s="76"/>
      <c r="U2" s="72"/>
      <c r="V2" s="75"/>
      <c r="W2" s="73"/>
      <c r="X2" s="74" t="s">
        <v>3</v>
      </c>
      <c r="Y2" s="75"/>
      <c r="Z2" s="75"/>
      <c r="AA2" s="75"/>
      <c r="AB2" s="75"/>
      <c r="AC2" s="76"/>
      <c r="AD2" s="13"/>
      <c r="AE2" s="35"/>
      <c r="AF2" s="69"/>
      <c r="AG2" s="69"/>
      <c r="AH2" s="69"/>
      <c r="AI2" s="69"/>
      <c r="AJ2" s="69"/>
    </row>
    <row r="3" spans="1:36" x14ac:dyDescent="0.2">
      <c r="A3" s="4"/>
      <c r="B3" s="4"/>
      <c r="C3" s="24" t="s">
        <v>4</v>
      </c>
      <c r="D3" s="25"/>
      <c r="E3" s="25"/>
      <c r="F3" s="26"/>
      <c r="G3" s="24" t="s">
        <v>5</v>
      </c>
      <c r="H3" s="26"/>
      <c r="I3" s="25" t="s">
        <v>6</v>
      </c>
      <c r="J3" s="25"/>
      <c r="K3" s="27"/>
      <c r="L3" s="24" t="s">
        <v>4</v>
      </c>
      <c r="M3" s="25"/>
      <c r="N3" s="25"/>
      <c r="O3" s="26"/>
      <c r="P3" s="24" t="s">
        <v>5</v>
      </c>
      <c r="Q3" s="26"/>
      <c r="R3" s="25" t="s">
        <v>6</v>
      </c>
      <c r="S3" s="25"/>
      <c r="T3" s="27"/>
      <c r="U3" s="24" t="s">
        <v>4</v>
      </c>
      <c r="V3" s="25"/>
      <c r="W3" s="25"/>
      <c r="X3" s="26"/>
      <c r="Y3" s="24" t="s">
        <v>5</v>
      </c>
      <c r="Z3" s="26"/>
      <c r="AA3" s="25" t="s">
        <v>6</v>
      </c>
      <c r="AB3" s="25"/>
      <c r="AC3" s="27"/>
      <c r="AD3" s="36" t="s">
        <v>7</v>
      </c>
      <c r="AE3" s="38"/>
      <c r="AF3" s="70"/>
      <c r="AG3" s="70"/>
      <c r="AH3" s="70"/>
      <c r="AI3" s="70"/>
      <c r="AJ3"/>
    </row>
    <row r="4" spans="1:36" x14ac:dyDescent="0.2">
      <c r="A4" s="6"/>
      <c r="B4" s="4"/>
      <c r="C4" s="7" t="s">
        <v>8</v>
      </c>
      <c r="D4" s="8" t="s">
        <v>9</v>
      </c>
      <c r="E4" s="8" t="s">
        <v>10</v>
      </c>
      <c r="F4" s="9" t="s">
        <v>11</v>
      </c>
      <c r="G4" s="7" t="s">
        <v>8</v>
      </c>
      <c r="H4" s="9" t="s">
        <v>9</v>
      </c>
      <c r="I4" s="8" t="s">
        <v>8</v>
      </c>
      <c r="J4" s="8" t="s">
        <v>9</v>
      </c>
      <c r="K4" s="14" t="s">
        <v>0</v>
      </c>
      <c r="L4" s="7" t="s">
        <v>8</v>
      </c>
      <c r="M4" s="8" t="s">
        <v>9</v>
      </c>
      <c r="N4" s="8" t="s">
        <v>10</v>
      </c>
      <c r="O4" s="9" t="s">
        <v>11</v>
      </c>
      <c r="P4" s="7" t="s">
        <v>8</v>
      </c>
      <c r="Q4" s="9" t="s">
        <v>9</v>
      </c>
      <c r="R4" s="8" t="s">
        <v>8</v>
      </c>
      <c r="S4" s="8" t="s">
        <v>9</v>
      </c>
      <c r="T4" s="14" t="s">
        <v>0</v>
      </c>
      <c r="U4" s="7" t="s">
        <v>8</v>
      </c>
      <c r="V4" s="8" t="s">
        <v>9</v>
      </c>
      <c r="W4" s="8" t="s">
        <v>10</v>
      </c>
      <c r="X4" s="9" t="s">
        <v>11</v>
      </c>
      <c r="Y4" s="7" t="s">
        <v>8</v>
      </c>
      <c r="Z4" s="9" t="s">
        <v>9</v>
      </c>
      <c r="AA4" s="8" t="s">
        <v>8</v>
      </c>
      <c r="AB4" s="8" t="s">
        <v>9</v>
      </c>
      <c r="AC4" s="14" t="s">
        <v>0</v>
      </c>
      <c r="AD4" s="28"/>
      <c r="AE4" s="23"/>
      <c r="AF4" s="23"/>
      <c r="AG4" s="23"/>
      <c r="AH4" s="23"/>
      <c r="AI4" s="23"/>
      <c r="AJ4"/>
    </row>
    <row r="5" spans="1:36" x14ac:dyDescent="0.2">
      <c r="A5" s="5">
        <f>DAY(Kalenteri!A91)</f>
        <v>1</v>
      </c>
      <c r="B5" s="3" t="str">
        <f>IF(Kalenteri!B91=1,"su",IF(Kalenteri!B91=2,"ma",IF(Kalenteri!B91=3,"ti",IF(Kalenteri!B91=4,"ke",IF(Kalenteri!B91=5,"to",IF(Kalenteri!B91=6,"pe",IF(Kalenteri!B91=7,"la",)))))))</f>
        <v>ma</v>
      </c>
      <c r="C5" s="78">
        <v>1234</v>
      </c>
      <c r="D5" s="15">
        <v>379</v>
      </c>
      <c r="E5" s="15">
        <v>1</v>
      </c>
      <c r="F5" s="16">
        <v>78</v>
      </c>
      <c r="G5" s="78">
        <v>30</v>
      </c>
      <c r="H5" s="16">
        <v>460</v>
      </c>
      <c r="I5" s="78">
        <v>74</v>
      </c>
      <c r="J5" s="16">
        <v>111</v>
      </c>
      <c r="K5" s="32">
        <f t="shared" ref="K5:K36" si="0">SUM(C5:J5)</f>
        <v>2367</v>
      </c>
      <c r="L5" s="15"/>
      <c r="M5" s="15"/>
      <c r="N5" s="15"/>
      <c r="O5" s="16"/>
      <c r="P5" s="15"/>
      <c r="Q5" s="16"/>
      <c r="R5" s="29"/>
      <c r="S5" s="29"/>
      <c r="T5" s="32">
        <f t="shared" ref="T5:T36" si="1">SUM(L5:S5)</f>
        <v>0</v>
      </c>
      <c r="U5" s="15"/>
      <c r="V5" s="15"/>
      <c r="W5" s="15"/>
      <c r="X5" s="16"/>
      <c r="Y5" s="15"/>
      <c r="Z5" s="16"/>
      <c r="AA5" s="29"/>
      <c r="AB5" s="29"/>
      <c r="AC5" s="32">
        <f t="shared" ref="AC5:AC36" si="2">SUM(U5:AB5)</f>
        <v>0</v>
      </c>
      <c r="AD5" s="17">
        <f t="shared" ref="AD5:AD36" si="3">SUM(K5,T5,AC5)</f>
        <v>2367</v>
      </c>
      <c r="AE5" s="39"/>
      <c r="AF5" s="39"/>
      <c r="AG5" s="39"/>
      <c r="AH5" s="39"/>
      <c r="AI5" s="39"/>
      <c r="AJ5"/>
    </row>
    <row r="6" spans="1:36" x14ac:dyDescent="0.2">
      <c r="A6" s="5">
        <f>DAY(Kalenteri!A92)</f>
        <v>2</v>
      </c>
      <c r="B6" s="3" t="str">
        <f>IF(Kalenteri!B92=1,"su",IF(Kalenteri!B92=2,"ma",IF(Kalenteri!B92=3,"ti",IF(Kalenteri!B92=4,"ke",IF(Kalenteri!B92=5,"to",IF(Kalenteri!B92=6,"pe",IF(Kalenteri!B92=7,"la",)))))))</f>
        <v>ti</v>
      </c>
      <c r="C6" s="18">
        <v>116</v>
      </c>
      <c r="D6" s="10">
        <v>17</v>
      </c>
      <c r="E6" s="10">
        <v>0</v>
      </c>
      <c r="F6" s="11">
        <v>5</v>
      </c>
      <c r="G6" s="18">
        <v>1</v>
      </c>
      <c r="H6" s="11">
        <v>39</v>
      </c>
      <c r="I6" s="18">
        <v>0</v>
      </c>
      <c r="J6" s="11">
        <v>0</v>
      </c>
      <c r="K6" s="33">
        <f t="shared" si="0"/>
        <v>178</v>
      </c>
      <c r="L6" s="10"/>
      <c r="M6" s="10"/>
      <c r="N6" s="10"/>
      <c r="O6" s="11"/>
      <c r="P6" s="10"/>
      <c r="Q6" s="11"/>
      <c r="R6" s="30"/>
      <c r="S6" s="30"/>
      <c r="T6" s="33">
        <f t="shared" si="1"/>
        <v>0</v>
      </c>
      <c r="U6" s="10"/>
      <c r="V6" s="10"/>
      <c r="W6" s="10"/>
      <c r="X6" s="11"/>
      <c r="Y6" s="10"/>
      <c r="Z6" s="11"/>
      <c r="AA6" s="30"/>
      <c r="AB6" s="30"/>
      <c r="AC6" s="33">
        <f t="shared" si="2"/>
        <v>0</v>
      </c>
      <c r="AD6" s="12">
        <f t="shared" si="3"/>
        <v>178</v>
      </c>
      <c r="AE6" s="39"/>
      <c r="AF6" s="39"/>
      <c r="AG6" s="39"/>
      <c r="AH6" s="39"/>
      <c r="AI6" s="39"/>
      <c r="AJ6"/>
    </row>
    <row r="7" spans="1:36" x14ac:dyDescent="0.2">
      <c r="A7" s="5">
        <f>DAY(Kalenteri!A93)</f>
        <v>3</v>
      </c>
      <c r="B7" s="3" t="str">
        <f>IF(Kalenteri!B93=1,"su",IF(Kalenteri!B93=2,"ma",IF(Kalenteri!B93=3,"ti",IF(Kalenteri!B93=4,"ke",IF(Kalenteri!B93=5,"to",IF(Kalenteri!B93=6,"pe",IF(Kalenteri!B93=7,"la",)))))))</f>
        <v>ke</v>
      </c>
      <c r="C7" s="18">
        <v>163</v>
      </c>
      <c r="D7" s="10">
        <v>32</v>
      </c>
      <c r="E7" s="10"/>
      <c r="F7" s="11">
        <v>8</v>
      </c>
      <c r="G7" s="18"/>
      <c r="H7" s="11">
        <v>59</v>
      </c>
      <c r="I7" s="18">
        <v>0</v>
      </c>
      <c r="J7" s="11">
        <v>0</v>
      </c>
      <c r="K7" s="33">
        <f t="shared" si="0"/>
        <v>262</v>
      </c>
      <c r="L7" s="10"/>
      <c r="M7" s="10"/>
      <c r="N7" s="10"/>
      <c r="O7" s="11"/>
      <c r="P7" s="10"/>
      <c r="Q7" s="11"/>
      <c r="R7" s="30"/>
      <c r="S7" s="30"/>
      <c r="T7" s="33">
        <f t="shared" si="1"/>
        <v>0</v>
      </c>
      <c r="U7" s="10"/>
      <c r="V7" s="10"/>
      <c r="W7" s="10"/>
      <c r="X7" s="11"/>
      <c r="Y7" s="10"/>
      <c r="Z7" s="11"/>
      <c r="AA7" s="30"/>
      <c r="AB7" s="30"/>
      <c r="AC7" s="33">
        <f t="shared" si="2"/>
        <v>0</v>
      </c>
      <c r="AD7" s="12">
        <f t="shared" si="3"/>
        <v>262</v>
      </c>
      <c r="AE7" s="39"/>
      <c r="AF7" s="39"/>
      <c r="AG7" s="39"/>
      <c r="AH7" s="39"/>
      <c r="AI7" s="39"/>
      <c r="AJ7"/>
    </row>
    <row r="8" spans="1:36" x14ac:dyDescent="0.2">
      <c r="A8" s="5">
        <f>DAY(Kalenteri!A94)</f>
        <v>4</v>
      </c>
      <c r="B8" s="3" t="str">
        <f>IF(Kalenteri!B94=1,"su",IF(Kalenteri!B94=2,"ma",IF(Kalenteri!B94=3,"ti",IF(Kalenteri!B94=4,"ke",IF(Kalenteri!B94=5,"to",IF(Kalenteri!B94=6,"pe",IF(Kalenteri!B94=7,"la",)))))))</f>
        <v>to</v>
      </c>
      <c r="C8" s="18">
        <v>139</v>
      </c>
      <c r="D8" s="10">
        <v>13</v>
      </c>
      <c r="E8" s="10"/>
      <c r="F8" s="11">
        <v>11</v>
      </c>
      <c r="G8" s="18"/>
      <c r="H8" s="11">
        <v>38</v>
      </c>
      <c r="I8" s="18">
        <v>0</v>
      </c>
      <c r="J8" s="11">
        <v>0</v>
      </c>
      <c r="K8" s="33">
        <f t="shared" si="0"/>
        <v>201</v>
      </c>
      <c r="L8" s="10"/>
      <c r="M8" s="10"/>
      <c r="N8" s="10"/>
      <c r="O8" s="11"/>
      <c r="P8" s="10"/>
      <c r="Q8" s="11"/>
      <c r="R8" s="30"/>
      <c r="S8" s="30"/>
      <c r="T8" s="33">
        <f t="shared" si="1"/>
        <v>0</v>
      </c>
      <c r="U8" s="10"/>
      <c r="V8" s="10"/>
      <c r="W8" s="10"/>
      <c r="X8" s="11"/>
      <c r="Y8" s="10"/>
      <c r="Z8" s="11"/>
      <c r="AA8" s="30"/>
      <c r="AB8" s="30"/>
      <c r="AC8" s="33">
        <f t="shared" si="2"/>
        <v>0</v>
      </c>
      <c r="AD8" s="12">
        <f t="shared" si="3"/>
        <v>201</v>
      </c>
      <c r="AE8" s="39"/>
      <c r="AF8" s="39"/>
      <c r="AG8" s="39"/>
      <c r="AH8" s="39"/>
      <c r="AI8" s="39"/>
      <c r="AJ8"/>
    </row>
    <row r="9" spans="1:36" x14ac:dyDescent="0.2">
      <c r="A9" s="5">
        <f>DAY(Kalenteri!A95)</f>
        <v>5</v>
      </c>
      <c r="B9" s="3" t="str">
        <f>IF(Kalenteri!B95=1,"su",IF(Kalenteri!B95=2,"ma",IF(Kalenteri!B95=3,"ti",IF(Kalenteri!B95=4,"ke",IF(Kalenteri!B95=5,"to",IF(Kalenteri!B95=6,"pe",IF(Kalenteri!B95=7,"la",)))))))</f>
        <v>pe</v>
      </c>
      <c r="C9" s="18">
        <v>137</v>
      </c>
      <c r="D9" s="10">
        <v>29</v>
      </c>
      <c r="E9" s="10"/>
      <c r="F9" s="11">
        <v>6</v>
      </c>
      <c r="G9" s="18">
        <v>27</v>
      </c>
      <c r="H9" s="11">
        <v>73</v>
      </c>
      <c r="I9" s="18">
        <v>0</v>
      </c>
      <c r="J9" s="11">
        <v>0</v>
      </c>
      <c r="K9" s="33">
        <f t="shared" si="0"/>
        <v>272</v>
      </c>
      <c r="L9" s="10"/>
      <c r="M9" s="10"/>
      <c r="N9" s="10"/>
      <c r="O9" s="11"/>
      <c r="P9" s="10"/>
      <c r="Q9" s="11"/>
      <c r="R9" s="30"/>
      <c r="S9" s="30"/>
      <c r="T9" s="33">
        <f t="shared" si="1"/>
        <v>0</v>
      </c>
      <c r="U9" s="10"/>
      <c r="V9" s="10"/>
      <c r="W9" s="10"/>
      <c r="X9" s="11"/>
      <c r="Y9" s="10"/>
      <c r="Z9" s="11"/>
      <c r="AA9" s="30"/>
      <c r="AB9" s="30"/>
      <c r="AC9" s="33">
        <f t="shared" si="2"/>
        <v>0</v>
      </c>
      <c r="AD9" s="12">
        <f t="shared" si="3"/>
        <v>272</v>
      </c>
      <c r="AE9" s="39"/>
      <c r="AF9" s="39"/>
      <c r="AG9" s="39"/>
      <c r="AH9" s="39"/>
      <c r="AI9" s="39"/>
      <c r="AJ9"/>
    </row>
    <row r="10" spans="1:36" x14ac:dyDescent="0.2">
      <c r="A10" s="5">
        <f>DAY(Kalenteri!A96)</f>
        <v>6</v>
      </c>
      <c r="B10" s="3" t="str">
        <f>IF(Kalenteri!B96=1,"su",IF(Kalenteri!B96=2,"ma",IF(Kalenteri!B96=3,"ti",IF(Kalenteri!B96=4,"ke",IF(Kalenteri!B96=5,"to",IF(Kalenteri!B96=6,"pe",IF(Kalenteri!B96=7,"la",)))))))</f>
        <v>la</v>
      </c>
      <c r="C10" s="18">
        <v>766</v>
      </c>
      <c r="D10" s="10">
        <v>202</v>
      </c>
      <c r="E10" s="10">
        <v>0</v>
      </c>
      <c r="F10" s="11">
        <v>47</v>
      </c>
      <c r="G10" s="18">
        <v>10</v>
      </c>
      <c r="H10" s="11">
        <v>287</v>
      </c>
      <c r="I10" s="18">
        <v>2</v>
      </c>
      <c r="J10" s="11">
        <v>3</v>
      </c>
      <c r="K10" s="33">
        <f t="shared" si="0"/>
        <v>1317</v>
      </c>
      <c r="L10" s="10"/>
      <c r="M10" s="10"/>
      <c r="N10" s="10"/>
      <c r="O10" s="11"/>
      <c r="P10" s="10"/>
      <c r="Q10" s="11"/>
      <c r="R10" s="30"/>
      <c r="S10" s="30"/>
      <c r="T10" s="33">
        <f t="shared" si="1"/>
        <v>0</v>
      </c>
      <c r="U10" s="10"/>
      <c r="V10" s="10"/>
      <c r="W10" s="10"/>
      <c r="X10" s="11"/>
      <c r="Y10" s="10"/>
      <c r="Z10" s="11"/>
      <c r="AA10" s="30"/>
      <c r="AB10" s="30"/>
      <c r="AC10" s="33">
        <f t="shared" si="2"/>
        <v>0</v>
      </c>
      <c r="AD10" s="12">
        <f t="shared" si="3"/>
        <v>1317</v>
      </c>
      <c r="AE10" s="39"/>
      <c r="AF10" s="39"/>
      <c r="AG10" s="39"/>
      <c r="AH10" s="39"/>
      <c r="AI10" s="39"/>
      <c r="AJ10"/>
    </row>
    <row r="11" spans="1:36" x14ac:dyDescent="0.2">
      <c r="A11" s="5">
        <f>DAY(Kalenteri!A97)</f>
        <v>7</v>
      </c>
      <c r="B11" s="3" t="str">
        <f>IF(Kalenteri!B97=1,"su",IF(Kalenteri!B97=2,"ma",IF(Kalenteri!B97=3,"ti",IF(Kalenteri!B97=4,"ke",IF(Kalenteri!B97=5,"to",IF(Kalenteri!B97=6,"pe",IF(Kalenteri!B97=7,"la",)))))))</f>
        <v>su</v>
      </c>
      <c r="C11" s="18">
        <v>411</v>
      </c>
      <c r="D11" s="10">
        <v>88</v>
      </c>
      <c r="E11" s="10">
        <v>2</v>
      </c>
      <c r="F11" s="11">
        <v>55</v>
      </c>
      <c r="G11" s="18">
        <v>1</v>
      </c>
      <c r="H11" s="11">
        <v>167</v>
      </c>
      <c r="I11" s="18">
        <v>0</v>
      </c>
      <c r="J11" s="11">
        <v>0</v>
      </c>
      <c r="K11" s="33">
        <f t="shared" si="0"/>
        <v>724</v>
      </c>
      <c r="L11" s="10"/>
      <c r="M11" s="10"/>
      <c r="N11" s="10"/>
      <c r="O11" s="11"/>
      <c r="P11" s="10"/>
      <c r="Q11" s="11"/>
      <c r="R11" s="30"/>
      <c r="S11" s="30"/>
      <c r="T11" s="33">
        <f t="shared" si="1"/>
        <v>0</v>
      </c>
      <c r="U11" s="10"/>
      <c r="V11" s="10"/>
      <c r="W11" s="10"/>
      <c r="X11" s="11"/>
      <c r="Y11" s="10"/>
      <c r="Z11" s="11"/>
      <c r="AA11" s="30"/>
      <c r="AB11" s="30"/>
      <c r="AC11" s="33">
        <f t="shared" si="2"/>
        <v>0</v>
      </c>
      <c r="AD11" s="12">
        <f t="shared" si="3"/>
        <v>724</v>
      </c>
      <c r="AE11" s="39"/>
      <c r="AF11" s="39"/>
      <c r="AG11" s="39"/>
      <c r="AH11" s="39"/>
      <c r="AI11" s="39"/>
      <c r="AJ11"/>
    </row>
    <row r="12" spans="1:36" x14ac:dyDescent="0.2">
      <c r="A12" s="5">
        <f>DAY(Kalenteri!A98)</f>
        <v>8</v>
      </c>
      <c r="B12" s="3" t="str">
        <f>IF(Kalenteri!B98=1,"su",IF(Kalenteri!B98=2,"ma",IF(Kalenteri!B98=3,"ti",IF(Kalenteri!B98=4,"ke",IF(Kalenteri!B98=5,"to",IF(Kalenteri!B98=6,"pe",IF(Kalenteri!B98=7,"la",)))))))</f>
        <v>ma</v>
      </c>
      <c r="C12" s="18">
        <v>31</v>
      </c>
      <c r="D12" s="10">
        <v>1</v>
      </c>
      <c r="E12" s="10">
        <v>0</v>
      </c>
      <c r="F12" s="11">
        <v>13</v>
      </c>
      <c r="G12" s="18">
        <v>3</v>
      </c>
      <c r="H12" s="11">
        <v>71</v>
      </c>
      <c r="I12" s="18">
        <v>0</v>
      </c>
      <c r="J12" s="11">
        <v>0</v>
      </c>
      <c r="K12" s="33">
        <f t="shared" si="0"/>
        <v>119</v>
      </c>
      <c r="L12" s="10"/>
      <c r="M12" s="10"/>
      <c r="N12" s="10"/>
      <c r="O12" s="11"/>
      <c r="P12" s="10"/>
      <c r="Q12" s="11"/>
      <c r="R12" s="30"/>
      <c r="S12" s="30"/>
      <c r="T12" s="33">
        <f t="shared" si="1"/>
        <v>0</v>
      </c>
      <c r="U12" s="10"/>
      <c r="V12" s="10"/>
      <c r="W12" s="10"/>
      <c r="X12" s="11"/>
      <c r="Y12" s="10"/>
      <c r="Z12" s="11"/>
      <c r="AA12" s="30"/>
      <c r="AB12" s="30"/>
      <c r="AC12" s="33">
        <f t="shared" si="2"/>
        <v>0</v>
      </c>
      <c r="AD12" s="12">
        <f t="shared" si="3"/>
        <v>119</v>
      </c>
      <c r="AE12" s="39"/>
      <c r="AF12" s="39"/>
      <c r="AG12" s="39"/>
      <c r="AH12" s="39"/>
      <c r="AI12" s="39"/>
      <c r="AJ12"/>
    </row>
    <row r="13" spans="1:36" x14ac:dyDescent="0.2">
      <c r="A13" s="5">
        <f>DAY(Kalenteri!A99)</f>
        <v>9</v>
      </c>
      <c r="B13" s="3" t="str">
        <f>IF(Kalenteri!B99=1,"su",IF(Kalenteri!B99=2,"ma",IF(Kalenteri!B99=3,"ti",IF(Kalenteri!B99=4,"ke",IF(Kalenteri!B99=5,"to",IF(Kalenteri!B99=6,"pe",IF(Kalenteri!B99=7,"la",)))))))</f>
        <v>ti</v>
      </c>
      <c r="C13" s="18">
        <v>77</v>
      </c>
      <c r="D13" s="10">
        <v>12</v>
      </c>
      <c r="E13" s="10">
        <v>0</v>
      </c>
      <c r="F13" s="11">
        <v>8</v>
      </c>
      <c r="G13" s="18">
        <v>8</v>
      </c>
      <c r="H13" s="11">
        <v>112</v>
      </c>
      <c r="I13" s="18">
        <v>0</v>
      </c>
      <c r="J13" s="11">
        <v>0</v>
      </c>
      <c r="K13" s="33">
        <f t="shared" si="0"/>
        <v>217</v>
      </c>
      <c r="L13" s="10"/>
      <c r="M13" s="10"/>
      <c r="N13" s="10"/>
      <c r="O13" s="11"/>
      <c r="P13" s="10"/>
      <c r="Q13" s="11"/>
      <c r="R13" s="30"/>
      <c r="S13" s="30"/>
      <c r="T13" s="33">
        <f t="shared" si="1"/>
        <v>0</v>
      </c>
      <c r="U13" s="10"/>
      <c r="V13" s="10"/>
      <c r="W13" s="10"/>
      <c r="X13" s="11"/>
      <c r="Y13" s="10"/>
      <c r="Z13" s="11"/>
      <c r="AA13" s="30"/>
      <c r="AB13" s="30"/>
      <c r="AC13" s="33">
        <f t="shared" si="2"/>
        <v>0</v>
      </c>
      <c r="AD13" s="12">
        <f t="shared" si="3"/>
        <v>217</v>
      </c>
      <c r="AE13" s="39"/>
      <c r="AF13" s="39"/>
      <c r="AG13" s="39"/>
      <c r="AH13" s="39"/>
      <c r="AI13" s="39"/>
      <c r="AJ13"/>
    </row>
    <row r="14" spans="1:36" x14ac:dyDescent="0.2">
      <c r="A14" s="5">
        <f>DAY(Kalenteri!A100)</f>
        <v>10</v>
      </c>
      <c r="B14" s="3" t="str">
        <f>IF(Kalenteri!B100=1,"su",IF(Kalenteri!B100=2,"ma",IF(Kalenteri!B100=3,"ti",IF(Kalenteri!B100=4,"ke",IF(Kalenteri!B100=5,"to",IF(Kalenteri!B100=6,"pe",IF(Kalenteri!B100=7,"la",)))))))</f>
        <v>ke</v>
      </c>
      <c r="C14" s="18">
        <v>97</v>
      </c>
      <c r="D14" s="10">
        <v>43</v>
      </c>
      <c r="E14" s="10">
        <v>1</v>
      </c>
      <c r="F14" s="11">
        <v>8</v>
      </c>
      <c r="G14" s="18">
        <v>41</v>
      </c>
      <c r="H14" s="11">
        <v>46</v>
      </c>
      <c r="I14" s="18">
        <v>2</v>
      </c>
      <c r="J14" s="11">
        <v>3</v>
      </c>
      <c r="K14" s="33">
        <f t="shared" si="0"/>
        <v>241</v>
      </c>
      <c r="L14" s="10"/>
      <c r="M14" s="10"/>
      <c r="N14" s="10"/>
      <c r="O14" s="11"/>
      <c r="P14" s="10"/>
      <c r="Q14" s="11"/>
      <c r="R14" s="30"/>
      <c r="S14" s="30"/>
      <c r="T14" s="33">
        <f t="shared" si="1"/>
        <v>0</v>
      </c>
      <c r="U14" s="10"/>
      <c r="V14" s="10"/>
      <c r="W14" s="10"/>
      <c r="X14" s="11"/>
      <c r="Y14" s="10"/>
      <c r="Z14" s="11"/>
      <c r="AA14" s="30"/>
      <c r="AB14" s="30"/>
      <c r="AC14" s="33">
        <f t="shared" si="2"/>
        <v>0</v>
      </c>
      <c r="AD14" s="12">
        <f t="shared" si="3"/>
        <v>241</v>
      </c>
      <c r="AE14" s="39"/>
      <c r="AF14" s="39"/>
      <c r="AG14" s="39"/>
      <c r="AH14" s="39"/>
      <c r="AI14" s="39"/>
      <c r="AJ14"/>
    </row>
    <row r="15" spans="1:36" x14ac:dyDescent="0.2">
      <c r="A15" s="5">
        <f>DAY(Kalenteri!A101)</f>
        <v>11</v>
      </c>
      <c r="B15" s="3" t="str">
        <f>IF(Kalenteri!B101=1,"su",IF(Kalenteri!B101=2,"ma",IF(Kalenteri!B101=3,"ti",IF(Kalenteri!B101=4,"ke",IF(Kalenteri!B101=5,"to",IF(Kalenteri!B101=6,"pe",IF(Kalenteri!B101=7,"la",)))))))</f>
        <v>to</v>
      </c>
      <c r="C15" s="18">
        <v>45</v>
      </c>
      <c r="D15" s="10">
        <v>3</v>
      </c>
      <c r="E15" s="10">
        <v>0</v>
      </c>
      <c r="F15" s="11">
        <v>3</v>
      </c>
      <c r="G15" s="18">
        <v>10</v>
      </c>
      <c r="H15" s="11">
        <v>79</v>
      </c>
      <c r="I15" s="18">
        <v>0</v>
      </c>
      <c r="J15" s="11">
        <v>0</v>
      </c>
      <c r="K15" s="33">
        <f t="shared" si="0"/>
        <v>140</v>
      </c>
      <c r="L15" s="10"/>
      <c r="M15" s="10"/>
      <c r="N15" s="10"/>
      <c r="O15" s="11"/>
      <c r="P15" s="10"/>
      <c r="Q15" s="11"/>
      <c r="R15" s="30"/>
      <c r="S15" s="30"/>
      <c r="T15" s="33">
        <f t="shared" si="1"/>
        <v>0</v>
      </c>
      <c r="U15" s="10"/>
      <c r="V15" s="10"/>
      <c r="W15" s="10"/>
      <c r="X15" s="11"/>
      <c r="Y15" s="10"/>
      <c r="Z15" s="11"/>
      <c r="AA15" s="30"/>
      <c r="AB15" s="30"/>
      <c r="AC15" s="33">
        <f t="shared" si="2"/>
        <v>0</v>
      </c>
      <c r="AD15" s="12">
        <f t="shared" si="3"/>
        <v>140</v>
      </c>
      <c r="AE15" s="39"/>
      <c r="AF15" s="39"/>
      <c r="AG15" s="39"/>
      <c r="AH15" s="39"/>
      <c r="AI15" s="39"/>
      <c r="AJ15"/>
    </row>
    <row r="16" spans="1:36" x14ac:dyDescent="0.2">
      <c r="A16" s="5">
        <f>DAY(Kalenteri!A102)</f>
        <v>12</v>
      </c>
      <c r="B16" s="3" t="str">
        <f>IF(Kalenteri!B102=1,"su",IF(Kalenteri!B102=2,"ma",IF(Kalenteri!B102=3,"ti",IF(Kalenteri!B102=4,"ke",IF(Kalenteri!B102=5,"to",IF(Kalenteri!B102=6,"pe",IF(Kalenteri!B102=7,"la",)))))))</f>
        <v>pe</v>
      </c>
      <c r="C16" s="18">
        <v>88</v>
      </c>
      <c r="D16" s="10">
        <v>9</v>
      </c>
      <c r="E16" s="10">
        <v>2</v>
      </c>
      <c r="F16" s="11">
        <v>8</v>
      </c>
      <c r="G16" s="18">
        <v>10</v>
      </c>
      <c r="H16" s="11">
        <v>81</v>
      </c>
      <c r="I16" s="18">
        <v>0</v>
      </c>
      <c r="J16" s="11">
        <v>0</v>
      </c>
      <c r="K16" s="33">
        <f t="shared" si="0"/>
        <v>198</v>
      </c>
      <c r="L16" s="10"/>
      <c r="M16" s="10"/>
      <c r="N16" s="10"/>
      <c r="O16" s="11"/>
      <c r="P16" s="10"/>
      <c r="Q16" s="11"/>
      <c r="R16" s="30"/>
      <c r="S16" s="30"/>
      <c r="T16" s="33">
        <f t="shared" si="1"/>
        <v>0</v>
      </c>
      <c r="U16" s="10"/>
      <c r="V16" s="10"/>
      <c r="W16" s="10"/>
      <c r="X16" s="11"/>
      <c r="Y16" s="10"/>
      <c r="Z16" s="11"/>
      <c r="AA16" s="30"/>
      <c r="AB16" s="30"/>
      <c r="AC16" s="33">
        <f t="shared" si="2"/>
        <v>0</v>
      </c>
      <c r="AD16" s="12">
        <f t="shared" si="3"/>
        <v>198</v>
      </c>
      <c r="AE16" s="39"/>
      <c r="AF16" s="39"/>
      <c r="AG16" s="39"/>
      <c r="AH16" s="39"/>
      <c r="AI16" s="39"/>
      <c r="AJ16"/>
    </row>
    <row r="17" spans="1:36" x14ac:dyDescent="0.2">
      <c r="A17" s="5">
        <f>DAY(Kalenteri!A103)</f>
        <v>13</v>
      </c>
      <c r="B17" s="3" t="str">
        <f>IF(Kalenteri!B103=1,"su",IF(Kalenteri!B103=2,"ma",IF(Kalenteri!B103=3,"ti",IF(Kalenteri!B103=4,"ke",IF(Kalenteri!B103=5,"to",IF(Kalenteri!B103=6,"pe",IF(Kalenteri!B103=7,"la",)))))))</f>
        <v>la</v>
      </c>
      <c r="C17" s="18">
        <v>109</v>
      </c>
      <c r="D17" s="10">
        <v>21</v>
      </c>
      <c r="E17" s="10">
        <v>4</v>
      </c>
      <c r="F17" s="11">
        <v>3</v>
      </c>
      <c r="G17" s="18">
        <v>11</v>
      </c>
      <c r="H17" s="11">
        <v>30</v>
      </c>
      <c r="I17" s="18">
        <v>0</v>
      </c>
      <c r="J17" s="11">
        <v>0</v>
      </c>
      <c r="K17" s="33">
        <f t="shared" si="0"/>
        <v>178</v>
      </c>
      <c r="L17" s="10"/>
      <c r="M17" s="10"/>
      <c r="N17" s="10"/>
      <c r="O17" s="11"/>
      <c r="P17" s="10"/>
      <c r="Q17" s="11"/>
      <c r="R17" s="30"/>
      <c r="S17" s="30"/>
      <c r="T17" s="33">
        <f t="shared" si="1"/>
        <v>0</v>
      </c>
      <c r="U17" s="10"/>
      <c r="V17" s="10"/>
      <c r="W17" s="10"/>
      <c r="X17" s="11"/>
      <c r="Y17" s="10"/>
      <c r="Z17" s="11"/>
      <c r="AA17" s="30"/>
      <c r="AB17" s="30"/>
      <c r="AC17" s="33">
        <f t="shared" si="2"/>
        <v>0</v>
      </c>
      <c r="AD17" s="12">
        <f t="shared" si="3"/>
        <v>178</v>
      </c>
      <c r="AE17" s="39"/>
      <c r="AF17" s="39"/>
      <c r="AG17" s="39"/>
      <c r="AH17" s="39"/>
      <c r="AI17" s="39"/>
      <c r="AJ17"/>
    </row>
    <row r="18" spans="1:36" x14ac:dyDescent="0.2">
      <c r="A18" s="5">
        <f>DAY(Kalenteri!A104)</f>
        <v>14</v>
      </c>
      <c r="B18" s="3" t="str">
        <f>IF(Kalenteri!B104=1,"su",IF(Kalenteri!B104=2,"ma",IF(Kalenteri!B104=3,"ti",IF(Kalenteri!B104=4,"ke",IF(Kalenteri!B104=5,"to",IF(Kalenteri!B104=6,"pe",IF(Kalenteri!B104=7,"la",)))))))</f>
        <v>su</v>
      </c>
      <c r="C18" s="18">
        <v>348</v>
      </c>
      <c r="D18" s="10">
        <v>93</v>
      </c>
      <c r="E18" s="10">
        <v>0</v>
      </c>
      <c r="F18" s="11">
        <v>29</v>
      </c>
      <c r="G18" s="18">
        <v>6</v>
      </c>
      <c r="H18" s="11">
        <v>96</v>
      </c>
      <c r="I18" s="18">
        <v>0</v>
      </c>
      <c r="J18" s="11">
        <v>0</v>
      </c>
      <c r="K18" s="33">
        <f t="shared" si="0"/>
        <v>572</v>
      </c>
      <c r="L18" s="10"/>
      <c r="M18" s="10"/>
      <c r="N18" s="10"/>
      <c r="O18" s="11"/>
      <c r="P18" s="10"/>
      <c r="Q18" s="11"/>
      <c r="R18" s="30"/>
      <c r="S18" s="30"/>
      <c r="T18" s="33">
        <f t="shared" si="1"/>
        <v>0</v>
      </c>
      <c r="U18" s="10"/>
      <c r="V18" s="10"/>
      <c r="W18" s="10"/>
      <c r="X18" s="11"/>
      <c r="Y18" s="10"/>
      <c r="Z18" s="11"/>
      <c r="AA18" s="30"/>
      <c r="AB18" s="30"/>
      <c r="AC18" s="33">
        <f t="shared" si="2"/>
        <v>0</v>
      </c>
      <c r="AD18" s="12">
        <f t="shared" si="3"/>
        <v>572</v>
      </c>
      <c r="AE18" s="39"/>
      <c r="AF18" s="39"/>
      <c r="AG18" s="39"/>
      <c r="AH18" s="39"/>
      <c r="AI18" s="39"/>
      <c r="AJ18"/>
    </row>
    <row r="19" spans="1:36" x14ac:dyDescent="0.2">
      <c r="A19" s="5">
        <f>DAY(Kalenteri!A105)</f>
        <v>15</v>
      </c>
      <c r="B19" s="3" t="str">
        <f>IF(Kalenteri!B105=1,"su",IF(Kalenteri!B105=2,"ma",IF(Kalenteri!B105=3,"ti",IF(Kalenteri!B105=4,"ke",IF(Kalenteri!B105=5,"to",IF(Kalenteri!B105=6,"pe",IF(Kalenteri!B105=7,"la",)))))))</f>
        <v>ma</v>
      </c>
      <c r="C19" s="18">
        <v>41</v>
      </c>
      <c r="D19" s="10">
        <v>3</v>
      </c>
      <c r="E19" s="10">
        <v>0</v>
      </c>
      <c r="F19" s="11">
        <v>7</v>
      </c>
      <c r="G19" s="18">
        <v>1</v>
      </c>
      <c r="H19" s="11">
        <v>53</v>
      </c>
      <c r="I19" s="18">
        <v>0</v>
      </c>
      <c r="J19" s="11">
        <v>0</v>
      </c>
      <c r="K19" s="33">
        <f t="shared" si="0"/>
        <v>105</v>
      </c>
      <c r="L19" s="10"/>
      <c r="M19" s="10"/>
      <c r="N19" s="10"/>
      <c r="O19" s="11"/>
      <c r="P19" s="10"/>
      <c r="Q19" s="11"/>
      <c r="R19" s="30"/>
      <c r="S19" s="30"/>
      <c r="T19" s="33">
        <f t="shared" si="1"/>
        <v>0</v>
      </c>
      <c r="U19" s="10"/>
      <c r="V19" s="10"/>
      <c r="W19" s="10"/>
      <c r="X19" s="11"/>
      <c r="Y19" s="10"/>
      <c r="Z19" s="11"/>
      <c r="AA19" s="30"/>
      <c r="AB19" s="30"/>
      <c r="AC19" s="33">
        <f t="shared" si="2"/>
        <v>0</v>
      </c>
      <c r="AD19" s="12">
        <f t="shared" si="3"/>
        <v>105</v>
      </c>
      <c r="AE19" s="39"/>
      <c r="AF19" s="39"/>
      <c r="AG19" s="39"/>
      <c r="AH19" s="39"/>
      <c r="AI19" s="39"/>
      <c r="AJ19"/>
    </row>
    <row r="20" spans="1:36" x14ac:dyDescent="0.2">
      <c r="A20" s="5">
        <f>DAY(Kalenteri!A106)</f>
        <v>16</v>
      </c>
      <c r="B20" s="3" t="str">
        <f>IF(Kalenteri!B106=1,"su",IF(Kalenteri!B106=2,"ma",IF(Kalenteri!B106=3,"ti",IF(Kalenteri!B106=4,"ke",IF(Kalenteri!B106=5,"to",IF(Kalenteri!B106=6,"pe",IF(Kalenteri!B106=7,"la",)))))))</f>
        <v>ti</v>
      </c>
      <c r="C20" s="18">
        <v>81</v>
      </c>
      <c r="D20" s="10">
        <v>63</v>
      </c>
      <c r="E20" s="10">
        <v>0</v>
      </c>
      <c r="F20" s="11">
        <v>5</v>
      </c>
      <c r="G20" s="18">
        <v>6</v>
      </c>
      <c r="H20" s="11">
        <v>151</v>
      </c>
      <c r="I20" s="18">
        <v>0</v>
      </c>
      <c r="J20" s="11">
        <v>0</v>
      </c>
      <c r="K20" s="33">
        <f t="shared" si="0"/>
        <v>306</v>
      </c>
      <c r="L20" s="10"/>
      <c r="M20" s="10"/>
      <c r="N20" s="10"/>
      <c r="O20" s="11"/>
      <c r="P20" s="10"/>
      <c r="Q20" s="11"/>
      <c r="R20" s="30"/>
      <c r="S20" s="30"/>
      <c r="T20" s="33">
        <f t="shared" si="1"/>
        <v>0</v>
      </c>
      <c r="U20" s="10"/>
      <c r="V20" s="10"/>
      <c r="W20" s="10"/>
      <c r="X20" s="11"/>
      <c r="Y20" s="10"/>
      <c r="Z20" s="11"/>
      <c r="AA20" s="30"/>
      <c r="AB20" s="30"/>
      <c r="AC20" s="33">
        <f t="shared" si="2"/>
        <v>0</v>
      </c>
      <c r="AD20" s="12">
        <f t="shared" si="3"/>
        <v>306</v>
      </c>
      <c r="AE20" s="39"/>
      <c r="AF20" s="39"/>
      <c r="AG20" s="39"/>
      <c r="AH20" s="39"/>
      <c r="AI20" s="39"/>
      <c r="AJ20"/>
    </row>
    <row r="21" spans="1:36" x14ac:dyDescent="0.2">
      <c r="A21" s="5">
        <f>DAY(Kalenteri!A107)</f>
        <v>17</v>
      </c>
      <c r="B21" s="3" t="str">
        <f>IF(Kalenteri!B107=1,"su",IF(Kalenteri!B107=2,"ma",IF(Kalenteri!B107=3,"ti",IF(Kalenteri!B107=4,"ke",IF(Kalenteri!B107=5,"to",IF(Kalenteri!B107=6,"pe",IF(Kalenteri!B107=7,"la",)))))))</f>
        <v>ke</v>
      </c>
      <c r="C21" s="18">
        <v>47</v>
      </c>
      <c r="D21" s="10">
        <v>5</v>
      </c>
      <c r="E21" s="10">
        <v>2</v>
      </c>
      <c r="F21" s="11">
        <v>3</v>
      </c>
      <c r="G21" s="18">
        <v>4</v>
      </c>
      <c r="H21" s="11">
        <v>79</v>
      </c>
      <c r="I21" s="18">
        <v>0</v>
      </c>
      <c r="J21" s="11">
        <v>0</v>
      </c>
      <c r="K21" s="33">
        <f t="shared" si="0"/>
        <v>140</v>
      </c>
      <c r="L21" s="10"/>
      <c r="M21" s="10"/>
      <c r="N21" s="10"/>
      <c r="O21" s="11"/>
      <c r="P21" s="10"/>
      <c r="Q21" s="11"/>
      <c r="R21" s="30"/>
      <c r="S21" s="30"/>
      <c r="T21" s="33">
        <f t="shared" si="1"/>
        <v>0</v>
      </c>
      <c r="U21" s="10"/>
      <c r="V21" s="10"/>
      <c r="W21" s="10"/>
      <c r="X21" s="11"/>
      <c r="Y21" s="10"/>
      <c r="Z21" s="11"/>
      <c r="AA21" s="30"/>
      <c r="AB21" s="30"/>
      <c r="AC21" s="33">
        <f t="shared" si="2"/>
        <v>0</v>
      </c>
      <c r="AD21" s="12">
        <f t="shared" si="3"/>
        <v>140</v>
      </c>
      <c r="AE21" s="39"/>
      <c r="AF21" s="39"/>
      <c r="AG21" s="39"/>
      <c r="AH21" s="39"/>
      <c r="AI21" s="39"/>
      <c r="AJ21"/>
    </row>
    <row r="22" spans="1:36" x14ac:dyDescent="0.2">
      <c r="A22" s="5">
        <f>DAY(Kalenteri!A108)</f>
        <v>18</v>
      </c>
      <c r="B22" s="3" t="str">
        <f>IF(Kalenteri!B108=1,"su",IF(Kalenteri!B108=2,"ma",IF(Kalenteri!B108=3,"ti",IF(Kalenteri!B108=4,"ke",IF(Kalenteri!B108=5,"to",IF(Kalenteri!B108=6,"pe",IF(Kalenteri!B108=7,"la",)))))))</f>
        <v>to</v>
      </c>
      <c r="C22" s="18">
        <v>92</v>
      </c>
      <c r="D22" s="10">
        <v>65</v>
      </c>
      <c r="E22" s="10">
        <v>1</v>
      </c>
      <c r="F22" s="11">
        <v>2</v>
      </c>
      <c r="G22" s="18">
        <v>4</v>
      </c>
      <c r="H22" s="11">
        <v>25</v>
      </c>
      <c r="I22" s="18">
        <v>0</v>
      </c>
      <c r="J22" s="11">
        <v>0</v>
      </c>
      <c r="K22" s="33">
        <f t="shared" si="0"/>
        <v>189</v>
      </c>
      <c r="L22" s="10"/>
      <c r="M22" s="10"/>
      <c r="N22" s="10"/>
      <c r="O22" s="11"/>
      <c r="P22" s="10"/>
      <c r="Q22" s="11"/>
      <c r="R22" s="30"/>
      <c r="S22" s="30"/>
      <c r="T22" s="33">
        <f t="shared" si="1"/>
        <v>0</v>
      </c>
      <c r="U22" s="10"/>
      <c r="V22" s="10"/>
      <c r="W22" s="10"/>
      <c r="X22" s="11"/>
      <c r="Y22" s="10"/>
      <c r="Z22" s="11"/>
      <c r="AA22" s="30"/>
      <c r="AB22" s="30"/>
      <c r="AC22" s="33">
        <f t="shared" si="2"/>
        <v>0</v>
      </c>
      <c r="AD22" s="12">
        <f t="shared" si="3"/>
        <v>189</v>
      </c>
      <c r="AE22" s="39"/>
      <c r="AF22" s="39"/>
      <c r="AG22" s="39"/>
      <c r="AH22" s="39"/>
      <c r="AI22" s="39"/>
      <c r="AJ22"/>
    </row>
    <row r="23" spans="1:36" x14ac:dyDescent="0.2">
      <c r="A23" s="5">
        <f>DAY(Kalenteri!A109)</f>
        <v>19</v>
      </c>
      <c r="B23" s="3" t="str">
        <f>IF(Kalenteri!B109=1,"su",IF(Kalenteri!B109=2,"ma",IF(Kalenteri!B109=3,"ti",IF(Kalenteri!B109=4,"ke",IF(Kalenteri!B109=5,"to",IF(Kalenteri!B109=6,"pe",IF(Kalenteri!B109=7,"la",)))))))</f>
        <v>pe</v>
      </c>
      <c r="C23" s="18">
        <v>87</v>
      </c>
      <c r="D23" s="10">
        <v>52</v>
      </c>
      <c r="E23" s="10">
        <v>1</v>
      </c>
      <c r="F23" s="11">
        <v>8</v>
      </c>
      <c r="G23" s="18">
        <v>17</v>
      </c>
      <c r="H23" s="11">
        <v>86</v>
      </c>
      <c r="I23" s="18">
        <v>0</v>
      </c>
      <c r="J23" s="11">
        <v>0</v>
      </c>
      <c r="K23" s="33">
        <f t="shared" si="0"/>
        <v>251</v>
      </c>
      <c r="L23" s="10"/>
      <c r="M23" s="10"/>
      <c r="N23" s="10"/>
      <c r="O23" s="11"/>
      <c r="P23" s="10"/>
      <c r="Q23" s="11"/>
      <c r="R23" s="30"/>
      <c r="S23" s="30"/>
      <c r="T23" s="33">
        <f t="shared" si="1"/>
        <v>0</v>
      </c>
      <c r="U23" s="10"/>
      <c r="V23" s="10"/>
      <c r="W23" s="10"/>
      <c r="X23" s="11"/>
      <c r="Y23" s="10"/>
      <c r="Z23" s="11"/>
      <c r="AA23" s="30"/>
      <c r="AB23" s="30"/>
      <c r="AC23" s="33">
        <f t="shared" si="2"/>
        <v>0</v>
      </c>
      <c r="AD23" s="12">
        <f t="shared" si="3"/>
        <v>251</v>
      </c>
      <c r="AE23" s="39"/>
      <c r="AF23" s="39"/>
      <c r="AG23" s="39"/>
      <c r="AH23" s="39"/>
      <c r="AI23" s="39"/>
      <c r="AJ23"/>
    </row>
    <row r="24" spans="1:36" x14ac:dyDescent="0.2">
      <c r="A24" s="5">
        <f>DAY(Kalenteri!A110)</f>
        <v>20</v>
      </c>
      <c r="B24" s="3" t="str">
        <f>IF(Kalenteri!B110=1,"su",IF(Kalenteri!B110=2,"ma",IF(Kalenteri!B110=3,"ti",IF(Kalenteri!B110=4,"ke",IF(Kalenteri!B110=5,"to",IF(Kalenteri!B110=6,"pe",IF(Kalenteri!B110=7,"la",)))))))</f>
        <v>la</v>
      </c>
      <c r="C24" s="18">
        <v>718</v>
      </c>
      <c r="D24" s="10">
        <v>195</v>
      </c>
      <c r="E24" s="10">
        <v>5</v>
      </c>
      <c r="F24" s="11">
        <v>54</v>
      </c>
      <c r="G24" s="18">
        <v>4</v>
      </c>
      <c r="H24" s="11">
        <v>252</v>
      </c>
      <c r="I24" s="18">
        <v>10</v>
      </c>
      <c r="J24" s="11">
        <v>15</v>
      </c>
      <c r="K24" s="33">
        <f t="shared" si="0"/>
        <v>1253</v>
      </c>
      <c r="L24" s="10"/>
      <c r="M24" s="10"/>
      <c r="N24" s="10"/>
      <c r="O24" s="11"/>
      <c r="P24" s="10"/>
      <c r="Q24" s="11"/>
      <c r="R24" s="30"/>
      <c r="S24" s="30"/>
      <c r="T24" s="33">
        <f t="shared" si="1"/>
        <v>0</v>
      </c>
      <c r="U24" s="10"/>
      <c r="V24" s="10"/>
      <c r="W24" s="10"/>
      <c r="X24" s="11"/>
      <c r="Y24" s="10"/>
      <c r="Z24" s="11"/>
      <c r="AA24" s="30"/>
      <c r="AB24" s="30"/>
      <c r="AC24" s="33">
        <f t="shared" si="2"/>
        <v>0</v>
      </c>
      <c r="AD24" s="12">
        <f t="shared" si="3"/>
        <v>1253</v>
      </c>
      <c r="AE24" s="39"/>
      <c r="AF24" s="39"/>
      <c r="AG24" s="39"/>
      <c r="AH24" s="39"/>
      <c r="AI24" s="39"/>
      <c r="AJ24" s="39"/>
    </row>
    <row r="25" spans="1:36" x14ac:dyDescent="0.2">
      <c r="A25" s="5">
        <f>DAY(Kalenteri!A111)</f>
        <v>21</v>
      </c>
      <c r="B25" s="3" t="str">
        <f>IF(Kalenteri!B111=1,"su",IF(Kalenteri!B111=2,"ma",IF(Kalenteri!B111=3,"ti",IF(Kalenteri!B111=4,"ke",IF(Kalenteri!B111=5,"to",IF(Kalenteri!B111=6,"pe",IF(Kalenteri!B111=7,"la",)))))))</f>
        <v>su</v>
      </c>
      <c r="C25" s="18">
        <v>918</v>
      </c>
      <c r="D25" s="10">
        <v>216</v>
      </c>
      <c r="E25" s="10"/>
      <c r="F25" s="11">
        <v>57</v>
      </c>
      <c r="G25" s="18">
        <v>15</v>
      </c>
      <c r="H25" s="11">
        <v>287</v>
      </c>
      <c r="I25" s="18">
        <v>4</v>
      </c>
      <c r="J25" s="11">
        <v>6</v>
      </c>
      <c r="K25" s="33">
        <f t="shared" si="0"/>
        <v>1503</v>
      </c>
      <c r="L25" s="10"/>
      <c r="M25" s="10"/>
      <c r="N25" s="10"/>
      <c r="O25" s="11"/>
      <c r="P25" s="10"/>
      <c r="Q25" s="11"/>
      <c r="R25" s="30"/>
      <c r="S25" s="30"/>
      <c r="T25" s="33">
        <f t="shared" si="1"/>
        <v>0</v>
      </c>
      <c r="U25" s="10"/>
      <c r="V25" s="10"/>
      <c r="W25" s="10"/>
      <c r="X25" s="11"/>
      <c r="Y25" s="10"/>
      <c r="Z25" s="11"/>
      <c r="AA25" s="30"/>
      <c r="AB25" s="30"/>
      <c r="AC25" s="33">
        <f t="shared" si="2"/>
        <v>0</v>
      </c>
      <c r="AD25" s="12">
        <f t="shared" si="3"/>
        <v>1503</v>
      </c>
      <c r="AE25" s="39"/>
      <c r="AF25" s="39"/>
      <c r="AG25" s="39"/>
      <c r="AH25" s="39"/>
      <c r="AI25" s="39"/>
      <c r="AJ25" s="39"/>
    </row>
    <row r="26" spans="1:36" x14ac:dyDescent="0.2">
      <c r="A26" s="5">
        <f>DAY(Kalenteri!A112)</f>
        <v>22</v>
      </c>
      <c r="B26" s="3" t="str">
        <f>IF(Kalenteri!B112=1,"su",IF(Kalenteri!B112=2,"ma",IF(Kalenteri!B112=3,"ti",IF(Kalenteri!B112=4,"ke",IF(Kalenteri!B112=5,"to",IF(Kalenteri!B112=6,"pe",IF(Kalenteri!B112=7,"la",)))))))</f>
        <v>ma</v>
      </c>
      <c r="C26" s="18">
        <v>93</v>
      </c>
      <c r="D26" s="10">
        <v>53</v>
      </c>
      <c r="E26" s="10"/>
      <c r="F26" s="11">
        <v>8</v>
      </c>
      <c r="G26" s="18">
        <v>7</v>
      </c>
      <c r="H26" s="11">
        <v>102</v>
      </c>
      <c r="I26" s="18">
        <v>4</v>
      </c>
      <c r="J26" s="11">
        <v>6</v>
      </c>
      <c r="K26" s="33">
        <f t="shared" si="0"/>
        <v>273</v>
      </c>
      <c r="L26" s="10"/>
      <c r="M26" s="10"/>
      <c r="N26" s="10"/>
      <c r="O26" s="11"/>
      <c r="P26" s="10"/>
      <c r="Q26" s="11"/>
      <c r="R26" s="30"/>
      <c r="S26" s="30"/>
      <c r="T26" s="33">
        <f t="shared" si="1"/>
        <v>0</v>
      </c>
      <c r="U26" s="10"/>
      <c r="V26" s="10"/>
      <c r="W26" s="10"/>
      <c r="X26" s="11"/>
      <c r="Y26" s="10"/>
      <c r="Z26" s="11"/>
      <c r="AA26" s="30"/>
      <c r="AB26" s="30"/>
      <c r="AC26" s="33">
        <f t="shared" si="2"/>
        <v>0</v>
      </c>
      <c r="AD26" s="12">
        <f t="shared" si="3"/>
        <v>273</v>
      </c>
      <c r="AE26" s="39"/>
      <c r="AF26" s="39"/>
      <c r="AG26" s="39"/>
      <c r="AH26" s="39"/>
      <c r="AI26" s="39"/>
      <c r="AJ26" s="39"/>
    </row>
    <row r="27" spans="1:36" x14ac:dyDescent="0.2">
      <c r="A27" s="5">
        <f>DAY(Kalenteri!A113)</f>
        <v>23</v>
      </c>
      <c r="B27" s="3" t="str">
        <f>IF(Kalenteri!B113=1,"su",IF(Kalenteri!B113=2,"ma",IF(Kalenteri!B113=3,"ti",IF(Kalenteri!B113=4,"ke",IF(Kalenteri!B113=5,"to",IF(Kalenteri!B113=6,"pe",IF(Kalenteri!B113=7,"la",)))))))</f>
        <v>ti</v>
      </c>
      <c r="C27" s="18">
        <v>49</v>
      </c>
      <c r="D27" s="10">
        <v>31</v>
      </c>
      <c r="E27" s="10"/>
      <c r="F27" s="11"/>
      <c r="G27" s="18">
        <v>11</v>
      </c>
      <c r="H27" s="11">
        <v>85</v>
      </c>
      <c r="I27" s="18"/>
      <c r="J27" s="11"/>
      <c r="K27" s="33">
        <f t="shared" si="0"/>
        <v>176</v>
      </c>
      <c r="L27" s="10"/>
      <c r="M27" s="10"/>
      <c r="N27" s="10"/>
      <c r="O27" s="11"/>
      <c r="P27" s="10"/>
      <c r="Q27" s="11"/>
      <c r="R27" s="30"/>
      <c r="S27" s="30"/>
      <c r="T27" s="33">
        <f t="shared" si="1"/>
        <v>0</v>
      </c>
      <c r="U27" s="10"/>
      <c r="V27" s="10"/>
      <c r="W27" s="10"/>
      <c r="X27" s="11"/>
      <c r="Y27" s="10"/>
      <c r="Z27" s="11"/>
      <c r="AA27" s="30"/>
      <c r="AB27" s="30"/>
      <c r="AC27" s="33">
        <f t="shared" si="2"/>
        <v>0</v>
      </c>
      <c r="AD27" s="12">
        <f t="shared" si="3"/>
        <v>176</v>
      </c>
      <c r="AE27" s="39"/>
      <c r="AF27" s="39"/>
      <c r="AG27" s="39"/>
      <c r="AH27" s="39"/>
      <c r="AI27" s="39"/>
      <c r="AJ27" s="39"/>
    </row>
    <row r="28" spans="1:36" x14ac:dyDescent="0.2">
      <c r="A28" s="5">
        <f>DAY(Kalenteri!A114)</f>
        <v>24</v>
      </c>
      <c r="B28" s="3" t="str">
        <f>IF(Kalenteri!B114=1,"su",IF(Kalenteri!B114=2,"ma",IF(Kalenteri!B114=3,"ti",IF(Kalenteri!B114=4,"ke",IF(Kalenteri!B114=5,"to",IF(Kalenteri!B114=6,"pe",IF(Kalenteri!B114=7,"la",)))))))</f>
        <v>ke</v>
      </c>
      <c r="C28" s="18">
        <v>165</v>
      </c>
      <c r="D28" s="10">
        <v>16</v>
      </c>
      <c r="E28" s="10"/>
      <c r="F28" s="11">
        <v>14</v>
      </c>
      <c r="G28" s="18">
        <v>25</v>
      </c>
      <c r="H28" s="11">
        <v>142</v>
      </c>
      <c r="I28" s="18"/>
      <c r="J28" s="11"/>
      <c r="K28" s="33">
        <f t="shared" si="0"/>
        <v>362</v>
      </c>
      <c r="L28" s="10"/>
      <c r="M28" s="10"/>
      <c r="N28" s="10"/>
      <c r="O28" s="11"/>
      <c r="P28" s="10"/>
      <c r="Q28" s="11"/>
      <c r="R28" s="30"/>
      <c r="S28" s="30"/>
      <c r="T28" s="33">
        <f t="shared" si="1"/>
        <v>0</v>
      </c>
      <c r="U28" s="10"/>
      <c r="V28" s="10"/>
      <c r="W28" s="10"/>
      <c r="X28" s="11"/>
      <c r="Y28" s="10"/>
      <c r="Z28" s="11"/>
      <c r="AA28" s="30"/>
      <c r="AB28" s="30"/>
      <c r="AC28" s="33">
        <f t="shared" si="2"/>
        <v>0</v>
      </c>
      <c r="AD28" s="12">
        <f t="shared" si="3"/>
        <v>362</v>
      </c>
      <c r="AE28" s="39"/>
      <c r="AF28" s="39"/>
      <c r="AG28" s="39"/>
      <c r="AH28" s="39"/>
      <c r="AI28" s="39"/>
      <c r="AJ28" s="39"/>
    </row>
    <row r="29" spans="1:36" x14ac:dyDescent="0.2">
      <c r="A29" s="5">
        <f>DAY(Kalenteri!A115)</f>
        <v>25</v>
      </c>
      <c r="B29" s="3" t="str">
        <f>IF(Kalenteri!B115=1,"su",IF(Kalenteri!B115=2,"ma",IF(Kalenteri!B115=3,"ti",IF(Kalenteri!B115=4,"ke",IF(Kalenteri!B115=5,"to",IF(Kalenteri!B115=6,"pe",IF(Kalenteri!B115=7,"la",)))))))</f>
        <v>to</v>
      </c>
      <c r="C29" s="18">
        <v>112</v>
      </c>
      <c r="D29" s="10">
        <v>45</v>
      </c>
      <c r="E29" s="10">
        <v>2</v>
      </c>
      <c r="F29" s="11">
        <v>8</v>
      </c>
      <c r="G29" s="18">
        <v>13</v>
      </c>
      <c r="H29" s="11">
        <v>106</v>
      </c>
      <c r="I29" s="18"/>
      <c r="J29" s="11"/>
      <c r="K29" s="33">
        <f t="shared" si="0"/>
        <v>286</v>
      </c>
      <c r="L29" s="10"/>
      <c r="M29" s="10"/>
      <c r="N29" s="10"/>
      <c r="O29" s="11"/>
      <c r="P29" s="10"/>
      <c r="Q29" s="11"/>
      <c r="R29" s="30"/>
      <c r="S29" s="30"/>
      <c r="T29" s="33">
        <f t="shared" si="1"/>
        <v>0</v>
      </c>
      <c r="U29" s="10"/>
      <c r="V29" s="10"/>
      <c r="W29" s="10"/>
      <c r="X29" s="11"/>
      <c r="Y29" s="10"/>
      <c r="Z29" s="11"/>
      <c r="AA29" s="30"/>
      <c r="AB29" s="30"/>
      <c r="AC29" s="33">
        <f t="shared" si="2"/>
        <v>0</v>
      </c>
      <c r="AD29" s="12">
        <f t="shared" si="3"/>
        <v>286</v>
      </c>
      <c r="AE29" s="39"/>
      <c r="AF29" s="39"/>
      <c r="AG29" s="39"/>
      <c r="AH29" s="39"/>
      <c r="AI29" s="39"/>
      <c r="AJ29" s="39"/>
    </row>
    <row r="30" spans="1:36" x14ac:dyDescent="0.2">
      <c r="A30" s="5">
        <f>DAY(Kalenteri!A116)</f>
        <v>26</v>
      </c>
      <c r="B30" s="3" t="str">
        <f>IF(Kalenteri!B116=1,"su",IF(Kalenteri!B116=2,"ma",IF(Kalenteri!B116=3,"ti",IF(Kalenteri!B116=4,"ke",IF(Kalenteri!B116=5,"to",IF(Kalenteri!B116=6,"pe",IF(Kalenteri!B116=7,"la",)))))))</f>
        <v>pe</v>
      </c>
      <c r="C30" s="18">
        <v>192</v>
      </c>
      <c r="D30" s="10">
        <v>65</v>
      </c>
      <c r="E30" s="10"/>
      <c r="F30" s="11">
        <v>6</v>
      </c>
      <c r="G30" s="18">
        <v>2</v>
      </c>
      <c r="H30" s="11">
        <v>52</v>
      </c>
      <c r="I30" s="18"/>
      <c r="J30" s="11"/>
      <c r="K30" s="33">
        <f t="shared" si="0"/>
        <v>317</v>
      </c>
      <c r="L30" s="10"/>
      <c r="M30" s="10"/>
      <c r="N30" s="10"/>
      <c r="O30" s="11"/>
      <c r="P30" s="10"/>
      <c r="Q30" s="11"/>
      <c r="R30" s="30"/>
      <c r="S30" s="30"/>
      <c r="T30" s="33">
        <f t="shared" si="1"/>
        <v>0</v>
      </c>
      <c r="U30" s="10"/>
      <c r="V30" s="10"/>
      <c r="W30" s="10"/>
      <c r="X30" s="11"/>
      <c r="Y30" s="10"/>
      <c r="Z30" s="11"/>
      <c r="AA30" s="30"/>
      <c r="AB30" s="30"/>
      <c r="AC30" s="33">
        <f t="shared" si="2"/>
        <v>0</v>
      </c>
      <c r="AD30" s="12">
        <f t="shared" si="3"/>
        <v>317</v>
      </c>
      <c r="AE30" s="39"/>
      <c r="AF30" s="39"/>
      <c r="AG30" s="39"/>
      <c r="AH30" s="39"/>
      <c r="AI30" s="39"/>
      <c r="AJ30" s="39"/>
    </row>
    <row r="31" spans="1:36" x14ac:dyDescent="0.2">
      <c r="A31" s="5">
        <f>DAY(Kalenteri!A117)</f>
        <v>27</v>
      </c>
      <c r="B31" s="3" t="str">
        <f>IF(Kalenteri!B117=1,"su",IF(Kalenteri!B117=2,"ma",IF(Kalenteri!B117=3,"ti",IF(Kalenteri!B117=4,"ke",IF(Kalenteri!B117=5,"to",IF(Kalenteri!B117=6,"pe",IF(Kalenteri!B117=7,"la",)))))))</f>
        <v>la</v>
      </c>
      <c r="C31" s="18">
        <v>509</v>
      </c>
      <c r="D31" s="10">
        <v>154</v>
      </c>
      <c r="E31" s="10">
        <v>6</v>
      </c>
      <c r="F31" s="11">
        <v>17</v>
      </c>
      <c r="G31" s="18">
        <v>2</v>
      </c>
      <c r="H31" s="11">
        <v>167</v>
      </c>
      <c r="I31" s="18"/>
      <c r="J31" s="11"/>
      <c r="K31" s="33">
        <f t="shared" si="0"/>
        <v>855</v>
      </c>
      <c r="L31" s="10"/>
      <c r="M31" s="10"/>
      <c r="N31" s="10"/>
      <c r="O31" s="11"/>
      <c r="P31" s="10"/>
      <c r="Q31" s="11"/>
      <c r="R31" s="30"/>
      <c r="S31" s="30"/>
      <c r="T31" s="33">
        <f t="shared" si="1"/>
        <v>0</v>
      </c>
      <c r="U31" s="10"/>
      <c r="V31" s="10"/>
      <c r="W31" s="10"/>
      <c r="X31" s="11"/>
      <c r="Y31" s="10"/>
      <c r="Z31" s="11"/>
      <c r="AA31" s="30"/>
      <c r="AB31" s="30"/>
      <c r="AC31" s="33">
        <f t="shared" si="2"/>
        <v>0</v>
      </c>
      <c r="AD31" s="12">
        <f t="shared" si="3"/>
        <v>855</v>
      </c>
      <c r="AE31" s="39"/>
      <c r="AF31" s="39"/>
      <c r="AG31" s="39"/>
      <c r="AH31" s="39"/>
      <c r="AI31" s="39"/>
      <c r="AJ31" s="39"/>
    </row>
    <row r="32" spans="1:36" x14ac:dyDescent="0.2">
      <c r="A32" s="5">
        <f>DAY(Kalenteri!A118)</f>
        <v>28</v>
      </c>
      <c r="B32" s="3" t="str">
        <f>IF(Kalenteri!B118=1,"su",IF(Kalenteri!B118=2,"ma",IF(Kalenteri!B118=3,"ti",IF(Kalenteri!B118=4,"ke",IF(Kalenteri!B118=5,"to",IF(Kalenteri!B118=6,"pe",IF(Kalenteri!B118=7,"la",)))))))</f>
        <v>su</v>
      </c>
      <c r="C32" s="18">
        <v>694</v>
      </c>
      <c r="D32" s="10">
        <v>161</v>
      </c>
      <c r="E32" s="10"/>
      <c r="F32" s="11">
        <v>28</v>
      </c>
      <c r="G32" s="18">
        <v>15</v>
      </c>
      <c r="H32" s="11">
        <v>266</v>
      </c>
      <c r="I32" s="18"/>
      <c r="J32" s="11"/>
      <c r="K32" s="33">
        <f t="shared" si="0"/>
        <v>1164</v>
      </c>
      <c r="L32" s="10"/>
      <c r="M32" s="10"/>
      <c r="N32" s="10"/>
      <c r="O32" s="11"/>
      <c r="P32" s="10"/>
      <c r="Q32" s="11"/>
      <c r="R32" s="30"/>
      <c r="S32" s="30"/>
      <c r="T32" s="33">
        <f t="shared" si="1"/>
        <v>0</v>
      </c>
      <c r="U32" s="10"/>
      <c r="V32" s="10"/>
      <c r="W32" s="10"/>
      <c r="X32" s="11"/>
      <c r="Y32" s="10"/>
      <c r="Z32" s="11"/>
      <c r="AA32" s="30"/>
      <c r="AB32" s="30"/>
      <c r="AC32" s="33">
        <f t="shared" si="2"/>
        <v>0</v>
      </c>
      <c r="AD32" s="12">
        <f t="shared" si="3"/>
        <v>1164</v>
      </c>
      <c r="AE32" s="39"/>
      <c r="AF32" s="39"/>
      <c r="AG32" s="39"/>
      <c r="AH32" s="39"/>
      <c r="AI32" s="39"/>
      <c r="AJ32" s="39"/>
    </row>
    <row r="33" spans="1:36" x14ac:dyDescent="0.2">
      <c r="A33" s="5">
        <f>DAY(Kalenteri!A119)</f>
        <v>29</v>
      </c>
      <c r="B33" s="3" t="str">
        <f>IF(Kalenteri!B119=1,"su",IF(Kalenteri!B119=2,"ma",IF(Kalenteri!B119=3,"ti",IF(Kalenteri!B119=4,"ke",IF(Kalenteri!B119=5,"to",IF(Kalenteri!B119=6,"pe",IF(Kalenteri!B119=7,"la",)))))))</f>
        <v>ma</v>
      </c>
      <c r="C33" s="18">
        <v>109</v>
      </c>
      <c r="D33" s="10">
        <v>13</v>
      </c>
      <c r="E33" s="10">
        <v>5</v>
      </c>
      <c r="F33" s="11">
        <v>5</v>
      </c>
      <c r="G33" s="18">
        <v>9</v>
      </c>
      <c r="H33" s="11">
        <v>153</v>
      </c>
      <c r="I33" s="18"/>
      <c r="J33" s="11"/>
      <c r="K33" s="33">
        <f t="shared" si="0"/>
        <v>294</v>
      </c>
      <c r="L33" s="10"/>
      <c r="M33" s="10"/>
      <c r="N33" s="10"/>
      <c r="O33" s="11"/>
      <c r="P33" s="10"/>
      <c r="Q33" s="11"/>
      <c r="R33" s="30"/>
      <c r="S33" s="30"/>
      <c r="T33" s="33">
        <f t="shared" si="1"/>
        <v>0</v>
      </c>
      <c r="U33" s="10"/>
      <c r="V33" s="10"/>
      <c r="W33" s="10"/>
      <c r="X33" s="11"/>
      <c r="Y33" s="10"/>
      <c r="Z33" s="11"/>
      <c r="AA33" s="30"/>
      <c r="AB33" s="30"/>
      <c r="AC33" s="33">
        <f t="shared" si="2"/>
        <v>0</v>
      </c>
      <c r="AD33" s="12">
        <f t="shared" si="3"/>
        <v>294</v>
      </c>
      <c r="AE33" s="39"/>
      <c r="AF33" s="39"/>
      <c r="AG33" s="39"/>
      <c r="AH33" s="39"/>
      <c r="AI33" s="39"/>
      <c r="AJ33" s="39"/>
    </row>
    <row r="34" spans="1:36" x14ac:dyDescent="0.2">
      <c r="A34" s="5">
        <f>DAY(Kalenteri!A120)</f>
        <v>30</v>
      </c>
      <c r="B34" s="3" t="str">
        <f>IF(Kalenteri!B120=1,"su",IF(Kalenteri!B120=2,"ma",IF(Kalenteri!B120=3,"ti",IF(Kalenteri!B120=4,"ke",IF(Kalenteri!B120=5,"to",IF(Kalenteri!B120=6,"pe",IF(Kalenteri!B120=7,"la",)))))))</f>
        <v>ti</v>
      </c>
      <c r="C34" s="18">
        <v>137</v>
      </c>
      <c r="D34" s="10">
        <v>27</v>
      </c>
      <c r="E34" s="10"/>
      <c r="F34" s="11">
        <v>4</v>
      </c>
      <c r="G34" s="18">
        <v>3</v>
      </c>
      <c r="H34" s="11">
        <v>40</v>
      </c>
      <c r="I34" s="18"/>
      <c r="J34" s="11"/>
      <c r="K34" s="33">
        <f t="shared" si="0"/>
        <v>211</v>
      </c>
      <c r="L34" s="10"/>
      <c r="M34" s="10"/>
      <c r="N34" s="10"/>
      <c r="O34" s="11"/>
      <c r="P34" s="10"/>
      <c r="Q34" s="11"/>
      <c r="R34" s="30"/>
      <c r="S34" s="30"/>
      <c r="T34" s="33">
        <f t="shared" si="1"/>
        <v>0</v>
      </c>
      <c r="U34" s="10"/>
      <c r="V34" s="10"/>
      <c r="W34" s="10"/>
      <c r="X34" s="11"/>
      <c r="Y34" s="10"/>
      <c r="Z34" s="11"/>
      <c r="AA34" s="30"/>
      <c r="AB34" s="30"/>
      <c r="AC34" s="33">
        <f t="shared" si="2"/>
        <v>0</v>
      </c>
      <c r="AD34" s="12">
        <f t="shared" si="3"/>
        <v>211</v>
      </c>
      <c r="AE34" s="39"/>
      <c r="AF34" s="39"/>
      <c r="AG34" s="39"/>
      <c r="AH34" s="39"/>
      <c r="AI34" s="39"/>
      <c r="AJ34" s="39"/>
    </row>
    <row r="35" spans="1:36" x14ac:dyDescent="0.2">
      <c r="A35" s="5"/>
      <c r="B35" s="3"/>
      <c r="C35" s="79"/>
      <c r="D35" s="80"/>
      <c r="E35" s="80"/>
      <c r="F35" s="81"/>
      <c r="G35" s="79"/>
      <c r="H35" s="81"/>
      <c r="I35" s="79"/>
      <c r="J35" s="81"/>
      <c r="K35" s="34">
        <f t="shared" si="0"/>
        <v>0</v>
      </c>
      <c r="L35" s="20"/>
      <c r="M35" s="20"/>
      <c r="N35" s="20"/>
      <c r="O35" s="21"/>
      <c r="P35" s="20"/>
      <c r="Q35" s="21"/>
      <c r="R35" s="31"/>
      <c r="S35" s="31"/>
      <c r="T35" s="34">
        <f t="shared" si="1"/>
        <v>0</v>
      </c>
      <c r="U35" s="20"/>
      <c r="V35" s="20"/>
      <c r="W35" s="20"/>
      <c r="X35" s="21"/>
      <c r="Y35" s="20"/>
      <c r="Z35" s="21"/>
      <c r="AA35" s="31"/>
      <c r="AB35" s="31"/>
      <c r="AC35" s="34">
        <f t="shared" si="2"/>
        <v>0</v>
      </c>
      <c r="AD35" s="19">
        <f t="shared" si="3"/>
        <v>0</v>
      </c>
      <c r="AE35" s="39"/>
      <c r="AF35" s="39"/>
      <c r="AG35" s="39"/>
      <c r="AH35" s="39"/>
      <c r="AI35" s="39"/>
      <c r="AJ35" s="39"/>
    </row>
    <row r="36" spans="1:36" x14ac:dyDescent="0.2">
      <c r="A36" s="6"/>
      <c r="B36"/>
      <c r="C36" s="82">
        <f t="shared" ref="C36:J36" si="4">SUM(C5:C35)</f>
        <v>7805</v>
      </c>
      <c r="D36" s="83">
        <f t="shared" si="4"/>
        <v>2106</v>
      </c>
      <c r="E36" s="83">
        <f t="shared" si="4"/>
        <v>32</v>
      </c>
      <c r="F36" s="84">
        <f t="shared" si="4"/>
        <v>508</v>
      </c>
      <c r="G36" s="83">
        <f t="shared" si="4"/>
        <v>296</v>
      </c>
      <c r="H36" s="84">
        <f t="shared" si="4"/>
        <v>3684</v>
      </c>
      <c r="I36" s="83">
        <f t="shared" si="4"/>
        <v>96</v>
      </c>
      <c r="J36" s="84">
        <f t="shared" si="4"/>
        <v>144</v>
      </c>
      <c r="K36" s="85">
        <f t="shared" si="0"/>
        <v>14671</v>
      </c>
      <c r="L36" s="83">
        <f t="shared" ref="L36:S36" si="5">SUM(L5:L35)</f>
        <v>0</v>
      </c>
      <c r="M36" s="83">
        <f t="shared" si="5"/>
        <v>0</v>
      </c>
      <c r="N36" s="83">
        <f t="shared" si="5"/>
        <v>0</v>
      </c>
      <c r="O36" s="84">
        <f t="shared" si="5"/>
        <v>0</v>
      </c>
      <c r="P36" s="83">
        <f t="shared" si="5"/>
        <v>0</v>
      </c>
      <c r="Q36" s="84">
        <f t="shared" si="5"/>
        <v>0</v>
      </c>
      <c r="R36" s="86">
        <f t="shared" si="5"/>
        <v>0</v>
      </c>
      <c r="S36" s="86">
        <f t="shared" si="5"/>
        <v>0</v>
      </c>
      <c r="T36" s="85">
        <f t="shared" si="1"/>
        <v>0</v>
      </c>
      <c r="U36" s="83">
        <f t="shared" ref="U36:AB36" si="6">SUM(U5:U35)</f>
        <v>0</v>
      </c>
      <c r="V36" s="83">
        <f t="shared" si="6"/>
        <v>0</v>
      </c>
      <c r="W36" s="83">
        <f t="shared" si="6"/>
        <v>0</v>
      </c>
      <c r="X36" s="84">
        <f t="shared" si="6"/>
        <v>0</v>
      </c>
      <c r="Y36" s="83">
        <f t="shared" si="6"/>
        <v>0</v>
      </c>
      <c r="Z36" s="84">
        <f t="shared" si="6"/>
        <v>0</v>
      </c>
      <c r="AA36" s="86">
        <f t="shared" si="6"/>
        <v>0</v>
      </c>
      <c r="AB36" s="86">
        <f t="shared" si="6"/>
        <v>0</v>
      </c>
      <c r="AC36" s="85">
        <f t="shared" si="2"/>
        <v>0</v>
      </c>
      <c r="AD36" s="87">
        <f t="shared" si="3"/>
        <v>14671</v>
      </c>
      <c r="AE36" s="66"/>
      <c r="AF36" s="66"/>
      <c r="AG36" s="66"/>
      <c r="AH36" s="66"/>
      <c r="AI36" s="66"/>
      <c r="AJ36" s="66"/>
    </row>
    <row r="37" spans="1:36" ht="8.1" customHeight="1" thickBot="1" x14ac:dyDescent="0.25">
      <c r="A37" s="6"/>
      <c r="B37"/>
      <c r="C37" s="2"/>
      <c r="D37" s="5"/>
      <c r="E37" s="5"/>
      <c r="F37" s="2"/>
      <c r="G37" s="2"/>
      <c r="H37" s="2"/>
      <c r="I37" s="5"/>
      <c r="J37" s="2"/>
      <c r="K37" s="2"/>
      <c r="L37" s="5"/>
      <c r="M37" s="2"/>
      <c r="N37" s="5"/>
      <c r="O37" s="5"/>
      <c r="P37" s="2"/>
      <c r="Q37" s="5"/>
      <c r="R37" s="42"/>
      <c r="S37" s="42"/>
      <c r="T37" s="2"/>
      <c r="U37" s="2"/>
      <c r="V37" s="2"/>
      <c r="W37" s="2"/>
      <c r="X37" s="5"/>
      <c r="Y37" s="2"/>
      <c r="Z37" s="2"/>
      <c r="AA37" s="39"/>
      <c r="AB37" s="39"/>
      <c r="AC37" s="5"/>
      <c r="AD37" s="40"/>
      <c r="AE37" s="40"/>
      <c r="AF37" s="40"/>
      <c r="AG37" s="40"/>
      <c r="AH37" s="40"/>
      <c r="AI37" s="40"/>
      <c r="AJ37" s="40"/>
    </row>
    <row r="38" spans="1:36" ht="24.95" customHeight="1" thickTop="1" x14ac:dyDescent="0.3">
      <c r="A38" s="6"/>
      <c r="B38"/>
      <c r="C38" s="171" t="str">
        <f>Kalenteri!E38</f>
        <v>Lippujen hinnat:</v>
      </c>
      <c r="D38" s="5"/>
      <c r="E38" s="5"/>
      <c r="F38" s="2"/>
      <c r="G38" s="2"/>
      <c r="H38" s="2"/>
      <c r="I38" s="5"/>
      <c r="J38" s="2"/>
      <c r="K38" s="2"/>
      <c r="L38" s="5"/>
      <c r="M38" s="2"/>
      <c r="N38" s="5"/>
      <c r="O38" s="5"/>
      <c r="P38" s="2"/>
      <c r="Q38"/>
      <c r="R38"/>
      <c r="S38"/>
      <c r="T38"/>
      <c r="U38" s="49" t="s">
        <v>71</v>
      </c>
      <c r="V38" s="50"/>
      <c r="W38" s="43"/>
      <c r="X38" s="44"/>
      <c r="Y38" s="43"/>
      <c r="Z38" s="43"/>
      <c r="AA38" s="44"/>
      <c r="AB38" s="44"/>
      <c r="AC38" s="47"/>
      <c r="AD38" s="45">
        <f>AD36</f>
        <v>14671</v>
      </c>
      <c r="AE38" s="41"/>
      <c r="AF38" s="41"/>
      <c r="AG38" s="41"/>
      <c r="AH38" s="41"/>
      <c r="AI38" s="41"/>
      <c r="AJ38" s="41"/>
    </row>
    <row r="39" spans="1:36" ht="24.95" customHeight="1" x14ac:dyDescent="0.3">
      <c r="A39" s="6"/>
      <c r="B39"/>
      <c r="C39" s="193" t="str">
        <f>Kalenteri!E39</f>
        <v>Mustikkamaan kautta: 1.9.-30.4. aik. 10 €, lapset 5 €, kimppalippu 30 €    1.5.-30.8. aik. 12 €, lapset 6 €, kimppalippu 36 €</v>
      </c>
      <c r="D39" s="89"/>
      <c r="E39" s="89"/>
      <c r="F39" s="90"/>
      <c r="G39" s="102"/>
      <c r="H39" s="174"/>
      <c r="I39" s="89"/>
      <c r="J39" s="90"/>
      <c r="K39" s="90"/>
      <c r="L39" s="89"/>
      <c r="M39" s="90"/>
      <c r="N39" s="89"/>
      <c r="O39" s="89"/>
      <c r="P39" s="90"/>
      <c r="Q39" s="104"/>
      <c r="R39" s="103"/>
      <c r="S39"/>
      <c r="T39"/>
      <c r="U39" s="62" t="s">
        <v>13</v>
      </c>
      <c r="V39" s="52"/>
      <c r="W39" s="53"/>
      <c r="X39" s="54"/>
      <c r="Y39" s="53"/>
      <c r="Z39" s="53"/>
      <c r="AA39" s="54"/>
      <c r="AB39" s="54"/>
      <c r="AC39" s="55"/>
      <c r="AD39" s="56">
        <f>AD36-Edellisvuosi!E7</f>
        <v>-6490</v>
      </c>
      <c r="AE39" s="67"/>
      <c r="AF39" s="67"/>
      <c r="AG39" s="67"/>
      <c r="AH39" s="67"/>
      <c r="AI39" s="67"/>
      <c r="AJ39" s="67"/>
    </row>
    <row r="40" spans="1:36" ht="24.95" customHeight="1" x14ac:dyDescent="0.3">
      <c r="A40" s="6"/>
      <c r="B40" s="6"/>
      <c r="C40" s="194" t="str">
        <f>Kalenteri!E40</f>
        <v xml:space="preserve">                                    Vuosikortti:     aik. 50 €, lapset 20 €, perhekortti 100 €</v>
      </c>
      <c r="D40" s="39"/>
      <c r="E40" s="39"/>
      <c r="F40" s="42"/>
      <c r="G40" s="65"/>
      <c r="H40" s="176"/>
      <c r="I40" s="39"/>
      <c r="J40" s="42"/>
      <c r="K40" s="42"/>
      <c r="L40" s="39"/>
      <c r="M40" s="42"/>
      <c r="N40" s="39"/>
      <c r="O40" s="39"/>
      <c r="P40" s="39"/>
      <c r="Q40" s="23"/>
      <c r="R40" s="97"/>
      <c r="S40"/>
      <c r="T40"/>
      <c r="U40" s="63" t="s">
        <v>72</v>
      </c>
      <c r="V40" s="37"/>
      <c r="W40" s="51"/>
      <c r="X40" s="41"/>
      <c r="Y40" s="51"/>
      <c r="Z40" s="41"/>
      <c r="AA40" s="41"/>
      <c r="AB40" s="41"/>
      <c r="AC40" s="48"/>
      <c r="AD40" s="46">
        <f>AD36+'N1'!AD36+'N2'!AD36+'N3'!AD36</f>
        <v>47749</v>
      </c>
      <c r="AE40" s="41"/>
      <c r="AF40" s="41"/>
      <c r="AG40" s="41"/>
      <c r="AH40" s="41"/>
      <c r="AI40" s="41"/>
      <c r="AJ40" s="41"/>
    </row>
    <row r="41" spans="1:36" ht="24.95" customHeight="1" thickBot="1" x14ac:dyDescent="0.35">
      <c r="A41" s="4"/>
      <c r="B41" s="4"/>
      <c r="C41" s="195" t="str">
        <f>Kalenteri!E41</f>
        <v>Vesibusseilla:             1.9.-30.4. aik. 16 €, lapset 8 €, kimppalippu 47 €    1.5.-31.8. aik. 18 €, lapset 9 €, kimppalippu 53 €</v>
      </c>
      <c r="D41" s="93"/>
      <c r="E41" s="93"/>
      <c r="F41" s="94"/>
      <c r="G41" s="94"/>
      <c r="H41" s="175"/>
      <c r="I41" s="93"/>
      <c r="J41" s="96"/>
      <c r="K41" s="96"/>
      <c r="L41" s="93"/>
      <c r="M41" s="95"/>
      <c r="N41" s="95"/>
      <c r="O41" s="93"/>
      <c r="P41" s="95"/>
      <c r="Q41" s="95"/>
      <c r="R41" s="98"/>
      <c r="S41"/>
      <c r="T41"/>
      <c r="U41" s="64" t="s">
        <v>13</v>
      </c>
      <c r="V41" s="57"/>
      <c r="W41" s="58"/>
      <c r="X41" s="59"/>
      <c r="Y41" s="59"/>
      <c r="Z41" s="59"/>
      <c r="AA41" s="59"/>
      <c r="AB41" s="59"/>
      <c r="AC41" s="60"/>
      <c r="AD41" s="61">
        <f>AD40-Edellisvuosi!B7-Edellisvuosi!C7-Edellisvuosi!D7-Edellisvuosi!E7</f>
        <v>784</v>
      </c>
      <c r="AE41" s="68"/>
      <c r="AF41" s="68"/>
      <c r="AG41" s="68"/>
      <c r="AH41" s="68"/>
      <c r="AI41" s="68"/>
      <c r="AJ41" s="68"/>
    </row>
    <row r="42" spans="1:36" ht="13.5" thickTop="1" x14ac:dyDescent="0.2"/>
  </sheetData>
  <sheetProtection password="C4AC" sheet="1" objects="1" scenarios="1"/>
  <phoneticPr fontId="4" type="noConversion"/>
  <pageMargins left="0" right="0" top="0.27559055118110237" bottom="0" header="0" footer="0"/>
  <pageSetup paperSize="9" scale="75" fitToHeight="0" orientation="landscape" horizontalDpi="4294967292" verticalDpi="4294967292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7889" r:id="rId4" name="Button 1">
              <controlPr defaultSize="0" print="0" autoFill="0" autoLine="0" autoPict="0" macro="[1]!TAMMI">
                <anchor moveWithCells="1" sizeWithCells="1">
                  <from>
                    <xdr:col>35</xdr:col>
                    <xdr:colOff>0</xdr:colOff>
                    <xdr:row>3</xdr:row>
                    <xdr:rowOff>9525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0" r:id="rId5" name="Button 2">
              <controlPr defaultSize="0" print="0" autoFill="0" autoLine="0" autoPict="0" macro="[1]KTMAKRO!$A$1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1" r:id="rId6" name="Button 3">
              <controlPr defaultSize="0" print="0" autoFill="0" autoLine="0" autoPict="0" macro="[1]!MAALIS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2" r:id="rId7" name="Button 4">
              <controlPr defaultSize="0" print="0" autoFill="0" autoLine="0" autoPict="0" macro="[1]KTMAKRO!$D$1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3" r:id="rId8" name="Button 5">
              <controlPr defaultSize="0" print="0" autoFill="0" autoLine="0" autoPict="0" macro="[1]KTMAKRO!$E$1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4" r:id="rId9" name="Button 6">
              <controlPr defaultSize="0" print="0" autoFill="0" autoLine="0" autoPict="0" macro="[1]!KESÄ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5" r:id="rId10" name="Button 7">
              <controlPr defaultSize="0" print="0" autoFill="0" autoLine="0" autoPict="0" macro="[1]!HELMI">
                <anchor moveWithCells="1" sizeWithCells="1">
                  <from>
                    <xdr:col>35</xdr:col>
                    <xdr:colOff>0</xdr:colOff>
                    <xdr:row>3</xdr:row>
                    <xdr:rowOff>9525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6" r:id="rId11" name="Button 8">
              <controlPr defaultSize="0" print="0" autoFill="0" autoLine="0" autoPict="0" macro="[1]KTMAKRO!$G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7" r:id="rId12" name="Button 9">
              <controlPr defaultSize="0" print="0" autoFill="0" autoLine="0" autoPict="0" macro="[1]KTMAKRO!$I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8" r:id="rId13" name="Button 10">
              <controlPr defaultSize="0" print="0" autoFill="0" autoLine="0" autoPict="0" macro="[1]KTMAKRO!$J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9" r:id="rId14" name="Button 11">
              <controlPr defaultSize="0" print="0" autoFill="0" autoLine="0" autoPict="0" macro="[1]KTMAKRO!$K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900" r:id="rId15" name="Button 12">
              <controlPr defaultSize="0" print="0" autoFill="0" autoLine="0" autoPict="0" macro="[1]KTMAKRO!$L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901" r:id="rId16" name="Button 13">
              <controlPr defaultSize="0" print="0" autoFill="0" autoLine="0" autoPict="0" macro="[1]KTMAKRO!$H$1">
                <anchor moveWithCells="1" sizeWithCells="1">
                  <from>
                    <xdr:col>35</xdr:col>
                    <xdr:colOff>0</xdr:colOff>
                    <xdr:row>5</xdr:row>
                    <xdr:rowOff>0</xdr:rowOff>
                  </from>
                  <to>
                    <xdr:col>35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902" r:id="rId17" name="Button 14">
              <controlPr defaultSize="0" print="0" autoFill="0" autoLine="0" autoPict="0" macro="[1]!Yhteenveto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5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903" r:id="rId18" name="Button 15">
              <controlPr defaultSize="0" print="0" autoFill="0" autoLine="0" autoPict="0" macro="[1]!GRAFIIKKA1">
                <anchor moveWithCells="1" sizeWithCells="1">
                  <from>
                    <xdr:col>35</xdr:col>
                    <xdr:colOff>0</xdr:colOff>
                    <xdr:row>8</xdr:row>
                    <xdr:rowOff>142875</xdr:rowOff>
                  </from>
                  <to>
                    <xdr:col>35</xdr:col>
                    <xdr:colOff>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904" r:id="rId19" name="Button 16">
              <controlPr defaultSize="0" print="0" autoFill="0" autoLine="0" autoPict="0" macro="[1]!Grafiikka2">
                <anchor moveWithCells="1" sizeWithCells="1">
                  <from>
                    <xdr:col>35</xdr:col>
                    <xdr:colOff>0</xdr:colOff>
                    <xdr:row>8</xdr:row>
                    <xdr:rowOff>152400</xdr:rowOff>
                  </from>
                  <to>
                    <xdr:col>35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905" r:id="rId20" name="Button 17">
              <controlPr defaultSize="0" print="0" autoFill="0" autoLine="0" autoPict="0" macro="[1]!Grafiikka4">
                <anchor moveWithCells="1" sizeWithCells="1">
                  <from>
                    <xdr:col>35</xdr:col>
                    <xdr:colOff>0</xdr:colOff>
                    <xdr:row>8</xdr:row>
                    <xdr:rowOff>142875</xdr:rowOff>
                  </from>
                  <to>
                    <xdr:col>35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906" r:id="rId21" name="Button 18">
              <controlPr defaultSize="0" print="0" autoFill="0" autoLine="0" autoPict="0" macro="[1]!Grafiikka4">
                <anchor moveWithCells="1" sizeWithCells="1">
                  <from>
                    <xdr:col>35</xdr:col>
                    <xdr:colOff>0</xdr:colOff>
                    <xdr:row>8</xdr:row>
                    <xdr:rowOff>152400</xdr:rowOff>
                  </from>
                  <to>
                    <xdr:col>35</xdr:col>
                    <xdr:colOff>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907" r:id="rId22" name="Button 19">
              <controlPr defaultSize="0" print="0" autoFill="0" autoLine="0" autoPict="0" macro="[1]!Grafiikka5">
                <anchor moveWithCells="1" sizeWithCells="1">
                  <from>
                    <xdr:col>35</xdr:col>
                    <xdr:colOff>0</xdr:colOff>
                    <xdr:row>8</xdr:row>
                    <xdr:rowOff>152400</xdr:rowOff>
                  </from>
                  <to>
                    <xdr:col>35</xdr:col>
                    <xdr:colOff>0</xdr:colOff>
                    <xdr:row>12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908" r:id="rId23" name="Button 20">
              <controlPr defaultSize="0" print="0" autoFill="0" autoLine="0" autoPict="0" macro="[1]!Perusikkuna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12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/>
  <dimension ref="A1:AJ42"/>
  <sheetViews>
    <sheetView showGridLines="0" zoomScale="90" zoomScaleNormal="90" workbookViewId="0"/>
  </sheetViews>
  <sheetFormatPr defaultColWidth="9.75" defaultRowHeight="12.75" x14ac:dyDescent="0.2"/>
  <cols>
    <col min="1" max="1" width="3.75" style="1" customWidth="1"/>
    <col min="2" max="2" width="2.75" style="1" customWidth="1"/>
    <col min="3" max="4" width="6.125" style="1" customWidth="1"/>
    <col min="5" max="5" width="4" style="1" customWidth="1"/>
    <col min="6" max="6" width="4.5" style="1" customWidth="1"/>
    <col min="7" max="10" width="6.125" style="1" customWidth="1"/>
    <col min="11" max="11" width="5.875" style="1" customWidth="1"/>
    <col min="12" max="13" width="6.125" style="1" customWidth="1"/>
    <col min="14" max="14" width="5.25" style="1" customWidth="1"/>
    <col min="15" max="15" width="4.5" style="1" customWidth="1"/>
    <col min="16" max="16" width="6.125" style="1" customWidth="1"/>
    <col min="17" max="17" width="5.5" style="1" customWidth="1"/>
    <col min="18" max="19" width="6.125" style="1" customWidth="1"/>
    <col min="20" max="20" width="5.875" style="1" customWidth="1"/>
    <col min="21" max="22" width="6.125" style="1" customWidth="1"/>
    <col min="23" max="23" width="4.375" style="1" customWidth="1"/>
    <col min="24" max="24" width="4.25" style="1" customWidth="1"/>
    <col min="25" max="29" width="6.125" style="1" customWidth="1"/>
    <col min="30" max="36" width="15.625" style="1" customWidth="1"/>
  </cols>
  <sheetData>
    <row r="1" spans="1:36" ht="30" customHeight="1" x14ac:dyDescent="0.35">
      <c r="A1" s="22"/>
      <c r="B1" s="4"/>
      <c r="C1" s="105" t="s">
        <v>15</v>
      </c>
      <c r="D1" s="106"/>
      <c r="E1" s="106"/>
      <c r="F1" s="106"/>
      <c r="G1" s="106"/>
      <c r="H1" s="106"/>
      <c r="I1" s="106"/>
      <c r="J1" s="106"/>
      <c r="K1" s="106"/>
      <c r="L1" s="105" t="str">
        <f>Kalenteri!$H$1</f>
        <v>KÄVIJÄTILASTO 2013</v>
      </c>
      <c r="M1" s="107"/>
      <c r="N1" s="107"/>
      <c r="O1" s="107"/>
      <c r="P1" s="106"/>
      <c r="Q1" s="106"/>
      <c r="R1" s="105" t="s">
        <v>74</v>
      </c>
      <c r="S1" s="108"/>
      <c r="T1" s="106"/>
      <c r="U1" s="109"/>
      <c r="V1" s="105" t="s">
        <v>20</v>
      </c>
      <c r="W1" s="109"/>
      <c r="X1" s="106"/>
      <c r="Y1" s="106"/>
      <c r="Z1" s="106"/>
      <c r="AA1" s="106"/>
      <c r="AB1" s="106"/>
      <c r="AC1" s="106"/>
      <c r="AD1" s="110"/>
      <c r="AE1" s="4"/>
      <c r="AF1" s="4"/>
      <c r="AG1" s="4"/>
      <c r="AH1" s="4"/>
      <c r="AI1" s="4"/>
      <c r="AJ1" s="4"/>
    </row>
    <row r="2" spans="1:36" ht="30" customHeight="1" x14ac:dyDescent="0.3">
      <c r="A2" s="3"/>
      <c r="B2" s="4"/>
      <c r="C2" s="72"/>
      <c r="D2" s="73"/>
      <c r="E2" s="74" t="s">
        <v>1</v>
      </c>
      <c r="F2" s="75"/>
      <c r="G2" s="75"/>
      <c r="H2" s="75"/>
      <c r="I2" s="75"/>
      <c r="J2" s="75"/>
      <c r="K2" s="76"/>
      <c r="L2" s="72"/>
      <c r="M2" s="77"/>
      <c r="N2" s="73"/>
      <c r="O2" s="74" t="s">
        <v>2</v>
      </c>
      <c r="P2" s="75"/>
      <c r="Q2" s="75"/>
      <c r="R2" s="75"/>
      <c r="S2" s="75"/>
      <c r="T2" s="76"/>
      <c r="U2" s="72"/>
      <c r="V2" s="75"/>
      <c r="W2" s="73"/>
      <c r="X2" s="74" t="s">
        <v>3</v>
      </c>
      <c r="Y2" s="75"/>
      <c r="Z2" s="75"/>
      <c r="AA2" s="75"/>
      <c r="AB2" s="75"/>
      <c r="AC2" s="76"/>
      <c r="AD2" s="13"/>
      <c r="AE2" s="35"/>
      <c r="AF2" s="69"/>
      <c r="AG2" s="69"/>
      <c r="AH2" s="69"/>
      <c r="AI2" s="69"/>
      <c r="AJ2" s="69"/>
    </row>
    <row r="3" spans="1:36" x14ac:dyDescent="0.2">
      <c r="A3" s="4"/>
      <c r="B3" s="4"/>
      <c r="C3" s="24" t="s">
        <v>4</v>
      </c>
      <c r="D3" s="25"/>
      <c r="E3" s="25"/>
      <c r="F3" s="26"/>
      <c r="G3" s="24" t="s">
        <v>5</v>
      </c>
      <c r="H3" s="26"/>
      <c r="I3" s="25" t="s">
        <v>6</v>
      </c>
      <c r="J3" s="25"/>
      <c r="K3" s="27"/>
      <c r="L3" s="24" t="s">
        <v>4</v>
      </c>
      <c r="M3" s="25"/>
      <c r="N3" s="25"/>
      <c r="O3" s="26"/>
      <c r="P3" s="24" t="s">
        <v>5</v>
      </c>
      <c r="Q3" s="26"/>
      <c r="R3" s="25" t="s">
        <v>6</v>
      </c>
      <c r="S3" s="25"/>
      <c r="T3" s="27"/>
      <c r="U3" s="24" t="s">
        <v>4</v>
      </c>
      <c r="V3" s="25"/>
      <c r="W3" s="25"/>
      <c r="X3" s="26"/>
      <c r="Y3" s="24" t="s">
        <v>5</v>
      </c>
      <c r="Z3" s="26"/>
      <c r="AA3" s="25" t="s">
        <v>6</v>
      </c>
      <c r="AB3" s="25"/>
      <c r="AC3" s="27"/>
      <c r="AD3" s="36" t="s">
        <v>7</v>
      </c>
      <c r="AE3" s="38"/>
      <c r="AF3" s="70"/>
      <c r="AG3" s="70"/>
      <c r="AH3" s="70"/>
      <c r="AI3" s="70"/>
      <c r="AJ3"/>
    </row>
    <row r="4" spans="1:36" x14ac:dyDescent="0.2">
      <c r="A4" s="6"/>
      <c r="B4" s="4"/>
      <c r="C4" s="7" t="s">
        <v>8</v>
      </c>
      <c r="D4" s="8" t="s">
        <v>9</v>
      </c>
      <c r="E4" s="8" t="s">
        <v>10</v>
      </c>
      <c r="F4" s="9" t="s">
        <v>11</v>
      </c>
      <c r="G4" s="7" t="s">
        <v>8</v>
      </c>
      <c r="H4" s="9" t="s">
        <v>9</v>
      </c>
      <c r="I4" s="8" t="s">
        <v>8</v>
      </c>
      <c r="J4" s="8" t="s">
        <v>9</v>
      </c>
      <c r="K4" s="14" t="s">
        <v>0</v>
      </c>
      <c r="L4" s="7" t="s">
        <v>8</v>
      </c>
      <c r="M4" s="8" t="s">
        <v>9</v>
      </c>
      <c r="N4" s="8" t="s">
        <v>10</v>
      </c>
      <c r="O4" s="9" t="s">
        <v>11</v>
      </c>
      <c r="P4" s="7" t="s">
        <v>8</v>
      </c>
      <c r="Q4" s="9" t="s">
        <v>9</v>
      </c>
      <c r="R4" s="8" t="s">
        <v>8</v>
      </c>
      <c r="S4" s="8" t="s">
        <v>9</v>
      </c>
      <c r="T4" s="14" t="s">
        <v>0</v>
      </c>
      <c r="U4" s="7" t="s">
        <v>8</v>
      </c>
      <c r="V4" s="8" t="s">
        <v>9</v>
      </c>
      <c r="W4" s="8" t="s">
        <v>10</v>
      </c>
      <c r="X4" s="9" t="s">
        <v>11</v>
      </c>
      <c r="Y4" s="7" t="s">
        <v>8</v>
      </c>
      <c r="Z4" s="9" t="s">
        <v>9</v>
      </c>
      <c r="AA4" s="8" t="s">
        <v>8</v>
      </c>
      <c r="AB4" s="8" t="s">
        <v>9</v>
      </c>
      <c r="AC4" s="14" t="s">
        <v>0</v>
      </c>
      <c r="AD4" s="28"/>
      <c r="AE4" s="23"/>
      <c r="AF4" s="23"/>
      <c r="AG4" s="23"/>
      <c r="AH4" s="23"/>
      <c r="AI4" s="23"/>
      <c r="AJ4"/>
    </row>
    <row r="5" spans="1:36" x14ac:dyDescent="0.2">
      <c r="A5" s="5">
        <f>DAY(Kalenteri!A121)</f>
        <v>1</v>
      </c>
      <c r="B5" s="3" t="str">
        <f>IF(Kalenteri!B121=1,"su",IF(Kalenteri!B121=2,"ma",IF(Kalenteri!B121=3,"ti",IF(Kalenteri!B121=4,"ke",IF(Kalenteri!B121=5,"to",IF(Kalenteri!B121=6,"pe",IF(Kalenteri!B121=7,"la",)))))))</f>
        <v>ke</v>
      </c>
      <c r="C5" s="78">
        <v>1045</v>
      </c>
      <c r="D5" s="15">
        <v>302</v>
      </c>
      <c r="E5" s="15">
        <v>7</v>
      </c>
      <c r="F5" s="16">
        <v>40</v>
      </c>
      <c r="G5" s="78">
        <v>4</v>
      </c>
      <c r="H5" s="16">
        <v>311</v>
      </c>
      <c r="I5" s="78">
        <v>58</v>
      </c>
      <c r="J5" s="16">
        <v>87</v>
      </c>
      <c r="K5" s="32">
        <f t="shared" ref="K5:K36" si="0">SUM(C5:J5)</f>
        <v>1854</v>
      </c>
      <c r="L5" s="15">
        <v>225</v>
      </c>
      <c r="M5" s="15">
        <v>50</v>
      </c>
      <c r="N5" s="15"/>
      <c r="O5" s="16"/>
      <c r="P5" s="15"/>
      <c r="Q5" s="16">
        <v>52</v>
      </c>
      <c r="R5" s="29">
        <v>14</v>
      </c>
      <c r="S5" s="29">
        <v>21</v>
      </c>
      <c r="T5" s="32">
        <f t="shared" ref="T5:T36" si="1">SUM(L5:S5)</f>
        <v>362</v>
      </c>
      <c r="U5" s="15"/>
      <c r="V5" s="15"/>
      <c r="W5" s="15"/>
      <c r="X5" s="16"/>
      <c r="Y5" s="15"/>
      <c r="Z5" s="16"/>
      <c r="AA5" s="29"/>
      <c r="AB5" s="29"/>
      <c r="AC5" s="32">
        <f t="shared" ref="AC5:AC36" si="2">SUM(U5:AB5)</f>
        <v>0</v>
      </c>
      <c r="AD5" s="17">
        <f t="shared" ref="AD5:AD36" si="3">SUM(K5,T5,AC5)</f>
        <v>2216</v>
      </c>
      <c r="AE5" s="39"/>
      <c r="AF5" s="39"/>
      <c r="AG5" s="39"/>
      <c r="AH5" s="39"/>
      <c r="AI5" s="39"/>
      <c r="AJ5"/>
    </row>
    <row r="6" spans="1:36" x14ac:dyDescent="0.2">
      <c r="A6" s="5">
        <f>DAY(Kalenteri!A122)</f>
        <v>2</v>
      </c>
      <c r="B6" s="3" t="str">
        <f>IF(Kalenteri!B122=1,"su",IF(Kalenteri!B122=2,"ma",IF(Kalenteri!B122=3,"ti",IF(Kalenteri!B122=4,"ke",IF(Kalenteri!B122=5,"to",IF(Kalenteri!B122=6,"pe",IF(Kalenteri!B122=7,"la",)))))))</f>
        <v>to</v>
      </c>
      <c r="C6" s="18">
        <v>365</v>
      </c>
      <c r="D6" s="10">
        <v>76</v>
      </c>
      <c r="E6" s="10">
        <v>0</v>
      </c>
      <c r="F6" s="11">
        <v>9</v>
      </c>
      <c r="G6" s="18">
        <v>18</v>
      </c>
      <c r="H6" s="11">
        <v>141</v>
      </c>
      <c r="I6" s="18">
        <v>10</v>
      </c>
      <c r="J6" s="11">
        <v>15</v>
      </c>
      <c r="K6" s="33">
        <f t="shared" si="0"/>
        <v>634</v>
      </c>
      <c r="L6" s="10">
        <f>289+58</f>
        <v>347</v>
      </c>
      <c r="M6" s="10">
        <v>45</v>
      </c>
      <c r="N6" s="10"/>
      <c r="O6" s="11"/>
      <c r="P6" s="10">
        <v>12</v>
      </c>
      <c r="Q6" s="11">
        <v>110</v>
      </c>
      <c r="R6" s="30">
        <v>12</v>
      </c>
      <c r="S6" s="30">
        <v>18</v>
      </c>
      <c r="T6" s="33">
        <f t="shared" si="1"/>
        <v>544</v>
      </c>
      <c r="U6" s="10"/>
      <c r="V6" s="10"/>
      <c r="W6" s="10"/>
      <c r="X6" s="11"/>
      <c r="Y6" s="10"/>
      <c r="Z6" s="11"/>
      <c r="AA6" s="30"/>
      <c r="AB6" s="30"/>
      <c r="AC6" s="33">
        <f t="shared" si="2"/>
        <v>0</v>
      </c>
      <c r="AD6" s="12">
        <f t="shared" si="3"/>
        <v>1178</v>
      </c>
      <c r="AE6" s="39"/>
      <c r="AF6" s="39"/>
      <c r="AG6" s="39"/>
      <c r="AH6" s="39"/>
      <c r="AI6" s="39"/>
      <c r="AJ6"/>
    </row>
    <row r="7" spans="1:36" x14ac:dyDescent="0.2">
      <c r="A7" s="5">
        <f>DAY(Kalenteri!A123)</f>
        <v>3</v>
      </c>
      <c r="B7" s="3" t="str">
        <f>IF(Kalenteri!B123=1,"su",IF(Kalenteri!B123=2,"ma",IF(Kalenteri!B123=3,"ti",IF(Kalenteri!B123=4,"ke",IF(Kalenteri!B123=5,"to",IF(Kalenteri!B123=6,"pe",IF(Kalenteri!B123=7,"la",)))))))</f>
        <v>pe</v>
      </c>
      <c r="C7" s="18">
        <v>746</v>
      </c>
      <c r="D7" s="10">
        <v>293</v>
      </c>
      <c r="E7" s="10">
        <v>7</v>
      </c>
      <c r="F7" s="11">
        <v>12</v>
      </c>
      <c r="G7" s="18">
        <v>8</v>
      </c>
      <c r="H7" s="11">
        <v>216</v>
      </c>
      <c r="I7" s="18">
        <v>20</v>
      </c>
      <c r="J7" s="11">
        <v>30</v>
      </c>
      <c r="K7" s="33">
        <f t="shared" si="0"/>
        <v>1332</v>
      </c>
      <c r="L7" s="10">
        <f>27+309</f>
        <v>336</v>
      </c>
      <c r="M7" s="10">
        <v>42</v>
      </c>
      <c r="N7" s="10"/>
      <c r="O7" s="11">
        <v>1</v>
      </c>
      <c r="P7" s="10">
        <v>6</v>
      </c>
      <c r="Q7" s="11">
        <v>145</v>
      </c>
      <c r="R7" s="30">
        <v>8</v>
      </c>
      <c r="S7" s="30">
        <v>12</v>
      </c>
      <c r="T7" s="33">
        <f t="shared" si="1"/>
        <v>550</v>
      </c>
      <c r="U7" s="10"/>
      <c r="V7" s="10"/>
      <c r="W7" s="10"/>
      <c r="X7" s="11"/>
      <c r="Y7" s="10"/>
      <c r="Z7" s="11"/>
      <c r="AA7" s="30"/>
      <c r="AB7" s="30"/>
      <c r="AC7" s="33">
        <f t="shared" si="2"/>
        <v>0</v>
      </c>
      <c r="AD7" s="12">
        <f t="shared" si="3"/>
        <v>1882</v>
      </c>
      <c r="AE7" s="39"/>
      <c r="AF7" s="39"/>
      <c r="AG7" s="39"/>
      <c r="AH7" s="39"/>
      <c r="AI7" s="39"/>
      <c r="AJ7"/>
    </row>
    <row r="8" spans="1:36" x14ac:dyDescent="0.2">
      <c r="A8" s="5">
        <f>DAY(Kalenteri!A124)</f>
        <v>4</v>
      </c>
      <c r="B8" s="3" t="str">
        <f>IF(Kalenteri!B124=1,"su",IF(Kalenteri!B124=2,"ma",IF(Kalenteri!B124=3,"ti",IF(Kalenteri!B124=4,"ke",IF(Kalenteri!B124=5,"to",IF(Kalenteri!B124=6,"pe",IF(Kalenteri!B124=7,"la",)))))))</f>
        <v>la</v>
      </c>
      <c r="C8" s="18">
        <v>1129</v>
      </c>
      <c r="D8" s="10">
        <v>289</v>
      </c>
      <c r="E8" s="10">
        <v>0</v>
      </c>
      <c r="F8" s="11">
        <v>33</v>
      </c>
      <c r="G8" s="18">
        <v>3</v>
      </c>
      <c r="H8" s="11">
        <v>339</v>
      </c>
      <c r="I8" s="18">
        <v>34</v>
      </c>
      <c r="J8" s="11">
        <v>36</v>
      </c>
      <c r="K8" s="33">
        <f t="shared" si="0"/>
        <v>1863</v>
      </c>
      <c r="L8" s="10">
        <v>289</v>
      </c>
      <c r="M8" s="10">
        <v>54</v>
      </c>
      <c r="N8" s="10"/>
      <c r="O8" s="11"/>
      <c r="P8" s="10"/>
      <c r="Q8" s="11">
        <v>62</v>
      </c>
      <c r="R8" s="30">
        <v>16</v>
      </c>
      <c r="S8" s="30">
        <v>24</v>
      </c>
      <c r="T8" s="33">
        <f t="shared" si="1"/>
        <v>445</v>
      </c>
      <c r="U8" s="10">
        <v>63</v>
      </c>
      <c r="V8" s="10">
        <v>14</v>
      </c>
      <c r="W8" s="10"/>
      <c r="X8" s="11"/>
      <c r="Y8" s="10"/>
      <c r="Z8" s="11">
        <v>30</v>
      </c>
      <c r="AA8" s="30"/>
      <c r="AB8" s="30"/>
      <c r="AC8" s="33">
        <f t="shared" si="2"/>
        <v>107</v>
      </c>
      <c r="AD8" s="12">
        <f t="shared" si="3"/>
        <v>2415</v>
      </c>
      <c r="AE8" s="39"/>
      <c r="AF8" s="39"/>
      <c r="AG8" s="39"/>
      <c r="AH8" s="39"/>
      <c r="AI8" s="39"/>
      <c r="AJ8"/>
    </row>
    <row r="9" spans="1:36" x14ac:dyDescent="0.2">
      <c r="A9" s="5">
        <f>DAY(Kalenteri!A125)</f>
        <v>5</v>
      </c>
      <c r="B9" s="3" t="str">
        <f>IF(Kalenteri!B125=1,"su",IF(Kalenteri!B125=2,"ma",IF(Kalenteri!B125=3,"ti",IF(Kalenteri!B125=4,"ke",IF(Kalenteri!B125=5,"to",IF(Kalenteri!B125=6,"pe",IF(Kalenteri!B125=7,"la",)))))))</f>
        <v>su</v>
      </c>
      <c r="C9" s="18">
        <v>406</v>
      </c>
      <c r="D9" s="10">
        <v>113</v>
      </c>
      <c r="E9" s="10">
        <v>2</v>
      </c>
      <c r="F9" s="11">
        <v>28</v>
      </c>
      <c r="G9" s="18">
        <v>2</v>
      </c>
      <c r="H9" s="11">
        <v>109</v>
      </c>
      <c r="I9" s="18">
        <v>16</v>
      </c>
      <c r="J9" s="11">
        <v>28</v>
      </c>
      <c r="K9" s="33">
        <f t="shared" si="0"/>
        <v>704</v>
      </c>
      <c r="L9" s="10">
        <v>57</v>
      </c>
      <c r="M9" s="10">
        <v>42</v>
      </c>
      <c r="N9" s="10"/>
      <c r="O9" s="11"/>
      <c r="P9" s="10"/>
      <c r="Q9" s="11">
        <v>11</v>
      </c>
      <c r="R9" s="30">
        <v>2</v>
      </c>
      <c r="S9" s="30">
        <v>3</v>
      </c>
      <c r="T9" s="33">
        <f t="shared" si="1"/>
        <v>115</v>
      </c>
      <c r="U9" s="10">
        <v>40</v>
      </c>
      <c r="V9" s="10">
        <v>11</v>
      </c>
      <c r="W9" s="10"/>
      <c r="X9" s="11"/>
      <c r="Y9" s="10"/>
      <c r="Z9" s="11">
        <v>11</v>
      </c>
      <c r="AA9" s="30"/>
      <c r="AB9" s="30"/>
      <c r="AC9" s="33">
        <f t="shared" si="2"/>
        <v>62</v>
      </c>
      <c r="AD9" s="12">
        <f t="shared" si="3"/>
        <v>881</v>
      </c>
      <c r="AE9" s="39"/>
      <c r="AF9" s="39"/>
      <c r="AG9" s="39"/>
      <c r="AH9" s="39"/>
      <c r="AI9" s="39"/>
      <c r="AJ9"/>
    </row>
    <row r="10" spans="1:36" x14ac:dyDescent="0.2">
      <c r="A10" s="5">
        <f>DAY(Kalenteri!A126)</f>
        <v>6</v>
      </c>
      <c r="B10" s="3" t="str">
        <f>IF(Kalenteri!B126=1,"su",IF(Kalenteri!B126=2,"ma",IF(Kalenteri!B126=3,"ti",IF(Kalenteri!B126=4,"ke",IF(Kalenteri!B126=5,"to",IF(Kalenteri!B126=6,"pe",IF(Kalenteri!B126=7,"la",)))))))</f>
        <v>ma</v>
      </c>
      <c r="C10" s="18">
        <v>291</v>
      </c>
      <c r="D10" s="10">
        <v>73</v>
      </c>
      <c r="E10" s="10">
        <v>2</v>
      </c>
      <c r="F10" s="11">
        <v>7</v>
      </c>
      <c r="G10" s="18">
        <v>6</v>
      </c>
      <c r="H10" s="11">
        <v>162</v>
      </c>
      <c r="I10" s="18">
        <v>2</v>
      </c>
      <c r="J10" s="11">
        <v>3</v>
      </c>
      <c r="K10" s="33">
        <f t="shared" si="0"/>
        <v>546</v>
      </c>
      <c r="L10" s="10">
        <v>110</v>
      </c>
      <c r="M10" s="10">
        <v>33</v>
      </c>
      <c r="N10" s="10"/>
      <c r="O10" s="11"/>
      <c r="P10" s="10"/>
      <c r="Q10" s="11">
        <v>13</v>
      </c>
      <c r="R10" s="30">
        <v>2</v>
      </c>
      <c r="S10" s="30">
        <v>3</v>
      </c>
      <c r="T10" s="33">
        <f t="shared" si="1"/>
        <v>161</v>
      </c>
      <c r="U10" s="10"/>
      <c r="V10" s="10"/>
      <c r="W10" s="10"/>
      <c r="X10" s="11"/>
      <c r="Y10" s="10"/>
      <c r="Z10" s="11"/>
      <c r="AA10" s="30"/>
      <c r="AB10" s="30"/>
      <c r="AC10" s="33">
        <f t="shared" si="2"/>
        <v>0</v>
      </c>
      <c r="AD10" s="12">
        <f t="shared" si="3"/>
        <v>707</v>
      </c>
      <c r="AE10" s="39"/>
      <c r="AF10" s="39"/>
      <c r="AG10" s="39"/>
      <c r="AH10" s="39"/>
      <c r="AI10" s="39"/>
      <c r="AJ10"/>
    </row>
    <row r="11" spans="1:36" x14ac:dyDescent="0.2">
      <c r="A11" s="5">
        <f>DAY(Kalenteri!A127)</f>
        <v>7</v>
      </c>
      <c r="B11" s="3" t="str">
        <f>IF(Kalenteri!B127=1,"su",IF(Kalenteri!B127=2,"ma",IF(Kalenteri!B127=3,"ti",IF(Kalenteri!B127=4,"ke",IF(Kalenteri!B127=5,"to",IF(Kalenteri!B127=6,"pe",IF(Kalenteri!B127=7,"la",)))))))</f>
        <v>ti</v>
      </c>
      <c r="C11" s="18">
        <v>285</v>
      </c>
      <c r="D11" s="10">
        <v>372</v>
      </c>
      <c r="E11" s="10">
        <v>0</v>
      </c>
      <c r="F11" s="11">
        <v>10</v>
      </c>
      <c r="G11" s="18">
        <v>25</v>
      </c>
      <c r="H11" s="11">
        <v>230</v>
      </c>
      <c r="I11" s="18">
        <v>22</v>
      </c>
      <c r="J11" s="11">
        <v>33</v>
      </c>
      <c r="K11" s="33">
        <f t="shared" si="0"/>
        <v>977</v>
      </c>
      <c r="L11" s="10">
        <f>126+25</f>
        <v>151</v>
      </c>
      <c r="M11" s="10">
        <v>270</v>
      </c>
      <c r="N11" s="10"/>
      <c r="O11" s="11"/>
      <c r="P11" s="10">
        <v>15</v>
      </c>
      <c r="Q11" s="11">
        <v>88</v>
      </c>
      <c r="R11" s="30">
        <v>4</v>
      </c>
      <c r="S11" s="30">
        <v>6</v>
      </c>
      <c r="T11" s="33">
        <f t="shared" si="1"/>
        <v>534</v>
      </c>
      <c r="U11" s="10"/>
      <c r="V11" s="10"/>
      <c r="W11" s="10"/>
      <c r="X11" s="11"/>
      <c r="Y11" s="10"/>
      <c r="Z11" s="11"/>
      <c r="AA11" s="30"/>
      <c r="AB11" s="30"/>
      <c r="AC11" s="33">
        <f t="shared" si="2"/>
        <v>0</v>
      </c>
      <c r="AD11" s="12">
        <f t="shared" si="3"/>
        <v>1511</v>
      </c>
      <c r="AE11" s="39"/>
      <c r="AF11" s="39"/>
      <c r="AG11" s="39"/>
      <c r="AH11" s="39"/>
      <c r="AI11" s="39"/>
      <c r="AJ11"/>
    </row>
    <row r="12" spans="1:36" x14ac:dyDescent="0.2">
      <c r="A12" s="5">
        <f>DAY(Kalenteri!A128)</f>
        <v>8</v>
      </c>
      <c r="B12" s="3" t="str">
        <f>IF(Kalenteri!B128=1,"su",IF(Kalenteri!B128=2,"ma",IF(Kalenteri!B128=3,"ti",IF(Kalenteri!B128=4,"ke",IF(Kalenteri!B128=5,"to",IF(Kalenteri!B128=6,"pe",IF(Kalenteri!B128=7,"la",)))))))</f>
        <v>ke</v>
      </c>
      <c r="C12" s="18">
        <v>365</v>
      </c>
      <c r="D12" s="10">
        <v>265</v>
      </c>
      <c r="E12" s="10">
        <v>0</v>
      </c>
      <c r="F12" s="11">
        <v>14</v>
      </c>
      <c r="G12" s="18">
        <v>21</v>
      </c>
      <c r="H12" s="11">
        <v>204</v>
      </c>
      <c r="I12" s="18">
        <v>0</v>
      </c>
      <c r="J12" s="11">
        <v>0</v>
      </c>
      <c r="K12" s="33">
        <f t="shared" si="0"/>
        <v>869</v>
      </c>
      <c r="L12" s="10">
        <f>135+37</f>
        <v>172</v>
      </c>
      <c r="M12" s="10">
        <v>49</v>
      </c>
      <c r="N12" s="10"/>
      <c r="O12" s="11"/>
      <c r="P12" s="10">
        <v>21</v>
      </c>
      <c r="Q12" s="11">
        <v>219</v>
      </c>
      <c r="R12" s="30"/>
      <c r="S12" s="30"/>
      <c r="T12" s="33">
        <f t="shared" si="1"/>
        <v>461</v>
      </c>
      <c r="U12" s="10"/>
      <c r="V12" s="10"/>
      <c r="W12" s="10"/>
      <c r="X12" s="11"/>
      <c r="Y12" s="10"/>
      <c r="Z12" s="11"/>
      <c r="AA12" s="30"/>
      <c r="AB12" s="30"/>
      <c r="AC12" s="33">
        <f t="shared" si="2"/>
        <v>0</v>
      </c>
      <c r="AD12" s="12">
        <f t="shared" si="3"/>
        <v>1330</v>
      </c>
      <c r="AE12" s="39"/>
      <c r="AF12" s="39"/>
      <c r="AG12" s="39"/>
      <c r="AH12" s="39"/>
      <c r="AI12" s="39"/>
      <c r="AJ12"/>
    </row>
    <row r="13" spans="1:36" x14ac:dyDescent="0.2">
      <c r="A13" s="5">
        <f>DAY(Kalenteri!A129)</f>
        <v>9</v>
      </c>
      <c r="B13" s="3" t="str">
        <f>IF(Kalenteri!B129=1,"su",IF(Kalenteri!B129=2,"ma",IF(Kalenteri!B129=3,"ti",IF(Kalenteri!B129=4,"ke",IF(Kalenteri!B129=5,"to",IF(Kalenteri!B129=6,"pe",IF(Kalenteri!B129=7,"la",)))))))</f>
        <v>to</v>
      </c>
      <c r="C13" s="18">
        <v>1263</v>
      </c>
      <c r="D13" s="10">
        <v>353</v>
      </c>
      <c r="E13" s="10">
        <v>2</v>
      </c>
      <c r="F13" s="11">
        <v>50</v>
      </c>
      <c r="G13" s="18">
        <v>15</v>
      </c>
      <c r="H13" s="11">
        <v>472</v>
      </c>
      <c r="I13" s="18">
        <v>50</v>
      </c>
      <c r="J13" s="11">
        <v>75</v>
      </c>
      <c r="K13" s="33">
        <f t="shared" si="0"/>
        <v>2280</v>
      </c>
      <c r="L13" s="10">
        <f>252+47</f>
        <v>299</v>
      </c>
      <c r="M13" s="10">
        <v>53</v>
      </c>
      <c r="N13" s="10"/>
      <c r="O13" s="11"/>
      <c r="P13" s="10"/>
      <c r="Q13" s="11">
        <v>88</v>
      </c>
      <c r="R13" s="30">
        <v>12</v>
      </c>
      <c r="S13" s="30">
        <v>18</v>
      </c>
      <c r="T13" s="33">
        <f t="shared" si="1"/>
        <v>470</v>
      </c>
      <c r="U13" s="10"/>
      <c r="V13" s="10"/>
      <c r="W13" s="10"/>
      <c r="X13" s="11"/>
      <c r="Y13" s="10"/>
      <c r="Z13" s="11"/>
      <c r="AA13" s="30"/>
      <c r="AB13" s="30"/>
      <c r="AC13" s="33">
        <f t="shared" si="2"/>
        <v>0</v>
      </c>
      <c r="AD13" s="12">
        <f t="shared" si="3"/>
        <v>2750</v>
      </c>
      <c r="AE13" s="39"/>
      <c r="AF13" s="39"/>
      <c r="AG13" s="39"/>
      <c r="AH13" s="39"/>
      <c r="AI13" s="39"/>
      <c r="AJ13"/>
    </row>
    <row r="14" spans="1:36" x14ac:dyDescent="0.2">
      <c r="A14" s="5">
        <f>DAY(Kalenteri!A130)</f>
        <v>10</v>
      </c>
      <c r="B14" s="3" t="str">
        <f>IF(Kalenteri!B130=1,"su",IF(Kalenteri!B130=2,"ma",IF(Kalenteri!B130=3,"ti",IF(Kalenteri!B130=4,"ke",IF(Kalenteri!B130=5,"to",IF(Kalenteri!B130=6,"pe",IF(Kalenteri!B130=7,"la",)))))))</f>
        <v>pe</v>
      </c>
      <c r="C14" s="18">
        <v>609</v>
      </c>
      <c r="D14" s="10">
        <v>418</v>
      </c>
      <c r="E14" s="10">
        <v>12</v>
      </c>
      <c r="F14" s="11">
        <v>24</v>
      </c>
      <c r="G14" s="18">
        <v>22</v>
      </c>
      <c r="H14" s="11">
        <v>488</v>
      </c>
      <c r="I14" s="18">
        <v>16</v>
      </c>
      <c r="J14" s="11">
        <v>24</v>
      </c>
      <c r="K14" s="33">
        <f t="shared" si="0"/>
        <v>1613</v>
      </c>
      <c r="L14" s="10">
        <v>285</v>
      </c>
      <c r="M14" s="10">
        <v>64</v>
      </c>
      <c r="N14" s="10"/>
      <c r="O14" s="11"/>
      <c r="P14" s="10">
        <v>6</v>
      </c>
      <c r="Q14" s="11">
        <v>138</v>
      </c>
      <c r="R14" s="30">
        <v>8</v>
      </c>
      <c r="S14" s="30">
        <v>12</v>
      </c>
      <c r="T14" s="33">
        <f t="shared" si="1"/>
        <v>513</v>
      </c>
      <c r="U14" s="10"/>
      <c r="V14" s="10"/>
      <c r="W14" s="10"/>
      <c r="X14" s="11"/>
      <c r="Y14" s="10"/>
      <c r="Z14" s="11"/>
      <c r="AA14" s="30"/>
      <c r="AB14" s="30"/>
      <c r="AC14" s="33">
        <f t="shared" si="2"/>
        <v>0</v>
      </c>
      <c r="AD14" s="12">
        <f t="shared" si="3"/>
        <v>2126</v>
      </c>
      <c r="AE14" s="39"/>
      <c r="AF14" s="39"/>
      <c r="AG14" s="39"/>
      <c r="AH14" s="39"/>
      <c r="AI14" s="39"/>
      <c r="AJ14"/>
    </row>
    <row r="15" spans="1:36" x14ac:dyDescent="0.2">
      <c r="A15" s="5">
        <f>DAY(Kalenteri!A131)</f>
        <v>11</v>
      </c>
      <c r="B15" s="3" t="str">
        <f>IF(Kalenteri!B131=1,"su",IF(Kalenteri!B131=2,"ma",IF(Kalenteri!B131=3,"ti",IF(Kalenteri!B131=4,"ke",IF(Kalenteri!B131=5,"to",IF(Kalenteri!B131=6,"pe",IF(Kalenteri!B131=7,"la",)))))))</f>
        <v>la</v>
      </c>
      <c r="C15" s="18">
        <v>1136</v>
      </c>
      <c r="D15" s="10">
        <v>247</v>
      </c>
      <c r="E15" s="10">
        <v>0</v>
      </c>
      <c r="F15" s="11">
        <v>26</v>
      </c>
      <c r="G15" s="18">
        <v>9</v>
      </c>
      <c r="H15" s="11">
        <v>414</v>
      </c>
      <c r="I15" s="18">
        <v>38</v>
      </c>
      <c r="J15" s="11">
        <v>57</v>
      </c>
      <c r="K15" s="33">
        <f t="shared" si="0"/>
        <v>1927</v>
      </c>
      <c r="L15" s="10">
        <v>432</v>
      </c>
      <c r="M15" s="10">
        <v>76</v>
      </c>
      <c r="N15" s="10"/>
      <c r="O15" s="11"/>
      <c r="P15" s="10">
        <v>4</v>
      </c>
      <c r="Q15" s="11">
        <v>75</v>
      </c>
      <c r="R15" s="30">
        <v>16</v>
      </c>
      <c r="S15" s="30">
        <v>24</v>
      </c>
      <c r="T15" s="33">
        <f t="shared" si="1"/>
        <v>627</v>
      </c>
      <c r="U15" s="10">
        <v>149</v>
      </c>
      <c r="V15" s="10">
        <v>26</v>
      </c>
      <c r="W15" s="10"/>
      <c r="X15" s="11"/>
      <c r="Y15" s="10"/>
      <c r="Z15" s="11">
        <v>53</v>
      </c>
      <c r="AA15" s="30">
        <v>2</v>
      </c>
      <c r="AB15" s="30">
        <v>3</v>
      </c>
      <c r="AC15" s="33">
        <f t="shared" si="2"/>
        <v>233</v>
      </c>
      <c r="AD15" s="12">
        <f t="shared" si="3"/>
        <v>2787</v>
      </c>
      <c r="AE15" s="39"/>
      <c r="AF15" s="39"/>
      <c r="AG15" s="39"/>
      <c r="AH15" s="39"/>
      <c r="AI15" s="39"/>
      <c r="AJ15"/>
    </row>
    <row r="16" spans="1:36" x14ac:dyDescent="0.2">
      <c r="A16" s="5">
        <f>DAY(Kalenteri!A132)</f>
        <v>12</v>
      </c>
      <c r="B16" s="3" t="str">
        <f>IF(Kalenteri!B132=1,"su",IF(Kalenteri!B132=2,"ma",IF(Kalenteri!B132=3,"ti",IF(Kalenteri!B132=4,"ke",IF(Kalenteri!B132=5,"to",IF(Kalenteri!B132=6,"pe",IF(Kalenteri!B132=7,"la",)))))))</f>
        <v>su</v>
      </c>
      <c r="C16" s="18">
        <v>135</v>
      </c>
      <c r="D16" s="10">
        <v>387</v>
      </c>
      <c r="E16" s="10">
        <v>2</v>
      </c>
      <c r="F16" s="11">
        <v>1</v>
      </c>
      <c r="G16" s="18">
        <v>5</v>
      </c>
      <c r="H16" s="11">
        <v>92</v>
      </c>
      <c r="I16" s="18">
        <v>6</v>
      </c>
      <c r="J16" s="11">
        <v>9</v>
      </c>
      <c r="K16" s="33">
        <f t="shared" si="0"/>
        <v>637</v>
      </c>
      <c r="L16" s="10">
        <v>258</v>
      </c>
      <c r="M16" s="10">
        <v>45</v>
      </c>
      <c r="N16" s="10"/>
      <c r="O16" s="11"/>
      <c r="P16" s="10"/>
      <c r="Q16" s="11">
        <v>54</v>
      </c>
      <c r="R16" s="30">
        <v>14</v>
      </c>
      <c r="S16" s="30">
        <v>21</v>
      </c>
      <c r="T16" s="33">
        <f t="shared" si="1"/>
        <v>392</v>
      </c>
      <c r="U16" s="10">
        <v>59</v>
      </c>
      <c r="V16" s="10">
        <v>14</v>
      </c>
      <c r="W16" s="10"/>
      <c r="X16" s="11"/>
      <c r="Y16" s="10"/>
      <c r="Z16" s="11">
        <v>35</v>
      </c>
      <c r="AA16" s="30">
        <v>6</v>
      </c>
      <c r="AB16" s="30">
        <v>9</v>
      </c>
      <c r="AC16" s="33">
        <f t="shared" si="2"/>
        <v>123</v>
      </c>
      <c r="AD16" s="12">
        <f t="shared" si="3"/>
        <v>1152</v>
      </c>
      <c r="AE16" s="39"/>
      <c r="AF16" s="39"/>
      <c r="AG16" s="39"/>
      <c r="AH16" s="39"/>
      <c r="AI16" s="39"/>
      <c r="AJ16"/>
    </row>
    <row r="17" spans="1:36" x14ac:dyDescent="0.2">
      <c r="A17" s="5">
        <f>DAY(Kalenteri!A133)</f>
        <v>13</v>
      </c>
      <c r="B17" s="3" t="str">
        <f>IF(Kalenteri!B133=1,"su",IF(Kalenteri!B133=2,"ma",IF(Kalenteri!B133=3,"ti",IF(Kalenteri!B133=4,"ke",IF(Kalenteri!B133=5,"to",IF(Kalenteri!B133=6,"pe",IF(Kalenteri!B133=7,"la",)))))))</f>
        <v>ma</v>
      </c>
      <c r="C17" s="18">
        <v>270</v>
      </c>
      <c r="D17" s="10">
        <v>481</v>
      </c>
      <c r="E17" s="10">
        <v>0</v>
      </c>
      <c r="F17" s="11">
        <v>7</v>
      </c>
      <c r="G17" s="18">
        <v>22</v>
      </c>
      <c r="H17" s="11">
        <v>574</v>
      </c>
      <c r="I17" s="18">
        <v>6</v>
      </c>
      <c r="J17" s="11">
        <v>9</v>
      </c>
      <c r="K17" s="33">
        <f t="shared" si="0"/>
        <v>1369</v>
      </c>
      <c r="L17" s="10">
        <v>81</v>
      </c>
      <c r="M17" s="10">
        <v>104</v>
      </c>
      <c r="N17" s="10"/>
      <c r="O17" s="11"/>
      <c r="P17" s="10"/>
      <c r="Q17" s="11">
        <v>29</v>
      </c>
      <c r="R17" s="30"/>
      <c r="S17" s="30"/>
      <c r="T17" s="33">
        <f t="shared" si="1"/>
        <v>214</v>
      </c>
      <c r="U17" s="10"/>
      <c r="V17" s="10"/>
      <c r="W17" s="10"/>
      <c r="X17" s="11"/>
      <c r="Y17" s="10"/>
      <c r="Z17" s="11"/>
      <c r="AA17" s="30"/>
      <c r="AB17" s="30"/>
      <c r="AC17" s="33">
        <f t="shared" si="2"/>
        <v>0</v>
      </c>
      <c r="AD17" s="12">
        <f t="shared" si="3"/>
        <v>1583</v>
      </c>
      <c r="AE17" s="39"/>
      <c r="AF17" s="39"/>
      <c r="AG17" s="39"/>
      <c r="AH17" s="39"/>
      <c r="AI17" s="39"/>
      <c r="AJ17"/>
    </row>
    <row r="18" spans="1:36" x14ac:dyDescent="0.2">
      <c r="A18" s="5">
        <f>DAY(Kalenteri!A134)</f>
        <v>14</v>
      </c>
      <c r="B18" s="3" t="str">
        <f>IF(Kalenteri!B134=1,"su",IF(Kalenteri!B134=2,"ma",IF(Kalenteri!B134=3,"ti",IF(Kalenteri!B134=4,"ke",IF(Kalenteri!B134=5,"to",IF(Kalenteri!B134=6,"pe",IF(Kalenteri!B134=7,"la",)))))))</f>
        <v>ti</v>
      </c>
      <c r="C18" s="18">
        <v>270</v>
      </c>
      <c r="D18" s="10">
        <v>482</v>
      </c>
      <c r="E18" s="10">
        <v>0</v>
      </c>
      <c r="F18" s="11">
        <v>7</v>
      </c>
      <c r="G18" s="18">
        <v>72</v>
      </c>
      <c r="H18" s="11">
        <v>546</v>
      </c>
      <c r="I18" s="18">
        <v>6</v>
      </c>
      <c r="J18" s="11">
        <v>9</v>
      </c>
      <c r="K18" s="33">
        <f t="shared" si="0"/>
        <v>1392</v>
      </c>
      <c r="L18" s="10">
        <f>50+88</f>
        <v>138</v>
      </c>
      <c r="M18" s="10">
        <v>7</v>
      </c>
      <c r="N18" s="10"/>
      <c r="O18" s="11"/>
      <c r="P18" s="10">
        <v>28</v>
      </c>
      <c r="Q18" s="11">
        <v>165</v>
      </c>
      <c r="R18" s="30">
        <v>2</v>
      </c>
      <c r="S18" s="30">
        <v>3</v>
      </c>
      <c r="T18" s="33">
        <f t="shared" si="1"/>
        <v>343</v>
      </c>
      <c r="U18" s="10"/>
      <c r="V18" s="10"/>
      <c r="W18" s="10"/>
      <c r="X18" s="11"/>
      <c r="Y18" s="10"/>
      <c r="Z18" s="11"/>
      <c r="AA18" s="30"/>
      <c r="AB18" s="30"/>
      <c r="AC18" s="33">
        <f t="shared" si="2"/>
        <v>0</v>
      </c>
      <c r="AD18" s="12">
        <f t="shared" si="3"/>
        <v>1735</v>
      </c>
      <c r="AE18" s="39"/>
      <c r="AF18" s="39"/>
      <c r="AG18" s="39"/>
      <c r="AH18" s="39"/>
      <c r="AI18" s="39"/>
      <c r="AJ18"/>
    </row>
    <row r="19" spans="1:36" x14ac:dyDescent="0.2">
      <c r="A19" s="5">
        <f>DAY(Kalenteri!A135)</f>
        <v>15</v>
      </c>
      <c r="B19" s="3" t="str">
        <f>IF(Kalenteri!B135=1,"su",IF(Kalenteri!B135=2,"ma",IF(Kalenteri!B135=3,"ti",IF(Kalenteri!B135=4,"ke",IF(Kalenteri!B135=5,"to",IF(Kalenteri!B135=6,"pe",IF(Kalenteri!B135=7,"la",)))))))</f>
        <v>ke</v>
      </c>
      <c r="C19" s="18">
        <v>265</v>
      </c>
      <c r="D19" s="10">
        <v>564</v>
      </c>
      <c r="E19" s="10">
        <v>0</v>
      </c>
      <c r="F19" s="11">
        <v>10</v>
      </c>
      <c r="G19" s="18">
        <v>12</v>
      </c>
      <c r="H19" s="11">
        <v>257</v>
      </c>
      <c r="I19" s="18">
        <v>4</v>
      </c>
      <c r="J19" s="11">
        <v>6</v>
      </c>
      <c r="K19" s="33">
        <f t="shared" si="0"/>
        <v>1118</v>
      </c>
      <c r="L19" s="10">
        <v>110</v>
      </c>
      <c r="M19" s="10">
        <v>37</v>
      </c>
      <c r="N19" s="10"/>
      <c r="O19" s="11"/>
      <c r="P19" s="10">
        <v>41</v>
      </c>
      <c r="Q19" s="11">
        <v>273</v>
      </c>
      <c r="R19" s="30">
        <v>4</v>
      </c>
      <c r="S19" s="30">
        <v>6</v>
      </c>
      <c r="T19" s="33">
        <f t="shared" si="1"/>
        <v>471</v>
      </c>
      <c r="U19" s="10"/>
      <c r="V19" s="10"/>
      <c r="W19" s="10"/>
      <c r="X19" s="11"/>
      <c r="Y19" s="10"/>
      <c r="Z19" s="11"/>
      <c r="AA19" s="30"/>
      <c r="AB19" s="30"/>
      <c r="AC19" s="33">
        <f t="shared" si="2"/>
        <v>0</v>
      </c>
      <c r="AD19" s="12">
        <f t="shared" si="3"/>
        <v>1589</v>
      </c>
      <c r="AE19" s="39"/>
      <c r="AF19" s="39"/>
      <c r="AG19" s="39"/>
      <c r="AH19" s="39"/>
      <c r="AI19" s="39"/>
      <c r="AJ19"/>
    </row>
    <row r="20" spans="1:36" x14ac:dyDescent="0.2">
      <c r="A20" s="5">
        <f>DAY(Kalenteri!A136)</f>
        <v>16</v>
      </c>
      <c r="B20" s="3" t="str">
        <f>IF(Kalenteri!B136=1,"su",IF(Kalenteri!B136=2,"ma",IF(Kalenteri!B136=3,"ti",IF(Kalenteri!B136=4,"ke",IF(Kalenteri!B136=5,"to",IF(Kalenteri!B136=6,"pe",IF(Kalenteri!B136=7,"la",)))))))</f>
        <v>to</v>
      </c>
      <c r="C20" s="18">
        <v>357</v>
      </c>
      <c r="D20" s="10">
        <v>413</v>
      </c>
      <c r="E20" s="10">
        <v>2</v>
      </c>
      <c r="F20" s="11">
        <v>18</v>
      </c>
      <c r="G20" s="18">
        <v>46</v>
      </c>
      <c r="H20" s="11">
        <v>500</v>
      </c>
      <c r="I20" s="18">
        <v>0</v>
      </c>
      <c r="J20" s="11">
        <v>0</v>
      </c>
      <c r="K20" s="33">
        <f t="shared" si="0"/>
        <v>1336</v>
      </c>
      <c r="L20" s="10">
        <v>103</v>
      </c>
      <c r="M20" s="10">
        <v>32</v>
      </c>
      <c r="N20" s="10"/>
      <c r="O20" s="11"/>
      <c r="P20" s="10">
        <v>17</v>
      </c>
      <c r="Q20" s="11">
        <v>166</v>
      </c>
      <c r="R20" s="30"/>
      <c r="S20" s="30"/>
      <c r="T20" s="33">
        <f t="shared" si="1"/>
        <v>318</v>
      </c>
      <c r="U20" s="10"/>
      <c r="V20" s="10"/>
      <c r="W20" s="10"/>
      <c r="X20" s="11"/>
      <c r="Y20" s="10"/>
      <c r="Z20" s="11"/>
      <c r="AA20" s="30"/>
      <c r="AB20" s="30"/>
      <c r="AC20" s="33">
        <f t="shared" si="2"/>
        <v>0</v>
      </c>
      <c r="AD20" s="12">
        <f t="shared" si="3"/>
        <v>1654</v>
      </c>
      <c r="AE20" s="39"/>
      <c r="AF20" s="39"/>
      <c r="AG20" s="39"/>
      <c r="AH20" s="39"/>
      <c r="AI20" s="39"/>
      <c r="AJ20"/>
    </row>
    <row r="21" spans="1:36" x14ac:dyDescent="0.2">
      <c r="A21" s="5">
        <f>DAY(Kalenteri!A137)</f>
        <v>17</v>
      </c>
      <c r="B21" s="3" t="str">
        <f>IF(Kalenteri!B137=1,"su",IF(Kalenteri!B137=2,"ma",IF(Kalenteri!B137=3,"ti",IF(Kalenteri!B137=4,"ke",IF(Kalenteri!B137=5,"to",IF(Kalenteri!B137=6,"pe",IF(Kalenteri!B137=7,"la",)))))))</f>
        <v>pe</v>
      </c>
      <c r="C21" s="18">
        <v>397</v>
      </c>
      <c r="D21" s="10">
        <v>207</v>
      </c>
      <c r="E21" s="10">
        <v>0</v>
      </c>
      <c r="F21" s="11">
        <v>8</v>
      </c>
      <c r="G21" s="18">
        <v>11</v>
      </c>
      <c r="H21" s="11">
        <v>259</v>
      </c>
      <c r="I21" s="18">
        <v>2</v>
      </c>
      <c r="J21" s="11">
        <v>3</v>
      </c>
      <c r="K21" s="33">
        <f t="shared" si="0"/>
        <v>887</v>
      </c>
      <c r="L21" s="10">
        <v>182</v>
      </c>
      <c r="M21" s="10">
        <v>60</v>
      </c>
      <c r="N21" s="10"/>
      <c r="O21" s="11"/>
      <c r="P21" s="10">
        <v>6</v>
      </c>
      <c r="Q21" s="11">
        <v>156</v>
      </c>
      <c r="R21" s="30"/>
      <c r="S21" s="30"/>
      <c r="T21" s="33">
        <f t="shared" si="1"/>
        <v>404</v>
      </c>
      <c r="U21" s="10"/>
      <c r="V21" s="10"/>
      <c r="W21" s="10"/>
      <c r="X21" s="11"/>
      <c r="Y21" s="10"/>
      <c r="Z21" s="11"/>
      <c r="AA21" s="30"/>
      <c r="AB21" s="30"/>
      <c r="AC21" s="33">
        <f t="shared" si="2"/>
        <v>0</v>
      </c>
      <c r="AD21" s="12">
        <f t="shared" si="3"/>
        <v>1291</v>
      </c>
      <c r="AE21" s="39"/>
      <c r="AF21" s="39"/>
      <c r="AG21" s="39"/>
      <c r="AH21" s="39"/>
      <c r="AI21" s="39"/>
      <c r="AJ21"/>
    </row>
    <row r="22" spans="1:36" x14ac:dyDescent="0.2">
      <c r="A22" s="5">
        <f>DAY(Kalenteri!A138)</f>
        <v>18</v>
      </c>
      <c r="B22" s="3" t="str">
        <f>IF(Kalenteri!B138=1,"su",IF(Kalenteri!B138=2,"ma",IF(Kalenteri!B138=3,"ti",IF(Kalenteri!B138=4,"ke",IF(Kalenteri!B138=5,"to",IF(Kalenteri!B138=6,"pe",IF(Kalenteri!B138=7,"la",)))))))</f>
        <v>la</v>
      </c>
      <c r="C22" s="18">
        <v>632</v>
      </c>
      <c r="D22" s="10">
        <v>188</v>
      </c>
      <c r="E22" s="10">
        <v>6</v>
      </c>
      <c r="F22" s="11">
        <v>13</v>
      </c>
      <c r="G22" s="18">
        <v>19</v>
      </c>
      <c r="H22" s="11">
        <v>246</v>
      </c>
      <c r="I22" s="18">
        <v>16</v>
      </c>
      <c r="J22" s="11">
        <v>24</v>
      </c>
      <c r="K22" s="33">
        <f t="shared" si="0"/>
        <v>1144</v>
      </c>
      <c r="L22" s="10">
        <v>253</v>
      </c>
      <c r="M22" s="10">
        <v>46</v>
      </c>
      <c r="N22" s="10"/>
      <c r="O22" s="11"/>
      <c r="P22" s="10"/>
      <c r="Q22" s="11">
        <v>28</v>
      </c>
      <c r="R22" s="30">
        <v>14</v>
      </c>
      <c r="S22" s="30">
        <v>21</v>
      </c>
      <c r="T22" s="33">
        <f t="shared" si="1"/>
        <v>362</v>
      </c>
      <c r="U22" s="10">
        <v>52</v>
      </c>
      <c r="V22" s="10">
        <v>10</v>
      </c>
      <c r="W22" s="10"/>
      <c r="X22" s="11"/>
      <c r="Y22" s="10"/>
      <c r="Z22" s="11">
        <v>18</v>
      </c>
      <c r="AA22" s="30">
        <v>2</v>
      </c>
      <c r="AB22" s="30">
        <v>3</v>
      </c>
      <c r="AC22" s="33">
        <f t="shared" si="2"/>
        <v>85</v>
      </c>
      <c r="AD22" s="12">
        <f t="shared" si="3"/>
        <v>1591</v>
      </c>
      <c r="AE22" s="39"/>
      <c r="AF22" s="39"/>
      <c r="AG22" s="39"/>
      <c r="AH22" s="39"/>
      <c r="AI22" s="39"/>
      <c r="AJ22"/>
    </row>
    <row r="23" spans="1:36" x14ac:dyDescent="0.2">
      <c r="A23" s="5">
        <f>DAY(Kalenteri!A139)</f>
        <v>19</v>
      </c>
      <c r="B23" s="3" t="str">
        <f>IF(Kalenteri!B139=1,"su",IF(Kalenteri!B139=2,"ma",IF(Kalenteri!B139=3,"ti",IF(Kalenteri!B139=4,"ke",IF(Kalenteri!B139=5,"to",IF(Kalenteri!B139=6,"pe",IF(Kalenteri!B139=7,"la",)))))))</f>
        <v>su</v>
      </c>
      <c r="C23" s="18">
        <v>1601</v>
      </c>
      <c r="D23" s="10">
        <v>290</v>
      </c>
      <c r="E23" s="10">
        <v>0</v>
      </c>
      <c r="F23" s="11">
        <v>30</v>
      </c>
      <c r="G23" s="18">
        <v>11</v>
      </c>
      <c r="H23" s="11">
        <v>458</v>
      </c>
      <c r="I23" s="18">
        <v>58</v>
      </c>
      <c r="J23" s="11">
        <v>87</v>
      </c>
      <c r="K23" s="33">
        <f t="shared" si="0"/>
        <v>2535</v>
      </c>
      <c r="L23" s="10">
        <f>213+46</f>
        <v>259</v>
      </c>
      <c r="M23" s="10">
        <v>40</v>
      </c>
      <c r="N23" s="10"/>
      <c r="O23" s="11"/>
      <c r="P23" s="10"/>
      <c r="Q23" s="11">
        <v>58</v>
      </c>
      <c r="R23" s="30">
        <v>2</v>
      </c>
      <c r="S23" s="30">
        <v>3</v>
      </c>
      <c r="T23" s="33">
        <f t="shared" si="1"/>
        <v>362</v>
      </c>
      <c r="U23" s="10">
        <f>49+7</f>
        <v>56</v>
      </c>
      <c r="V23" s="10">
        <v>16</v>
      </c>
      <c r="W23" s="10"/>
      <c r="X23" s="11"/>
      <c r="Y23" s="10"/>
      <c r="Z23" s="11">
        <v>17</v>
      </c>
      <c r="AA23" s="30"/>
      <c r="AB23" s="30"/>
      <c r="AC23" s="33">
        <f t="shared" si="2"/>
        <v>89</v>
      </c>
      <c r="AD23" s="12">
        <f t="shared" si="3"/>
        <v>2986</v>
      </c>
      <c r="AE23" s="39"/>
      <c r="AF23" s="39"/>
      <c r="AG23" s="39"/>
      <c r="AH23" s="39"/>
      <c r="AI23" s="39"/>
      <c r="AJ23"/>
    </row>
    <row r="24" spans="1:36" x14ac:dyDescent="0.2">
      <c r="A24" s="5">
        <f>DAY(Kalenteri!A140)</f>
        <v>20</v>
      </c>
      <c r="B24" s="3" t="str">
        <f>IF(Kalenteri!B140=1,"su",IF(Kalenteri!B140=2,"ma",IF(Kalenteri!B140=3,"ti",IF(Kalenteri!B140=4,"ke",IF(Kalenteri!B140=5,"to",IF(Kalenteri!B140=6,"pe",IF(Kalenteri!B140=7,"la",)))))))</f>
        <v>ma</v>
      </c>
      <c r="C24" s="18">
        <v>207</v>
      </c>
      <c r="D24" s="10">
        <v>724</v>
      </c>
      <c r="E24" s="10">
        <v>2</v>
      </c>
      <c r="F24" s="11">
        <v>7</v>
      </c>
      <c r="G24" s="18">
        <v>15</v>
      </c>
      <c r="H24" s="11">
        <v>169</v>
      </c>
      <c r="I24" s="18">
        <v>0</v>
      </c>
      <c r="J24" s="11">
        <v>0</v>
      </c>
      <c r="K24" s="33">
        <f t="shared" si="0"/>
        <v>1124</v>
      </c>
      <c r="L24" s="10">
        <f>60+21</f>
        <v>81</v>
      </c>
      <c r="M24" s="10">
        <v>70</v>
      </c>
      <c r="N24" s="10"/>
      <c r="O24" s="11"/>
      <c r="P24" s="10">
        <v>2</v>
      </c>
      <c r="Q24" s="11">
        <v>34</v>
      </c>
      <c r="R24" s="30">
        <v>2</v>
      </c>
      <c r="S24" s="30">
        <v>3</v>
      </c>
      <c r="T24" s="33">
        <f t="shared" si="1"/>
        <v>192</v>
      </c>
      <c r="U24" s="10"/>
      <c r="V24" s="10"/>
      <c r="W24" s="10"/>
      <c r="X24" s="11"/>
      <c r="Y24" s="10"/>
      <c r="Z24" s="11"/>
      <c r="AA24" s="30"/>
      <c r="AB24" s="30"/>
      <c r="AC24" s="33">
        <f t="shared" si="2"/>
        <v>0</v>
      </c>
      <c r="AD24" s="12">
        <f t="shared" si="3"/>
        <v>1316</v>
      </c>
      <c r="AE24" s="39"/>
      <c r="AF24" s="39"/>
      <c r="AG24" s="39"/>
      <c r="AH24" s="39"/>
      <c r="AI24" s="39"/>
      <c r="AJ24" s="39"/>
    </row>
    <row r="25" spans="1:36" x14ac:dyDescent="0.2">
      <c r="A25" s="5">
        <f>DAY(Kalenteri!A141)</f>
        <v>21</v>
      </c>
      <c r="B25" s="3" t="str">
        <f>IF(Kalenteri!B141=1,"su",IF(Kalenteri!B141=2,"ma",IF(Kalenteri!B141=3,"ti",IF(Kalenteri!B141=4,"ke",IF(Kalenteri!B141=5,"to",IF(Kalenteri!B141=6,"pe",IF(Kalenteri!B141=7,"la",)))))))</f>
        <v>ti</v>
      </c>
      <c r="C25" s="18">
        <v>401</v>
      </c>
      <c r="D25" s="10">
        <v>508</v>
      </c>
      <c r="E25" s="10">
        <v>0</v>
      </c>
      <c r="F25" s="11">
        <v>0</v>
      </c>
      <c r="G25" s="18">
        <v>32</v>
      </c>
      <c r="H25" s="11">
        <v>258</v>
      </c>
      <c r="I25" s="18">
        <v>0</v>
      </c>
      <c r="J25" s="11">
        <v>0</v>
      </c>
      <c r="K25" s="33">
        <f t="shared" si="0"/>
        <v>1199</v>
      </c>
      <c r="L25" s="10">
        <v>178</v>
      </c>
      <c r="M25" s="10">
        <v>240</v>
      </c>
      <c r="N25" s="10"/>
      <c r="O25" s="11"/>
      <c r="P25" s="10">
        <v>41</v>
      </c>
      <c r="Q25" s="11">
        <v>414</v>
      </c>
      <c r="R25" s="30">
        <v>10</v>
      </c>
      <c r="S25" s="30">
        <v>15</v>
      </c>
      <c r="T25" s="33">
        <f t="shared" si="1"/>
        <v>898</v>
      </c>
      <c r="U25" s="10"/>
      <c r="V25" s="10"/>
      <c r="W25" s="10"/>
      <c r="X25" s="11"/>
      <c r="Y25" s="10"/>
      <c r="Z25" s="11"/>
      <c r="AA25" s="30"/>
      <c r="AB25" s="30"/>
      <c r="AC25" s="33">
        <f t="shared" si="2"/>
        <v>0</v>
      </c>
      <c r="AD25" s="12">
        <f t="shared" si="3"/>
        <v>2097</v>
      </c>
      <c r="AE25" s="39"/>
      <c r="AF25" s="39"/>
      <c r="AG25" s="39"/>
      <c r="AH25" s="39"/>
      <c r="AI25" s="39"/>
      <c r="AJ25" s="39"/>
    </row>
    <row r="26" spans="1:36" x14ac:dyDescent="0.2">
      <c r="A26" s="5">
        <f>DAY(Kalenteri!A142)</f>
        <v>22</v>
      </c>
      <c r="B26" s="3" t="str">
        <f>IF(Kalenteri!B142=1,"su",IF(Kalenteri!B142=2,"ma",IF(Kalenteri!B142=3,"ti",IF(Kalenteri!B142=4,"ke",IF(Kalenteri!B142=5,"to",IF(Kalenteri!B142=6,"pe",IF(Kalenteri!B142=7,"la",)))))))</f>
        <v>ke</v>
      </c>
      <c r="C26" s="18">
        <v>133</v>
      </c>
      <c r="D26" s="10">
        <v>508</v>
      </c>
      <c r="E26" s="10">
        <v>0</v>
      </c>
      <c r="F26" s="11">
        <v>0</v>
      </c>
      <c r="G26" s="18">
        <v>32</v>
      </c>
      <c r="H26" s="11">
        <v>258</v>
      </c>
      <c r="I26" s="18">
        <v>0</v>
      </c>
      <c r="J26" s="11">
        <v>0</v>
      </c>
      <c r="K26" s="33">
        <f t="shared" si="0"/>
        <v>931</v>
      </c>
      <c r="L26" s="10">
        <v>59</v>
      </c>
      <c r="M26" s="10">
        <v>231</v>
      </c>
      <c r="N26" s="10"/>
      <c r="O26" s="11"/>
      <c r="P26" s="10">
        <v>16</v>
      </c>
      <c r="Q26" s="11">
        <v>233</v>
      </c>
      <c r="R26" s="30"/>
      <c r="S26" s="30"/>
      <c r="T26" s="33">
        <f t="shared" si="1"/>
        <v>539</v>
      </c>
      <c r="U26" s="10"/>
      <c r="V26" s="10"/>
      <c r="W26" s="10"/>
      <c r="X26" s="11"/>
      <c r="Y26" s="10"/>
      <c r="Z26" s="11"/>
      <c r="AA26" s="30"/>
      <c r="AB26" s="30"/>
      <c r="AC26" s="33">
        <f t="shared" si="2"/>
        <v>0</v>
      </c>
      <c r="AD26" s="12">
        <f t="shared" si="3"/>
        <v>1470</v>
      </c>
      <c r="AE26" s="39"/>
      <c r="AF26" s="39"/>
      <c r="AG26" s="39"/>
      <c r="AH26" s="39"/>
      <c r="AI26" s="39"/>
      <c r="AJ26" s="39"/>
    </row>
    <row r="27" spans="1:36" x14ac:dyDescent="0.2">
      <c r="A27" s="5">
        <f>DAY(Kalenteri!A143)</f>
        <v>23</v>
      </c>
      <c r="B27" s="3" t="str">
        <f>IF(Kalenteri!B143=1,"su",IF(Kalenteri!B143=2,"ma",IF(Kalenteri!B143=3,"ti",IF(Kalenteri!B143=4,"ke",IF(Kalenteri!B143=5,"to",IF(Kalenteri!B143=6,"pe",IF(Kalenteri!B143=7,"la",)))))))</f>
        <v>to</v>
      </c>
      <c r="C27" s="18">
        <v>149</v>
      </c>
      <c r="D27" s="10">
        <v>1133</v>
      </c>
      <c r="E27" s="10">
        <v>2</v>
      </c>
      <c r="F27" s="11">
        <v>1</v>
      </c>
      <c r="G27" s="18">
        <v>38</v>
      </c>
      <c r="H27" s="11">
        <v>501</v>
      </c>
      <c r="I27" s="18">
        <v>0</v>
      </c>
      <c r="J27" s="11">
        <v>0</v>
      </c>
      <c r="K27" s="33">
        <f t="shared" si="0"/>
        <v>1824</v>
      </c>
      <c r="L27" s="10">
        <v>35</v>
      </c>
      <c r="M27" s="10">
        <v>182</v>
      </c>
      <c r="N27" s="10"/>
      <c r="O27" s="11"/>
      <c r="P27" s="10">
        <v>24</v>
      </c>
      <c r="Q27" s="11">
        <v>174</v>
      </c>
      <c r="R27" s="30">
        <v>6</v>
      </c>
      <c r="S27" s="30">
        <v>9</v>
      </c>
      <c r="T27" s="33">
        <f t="shared" si="1"/>
        <v>430</v>
      </c>
      <c r="U27" s="10"/>
      <c r="V27" s="10"/>
      <c r="W27" s="10"/>
      <c r="X27" s="11"/>
      <c r="Y27" s="10"/>
      <c r="Z27" s="11"/>
      <c r="AA27" s="30"/>
      <c r="AB27" s="30"/>
      <c r="AC27" s="33">
        <f t="shared" si="2"/>
        <v>0</v>
      </c>
      <c r="AD27" s="12">
        <f t="shared" si="3"/>
        <v>2254</v>
      </c>
      <c r="AE27" s="39"/>
      <c r="AF27" s="39"/>
      <c r="AG27" s="39"/>
      <c r="AH27" s="39"/>
      <c r="AI27" s="39"/>
      <c r="AJ27" s="39"/>
    </row>
    <row r="28" spans="1:36" x14ac:dyDescent="0.2">
      <c r="A28" s="5">
        <f>DAY(Kalenteri!A144)</f>
        <v>24</v>
      </c>
      <c r="B28" s="3" t="str">
        <f>IF(Kalenteri!B144=1,"su",IF(Kalenteri!B144=2,"ma",IF(Kalenteri!B144=3,"ti",IF(Kalenteri!B144=4,"ke",IF(Kalenteri!B144=5,"to",IF(Kalenteri!B144=6,"pe",IF(Kalenteri!B144=7,"la",)))))))</f>
        <v>pe</v>
      </c>
      <c r="C28" s="18">
        <v>368</v>
      </c>
      <c r="D28" s="10">
        <v>482</v>
      </c>
      <c r="E28" s="10">
        <v>4</v>
      </c>
      <c r="F28" s="11">
        <v>5</v>
      </c>
      <c r="G28" s="18">
        <v>34</v>
      </c>
      <c r="H28" s="11">
        <v>430</v>
      </c>
      <c r="I28" s="18">
        <v>0</v>
      </c>
      <c r="J28" s="11">
        <v>0</v>
      </c>
      <c r="K28" s="33">
        <f t="shared" si="0"/>
        <v>1323</v>
      </c>
      <c r="L28" s="10">
        <f>65+39</f>
        <v>104</v>
      </c>
      <c r="M28" s="10">
        <v>30</v>
      </c>
      <c r="N28" s="10"/>
      <c r="O28" s="11"/>
      <c r="P28" s="10">
        <v>29</v>
      </c>
      <c r="Q28" s="11">
        <v>327</v>
      </c>
      <c r="R28" s="30"/>
      <c r="S28" s="30"/>
      <c r="T28" s="33">
        <f t="shared" si="1"/>
        <v>490</v>
      </c>
      <c r="U28" s="10"/>
      <c r="V28" s="10"/>
      <c r="W28" s="10"/>
      <c r="X28" s="11"/>
      <c r="Y28" s="10"/>
      <c r="Z28" s="11"/>
      <c r="AA28" s="30"/>
      <c r="AB28" s="30"/>
      <c r="AC28" s="33">
        <f t="shared" si="2"/>
        <v>0</v>
      </c>
      <c r="AD28" s="12">
        <f t="shared" si="3"/>
        <v>1813</v>
      </c>
      <c r="AE28" s="39"/>
      <c r="AF28" s="39"/>
      <c r="AG28" s="39"/>
      <c r="AH28" s="39"/>
      <c r="AI28" s="39"/>
      <c r="AJ28" s="39"/>
    </row>
    <row r="29" spans="1:36" x14ac:dyDescent="0.2">
      <c r="A29" s="5">
        <f>DAY(Kalenteri!A145)</f>
        <v>25</v>
      </c>
      <c r="B29" s="3" t="str">
        <f>IF(Kalenteri!B145=1,"su",IF(Kalenteri!B145=2,"ma",IF(Kalenteri!B145=3,"ti",IF(Kalenteri!B145=4,"ke",IF(Kalenteri!B145=5,"to",IF(Kalenteri!B145=6,"pe",IF(Kalenteri!B145=7,"la",)))))))</f>
        <v>la</v>
      </c>
      <c r="C29" s="18">
        <v>1499</v>
      </c>
      <c r="D29" s="10">
        <v>626</v>
      </c>
      <c r="E29" s="10">
        <v>38</v>
      </c>
      <c r="F29" s="11">
        <v>501</v>
      </c>
      <c r="G29" s="18">
        <v>0</v>
      </c>
      <c r="H29" s="11">
        <v>0</v>
      </c>
      <c r="I29" s="18">
        <v>0</v>
      </c>
      <c r="J29" s="11">
        <v>0</v>
      </c>
      <c r="K29" s="33">
        <f t="shared" si="0"/>
        <v>2664</v>
      </c>
      <c r="L29" s="10">
        <f>404+93</f>
        <v>497</v>
      </c>
      <c r="M29" s="10">
        <v>119</v>
      </c>
      <c r="N29" s="10"/>
      <c r="O29" s="11"/>
      <c r="P29" s="10"/>
      <c r="Q29" s="11">
        <v>125</v>
      </c>
      <c r="R29" s="30">
        <v>18</v>
      </c>
      <c r="S29" s="30">
        <v>27</v>
      </c>
      <c r="T29" s="33">
        <f t="shared" si="1"/>
        <v>786</v>
      </c>
      <c r="U29" s="10">
        <v>90</v>
      </c>
      <c r="V29" s="10">
        <v>24</v>
      </c>
      <c r="W29" s="10"/>
      <c r="X29" s="11"/>
      <c r="Y29" s="10"/>
      <c r="Z29" s="11"/>
      <c r="AA29" s="30">
        <v>6</v>
      </c>
      <c r="AB29" s="30">
        <v>9</v>
      </c>
      <c r="AC29" s="33">
        <f t="shared" si="2"/>
        <v>129</v>
      </c>
      <c r="AD29" s="12">
        <f t="shared" si="3"/>
        <v>3579</v>
      </c>
      <c r="AE29" s="39"/>
      <c r="AF29" s="39"/>
      <c r="AG29" s="39"/>
      <c r="AH29" s="39"/>
      <c r="AI29" s="39"/>
      <c r="AJ29" s="39"/>
    </row>
    <row r="30" spans="1:36" x14ac:dyDescent="0.2">
      <c r="A30" s="5">
        <f>DAY(Kalenteri!A146)</f>
        <v>26</v>
      </c>
      <c r="B30" s="3" t="str">
        <f>IF(Kalenteri!B146=1,"su",IF(Kalenteri!B146=2,"ma",IF(Kalenteri!B146=3,"ti",IF(Kalenteri!B146=4,"ke",IF(Kalenteri!B146=5,"to",IF(Kalenteri!B146=6,"pe",IF(Kalenteri!B146=7,"la",)))))))</f>
        <v>su</v>
      </c>
      <c r="C30" s="18">
        <v>658</v>
      </c>
      <c r="D30" s="10">
        <v>189</v>
      </c>
      <c r="E30" s="10">
        <v>4</v>
      </c>
      <c r="F30" s="11">
        <v>30</v>
      </c>
      <c r="G30" s="18">
        <v>9</v>
      </c>
      <c r="H30" s="11">
        <v>384</v>
      </c>
      <c r="I30" s="18">
        <v>0</v>
      </c>
      <c r="J30" s="11">
        <v>0</v>
      </c>
      <c r="K30" s="33">
        <f t="shared" si="0"/>
        <v>1274</v>
      </c>
      <c r="L30" s="10">
        <v>185</v>
      </c>
      <c r="M30" s="10">
        <v>49</v>
      </c>
      <c r="N30" s="10"/>
      <c r="O30" s="11"/>
      <c r="P30" s="10"/>
      <c r="Q30" s="11">
        <v>63</v>
      </c>
      <c r="R30" s="30">
        <v>10</v>
      </c>
      <c r="S30" s="30">
        <v>15</v>
      </c>
      <c r="T30" s="33">
        <f t="shared" si="1"/>
        <v>322</v>
      </c>
      <c r="U30" s="10">
        <v>54</v>
      </c>
      <c r="V30" s="10">
        <v>13</v>
      </c>
      <c r="W30" s="10"/>
      <c r="X30" s="11"/>
      <c r="Y30" s="10"/>
      <c r="Z30" s="11">
        <v>23</v>
      </c>
      <c r="AA30" s="30"/>
      <c r="AB30" s="30"/>
      <c r="AC30" s="33">
        <f t="shared" si="2"/>
        <v>90</v>
      </c>
      <c r="AD30" s="12">
        <f t="shared" si="3"/>
        <v>1686</v>
      </c>
      <c r="AE30" s="39"/>
      <c r="AF30" s="39"/>
      <c r="AG30" s="39"/>
      <c r="AH30" s="39"/>
      <c r="AI30" s="39"/>
      <c r="AJ30" s="39"/>
    </row>
    <row r="31" spans="1:36" x14ac:dyDescent="0.2">
      <c r="A31" s="5">
        <f>DAY(Kalenteri!A147)</f>
        <v>27</v>
      </c>
      <c r="B31" s="3" t="str">
        <f>IF(Kalenteri!B147=1,"su",IF(Kalenteri!B147=2,"ma",IF(Kalenteri!B147=3,"ti",IF(Kalenteri!B147=4,"ke",IF(Kalenteri!B147=5,"to",IF(Kalenteri!B147=6,"pe",IF(Kalenteri!B147=7,"la",)))))))</f>
        <v>ma</v>
      </c>
      <c r="C31" s="18">
        <v>262</v>
      </c>
      <c r="D31" s="10">
        <v>612</v>
      </c>
      <c r="E31" s="10">
        <v>2</v>
      </c>
      <c r="F31" s="11">
        <v>14</v>
      </c>
      <c r="G31" s="18">
        <v>26</v>
      </c>
      <c r="H31" s="11">
        <v>203</v>
      </c>
      <c r="I31" s="18">
        <v>2</v>
      </c>
      <c r="J31" s="11">
        <v>3</v>
      </c>
      <c r="K31" s="33">
        <f t="shared" si="0"/>
        <v>1124</v>
      </c>
      <c r="L31" s="10">
        <v>182</v>
      </c>
      <c r="M31" s="10">
        <v>178</v>
      </c>
      <c r="N31" s="10"/>
      <c r="O31" s="11"/>
      <c r="P31" s="10">
        <v>11</v>
      </c>
      <c r="Q31" s="11">
        <v>200</v>
      </c>
      <c r="R31" s="30">
        <v>2</v>
      </c>
      <c r="S31" s="30">
        <v>3</v>
      </c>
      <c r="T31" s="33">
        <f t="shared" si="1"/>
        <v>576</v>
      </c>
      <c r="U31" s="10"/>
      <c r="V31" s="10"/>
      <c r="W31" s="10"/>
      <c r="X31" s="11"/>
      <c r="Y31" s="10"/>
      <c r="Z31" s="11"/>
      <c r="AA31" s="30"/>
      <c r="AB31" s="30"/>
      <c r="AC31" s="33">
        <f t="shared" si="2"/>
        <v>0</v>
      </c>
      <c r="AD31" s="12">
        <f t="shared" si="3"/>
        <v>1700</v>
      </c>
      <c r="AE31" s="39"/>
      <c r="AF31" s="39"/>
      <c r="AG31" s="39"/>
      <c r="AH31" s="39"/>
      <c r="AI31" s="39"/>
      <c r="AJ31" s="39"/>
    </row>
    <row r="32" spans="1:36" x14ac:dyDescent="0.2">
      <c r="A32" s="5">
        <f>DAY(Kalenteri!A148)</f>
        <v>28</v>
      </c>
      <c r="B32" s="3" t="str">
        <f>IF(Kalenteri!B148=1,"su",IF(Kalenteri!B148=2,"ma",IF(Kalenteri!B148=3,"ti",IF(Kalenteri!B148=4,"ke",IF(Kalenteri!B148=5,"to",IF(Kalenteri!B148=6,"pe",IF(Kalenteri!B148=7,"la",)))))))</f>
        <v>ti</v>
      </c>
      <c r="C32" s="18">
        <v>533</v>
      </c>
      <c r="D32" s="10">
        <v>620</v>
      </c>
      <c r="E32" s="10"/>
      <c r="F32" s="11">
        <v>12</v>
      </c>
      <c r="G32" s="18">
        <v>91</v>
      </c>
      <c r="H32" s="11">
        <v>743</v>
      </c>
      <c r="I32" s="18">
        <v>4</v>
      </c>
      <c r="J32" s="11">
        <v>6</v>
      </c>
      <c r="K32" s="33">
        <f t="shared" si="0"/>
        <v>2009</v>
      </c>
      <c r="L32" s="10">
        <v>187</v>
      </c>
      <c r="M32" s="10">
        <v>240</v>
      </c>
      <c r="N32" s="10"/>
      <c r="O32" s="11"/>
      <c r="P32" s="10">
        <v>35</v>
      </c>
      <c r="Q32" s="11">
        <v>389</v>
      </c>
      <c r="R32" s="30">
        <v>2</v>
      </c>
      <c r="S32" s="30">
        <v>3</v>
      </c>
      <c r="T32" s="33">
        <f t="shared" si="1"/>
        <v>856</v>
      </c>
      <c r="U32" s="10"/>
      <c r="V32" s="10"/>
      <c r="W32" s="10"/>
      <c r="X32" s="11"/>
      <c r="Y32" s="10"/>
      <c r="Z32" s="11"/>
      <c r="AA32" s="30"/>
      <c r="AB32" s="30"/>
      <c r="AC32" s="33">
        <f t="shared" si="2"/>
        <v>0</v>
      </c>
      <c r="AD32" s="12">
        <f t="shared" si="3"/>
        <v>2865</v>
      </c>
      <c r="AE32" s="39"/>
      <c r="AF32" s="39"/>
      <c r="AG32" s="39"/>
      <c r="AH32" s="39"/>
      <c r="AI32" s="39"/>
      <c r="AJ32" s="39"/>
    </row>
    <row r="33" spans="1:36" x14ac:dyDescent="0.2">
      <c r="A33" s="5">
        <f>DAY(Kalenteri!A149)</f>
        <v>29</v>
      </c>
      <c r="B33" s="3" t="str">
        <f>IF(Kalenteri!B149=1,"su",IF(Kalenteri!B149=2,"ma",IF(Kalenteri!B149=3,"ti",IF(Kalenteri!B149=4,"ke",IF(Kalenteri!B149=5,"to",IF(Kalenteri!B149=6,"pe",IF(Kalenteri!B149=7,"la",)))))))</f>
        <v>ke</v>
      </c>
      <c r="C33" s="18">
        <v>435</v>
      </c>
      <c r="D33" s="10">
        <v>730</v>
      </c>
      <c r="E33" s="10"/>
      <c r="F33" s="11">
        <v>9</v>
      </c>
      <c r="G33" s="18">
        <v>71</v>
      </c>
      <c r="H33" s="11">
        <v>555</v>
      </c>
      <c r="I33" s="18">
        <v>9</v>
      </c>
      <c r="J33" s="11">
        <v>9</v>
      </c>
      <c r="K33" s="33">
        <f t="shared" si="0"/>
        <v>1818</v>
      </c>
      <c r="L33" s="10">
        <f>142+42</f>
        <v>184</v>
      </c>
      <c r="M33" s="10">
        <v>174</v>
      </c>
      <c r="N33" s="10"/>
      <c r="O33" s="11"/>
      <c r="P33" s="10">
        <v>23</v>
      </c>
      <c r="Q33" s="11">
        <v>277</v>
      </c>
      <c r="R33" s="30"/>
      <c r="S33" s="30"/>
      <c r="T33" s="33">
        <f t="shared" si="1"/>
        <v>658</v>
      </c>
      <c r="U33" s="10"/>
      <c r="V33" s="10"/>
      <c r="W33" s="10"/>
      <c r="X33" s="11"/>
      <c r="Y33" s="10"/>
      <c r="Z33" s="11"/>
      <c r="AA33" s="30"/>
      <c r="AB33" s="30"/>
      <c r="AC33" s="33">
        <f t="shared" si="2"/>
        <v>0</v>
      </c>
      <c r="AD33" s="12">
        <f t="shared" si="3"/>
        <v>2476</v>
      </c>
      <c r="AE33" s="39"/>
      <c r="AF33" s="39"/>
      <c r="AG33" s="39"/>
      <c r="AH33" s="39"/>
      <c r="AI33" s="39"/>
      <c r="AJ33" s="39"/>
    </row>
    <row r="34" spans="1:36" x14ac:dyDescent="0.2">
      <c r="A34" s="5">
        <f>DAY(Kalenteri!A150)</f>
        <v>30</v>
      </c>
      <c r="B34" s="3" t="str">
        <f>IF(Kalenteri!B150=1,"su",IF(Kalenteri!B150=2,"ma",IF(Kalenteri!B150=3,"ti",IF(Kalenteri!B150=4,"ke",IF(Kalenteri!B150=5,"to",IF(Kalenteri!B150=6,"pe",IF(Kalenteri!B150=7,"la",)))))))</f>
        <v>to</v>
      </c>
      <c r="C34" s="18">
        <v>567</v>
      </c>
      <c r="D34" s="10">
        <v>764</v>
      </c>
      <c r="E34" s="10"/>
      <c r="F34" s="11">
        <v>22</v>
      </c>
      <c r="G34" s="18">
        <v>68</v>
      </c>
      <c r="H34" s="11">
        <v>757</v>
      </c>
      <c r="I34" s="18"/>
      <c r="J34" s="11" t="s">
        <v>230</v>
      </c>
      <c r="K34" s="33">
        <f t="shared" si="0"/>
        <v>2178</v>
      </c>
      <c r="L34" s="10">
        <f>114+33</f>
        <v>147</v>
      </c>
      <c r="M34" s="10">
        <v>113</v>
      </c>
      <c r="N34" s="10"/>
      <c r="O34" s="11"/>
      <c r="P34" s="10">
        <v>33</v>
      </c>
      <c r="Q34" s="11">
        <v>379</v>
      </c>
      <c r="R34" s="30">
        <v>4</v>
      </c>
      <c r="S34" s="30">
        <v>6</v>
      </c>
      <c r="T34" s="33">
        <f t="shared" si="1"/>
        <v>682</v>
      </c>
      <c r="U34" s="10"/>
      <c r="V34" s="10"/>
      <c r="W34" s="10"/>
      <c r="X34" s="11"/>
      <c r="Y34" s="10"/>
      <c r="Z34" s="11"/>
      <c r="AA34" s="30"/>
      <c r="AB34" s="30"/>
      <c r="AC34" s="33">
        <f t="shared" si="2"/>
        <v>0</v>
      </c>
      <c r="AD34" s="12">
        <f t="shared" si="3"/>
        <v>2860</v>
      </c>
      <c r="AE34" s="39"/>
      <c r="AF34" s="39"/>
      <c r="AG34" s="39"/>
      <c r="AH34" s="39"/>
      <c r="AI34" s="39"/>
      <c r="AJ34" s="39"/>
    </row>
    <row r="35" spans="1:36" x14ac:dyDescent="0.2">
      <c r="A35" s="5">
        <f>DAY(Kalenteri!A151)</f>
        <v>31</v>
      </c>
      <c r="B35" s="3" t="str">
        <f>IF(Kalenteri!B151=1,"su",IF(Kalenteri!B151=2,"ma",IF(Kalenteri!B151=3,"ti",IF(Kalenteri!B151=4,"ke",IF(Kalenteri!B151=5,"to",IF(Kalenteri!B151=6,"pe",IF(Kalenteri!B151=7,"la",)))))))</f>
        <v>pe</v>
      </c>
      <c r="C35" s="79">
        <v>442</v>
      </c>
      <c r="D35" s="80">
        <v>158</v>
      </c>
      <c r="E35" s="80"/>
      <c r="F35" s="81">
        <v>14</v>
      </c>
      <c r="G35" s="79">
        <v>24</v>
      </c>
      <c r="H35" s="81">
        <v>290</v>
      </c>
      <c r="I35" s="79">
        <v>8</v>
      </c>
      <c r="J35" s="81">
        <v>12</v>
      </c>
      <c r="K35" s="34">
        <f t="shared" si="0"/>
        <v>948</v>
      </c>
      <c r="L35" s="20">
        <v>161</v>
      </c>
      <c r="M35" s="20">
        <v>40</v>
      </c>
      <c r="N35" s="20"/>
      <c r="O35" s="21"/>
      <c r="P35" s="20">
        <v>39</v>
      </c>
      <c r="Q35" s="21">
        <v>476</v>
      </c>
      <c r="R35" s="31"/>
      <c r="S35" s="31"/>
      <c r="T35" s="34">
        <f t="shared" si="1"/>
        <v>716</v>
      </c>
      <c r="U35" s="20"/>
      <c r="V35" s="20"/>
      <c r="W35" s="20"/>
      <c r="X35" s="21"/>
      <c r="Y35" s="20"/>
      <c r="Z35" s="21"/>
      <c r="AA35" s="31"/>
      <c r="AB35" s="31"/>
      <c r="AC35" s="34">
        <f t="shared" si="2"/>
        <v>0</v>
      </c>
      <c r="AD35" s="19">
        <f t="shared" si="3"/>
        <v>1664</v>
      </c>
      <c r="AE35" s="39"/>
      <c r="AF35" s="39"/>
      <c r="AG35" s="39"/>
      <c r="AH35" s="39"/>
      <c r="AI35" s="39"/>
      <c r="AJ35" s="39"/>
    </row>
    <row r="36" spans="1:36" x14ac:dyDescent="0.2">
      <c r="A36" s="6"/>
      <c r="B36"/>
      <c r="C36" s="82">
        <f t="shared" ref="C36:J36" si="4">SUM(C5:C35)</f>
        <v>17221</v>
      </c>
      <c r="D36" s="83">
        <f t="shared" si="4"/>
        <v>12867</v>
      </c>
      <c r="E36" s="83">
        <f t="shared" si="4"/>
        <v>94</v>
      </c>
      <c r="F36" s="84">
        <f t="shared" si="4"/>
        <v>962</v>
      </c>
      <c r="G36" s="83">
        <f t="shared" si="4"/>
        <v>771</v>
      </c>
      <c r="H36" s="84">
        <f t="shared" si="4"/>
        <v>10566</v>
      </c>
      <c r="I36" s="83">
        <f t="shared" si="4"/>
        <v>387</v>
      </c>
      <c r="J36" s="84">
        <f t="shared" si="4"/>
        <v>565</v>
      </c>
      <c r="K36" s="85">
        <f t="shared" si="0"/>
        <v>43433</v>
      </c>
      <c r="L36" s="83">
        <f t="shared" ref="L36:S36" si="5">SUM(L5:L35)</f>
        <v>6087</v>
      </c>
      <c r="M36" s="83">
        <f t="shared" si="5"/>
        <v>2815</v>
      </c>
      <c r="N36" s="83">
        <f t="shared" si="5"/>
        <v>0</v>
      </c>
      <c r="O36" s="84">
        <f t="shared" si="5"/>
        <v>1</v>
      </c>
      <c r="P36" s="83">
        <f t="shared" si="5"/>
        <v>409</v>
      </c>
      <c r="Q36" s="84">
        <f t="shared" si="5"/>
        <v>5021</v>
      </c>
      <c r="R36" s="86">
        <f t="shared" si="5"/>
        <v>184</v>
      </c>
      <c r="S36" s="86">
        <f t="shared" si="5"/>
        <v>276</v>
      </c>
      <c r="T36" s="85">
        <f t="shared" si="1"/>
        <v>14793</v>
      </c>
      <c r="U36" s="83">
        <f t="shared" ref="U36:AB36" si="6">SUM(U5:U35)</f>
        <v>563</v>
      </c>
      <c r="V36" s="83">
        <f t="shared" si="6"/>
        <v>128</v>
      </c>
      <c r="W36" s="83">
        <f t="shared" si="6"/>
        <v>0</v>
      </c>
      <c r="X36" s="84">
        <f t="shared" si="6"/>
        <v>0</v>
      </c>
      <c r="Y36" s="83">
        <f t="shared" si="6"/>
        <v>0</v>
      </c>
      <c r="Z36" s="84">
        <f t="shared" si="6"/>
        <v>187</v>
      </c>
      <c r="AA36" s="86">
        <f t="shared" si="6"/>
        <v>16</v>
      </c>
      <c r="AB36" s="86">
        <f t="shared" si="6"/>
        <v>24</v>
      </c>
      <c r="AC36" s="85">
        <f t="shared" si="2"/>
        <v>918</v>
      </c>
      <c r="AD36" s="87">
        <f t="shared" si="3"/>
        <v>59144</v>
      </c>
      <c r="AE36" s="66"/>
      <c r="AF36" s="66"/>
      <c r="AG36" s="66"/>
      <c r="AH36" s="66"/>
      <c r="AI36" s="66"/>
      <c r="AJ36" s="66"/>
    </row>
    <row r="37" spans="1:36" ht="8.1" customHeight="1" thickBot="1" x14ac:dyDescent="0.25">
      <c r="A37" s="6"/>
      <c r="B37"/>
      <c r="C37" s="2"/>
      <c r="D37" s="5"/>
      <c r="E37" s="5"/>
      <c r="F37" s="2"/>
      <c r="G37" s="2"/>
      <c r="H37" s="2"/>
      <c r="I37" s="5"/>
      <c r="J37" s="2"/>
      <c r="K37" s="2"/>
      <c r="L37" s="5"/>
      <c r="M37" s="2"/>
      <c r="N37" s="5"/>
      <c r="O37" s="5"/>
      <c r="P37" s="2"/>
      <c r="Q37" s="5"/>
      <c r="R37" s="42"/>
      <c r="S37" s="42"/>
      <c r="T37" s="2"/>
      <c r="U37" s="2"/>
      <c r="V37" s="2"/>
      <c r="W37" s="2"/>
      <c r="X37" s="5"/>
      <c r="Y37" s="2"/>
      <c r="Z37" s="2"/>
      <c r="AA37" s="39"/>
      <c r="AB37" s="39"/>
      <c r="AC37" s="5"/>
      <c r="AD37" s="40"/>
      <c r="AE37" s="40"/>
      <c r="AF37" s="40"/>
      <c r="AG37" s="40"/>
      <c r="AH37" s="40"/>
      <c r="AI37" s="40"/>
      <c r="AJ37" s="40"/>
    </row>
    <row r="38" spans="1:36" ht="24.95" customHeight="1" thickTop="1" x14ac:dyDescent="0.3">
      <c r="A38" s="6"/>
      <c r="B38"/>
      <c r="C38" s="171" t="str">
        <f>Kalenteri!E38</f>
        <v>Lippujen hinnat:</v>
      </c>
      <c r="D38" s="5"/>
      <c r="E38" s="5"/>
      <c r="F38" s="2"/>
      <c r="G38" s="2"/>
      <c r="H38" s="2"/>
      <c r="I38" s="5"/>
      <c r="J38" s="2"/>
      <c r="K38" s="2"/>
      <c r="L38" s="5"/>
      <c r="M38" s="2"/>
      <c r="N38" s="5"/>
      <c r="O38" s="5"/>
      <c r="P38" s="2"/>
      <c r="Q38"/>
      <c r="R38"/>
      <c r="S38"/>
      <c r="T38"/>
      <c r="U38" s="49" t="s">
        <v>71</v>
      </c>
      <c r="V38" s="50"/>
      <c r="W38" s="43"/>
      <c r="X38" s="44"/>
      <c r="Y38" s="43"/>
      <c r="Z38" s="43"/>
      <c r="AA38" s="44"/>
      <c r="AB38" s="44"/>
      <c r="AC38" s="47"/>
      <c r="AD38" s="45">
        <f>AD36</f>
        <v>59144</v>
      </c>
      <c r="AE38" s="41"/>
      <c r="AF38" s="41"/>
      <c r="AG38" s="41"/>
      <c r="AH38" s="41"/>
      <c r="AI38" s="41"/>
      <c r="AJ38" s="41"/>
    </row>
    <row r="39" spans="1:36" ht="24.95" customHeight="1" x14ac:dyDescent="0.3">
      <c r="A39" s="6"/>
      <c r="B39"/>
      <c r="C39" s="193" t="str">
        <f>Kalenteri!E39</f>
        <v>Mustikkamaan kautta: 1.9.-30.4. aik. 10 €, lapset 5 €, kimppalippu 30 €    1.5.-30.8. aik. 12 €, lapset 6 €, kimppalippu 36 €</v>
      </c>
      <c r="D39" s="89"/>
      <c r="E39" s="89"/>
      <c r="F39" s="90"/>
      <c r="G39" s="102"/>
      <c r="H39" s="174"/>
      <c r="I39" s="89"/>
      <c r="J39" s="90"/>
      <c r="K39" s="90"/>
      <c r="L39" s="89"/>
      <c r="M39" s="90"/>
      <c r="N39" s="89"/>
      <c r="O39" s="89"/>
      <c r="P39" s="89"/>
      <c r="Q39" s="104"/>
      <c r="R39" s="103"/>
      <c r="S39"/>
      <c r="T39"/>
      <c r="U39" s="62" t="s">
        <v>13</v>
      </c>
      <c r="V39" s="52"/>
      <c r="W39" s="53"/>
      <c r="X39" s="54"/>
      <c r="Y39" s="53"/>
      <c r="Z39" s="53"/>
      <c r="AA39" s="54"/>
      <c r="AB39" s="54"/>
      <c r="AC39" s="55"/>
      <c r="AD39" s="56">
        <f>AD36-Edellisvuosi!F7</f>
        <v>281</v>
      </c>
      <c r="AE39" s="67"/>
      <c r="AF39" s="67"/>
      <c r="AG39" s="67"/>
      <c r="AH39" s="67"/>
      <c r="AI39" s="67"/>
      <c r="AJ39" s="67"/>
    </row>
    <row r="40" spans="1:36" ht="24.95" customHeight="1" x14ac:dyDescent="0.3">
      <c r="A40" s="6"/>
      <c r="B40" s="6"/>
      <c r="C40" s="194" t="str">
        <f>Kalenteri!E40</f>
        <v xml:space="preserve">                                    Vuosikortti:     aik. 50 €, lapset 20 €, perhekortti 100 €</v>
      </c>
      <c r="D40" s="39"/>
      <c r="E40" s="39"/>
      <c r="F40" s="42"/>
      <c r="G40" s="65"/>
      <c r="H40" s="176"/>
      <c r="I40" s="39"/>
      <c r="J40" s="42"/>
      <c r="K40" s="42"/>
      <c r="L40" s="39"/>
      <c r="M40" s="42"/>
      <c r="N40" s="39"/>
      <c r="O40" s="39"/>
      <c r="P40" s="39"/>
      <c r="Q40" s="23"/>
      <c r="R40" s="97"/>
      <c r="S40"/>
      <c r="T40"/>
      <c r="U40" s="63" t="s">
        <v>72</v>
      </c>
      <c r="V40" s="37"/>
      <c r="W40" s="51"/>
      <c r="X40" s="41"/>
      <c r="Y40" s="51"/>
      <c r="Z40" s="41"/>
      <c r="AA40" s="41"/>
      <c r="AB40" s="41"/>
      <c r="AC40" s="48"/>
      <c r="AD40" s="46">
        <f>AD36+'N1'!AD36+'N2'!AD36+'N3'!AD36+'N4'!AD36</f>
        <v>106893</v>
      </c>
      <c r="AE40" s="41"/>
      <c r="AF40" s="41"/>
      <c r="AG40" s="41"/>
      <c r="AH40" s="41"/>
      <c r="AI40" s="41"/>
      <c r="AJ40" s="41"/>
    </row>
    <row r="41" spans="1:36" ht="24.95" customHeight="1" thickBot="1" x14ac:dyDescent="0.35">
      <c r="A41" s="4"/>
      <c r="B41" s="4"/>
      <c r="C41" s="195" t="str">
        <f>Kalenteri!E41</f>
        <v>Vesibusseilla:             1.9.-30.4. aik. 16 €, lapset 8 €, kimppalippu 47 €    1.5.-31.8. aik. 18 €, lapset 9 €, kimppalippu 53 €</v>
      </c>
      <c r="D41" s="93"/>
      <c r="E41" s="93"/>
      <c r="F41" s="94"/>
      <c r="G41" s="94"/>
      <c r="H41" s="175"/>
      <c r="I41" s="93"/>
      <c r="J41" s="96"/>
      <c r="K41" s="96"/>
      <c r="L41" s="93"/>
      <c r="M41" s="95"/>
      <c r="N41" s="95"/>
      <c r="O41" s="93"/>
      <c r="P41" s="93"/>
      <c r="Q41" s="95"/>
      <c r="R41" s="98"/>
      <c r="S41"/>
      <c r="T41"/>
      <c r="U41" s="64" t="s">
        <v>13</v>
      </c>
      <c r="V41" s="57"/>
      <c r="W41" s="58"/>
      <c r="X41" s="59"/>
      <c r="Y41" s="59"/>
      <c r="Z41" s="59"/>
      <c r="AA41" s="59"/>
      <c r="AB41" s="59"/>
      <c r="AC41" s="60"/>
      <c r="AD41" s="61">
        <f>AD40-Edellisvuosi!B7-Edellisvuosi!C7-Edellisvuosi!D7-Edellisvuosi!E7-Edellisvuosi!F7</f>
        <v>1065</v>
      </c>
      <c r="AE41" s="68"/>
      <c r="AF41" s="68"/>
      <c r="AG41" s="68"/>
      <c r="AH41" s="68"/>
      <c r="AI41" s="68"/>
      <c r="AJ41" s="68"/>
    </row>
    <row r="42" spans="1:36" ht="13.5" thickTop="1" x14ac:dyDescent="0.2"/>
  </sheetData>
  <sheetProtection password="C4AC" sheet="1" objects="1" scenarios="1"/>
  <phoneticPr fontId="4" type="noConversion"/>
  <pageMargins left="0" right="0" top="0.27559055118110237" bottom="0" header="0" footer="0"/>
  <pageSetup paperSize="9" scale="75" fitToHeight="0" orientation="landscape" horizontalDpi="4294967292" verticalDpi="4294967292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61" r:id="rId4" name="Button 1">
              <controlPr defaultSize="0" print="0" autoFill="0" autoLine="0" autoPict="0" macro="[1]!TAMMI">
                <anchor moveWithCells="1" sizeWithCells="1">
                  <from>
                    <xdr:col>35</xdr:col>
                    <xdr:colOff>0</xdr:colOff>
                    <xdr:row>3</xdr:row>
                    <xdr:rowOff>9525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2" r:id="rId5" name="Button 2">
              <controlPr defaultSize="0" print="0" autoFill="0" autoLine="0" autoPict="0" macro="[1]KTMAKRO!$A$1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3" r:id="rId6" name="Button 3">
              <controlPr defaultSize="0" print="0" autoFill="0" autoLine="0" autoPict="0" macro="[1]!MAALIS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4" r:id="rId7" name="Button 4">
              <controlPr defaultSize="0" print="0" autoFill="0" autoLine="0" autoPict="0" macro="[1]KTMAKRO!$D$1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5" r:id="rId8" name="Button 5">
              <controlPr defaultSize="0" print="0" autoFill="0" autoLine="0" autoPict="0" macro="[1]KTMAKRO!$E$1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6" r:id="rId9" name="Button 6">
              <controlPr defaultSize="0" print="0" autoFill="0" autoLine="0" autoPict="0" macro="[1]!KESÄ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7" r:id="rId10" name="Button 7">
              <controlPr defaultSize="0" print="0" autoFill="0" autoLine="0" autoPict="0" macro="[1]!HELMI">
                <anchor moveWithCells="1" sizeWithCells="1">
                  <from>
                    <xdr:col>35</xdr:col>
                    <xdr:colOff>0</xdr:colOff>
                    <xdr:row>3</xdr:row>
                    <xdr:rowOff>9525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8" r:id="rId11" name="Button 8">
              <controlPr defaultSize="0" print="0" autoFill="0" autoLine="0" autoPict="0" macro="[1]KTMAKRO!$G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9" r:id="rId12" name="Button 9">
              <controlPr defaultSize="0" print="0" autoFill="0" autoLine="0" autoPict="0" macro="[1]KTMAKRO!$I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70" r:id="rId13" name="Button 10">
              <controlPr defaultSize="0" print="0" autoFill="0" autoLine="0" autoPict="0" macro="[1]KTMAKRO!$J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71" r:id="rId14" name="Button 11">
              <controlPr defaultSize="0" print="0" autoFill="0" autoLine="0" autoPict="0" macro="[1]KTMAKRO!$K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72" r:id="rId15" name="Button 12">
              <controlPr defaultSize="0" print="0" autoFill="0" autoLine="0" autoPict="0" macro="[1]KTMAKRO!$L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73" r:id="rId16" name="Button 13">
              <controlPr defaultSize="0" print="0" autoFill="0" autoLine="0" autoPict="0" macro="[1]KTMAKRO!$H$1">
                <anchor moveWithCells="1" sizeWithCells="1">
                  <from>
                    <xdr:col>35</xdr:col>
                    <xdr:colOff>0</xdr:colOff>
                    <xdr:row>5</xdr:row>
                    <xdr:rowOff>0</xdr:rowOff>
                  </from>
                  <to>
                    <xdr:col>35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74" r:id="rId17" name="Button 14">
              <controlPr defaultSize="0" print="0" autoFill="0" autoLine="0" autoPict="0" macro="[1]!Yhteenveto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5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75" r:id="rId18" name="Button 15">
              <controlPr defaultSize="0" print="0" autoFill="0" autoLine="0" autoPict="0" macro="[1]!GRAFIIKKA1">
                <anchor moveWithCells="1" sizeWithCells="1">
                  <from>
                    <xdr:col>35</xdr:col>
                    <xdr:colOff>0</xdr:colOff>
                    <xdr:row>8</xdr:row>
                    <xdr:rowOff>142875</xdr:rowOff>
                  </from>
                  <to>
                    <xdr:col>35</xdr:col>
                    <xdr:colOff>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76" r:id="rId19" name="Button 16">
              <controlPr defaultSize="0" print="0" autoFill="0" autoLine="0" autoPict="0" macro="[1]!Grafiikka2">
                <anchor moveWithCells="1" sizeWithCells="1">
                  <from>
                    <xdr:col>35</xdr:col>
                    <xdr:colOff>0</xdr:colOff>
                    <xdr:row>8</xdr:row>
                    <xdr:rowOff>152400</xdr:rowOff>
                  </from>
                  <to>
                    <xdr:col>35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77" r:id="rId20" name="Button 17">
              <controlPr defaultSize="0" print="0" autoFill="0" autoLine="0" autoPict="0" macro="[1]!Grafiikka4">
                <anchor moveWithCells="1" sizeWithCells="1">
                  <from>
                    <xdr:col>35</xdr:col>
                    <xdr:colOff>0</xdr:colOff>
                    <xdr:row>8</xdr:row>
                    <xdr:rowOff>142875</xdr:rowOff>
                  </from>
                  <to>
                    <xdr:col>35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78" r:id="rId21" name="Button 18">
              <controlPr defaultSize="0" print="0" autoFill="0" autoLine="0" autoPict="0" macro="[1]!Grafiikka4">
                <anchor moveWithCells="1" sizeWithCells="1">
                  <from>
                    <xdr:col>35</xdr:col>
                    <xdr:colOff>0</xdr:colOff>
                    <xdr:row>8</xdr:row>
                    <xdr:rowOff>152400</xdr:rowOff>
                  </from>
                  <to>
                    <xdr:col>35</xdr:col>
                    <xdr:colOff>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79" r:id="rId22" name="Button 19">
              <controlPr defaultSize="0" print="0" autoFill="0" autoLine="0" autoPict="0" macro="[1]!Grafiikka5">
                <anchor moveWithCells="1" sizeWithCells="1">
                  <from>
                    <xdr:col>35</xdr:col>
                    <xdr:colOff>0</xdr:colOff>
                    <xdr:row>8</xdr:row>
                    <xdr:rowOff>152400</xdr:rowOff>
                  </from>
                  <to>
                    <xdr:col>35</xdr:col>
                    <xdr:colOff>0</xdr:colOff>
                    <xdr:row>12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80" r:id="rId23" name="Button 20">
              <controlPr defaultSize="0" print="0" autoFill="0" autoLine="0" autoPict="0" macro="[1]!Perusikkuna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12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/>
  <dimension ref="A1:AJ42"/>
  <sheetViews>
    <sheetView showGridLines="0" zoomScale="80" zoomScaleNormal="80" workbookViewId="0"/>
  </sheetViews>
  <sheetFormatPr defaultColWidth="9.75" defaultRowHeight="12.75" x14ac:dyDescent="0.2"/>
  <cols>
    <col min="1" max="1" width="3.75" style="1" customWidth="1"/>
    <col min="2" max="2" width="2.75" style="1" customWidth="1"/>
    <col min="3" max="4" width="6.125" style="1" customWidth="1"/>
    <col min="5" max="5" width="4" style="1" customWidth="1"/>
    <col min="6" max="6" width="4.5" style="1" customWidth="1"/>
    <col min="7" max="10" width="6.125" style="1" customWidth="1"/>
    <col min="11" max="11" width="5.875" style="1" customWidth="1"/>
    <col min="12" max="13" width="6.125" style="1" customWidth="1"/>
    <col min="14" max="14" width="5.25" style="1" customWidth="1"/>
    <col min="15" max="15" width="4.5" style="1" customWidth="1"/>
    <col min="16" max="16" width="6.125" style="1" customWidth="1"/>
    <col min="17" max="17" width="5.5" style="1" customWidth="1"/>
    <col min="18" max="19" width="6.125" style="1" customWidth="1"/>
    <col min="20" max="20" width="5.875" style="1" customWidth="1"/>
    <col min="21" max="22" width="6.125" style="1" customWidth="1"/>
    <col min="23" max="23" width="4.375" style="1" customWidth="1"/>
    <col min="24" max="24" width="4.25" style="1" customWidth="1"/>
    <col min="25" max="29" width="6.125" style="1" customWidth="1"/>
    <col min="30" max="36" width="15.625" style="1" customWidth="1"/>
  </cols>
  <sheetData>
    <row r="1" spans="1:36" ht="30" customHeight="1" x14ac:dyDescent="0.35">
      <c r="A1" s="22"/>
      <c r="B1" s="4"/>
      <c r="C1" s="105" t="s">
        <v>15</v>
      </c>
      <c r="D1" s="106"/>
      <c r="E1" s="106"/>
      <c r="F1" s="106"/>
      <c r="G1" s="106"/>
      <c r="H1" s="106"/>
      <c r="I1" s="106"/>
      <c r="J1" s="106"/>
      <c r="K1" s="106"/>
      <c r="L1" s="105" t="str">
        <f>Kalenteri!$H$1</f>
        <v>KÄVIJÄTILASTO 2013</v>
      </c>
      <c r="M1" s="107"/>
      <c r="N1" s="107"/>
      <c r="O1" s="107"/>
      <c r="P1" s="106"/>
      <c r="Q1" s="106"/>
      <c r="R1" s="105" t="s">
        <v>75</v>
      </c>
      <c r="S1" s="108"/>
      <c r="T1" s="106"/>
      <c r="U1" s="109"/>
      <c r="V1" s="105" t="s">
        <v>20</v>
      </c>
      <c r="W1" s="109"/>
      <c r="X1" s="106"/>
      <c r="Y1" s="106"/>
      <c r="Z1" s="106"/>
      <c r="AA1" s="106"/>
      <c r="AB1" s="106"/>
      <c r="AC1" s="106"/>
      <c r="AD1" s="110"/>
      <c r="AE1" s="4"/>
      <c r="AF1" s="4"/>
      <c r="AG1" s="4"/>
      <c r="AH1" s="4"/>
      <c r="AI1" s="4"/>
      <c r="AJ1" s="4"/>
    </row>
    <row r="2" spans="1:36" ht="30" customHeight="1" x14ac:dyDescent="0.3">
      <c r="A2" s="3"/>
      <c r="B2" s="4"/>
      <c r="C2" s="72"/>
      <c r="D2" s="73"/>
      <c r="E2" s="74" t="s">
        <v>1</v>
      </c>
      <c r="F2" s="75"/>
      <c r="G2" s="75"/>
      <c r="H2" s="75"/>
      <c r="I2" s="75"/>
      <c r="J2" s="75"/>
      <c r="K2" s="76"/>
      <c r="L2" s="72"/>
      <c r="M2" s="77"/>
      <c r="N2" s="73"/>
      <c r="O2" s="74" t="s">
        <v>2</v>
      </c>
      <c r="P2" s="75"/>
      <c r="Q2" s="75"/>
      <c r="R2" s="75"/>
      <c r="S2" s="75"/>
      <c r="T2" s="76"/>
      <c r="U2" s="72"/>
      <c r="V2" s="75"/>
      <c r="W2" s="73"/>
      <c r="X2" s="74" t="s">
        <v>3</v>
      </c>
      <c r="Y2" s="75"/>
      <c r="Z2" s="75"/>
      <c r="AA2" s="75"/>
      <c r="AB2" s="75"/>
      <c r="AC2" s="76"/>
      <c r="AD2" s="13"/>
      <c r="AE2" s="35"/>
      <c r="AF2" s="69"/>
      <c r="AG2" s="69"/>
      <c r="AH2" s="69"/>
      <c r="AI2" s="69"/>
      <c r="AJ2" s="69"/>
    </row>
    <row r="3" spans="1:36" x14ac:dyDescent="0.2">
      <c r="A3" s="4"/>
      <c r="B3" s="4"/>
      <c r="C3" s="24" t="s">
        <v>4</v>
      </c>
      <c r="D3" s="25"/>
      <c r="E3" s="25"/>
      <c r="F3" s="26"/>
      <c r="G3" s="24" t="s">
        <v>5</v>
      </c>
      <c r="H3" s="26"/>
      <c r="I3" s="25" t="s">
        <v>6</v>
      </c>
      <c r="J3" s="25"/>
      <c r="K3" s="27"/>
      <c r="L3" s="24" t="s">
        <v>4</v>
      </c>
      <c r="M3" s="25"/>
      <c r="N3" s="25"/>
      <c r="O3" s="26"/>
      <c r="P3" s="24" t="s">
        <v>5</v>
      </c>
      <c r="Q3" s="26"/>
      <c r="R3" s="25" t="s">
        <v>6</v>
      </c>
      <c r="S3" s="25"/>
      <c r="T3" s="27"/>
      <c r="U3" s="24" t="s">
        <v>4</v>
      </c>
      <c r="V3" s="25"/>
      <c r="W3" s="25"/>
      <c r="X3" s="26"/>
      <c r="Y3" s="24" t="s">
        <v>5</v>
      </c>
      <c r="Z3" s="26"/>
      <c r="AA3" s="25" t="s">
        <v>6</v>
      </c>
      <c r="AB3" s="25"/>
      <c r="AC3" s="27"/>
      <c r="AD3" s="36" t="s">
        <v>7</v>
      </c>
      <c r="AE3" s="38"/>
      <c r="AF3" s="70"/>
      <c r="AG3" s="70"/>
      <c r="AH3" s="70"/>
      <c r="AI3" s="70"/>
      <c r="AJ3"/>
    </row>
    <row r="4" spans="1:36" x14ac:dyDescent="0.2">
      <c r="A4" s="6"/>
      <c r="B4" s="4"/>
      <c r="C4" s="7" t="s">
        <v>8</v>
      </c>
      <c r="D4" s="8" t="s">
        <v>9</v>
      </c>
      <c r="E4" s="8" t="s">
        <v>10</v>
      </c>
      <c r="F4" s="9" t="s">
        <v>11</v>
      </c>
      <c r="G4" s="7" t="s">
        <v>8</v>
      </c>
      <c r="H4" s="9" t="s">
        <v>9</v>
      </c>
      <c r="I4" s="8" t="s">
        <v>8</v>
      </c>
      <c r="J4" s="8" t="s">
        <v>9</v>
      </c>
      <c r="K4" s="14" t="s">
        <v>0</v>
      </c>
      <c r="L4" s="7" t="s">
        <v>8</v>
      </c>
      <c r="M4" s="8" t="s">
        <v>9</v>
      </c>
      <c r="N4" s="8" t="s">
        <v>10</v>
      </c>
      <c r="O4" s="9" t="s">
        <v>11</v>
      </c>
      <c r="P4" s="7" t="s">
        <v>8</v>
      </c>
      <c r="Q4" s="9" t="s">
        <v>9</v>
      </c>
      <c r="R4" s="8" t="s">
        <v>8</v>
      </c>
      <c r="S4" s="8" t="s">
        <v>9</v>
      </c>
      <c r="T4" s="14" t="s">
        <v>0</v>
      </c>
      <c r="U4" s="7" t="s">
        <v>8</v>
      </c>
      <c r="V4" s="8" t="s">
        <v>9</v>
      </c>
      <c r="W4" s="8" t="s">
        <v>10</v>
      </c>
      <c r="X4" s="9" t="s">
        <v>11</v>
      </c>
      <c r="Y4" s="7" t="s">
        <v>8</v>
      </c>
      <c r="Z4" s="9" t="s">
        <v>9</v>
      </c>
      <c r="AA4" s="8" t="s">
        <v>8</v>
      </c>
      <c r="AB4" s="8" t="s">
        <v>9</v>
      </c>
      <c r="AC4" s="14" t="s">
        <v>0</v>
      </c>
      <c r="AD4" s="28"/>
      <c r="AE4" s="23"/>
      <c r="AF4" s="23"/>
      <c r="AG4" s="23"/>
      <c r="AH4" s="23"/>
      <c r="AI4" s="23"/>
      <c r="AJ4"/>
    </row>
    <row r="5" spans="1:36" x14ac:dyDescent="0.2">
      <c r="A5" s="5">
        <f>DAY(Kalenteri!A152)</f>
        <v>1</v>
      </c>
      <c r="B5" s="3" t="str">
        <f>IF(Kalenteri!B152=1,"su",IF(Kalenteri!B152=2,"ma",IF(Kalenteri!B152=3,"ti",IF(Kalenteri!B152=4,"ke",IF(Kalenteri!B152=5,"to",IF(Kalenteri!B152=6,"pe",IF(Kalenteri!B152=7,"la",)))))))</f>
        <v>la</v>
      </c>
      <c r="C5" s="78">
        <v>1508</v>
      </c>
      <c r="D5" s="15">
        <v>270</v>
      </c>
      <c r="E5" s="15">
        <v>1</v>
      </c>
      <c r="F5" s="16">
        <v>34</v>
      </c>
      <c r="G5" s="78">
        <v>23</v>
      </c>
      <c r="H5" s="16">
        <v>681</v>
      </c>
      <c r="I5" s="78">
        <v>32</v>
      </c>
      <c r="J5" s="16">
        <v>48</v>
      </c>
      <c r="K5" s="32">
        <f t="shared" ref="K5:K36" si="0">SUM(C5:J5)</f>
        <v>2597</v>
      </c>
      <c r="L5" s="15">
        <v>607</v>
      </c>
      <c r="M5" s="15">
        <v>93</v>
      </c>
      <c r="N5" s="15"/>
      <c r="O5" s="16"/>
      <c r="P5" s="15">
        <v>179</v>
      </c>
      <c r="Q5" s="16">
        <v>2</v>
      </c>
      <c r="R5" s="29">
        <v>26</v>
      </c>
      <c r="S5" s="29">
        <v>39</v>
      </c>
      <c r="T5" s="32">
        <f t="shared" ref="T5:T36" si="1">SUM(L5:S5)</f>
        <v>946</v>
      </c>
      <c r="U5" s="15">
        <v>125</v>
      </c>
      <c r="V5" s="15">
        <v>26</v>
      </c>
      <c r="W5" s="15"/>
      <c r="X5" s="16"/>
      <c r="Y5" s="15"/>
      <c r="Z5" s="16">
        <v>59</v>
      </c>
      <c r="AA5" s="29">
        <v>8</v>
      </c>
      <c r="AB5" s="29">
        <v>12</v>
      </c>
      <c r="AC5" s="32">
        <f t="shared" ref="AC5:AC36" si="2">SUM(U5:AB5)</f>
        <v>230</v>
      </c>
      <c r="AD5" s="17">
        <f t="shared" ref="AD5:AD36" si="3">SUM(K5,T5,AC5)</f>
        <v>3773</v>
      </c>
      <c r="AE5" s="39"/>
      <c r="AF5" s="39"/>
      <c r="AG5" s="39"/>
      <c r="AH5" s="39"/>
      <c r="AI5" s="39"/>
      <c r="AJ5"/>
    </row>
    <row r="6" spans="1:36" x14ac:dyDescent="0.2">
      <c r="A6" s="5">
        <f>DAY(Kalenteri!A153)</f>
        <v>2</v>
      </c>
      <c r="B6" s="3" t="str">
        <f>IF(Kalenteri!B153=1,"su",IF(Kalenteri!B153=2,"ma",IF(Kalenteri!B153=3,"ti",IF(Kalenteri!B153=4,"ke",IF(Kalenteri!B153=5,"to",IF(Kalenteri!B153=6,"pe",IF(Kalenteri!B153=7,"la",)))))))</f>
        <v>su</v>
      </c>
      <c r="C6" s="18">
        <v>1808</v>
      </c>
      <c r="D6" s="10">
        <v>397</v>
      </c>
      <c r="E6" s="10">
        <v>3</v>
      </c>
      <c r="F6" s="11">
        <v>52</v>
      </c>
      <c r="G6" s="18">
        <v>26</v>
      </c>
      <c r="H6" s="11">
        <v>677</v>
      </c>
      <c r="I6" s="18">
        <v>80</v>
      </c>
      <c r="J6" s="11">
        <v>120</v>
      </c>
      <c r="K6" s="33">
        <f t="shared" si="0"/>
        <v>3163</v>
      </c>
      <c r="L6" s="10">
        <v>536</v>
      </c>
      <c r="M6" s="10">
        <v>113</v>
      </c>
      <c r="N6" s="10"/>
      <c r="O6" s="11"/>
      <c r="P6" s="10"/>
      <c r="Q6" s="11">
        <v>141</v>
      </c>
      <c r="R6" s="30">
        <v>42</v>
      </c>
      <c r="S6" s="30">
        <v>63</v>
      </c>
      <c r="T6" s="33">
        <f t="shared" si="1"/>
        <v>895</v>
      </c>
      <c r="U6" s="10">
        <v>194</v>
      </c>
      <c r="V6" s="10">
        <v>37</v>
      </c>
      <c r="W6" s="10"/>
      <c r="X6" s="11"/>
      <c r="Y6" s="10"/>
      <c r="Z6" s="11"/>
      <c r="AA6" s="30">
        <v>10</v>
      </c>
      <c r="AB6" s="30">
        <v>15</v>
      </c>
      <c r="AC6" s="33">
        <f t="shared" si="2"/>
        <v>256</v>
      </c>
      <c r="AD6" s="12">
        <f t="shared" si="3"/>
        <v>4314</v>
      </c>
      <c r="AE6" s="39"/>
      <c r="AF6" s="39"/>
      <c r="AG6" s="39"/>
      <c r="AH6" s="39"/>
      <c r="AI6" s="39"/>
      <c r="AJ6"/>
    </row>
    <row r="7" spans="1:36" x14ac:dyDescent="0.2">
      <c r="A7" s="5">
        <f>DAY(Kalenteri!A154)</f>
        <v>3</v>
      </c>
      <c r="B7" s="3" t="str">
        <f>IF(Kalenteri!B154=1,"su",IF(Kalenteri!B154=2,"ma",IF(Kalenteri!B154=3,"ti",IF(Kalenteri!B154=4,"ke",IF(Kalenteri!B154=5,"to",IF(Kalenteri!B154=6,"pe",IF(Kalenteri!B154=7,"la",)))))))</f>
        <v>ma</v>
      </c>
      <c r="C7" s="18">
        <v>700</v>
      </c>
      <c r="D7" s="10">
        <v>458</v>
      </c>
      <c r="E7" s="10"/>
      <c r="F7" s="11">
        <v>17</v>
      </c>
      <c r="G7" s="18">
        <v>31</v>
      </c>
      <c r="H7" s="11">
        <v>353</v>
      </c>
      <c r="I7" s="18">
        <v>6</v>
      </c>
      <c r="J7" s="11">
        <v>9</v>
      </c>
      <c r="K7" s="33">
        <f t="shared" si="0"/>
        <v>1574</v>
      </c>
      <c r="L7" s="10">
        <f>234+95</f>
        <v>329</v>
      </c>
      <c r="M7" s="10">
        <v>137</v>
      </c>
      <c r="N7" s="10"/>
      <c r="O7" s="11"/>
      <c r="P7" s="10"/>
      <c r="Q7" s="11">
        <v>103</v>
      </c>
      <c r="R7" s="30">
        <v>8</v>
      </c>
      <c r="S7" s="30">
        <v>12</v>
      </c>
      <c r="T7" s="33">
        <f t="shared" si="1"/>
        <v>589</v>
      </c>
      <c r="U7" s="10">
        <f>47+17</f>
        <v>64</v>
      </c>
      <c r="V7" s="10">
        <v>30</v>
      </c>
      <c r="W7" s="10"/>
      <c r="X7" s="11"/>
      <c r="Y7" s="10"/>
      <c r="Z7" s="11">
        <v>34</v>
      </c>
      <c r="AA7" s="30">
        <v>4</v>
      </c>
      <c r="AB7" s="30">
        <v>6</v>
      </c>
      <c r="AC7" s="33">
        <f t="shared" si="2"/>
        <v>138</v>
      </c>
      <c r="AD7" s="12">
        <f t="shared" si="3"/>
        <v>2301</v>
      </c>
      <c r="AE7" s="39"/>
      <c r="AF7" s="39"/>
      <c r="AG7" s="39"/>
      <c r="AH7" s="39"/>
      <c r="AI7" s="39"/>
      <c r="AJ7"/>
    </row>
    <row r="8" spans="1:36" x14ac:dyDescent="0.2">
      <c r="A8" s="5">
        <f>DAY(Kalenteri!A155)</f>
        <v>4</v>
      </c>
      <c r="B8" s="3" t="str">
        <f>IF(Kalenteri!B155=1,"su",IF(Kalenteri!B155=2,"ma",IF(Kalenteri!B155=3,"ti",IF(Kalenteri!B155=4,"ke",IF(Kalenteri!B155=5,"to",IF(Kalenteri!B155=6,"pe",IF(Kalenteri!B155=7,"la",)))))))</f>
        <v>ti</v>
      </c>
      <c r="C8" s="18">
        <v>739</v>
      </c>
      <c r="D8" s="10">
        <v>362</v>
      </c>
      <c r="E8" s="10"/>
      <c r="F8" s="11">
        <v>12</v>
      </c>
      <c r="G8" s="18">
        <v>24</v>
      </c>
      <c r="H8" s="11">
        <v>361</v>
      </c>
      <c r="I8" s="18"/>
      <c r="J8" s="11"/>
      <c r="K8" s="33">
        <f t="shared" si="0"/>
        <v>1498</v>
      </c>
      <c r="L8" s="10">
        <f>146+223</f>
        <v>369</v>
      </c>
      <c r="M8" s="10">
        <v>128</v>
      </c>
      <c r="N8" s="10"/>
      <c r="O8" s="11"/>
      <c r="P8" s="10">
        <v>12</v>
      </c>
      <c r="Q8" s="11">
        <v>99</v>
      </c>
      <c r="R8" s="30">
        <f>16*2</f>
        <v>32</v>
      </c>
      <c r="S8" s="30">
        <f>16*3</f>
        <v>48</v>
      </c>
      <c r="T8" s="33">
        <f t="shared" si="1"/>
        <v>688</v>
      </c>
      <c r="U8" s="10">
        <f>96+42</f>
        <v>138</v>
      </c>
      <c r="V8" s="10">
        <v>56</v>
      </c>
      <c r="W8" s="10"/>
      <c r="X8" s="11"/>
      <c r="Y8" s="10">
        <v>8</v>
      </c>
      <c r="Z8" s="11">
        <v>62</v>
      </c>
      <c r="AA8" s="30">
        <v>6</v>
      </c>
      <c r="AB8" s="30">
        <v>9</v>
      </c>
      <c r="AC8" s="33">
        <f t="shared" si="2"/>
        <v>279</v>
      </c>
      <c r="AD8" s="12">
        <f t="shared" si="3"/>
        <v>2465</v>
      </c>
      <c r="AE8" s="39"/>
      <c r="AF8" s="39"/>
      <c r="AG8" s="39"/>
      <c r="AH8" s="39"/>
      <c r="AI8" s="39"/>
      <c r="AJ8"/>
    </row>
    <row r="9" spans="1:36" x14ac:dyDescent="0.2">
      <c r="A9" s="5">
        <f>DAY(Kalenteri!A156)</f>
        <v>5</v>
      </c>
      <c r="B9" s="3" t="str">
        <f>IF(Kalenteri!B156=1,"su",IF(Kalenteri!B156=2,"ma",IF(Kalenteri!B156=3,"ti",IF(Kalenteri!B156=4,"ke",IF(Kalenteri!B156=5,"to",IF(Kalenteri!B156=6,"pe",IF(Kalenteri!B156=7,"la",)))))))</f>
        <v>ke</v>
      </c>
      <c r="C9" s="18">
        <v>696</v>
      </c>
      <c r="D9" s="10">
        <v>283</v>
      </c>
      <c r="E9" s="10"/>
      <c r="F9" s="11">
        <v>13</v>
      </c>
      <c r="G9" s="18">
        <v>51</v>
      </c>
      <c r="H9" s="11">
        <v>431</v>
      </c>
      <c r="I9" s="18">
        <v>12</v>
      </c>
      <c r="J9" s="11">
        <v>18</v>
      </c>
      <c r="K9" s="33">
        <f t="shared" si="0"/>
        <v>1504</v>
      </c>
      <c r="L9" s="10">
        <f>230+78</f>
        <v>308</v>
      </c>
      <c r="M9" s="10">
        <v>158</v>
      </c>
      <c r="N9" s="10"/>
      <c r="O9" s="11"/>
      <c r="P9" s="10"/>
      <c r="Q9" s="11">
        <v>68</v>
      </c>
      <c r="R9" s="30">
        <v>24</v>
      </c>
      <c r="S9" s="30">
        <v>36</v>
      </c>
      <c r="T9" s="33">
        <f t="shared" si="1"/>
        <v>594</v>
      </c>
      <c r="U9" s="10">
        <f>36+20</f>
        <v>56</v>
      </c>
      <c r="V9" s="10">
        <v>26</v>
      </c>
      <c r="W9" s="10"/>
      <c r="X9" s="11"/>
      <c r="Y9" s="10">
        <v>15</v>
      </c>
      <c r="Z9" s="11">
        <v>79</v>
      </c>
      <c r="AA9" s="30">
        <v>6</v>
      </c>
      <c r="AB9" s="30">
        <v>9</v>
      </c>
      <c r="AC9" s="33">
        <f t="shared" si="2"/>
        <v>191</v>
      </c>
      <c r="AD9" s="12">
        <f t="shared" si="3"/>
        <v>2289</v>
      </c>
      <c r="AE9" s="39"/>
      <c r="AF9" s="39"/>
      <c r="AG9" s="39"/>
      <c r="AH9" s="39"/>
      <c r="AI9" s="39"/>
      <c r="AJ9"/>
    </row>
    <row r="10" spans="1:36" x14ac:dyDescent="0.2">
      <c r="A10" s="5">
        <f>DAY(Kalenteri!A157)</f>
        <v>6</v>
      </c>
      <c r="B10" s="3" t="str">
        <f>IF(Kalenteri!B157=1,"su",IF(Kalenteri!B157=2,"ma",IF(Kalenteri!B157=3,"ti",IF(Kalenteri!B157=4,"ke",IF(Kalenteri!B157=5,"to",IF(Kalenteri!B157=6,"pe",IF(Kalenteri!B157=7,"la",)))))))</f>
        <v>to</v>
      </c>
      <c r="C10" s="18">
        <v>714</v>
      </c>
      <c r="D10" s="10">
        <v>363</v>
      </c>
      <c r="E10" s="10"/>
      <c r="F10" s="11">
        <v>19</v>
      </c>
      <c r="G10" s="18">
        <v>36</v>
      </c>
      <c r="H10" s="11">
        <v>300</v>
      </c>
      <c r="I10" s="18">
        <v>18</v>
      </c>
      <c r="J10" s="11">
        <v>27</v>
      </c>
      <c r="K10" s="33">
        <f t="shared" si="0"/>
        <v>1477</v>
      </c>
      <c r="L10" s="10">
        <v>368</v>
      </c>
      <c r="M10" s="10">
        <v>124</v>
      </c>
      <c r="N10" s="10"/>
      <c r="O10" s="11"/>
      <c r="P10" s="10">
        <v>8</v>
      </c>
      <c r="Q10" s="11">
        <v>207</v>
      </c>
      <c r="R10" s="30">
        <v>14</v>
      </c>
      <c r="S10" s="30">
        <v>21</v>
      </c>
      <c r="T10" s="33">
        <f t="shared" si="1"/>
        <v>742</v>
      </c>
      <c r="U10" s="10">
        <v>102</v>
      </c>
      <c r="V10" s="10">
        <v>49</v>
      </c>
      <c r="W10" s="10"/>
      <c r="X10" s="11"/>
      <c r="Y10" s="10">
        <v>7</v>
      </c>
      <c r="Z10" s="11">
        <v>73</v>
      </c>
      <c r="AA10" s="30">
        <v>4</v>
      </c>
      <c r="AB10" s="30">
        <v>6</v>
      </c>
      <c r="AC10" s="33">
        <f t="shared" si="2"/>
        <v>241</v>
      </c>
      <c r="AD10" s="12">
        <f t="shared" si="3"/>
        <v>2460</v>
      </c>
      <c r="AE10" s="39"/>
      <c r="AF10" s="39"/>
      <c r="AG10" s="39"/>
      <c r="AH10" s="39"/>
      <c r="AI10" s="39"/>
      <c r="AJ10"/>
    </row>
    <row r="11" spans="1:36" x14ac:dyDescent="0.2">
      <c r="A11" s="5">
        <f>DAY(Kalenteri!A158)</f>
        <v>7</v>
      </c>
      <c r="B11" s="3" t="str">
        <f>IF(Kalenteri!B158=1,"su",IF(Kalenteri!B158=2,"ma",IF(Kalenteri!B158=3,"ti",IF(Kalenteri!B158=4,"ke",IF(Kalenteri!B158=5,"to",IF(Kalenteri!B158=6,"pe",IF(Kalenteri!B158=7,"la",)))))))</f>
        <v>pe</v>
      </c>
      <c r="C11" s="18">
        <v>691</v>
      </c>
      <c r="D11" s="10">
        <v>237</v>
      </c>
      <c r="E11" s="10"/>
      <c r="F11" s="11">
        <v>13</v>
      </c>
      <c r="G11" s="18">
        <v>43</v>
      </c>
      <c r="H11" s="11">
        <v>449</v>
      </c>
      <c r="I11" s="18">
        <v>26</v>
      </c>
      <c r="J11" s="11">
        <v>39</v>
      </c>
      <c r="K11" s="33">
        <f t="shared" si="0"/>
        <v>1498</v>
      </c>
      <c r="L11" s="10">
        <f>289+71</f>
        <v>360</v>
      </c>
      <c r="M11" s="10">
        <v>92</v>
      </c>
      <c r="N11" s="10"/>
      <c r="O11" s="11">
        <v>2</v>
      </c>
      <c r="P11" s="10">
        <v>26</v>
      </c>
      <c r="Q11" s="11">
        <v>127</v>
      </c>
      <c r="R11" s="30">
        <v>22</v>
      </c>
      <c r="S11" s="30">
        <v>33</v>
      </c>
      <c r="T11" s="33">
        <f t="shared" si="1"/>
        <v>662</v>
      </c>
      <c r="U11" s="10">
        <v>134</v>
      </c>
      <c r="V11" s="10">
        <v>34</v>
      </c>
      <c r="W11" s="10"/>
      <c r="X11" s="11"/>
      <c r="Y11" s="10">
        <v>8</v>
      </c>
      <c r="Z11" s="11">
        <v>75</v>
      </c>
      <c r="AA11" s="30"/>
      <c r="AB11" s="30"/>
      <c r="AC11" s="33">
        <f t="shared" si="2"/>
        <v>251</v>
      </c>
      <c r="AD11" s="12">
        <f t="shared" si="3"/>
        <v>2411</v>
      </c>
      <c r="AE11" s="39"/>
      <c r="AF11" s="39"/>
      <c r="AG11" s="39"/>
      <c r="AH11" s="39"/>
      <c r="AI11" s="39"/>
      <c r="AJ11"/>
    </row>
    <row r="12" spans="1:36" x14ac:dyDescent="0.2">
      <c r="A12" s="5">
        <f>DAY(Kalenteri!A159)</f>
        <v>8</v>
      </c>
      <c r="B12" s="3" t="str">
        <f>IF(Kalenteri!B159=1,"su",IF(Kalenteri!B159=2,"ma",IF(Kalenteri!B159=3,"ti",IF(Kalenteri!B159=4,"ke",IF(Kalenteri!B159=5,"to",IF(Kalenteri!B159=6,"pe",IF(Kalenteri!B159=7,"la",)))))))</f>
        <v>la</v>
      </c>
      <c r="C12" s="18">
        <v>2179</v>
      </c>
      <c r="D12" s="10">
        <v>565</v>
      </c>
      <c r="E12" s="10">
        <v>2</v>
      </c>
      <c r="F12" s="11">
        <v>48</v>
      </c>
      <c r="G12" s="18">
        <v>91</v>
      </c>
      <c r="H12" s="11">
        <v>909</v>
      </c>
      <c r="I12" s="18">
        <v>86</v>
      </c>
      <c r="J12" s="11">
        <v>129</v>
      </c>
      <c r="K12" s="33">
        <f t="shared" si="0"/>
        <v>4009</v>
      </c>
      <c r="L12" s="10">
        <f>766+276</f>
        <v>1042</v>
      </c>
      <c r="M12" s="10">
        <v>208</v>
      </c>
      <c r="N12" s="10"/>
      <c r="O12" s="11">
        <v>3</v>
      </c>
      <c r="P12" s="10"/>
      <c r="Q12" s="11">
        <v>278</v>
      </c>
      <c r="R12" s="30">
        <v>56</v>
      </c>
      <c r="S12" s="30">
        <f>28*3</f>
        <v>84</v>
      </c>
      <c r="T12" s="33">
        <f t="shared" si="1"/>
        <v>1671</v>
      </c>
      <c r="U12" s="10">
        <f>266+60</f>
        <v>326</v>
      </c>
      <c r="V12" s="10">
        <v>75</v>
      </c>
      <c r="W12" s="10"/>
      <c r="X12" s="11"/>
      <c r="Y12" s="10"/>
      <c r="Z12" s="11">
        <v>112</v>
      </c>
      <c r="AA12" s="30">
        <v>24</v>
      </c>
      <c r="AB12" s="30">
        <v>36</v>
      </c>
      <c r="AC12" s="33">
        <f t="shared" si="2"/>
        <v>573</v>
      </c>
      <c r="AD12" s="12">
        <f t="shared" si="3"/>
        <v>6253</v>
      </c>
      <c r="AE12" s="39"/>
      <c r="AF12" s="39"/>
      <c r="AG12" s="39"/>
      <c r="AH12" s="39"/>
      <c r="AI12" s="39"/>
      <c r="AJ12"/>
    </row>
    <row r="13" spans="1:36" x14ac:dyDescent="0.2">
      <c r="A13" s="5">
        <f>DAY(Kalenteri!A160)</f>
        <v>9</v>
      </c>
      <c r="B13" s="3" t="str">
        <f>IF(Kalenteri!B160=1,"su",IF(Kalenteri!B160=2,"ma",IF(Kalenteri!B160=3,"ti",IF(Kalenteri!B160=4,"ke",IF(Kalenteri!B160=5,"to",IF(Kalenteri!B160=6,"pe",IF(Kalenteri!B160=7,"la",)))))))</f>
        <v>su</v>
      </c>
      <c r="C13" s="18">
        <v>2001</v>
      </c>
      <c r="D13" s="10">
        <v>449</v>
      </c>
      <c r="E13" s="10">
        <v>4</v>
      </c>
      <c r="F13" s="11">
        <v>62</v>
      </c>
      <c r="G13" s="18">
        <v>87</v>
      </c>
      <c r="H13" s="11">
        <v>718</v>
      </c>
      <c r="I13" s="18">
        <v>56</v>
      </c>
      <c r="J13" s="11">
        <v>84</v>
      </c>
      <c r="K13" s="33">
        <f t="shared" si="0"/>
        <v>3461</v>
      </c>
      <c r="L13" s="10">
        <f>533+144</f>
        <v>677</v>
      </c>
      <c r="M13" s="10">
        <v>150</v>
      </c>
      <c r="N13" s="10"/>
      <c r="O13" s="11">
        <v>2</v>
      </c>
      <c r="P13" s="10"/>
      <c r="Q13" s="11">
        <v>171</v>
      </c>
      <c r="R13" s="30">
        <v>8</v>
      </c>
      <c r="S13" s="30">
        <v>12</v>
      </c>
      <c r="T13" s="33">
        <f t="shared" si="1"/>
        <v>1020</v>
      </c>
      <c r="U13" s="10">
        <f>165+51</f>
        <v>216</v>
      </c>
      <c r="V13" s="10">
        <v>48</v>
      </c>
      <c r="W13" s="10"/>
      <c r="X13" s="11">
        <v>1</v>
      </c>
      <c r="Y13" s="10"/>
      <c r="Z13" s="11">
        <v>80</v>
      </c>
      <c r="AA13" s="30">
        <v>42</v>
      </c>
      <c r="AB13" s="30">
        <v>63</v>
      </c>
      <c r="AC13" s="33">
        <f t="shared" si="2"/>
        <v>450</v>
      </c>
      <c r="AD13" s="12">
        <f t="shared" si="3"/>
        <v>4931</v>
      </c>
      <c r="AE13" s="39"/>
      <c r="AF13" s="39"/>
      <c r="AG13" s="39"/>
      <c r="AH13" s="39"/>
      <c r="AI13" s="39"/>
      <c r="AJ13"/>
    </row>
    <row r="14" spans="1:36" x14ac:dyDescent="0.2">
      <c r="A14" s="5">
        <f>DAY(Kalenteri!A161)</f>
        <v>10</v>
      </c>
      <c r="B14" s="3" t="str">
        <f>IF(Kalenteri!B161=1,"su",IF(Kalenteri!B161=2,"ma",IF(Kalenteri!B161=3,"ti",IF(Kalenteri!B161=4,"ke",IF(Kalenteri!B161=5,"to",IF(Kalenteri!B161=6,"pe",IF(Kalenteri!B161=7,"la",)))))))</f>
        <v>ma</v>
      </c>
      <c r="C14" s="18">
        <v>826</v>
      </c>
      <c r="D14" s="10">
        <v>321</v>
      </c>
      <c r="E14" s="10">
        <v>3</v>
      </c>
      <c r="F14" s="11">
        <v>20</v>
      </c>
      <c r="G14" s="18">
        <v>60</v>
      </c>
      <c r="H14" s="11">
        <v>399</v>
      </c>
      <c r="I14" s="18">
        <v>28</v>
      </c>
      <c r="J14" s="11">
        <v>42</v>
      </c>
      <c r="K14" s="33">
        <f t="shared" si="0"/>
        <v>1699</v>
      </c>
      <c r="L14" s="10">
        <v>352</v>
      </c>
      <c r="M14" s="10">
        <v>145</v>
      </c>
      <c r="N14" s="10"/>
      <c r="O14" s="11">
        <v>1</v>
      </c>
      <c r="P14" s="10"/>
      <c r="Q14" s="11">
        <v>74</v>
      </c>
      <c r="R14" s="30">
        <v>20</v>
      </c>
      <c r="S14" s="30">
        <v>30</v>
      </c>
      <c r="T14" s="33">
        <f t="shared" si="1"/>
        <v>622</v>
      </c>
      <c r="U14" s="10">
        <f>56+26</f>
        <v>82</v>
      </c>
      <c r="V14" s="10">
        <v>63</v>
      </c>
      <c r="W14" s="10"/>
      <c r="X14" s="11"/>
      <c r="Y14" s="10">
        <v>4</v>
      </c>
      <c r="Z14" s="11">
        <v>39</v>
      </c>
      <c r="AA14" s="30">
        <v>6</v>
      </c>
      <c r="AB14" s="30">
        <v>9</v>
      </c>
      <c r="AC14" s="33">
        <f t="shared" si="2"/>
        <v>203</v>
      </c>
      <c r="AD14" s="12">
        <f t="shared" si="3"/>
        <v>2524</v>
      </c>
      <c r="AE14" s="39"/>
      <c r="AF14" s="39"/>
      <c r="AG14" s="39"/>
      <c r="AH14" s="39"/>
      <c r="AI14" s="39"/>
      <c r="AJ14"/>
    </row>
    <row r="15" spans="1:36" x14ac:dyDescent="0.2">
      <c r="A15" s="5">
        <f>DAY(Kalenteri!A162)</f>
        <v>11</v>
      </c>
      <c r="B15" s="3" t="str">
        <f>IF(Kalenteri!B162=1,"su",IF(Kalenteri!B162=2,"ma",IF(Kalenteri!B162=3,"ti",IF(Kalenteri!B162=4,"ke",IF(Kalenteri!B162=5,"to",IF(Kalenteri!B162=6,"pe",IF(Kalenteri!B162=7,"la",)))))))</f>
        <v>ti</v>
      </c>
      <c r="C15" s="18">
        <v>659</v>
      </c>
      <c r="D15" s="10">
        <v>321</v>
      </c>
      <c r="E15" s="10"/>
      <c r="F15" s="11">
        <v>20</v>
      </c>
      <c r="G15" s="18">
        <v>56</v>
      </c>
      <c r="H15" s="11">
        <v>356</v>
      </c>
      <c r="I15" s="18">
        <v>64</v>
      </c>
      <c r="J15" s="11">
        <v>96</v>
      </c>
      <c r="K15" s="33">
        <f t="shared" si="0"/>
        <v>1572</v>
      </c>
      <c r="L15" s="10">
        <f>219+82</f>
        <v>301</v>
      </c>
      <c r="M15" s="10">
        <f>141</f>
        <v>141</v>
      </c>
      <c r="N15" s="10"/>
      <c r="O15" s="11">
        <v>1</v>
      </c>
      <c r="P15" s="10">
        <v>5</v>
      </c>
      <c r="Q15" s="11">
        <v>126</v>
      </c>
      <c r="R15" s="30">
        <v>24</v>
      </c>
      <c r="S15" s="30">
        <v>36</v>
      </c>
      <c r="T15" s="33">
        <f t="shared" si="1"/>
        <v>634</v>
      </c>
      <c r="U15" s="10">
        <f>39+43</f>
        <v>82</v>
      </c>
      <c r="V15" s="10">
        <v>29</v>
      </c>
      <c r="W15" s="10"/>
      <c r="X15" s="11"/>
      <c r="Y15" s="10"/>
      <c r="Z15" s="11">
        <v>22</v>
      </c>
      <c r="AA15" s="30">
        <v>4</v>
      </c>
      <c r="AB15" s="30">
        <v>6</v>
      </c>
      <c r="AC15" s="33">
        <f t="shared" si="2"/>
        <v>143</v>
      </c>
      <c r="AD15" s="12">
        <f t="shared" si="3"/>
        <v>2349</v>
      </c>
      <c r="AE15" s="39"/>
      <c r="AF15" s="39"/>
      <c r="AG15" s="39"/>
      <c r="AH15" s="39"/>
      <c r="AI15" s="39"/>
      <c r="AJ15"/>
    </row>
    <row r="16" spans="1:36" x14ac:dyDescent="0.2">
      <c r="A16" s="5">
        <f>DAY(Kalenteri!A163)</f>
        <v>12</v>
      </c>
      <c r="B16" s="3" t="str">
        <f>IF(Kalenteri!B163=1,"su",IF(Kalenteri!B163=2,"ma",IF(Kalenteri!B163=3,"ti",IF(Kalenteri!B163=4,"ke",IF(Kalenteri!B163=5,"to",IF(Kalenteri!B163=6,"pe",IF(Kalenteri!B163=7,"la",)))))))</f>
        <v>ke</v>
      </c>
      <c r="C16" s="18">
        <v>468</v>
      </c>
      <c r="D16" s="10">
        <v>399</v>
      </c>
      <c r="E16" s="10">
        <v>1</v>
      </c>
      <c r="F16" s="11">
        <v>6</v>
      </c>
      <c r="G16" s="18">
        <v>95</v>
      </c>
      <c r="H16" s="11">
        <v>302</v>
      </c>
      <c r="I16" s="18">
        <v>22</v>
      </c>
      <c r="J16" s="11">
        <v>33</v>
      </c>
      <c r="K16" s="33">
        <f t="shared" si="0"/>
        <v>1326</v>
      </c>
      <c r="L16" s="10">
        <f>209+48</f>
        <v>257</v>
      </c>
      <c r="M16" s="10">
        <v>133</v>
      </c>
      <c r="N16" s="10"/>
      <c r="O16" s="11"/>
      <c r="P16" s="10">
        <v>3</v>
      </c>
      <c r="Q16" s="11">
        <v>81</v>
      </c>
      <c r="R16" s="30">
        <v>18</v>
      </c>
      <c r="S16" s="30">
        <v>27</v>
      </c>
      <c r="T16" s="33">
        <f t="shared" si="1"/>
        <v>519</v>
      </c>
      <c r="U16" s="10">
        <v>66</v>
      </c>
      <c r="V16" s="10">
        <v>36</v>
      </c>
      <c r="W16" s="10"/>
      <c r="X16" s="11"/>
      <c r="Y16" s="10"/>
      <c r="Z16" s="11"/>
      <c r="AA16" s="30">
        <v>2</v>
      </c>
      <c r="AB16" s="30">
        <v>3</v>
      </c>
      <c r="AC16" s="33">
        <f t="shared" si="2"/>
        <v>107</v>
      </c>
      <c r="AD16" s="12">
        <f t="shared" si="3"/>
        <v>1952</v>
      </c>
      <c r="AE16" s="39"/>
      <c r="AF16" s="39"/>
      <c r="AG16" s="39"/>
      <c r="AH16" s="39"/>
      <c r="AI16" s="39"/>
      <c r="AJ16"/>
    </row>
    <row r="17" spans="1:36" x14ac:dyDescent="0.2">
      <c r="A17" s="5">
        <f>DAY(Kalenteri!A164)</f>
        <v>13</v>
      </c>
      <c r="B17" s="3" t="str">
        <f>IF(Kalenteri!B164=1,"su",IF(Kalenteri!B164=2,"ma",IF(Kalenteri!B164=3,"ti",IF(Kalenteri!B164=4,"ke",IF(Kalenteri!B164=5,"to",IF(Kalenteri!B164=6,"pe",IF(Kalenteri!B164=7,"la",)))))))</f>
        <v>to</v>
      </c>
      <c r="C17" s="18">
        <v>917</v>
      </c>
      <c r="D17" s="10">
        <v>515</v>
      </c>
      <c r="E17" s="10">
        <v>4</v>
      </c>
      <c r="F17" s="11">
        <v>18</v>
      </c>
      <c r="G17" s="18">
        <v>73</v>
      </c>
      <c r="H17" s="11">
        <v>483</v>
      </c>
      <c r="I17" s="18">
        <v>30</v>
      </c>
      <c r="J17" s="11">
        <v>45</v>
      </c>
      <c r="K17" s="33">
        <f t="shared" si="0"/>
        <v>2085</v>
      </c>
      <c r="L17" s="10">
        <f>262+125</f>
        <v>387</v>
      </c>
      <c r="M17" s="10">
        <v>165</v>
      </c>
      <c r="N17" s="10"/>
      <c r="O17" s="11">
        <v>1</v>
      </c>
      <c r="P17" s="10"/>
      <c r="Q17" s="11">
        <v>116</v>
      </c>
      <c r="R17" s="30">
        <v>16</v>
      </c>
      <c r="S17" s="30">
        <v>24</v>
      </c>
      <c r="T17" s="33">
        <f t="shared" si="1"/>
        <v>709</v>
      </c>
      <c r="U17" s="10">
        <v>124</v>
      </c>
      <c r="V17" s="10">
        <v>48</v>
      </c>
      <c r="W17" s="10"/>
      <c r="X17" s="11"/>
      <c r="Y17" s="10"/>
      <c r="Z17" s="11">
        <v>62</v>
      </c>
      <c r="AA17" s="30">
        <v>2</v>
      </c>
      <c r="AB17" s="30">
        <v>3</v>
      </c>
      <c r="AC17" s="33">
        <f t="shared" si="2"/>
        <v>239</v>
      </c>
      <c r="AD17" s="12">
        <f t="shared" si="3"/>
        <v>3033</v>
      </c>
      <c r="AE17" s="39"/>
      <c r="AF17" s="39"/>
      <c r="AG17" s="39"/>
      <c r="AH17" s="39"/>
      <c r="AI17" s="39"/>
      <c r="AJ17"/>
    </row>
    <row r="18" spans="1:36" x14ac:dyDescent="0.2">
      <c r="A18" s="5">
        <f>DAY(Kalenteri!A165)</f>
        <v>14</v>
      </c>
      <c r="B18" s="3" t="str">
        <f>IF(Kalenteri!B165=1,"su",IF(Kalenteri!B165=2,"ma",IF(Kalenteri!B165=3,"ti",IF(Kalenteri!B165=4,"ke",IF(Kalenteri!B165=5,"to",IF(Kalenteri!B165=6,"pe",IF(Kalenteri!B165=7,"la",)))))))</f>
        <v>pe</v>
      </c>
      <c r="C18" s="18">
        <v>135</v>
      </c>
      <c r="D18" s="10">
        <v>44</v>
      </c>
      <c r="E18" s="10">
        <f>-F182</f>
        <v>0</v>
      </c>
      <c r="F18" s="11">
        <v>2</v>
      </c>
      <c r="G18" s="18">
        <v>14</v>
      </c>
      <c r="H18" s="11">
        <v>47</v>
      </c>
      <c r="I18" s="18">
        <v>2</v>
      </c>
      <c r="J18" s="11">
        <v>3</v>
      </c>
      <c r="K18" s="33">
        <f t="shared" si="0"/>
        <v>247</v>
      </c>
      <c r="L18" s="10">
        <v>45</v>
      </c>
      <c r="M18" s="10">
        <v>9</v>
      </c>
      <c r="N18" s="10"/>
      <c r="O18" s="11"/>
      <c r="P18" s="10">
        <v>3</v>
      </c>
      <c r="Q18" s="11">
        <v>25</v>
      </c>
      <c r="R18" s="30">
        <v>2</v>
      </c>
      <c r="S18" s="30">
        <v>3</v>
      </c>
      <c r="T18" s="33">
        <f t="shared" si="1"/>
        <v>87</v>
      </c>
      <c r="U18" s="10">
        <v>120</v>
      </c>
      <c r="V18" s="10">
        <v>24</v>
      </c>
      <c r="W18" s="10"/>
      <c r="X18" s="11"/>
      <c r="Y18" s="10"/>
      <c r="Z18" s="11">
        <v>3</v>
      </c>
      <c r="AA18" s="30"/>
      <c r="AB18" s="30"/>
      <c r="AC18" s="33">
        <f t="shared" si="2"/>
        <v>147</v>
      </c>
      <c r="AD18" s="12">
        <f t="shared" si="3"/>
        <v>481</v>
      </c>
      <c r="AE18" s="39"/>
      <c r="AF18" s="39"/>
      <c r="AG18" s="39"/>
      <c r="AH18" s="39"/>
      <c r="AI18" s="39"/>
      <c r="AJ18"/>
    </row>
    <row r="19" spans="1:36" x14ac:dyDescent="0.2">
      <c r="A19" s="5">
        <f>DAY(Kalenteri!A166)</f>
        <v>15</v>
      </c>
      <c r="B19" s="3" t="str">
        <f>IF(Kalenteri!B166=1,"su",IF(Kalenteri!B166=2,"ma",IF(Kalenteri!B166=3,"ti",IF(Kalenteri!B166=4,"ke",IF(Kalenteri!B166=5,"to",IF(Kalenteri!B166=6,"pe",IF(Kalenteri!B166=7,"la",)))))))</f>
        <v>la</v>
      </c>
      <c r="C19" s="18">
        <v>2304</v>
      </c>
      <c r="D19" s="10">
        <v>540</v>
      </c>
      <c r="E19" s="10">
        <v>1</v>
      </c>
      <c r="F19" s="11">
        <v>33</v>
      </c>
      <c r="G19" s="18">
        <v>25</v>
      </c>
      <c r="H19" s="11">
        <v>845</v>
      </c>
      <c r="I19" s="18">
        <v>38</v>
      </c>
      <c r="J19" s="11">
        <v>57</v>
      </c>
      <c r="K19" s="33">
        <f t="shared" si="0"/>
        <v>3843</v>
      </c>
      <c r="L19" s="10">
        <f>793+161</f>
        <v>954</v>
      </c>
      <c r="M19" s="10">
        <v>237</v>
      </c>
      <c r="N19" s="10"/>
      <c r="O19" s="11">
        <v>4</v>
      </c>
      <c r="P19" s="10"/>
      <c r="Q19" s="11">
        <v>203</v>
      </c>
      <c r="R19" s="30">
        <v>40</v>
      </c>
      <c r="S19" s="30">
        <v>60</v>
      </c>
      <c r="T19" s="33">
        <f t="shared" si="1"/>
        <v>1498</v>
      </c>
      <c r="U19" s="10">
        <v>302</v>
      </c>
      <c r="V19" s="10">
        <v>90</v>
      </c>
      <c r="W19" s="10"/>
      <c r="X19" s="11"/>
      <c r="Y19" s="10"/>
      <c r="Z19" s="11"/>
      <c r="AA19" s="30">
        <v>2</v>
      </c>
      <c r="AB19" s="30">
        <v>3</v>
      </c>
      <c r="AC19" s="33">
        <f t="shared" si="2"/>
        <v>397</v>
      </c>
      <c r="AD19" s="12">
        <f t="shared" si="3"/>
        <v>5738</v>
      </c>
      <c r="AE19" s="39"/>
      <c r="AF19" s="39"/>
      <c r="AG19" s="39"/>
      <c r="AH19" s="39"/>
      <c r="AI19" s="39"/>
      <c r="AJ19"/>
    </row>
    <row r="20" spans="1:36" x14ac:dyDescent="0.2">
      <c r="A20" s="5">
        <f>DAY(Kalenteri!A167)</f>
        <v>16</v>
      </c>
      <c r="B20" s="3" t="str">
        <f>IF(Kalenteri!B167=1,"su",IF(Kalenteri!B167=2,"ma",IF(Kalenteri!B167=3,"ti",IF(Kalenteri!B167=4,"ke",IF(Kalenteri!B167=5,"to",IF(Kalenteri!B167=6,"pe",IF(Kalenteri!B167=7,"la",)))))))</f>
        <v>su</v>
      </c>
      <c r="C20" s="18">
        <v>1058</v>
      </c>
      <c r="D20" s="10">
        <v>314</v>
      </c>
      <c r="E20" s="10">
        <v>2</v>
      </c>
      <c r="F20" s="11">
        <v>27</v>
      </c>
      <c r="G20" s="18">
        <v>16</v>
      </c>
      <c r="H20" s="11">
        <v>423</v>
      </c>
      <c r="I20" s="18">
        <v>38</v>
      </c>
      <c r="J20" s="11">
        <v>57</v>
      </c>
      <c r="K20" s="33">
        <f t="shared" si="0"/>
        <v>1935</v>
      </c>
      <c r="L20" s="10">
        <f>280+60</f>
        <v>340</v>
      </c>
      <c r="M20" s="10">
        <v>98</v>
      </c>
      <c r="N20" s="10"/>
      <c r="O20" s="11">
        <v>2</v>
      </c>
      <c r="P20" s="10"/>
      <c r="Q20" s="11">
        <v>86</v>
      </c>
      <c r="R20" s="30">
        <v>38</v>
      </c>
      <c r="S20" s="30">
        <v>57</v>
      </c>
      <c r="T20" s="33">
        <f t="shared" si="1"/>
        <v>621</v>
      </c>
      <c r="U20" s="10">
        <v>72</v>
      </c>
      <c r="V20" s="10">
        <v>34</v>
      </c>
      <c r="W20" s="10"/>
      <c r="X20" s="11"/>
      <c r="Y20" s="10"/>
      <c r="Z20" s="11">
        <v>34</v>
      </c>
      <c r="AA20" s="30">
        <v>6</v>
      </c>
      <c r="AB20" s="30">
        <v>9</v>
      </c>
      <c r="AC20" s="33">
        <f t="shared" si="2"/>
        <v>155</v>
      </c>
      <c r="AD20" s="12">
        <f t="shared" si="3"/>
        <v>2711</v>
      </c>
      <c r="AE20" s="39"/>
      <c r="AF20" s="39"/>
      <c r="AG20" s="39"/>
      <c r="AH20" s="39"/>
      <c r="AI20" s="39"/>
      <c r="AJ20"/>
    </row>
    <row r="21" spans="1:36" x14ac:dyDescent="0.2">
      <c r="A21" s="5">
        <f>DAY(Kalenteri!A168)</f>
        <v>17</v>
      </c>
      <c r="B21" s="3" t="str">
        <f>IF(Kalenteri!B168=1,"su",IF(Kalenteri!B168=2,"ma",IF(Kalenteri!B168=3,"ti",IF(Kalenteri!B168=4,"ke",IF(Kalenteri!B168=5,"to",IF(Kalenteri!B168=6,"pe",IF(Kalenteri!B168=7,"la",)))))))</f>
        <v>ma</v>
      </c>
      <c r="C21" s="18">
        <v>450</v>
      </c>
      <c r="D21" s="10">
        <v>335</v>
      </c>
      <c r="E21" s="10">
        <v>6</v>
      </c>
      <c r="F21" s="11">
        <v>11</v>
      </c>
      <c r="G21" s="18">
        <v>84</v>
      </c>
      <c r="H21" s="11">
        <v>332</v>
      </c>
      <c r="I21" s="18">
        <v>14</v>
      </c>
      <c r="J21" s="11">
        <v>21</v>
      </c>
      <c r="K21" s="33">
        <f t="shared" si="0"/>
        <v>1253</v>
      </c>
      <c r="L21" s="10">
        <v>193</v>
      </c>
      <c r="M21" s="10">
        <v>101</v>
      </c>
      <c r="N21" s="10"/>
      <c r="O21" s="11"/>
      <c r="P21" s="10">
        <v>3</v>
      </c>
      <c r="Q21" s="11">
        <v>87</v>
      </c>
      <c r="R21" s="30">
        <v>14</v>
      </c>
      <c r="S21" s="30">
        <v>21</v>
      </c>
      <c r="T21" s="33">
        <f t="shared" si="1"/>
        <v>419</v>
      </c>
      <c r="U21" s="10">
        <v>46</v>
      </c>
      <c r="V21" s="10">
        <v>17</v>
      </c>
      <c r="W21" s="10"/>
      <c r="X21" s="11"/>
      <c r="Y21" s="10">
        <v>2</v>
      </c>
      <c r="Z21" s="11">
        <v>24</v>
      </c>
      <c r="AA21" s="30"/>
      <c r="AB21" s="30"/>
      <c r="AC21" s="33">
        <f t="shared" si="2"/>
        <v>89</v>
      </c>
      <c r="AD21" s="12">
        <f t="shared" si="3"/>
        <v>1761</v>
      </c>
      <c r="AE21" s="39"/>
      <c r="AF21" s="39"/>
      <c r="AG21" s="39"/>
      <c r="AH21" s="39"/>
      <c r="AI21" s="39"/>
      <c r="AJ21"/>
    </row>
    <row r="22" spans="1:36" x14ac:dyDescent="0.2">
      <c r="A22" s="5">
        <f>DAY(Kalenteri!A169)</f>
        <v>18</v>
      </c>
      <c r="B22" s="3" t="str">
        <f>IF(Kalenteri!B169=1,"su",IF(Kalenteri!B169=2,"ma",IF(Kalenteri!B169=3,"ti",IF(Kalenteri!B169=4,"ke",IF(Kalenteri!B169=5,"to",IF(Kalenteri!B169=6,"pe",IF(Kalenteri!B169=7,"la",)))))))</f>
        <v>ti</v>
      </c>
      <c r="C22" s="18">
        <v>1165</v>
      </c>
      <c r="D22" s="10">
        <v>539</v>
      </c>
      <c r="E22" s="10">
        <v>3</v>
      </c>
      <c r="F22" s="11">
        <v>18</v>
      </c>
      <c r="G22" s="18">
        <v>96</v>
      </c>
      <c r="H22" s="11">
        <v>546</v>
      </c>
      <c r="I22" s="18">
        <v>32</v>
      </c>
      <c r="J22" s="11">
        <v>48</v>
      </c>
      <c r="K22" s="33">
        <f t="shared" si="0"/>
        <v>2447</v>
      </c>
      <c r="L22" s="10">
        <v>479</v>
      </c>
      <c r="M22" s="10">
        <v>245</v>
      </c>
      <c r="N22" s="10"/>
      <c r="O22" s="11"/>
      <c r="P22" s="10">
        <v>8</v>
      </c>
      <c r="Q22" s="11">
        <v>96</v>
      </c>
      <c r="R22" s="30">
        <v>24</v>
      </c>
      <c r="S22" s="30">
        <v>36</v>
      </c>
      <c r="T22" s="33">
        <f t="shared" si="1"/>
        <v>888</v>
      </c>
      <c r="U22" s="10">
        <v>116</v>
      </c>
      <c r="V22" s="10">
        <v>76</v>
      </c>
      <c r="W22" s="10"/>
      <c r="X22" s="11"/>
      <c r="Y22" s="10">
        <v>20</v>
      </c>
      <c r="Z22" s="11">
        <v>97</v>
      </c>
      <c r="AA22" s="30">
        <v>2</v>
      </c>
      <c r="AB22" s="30">
        <v>3</v>
      </c>
      <c r="AC22" s="33">
        <f t="shared" si="2"/>
        <v>314</v>
      </c>
      <c r="AD22" s="12">
        <f t="shared" si="3"/>
        <v>3649</v>
      </c>
      <c r="AE22" s="39"/>
      <c r="AF22" s="39"/>
      <c r="AG22" s="39"/>
      <c r="AH22" s="39"/>
      <c r="AI22" s="39"/>
      <c r="AJ22"/>
    </row>
    <row r="23" spans="1:36" x14ac:dyDescent="0.2">
      <c r="A23" s="5">
        <f>DAY(Kalenteri!A170)</f>
        <v>19</v>
      </c>
      <c r="B23" s="3" t="str">
        <f>IF(Kalenteri!B170=1,"su",IF(Kalenteri!B170=2,"ma",IF(Kalenteri!B170=3,"ti",IF(Kalenteri!B170=4,"ke",IF(Kalenteri!B170=5,"to",IF(Kalenteri!B170=6,"pe",IF(Kalenteri!B170=7,"la",)))))))</f>
        <v>ke</v>
      </c>
      <c r="C23" s="18">
        <v>963</v>
      </c>
      <c r="D23" s="10">
        <v>427</v>
      </c>
      <c r="E23" s="10">
        <v>2</v>
      </c>
      <c r="F23" s="11">
        <v>16</v>
      </c>
      <c r="G23" s="18">
        <v>47</v>
      </c>
      <c r="H23" s="11">
        <v>435</v>
      </c>
      <c r="I23" s="18">
        <v>42</v>
      </c>
      <c r="J23" s="11">
        <v>63</v>
      </c>
      <c r="K23" s="33">
        <f t="shared" si="0"/>
        <v>1995</v>
      </c>
      <c r="L23" s="10">
        <f>341+89</f>
        <v>430</v>
      </c>
      <c r="M23" s="10">
        <v>220</v>
      </c>
      <c r="N23" s="10"/>
      <c r="O23" s="11"/>
      <c r="P23" s="10">
        <v>5</v>
      </c>
      <c r="Q23" s="11">
        <v>134</v>
      </c>
      <c r="R23" s="30">
        <v>16</v>
      </c>
      <c r="S23" s="30">
        <v>24</v>
      </c>
      <c r="T23" s="33">
        <f t="shared" si="1"/>
        <v>829</v>
      </c>
      <c r="U23" s="10">
        <f>44+24</f>
        <v>68</v>
      </c>
      <c r="V23" s="10">
        <v>58</v>
      </c>
      <c r="W23" s="10"/>
      <c r="X23" s="11"/>
      <c r="Y23" s="10"/>
      <c r="Z23" s="11">
        <v>59</v>
      </c>
      <c r="AA23" s="30">
        <v>2</v>
      </c>
      <c r="AB23" s="30">
        <v>3</v>
      </c>
      <c r="AC23" s="33">
        <f t="shared" si="2"/>
        <v>190</v>
      </c>
      <c r="AD23" s="12">
        <f t="shared" si="3"/>
        <v>3014</v>
      </c>
      <c r="AE23" s="39"/>
      <c r="AF23" s="39"/>
      <c r="AG23" s="39"/>
      <c r="AH23" s="39"/>
      <c r="AI23" s="39"/>
      <c r="AJ23"/>
    </row>
    <row r="24" spans="1:36" x14ac:dyDescent="0.2">
      <c r="A24" s="5">
        <f>DAY(Kalenteri!A171)</f>
        <v>20</v>
      </c>
      <c r="B24" s="3" t="str">
        <f>IF(Kalenteri!B171=1,"su",IF(Kalenteri!B171=2,"ma",IF(Kalenteri!B171=3,"ti",IF(Kalenteri!B171=4,"ke",IF(Kalenteri!B171=5,"to",IF(Kalenteri!B171=6,"pe",IF(Kalenteri!B171=7,"la",)))))))</f>
        <v>to</v>
      </c>
      <c r="C24" s="18">
        <v>347</v>
      </c>
      <c r="D24" s="10">
        <v>132</v>
      </c>
      <c r="E24" s="10"/>
      <c r="F24" s="11">
        <v>10</v>
      </c>
      <c r="G24" s="18">
        <v>20</v>
      </c>
      <c r="H24" s="11">
        <v>132</v>
      </c>
      <c r="I24" s="18">
        <v>21</v>
      </c>
      <c r="J24" s="11">
        <v>30</v>
      </c>
      <c r="K24" s="33">
        <f t="shared" si="0"/>
        <v>692</v>
      </c>
      <c r="L24" s="10">
        <v>138</v>
      </c>
      <c r="M24" s="10">
        <v>66</v>
      </c>
      <c r="N24" s="10"/>
      <c r="O24" s="11">
        <v>1</v>
      </c>
      <c r="P24" s="10">
        <v>34</v>
      </c>
      <c r="Q24" s="11"/>
      <c r="R24" s="30">
        <v>4</v>
      </c>
      <c r="S24" s="30">
        <v>6</v>
      </c>
      <c r="T24" s="33">
        <f t="shared" si="1"/>
        <v>249</v>
      </c>
      <c r="U24" s="10">
        <v>27</v>
      </c>
      <c r="V24" s="10">
        <v>10</v>
      </c>
      <c r="W24" s="10"/>
      <c r="X24" s="11"/>
      <c r="Y24" s="10">
        <v>2</v>
      </c>
      <c r="Z24" s="11">
        <v>15</v>
      </c>
      <c r="AA24" s="30">
        <v>2</v>
      </c>
      <c r="AB24" s="30">
        <v>3</v>
      </c>
      <c r="AC24" s="33">
        <f t="shared" si="2"/>
        <v>59</v>
      </c>
      <c r="AD24" s="12">
        <f t="shared" si="3"/>
        <v>1000</v>
      </c>
      <c r="AE24" s="39"/>
      <c r="AF24" s="39"/>
      <c r="AG24" s="39"/>
      <c r="AH24" s="39"/>
      <c r="AI24" s="39"/>
      <c r="AJ24" s="39"/>
    </row>
    <row r="25" spans="1:36" x14ac:dyDescent="0.2">
      <c r="A25" s="5">
        <f>DAY(Kalenteri!A172)</f>
        <v>21</v>
      </c>
      <c r="B25" s="3" t="str">
        <f>IF(Kalenteri!B172=1,"su",IF(Kalenteri!B172=2,"ma",IF(Kalenteri!B172=3,"ti",IF(Kalenteri!B172=4,"ke",IF(Kalenteri!B172=5,"to",IF(Kalenteri!B172=6,"pe",IF(Kalenteri!B172=7,"la",)))))))</f>
        <v>pe</v>
      </c>
      <c r="C25" s="18">
        <v>1022</v>
      </c>
      <c r="D25" s="10">
        <v>221</v>
      </c>
      <c r="E25" s="10">
        <v>2</v>
      </c>
      <c r="F25" s="11">
        <v>14</v>
      </c>
      <c r="G25" s="18">
        <v>9</v>
      </c>
      <c r="H25" s="11">
        <v>351</v>
      </c>
      <c r="I25" s="18">
        <v>18</v>
      </c>
      <c r="J25" s="11">
        <v>25</v>
      </c>
      <c r="K25" s="33">
        <f t="shared" si="0"/>
        <v>1662</v>
      </c>
      <c r="L25" s="10">
        <v>327</v>
      </c>
      <c r="M25" s="10">
        <v>56</v>
      </c>
      <c r="N25" s="10"/>
      <c r="O25" s="11"/>
      <c r="P25" s="10"/>
      <c r="Q25" s="11">
        <v>75</v>
      </c>
      <c r="R25" s="30">
        <v>40</v>
      </c>
      <c r="S25" s="30">
        <v>60</v>
      </c>
      <c r="T25" s="33">
        <f t="shared" si="1"/>
        <v>558</v>
      </c>
      <c r="U25" s="10">
        <v>108</v>
      </c>
      <c r="V25" s="10">
        <v>18</v>
      </c>
      <c r="W25" s="10"/>
      <c r="X25" s="11"/>
      <c r="Y25" s="10"/>
      <c r="Z25" s="11">
        <v>33</v>
      </c>
      <c r="AA25" s="30">
        <v>4</v>
      </c>
      <c r="AB25" s="30">
        <v>6</v>
      </c>
      <c r="AC25" s="33">
        <f t="shared" si="2"/>
        <v>169</v>
      </c>
      <c r="AD25" s="12">
        <f t="shared" si="3"/>
        <v>2389</v>
      </c>
      <c r="AE25" s="39"/>
      <c r="AF25" s="39"/>
      <c r="AG25" s="39"/>
      <c r="AH25" s="39"/>
      <c r="AI25" s="39"/>
      <c r="AJ25" s="39"/>
    </row>
    <row r="26" spans="1:36" x14ac:dyDescent="0.2">
      <c r="A26" s="5">
        <f>DAY(Kalenteri!A173)</f>
        <v>22</v>
      </c>
      <c r="B26" s="3" t="str">
        <f>IF(Kalenteri!B173=1,"su",IF(Kalenteri!B173=2,"ma",IF(Kalenteri!B173=3,"ti",IF(Kalenteri!B173=4,"ke",IF(Kalenteri!B173=5,"to",IF(Kalenteri!B173=6,"pe",IF(Kalenteri!B173=7,"la",)))))))</f>
        <v>la</v>
      </c>
      <c r="C26" s="18">
        <v>1091</v>
      </c>
      <c r="D26" s="10">
        <v>241</v>
      </c>
      <c r="E26" s="10">
        <v>3</v>
      </c>
      <c r="F26" s="11">
        <v>19</v>
      </c>
      <c r="G26" s="18">
        <v>20</v>
      </c>
      <c r="H26" s="11">
        <v>379</v>
      </c>
      <c r="I26" s="18">
        <v>34</v>
      </c>
      <c r="J26" s="11">
        <v>51</v>
      </c>
      <c r="K26" s="33">
        <f t="shared" si="0"/>
        <v>1838</v>
      </c>
      <c r="L26" s="10">
        <v>328</v>
      </c>
      <c r="M26" s="10">
        <v>53</v>
      </c>
      <c r="N26" s="10"/>
      <c r="O26" s="11"/>
      <c r="P26" s="10"/>
      <c r="Q26" s="11">
        <v>81</v>
      </c>
      <c r="R26" s="30">
        <v>28</v>
      </c>
      <c r="S26" s="30">
        <v>42</v>
      </c>
      <c r="T26" s="33">
        <f t="shared" si="1"/>
        <v>532</v>
      </c>
      <c r="U26" s="10">
        <v>102</v>
      </c>
      <c r="V26" s="10">
        <v>23</v>
      </c>
      <c r="W26" s="10"/>
      <c r="X26" s="11"/>
      <c r="Y26" s="10"/>
      <c r="Z26" s="11">
        <v>33</v>
      </c>
      <c r="AA26" s="30"/>
      <c r="AB26" s="30"/>
      <c r="AC26" s="33">
        <f t="shared" si="2"/>
        <v>158</v>
      </c>
      <c r="AD26" s="12">
        <f t="shared" si="3"/>
        <v>2528</v>
      </c>
      <c r="AE26" s="39"/>
      <c r="AF26" s="39"/>
      <c r="AG26" s="39"/>
      <c r="AH26" s="39"/>
      <c r="AI26" s="39"/>
      <c r="AJ26" s="39"/>
    </row>
    <row r="27" spans="1:36" x14ac:dyDescent="0.2">
      <c r="A27" s="5">
        <f>DAY(Kalenteri!A174)</f>
        <v>23</v>
      </c>
      <c r="B27" s="3" t="str">
        <f>IF(Kalenteri!B174=1,"su",IF(Kalenteri!B174=2,"ma",IF(Kalenteri!B174=3,"ti",IF(Kalenteri!B174=4,"ke",IF(Kalenteri!B174=5,"to",IF(Kalenteri!B174=6,"pe",IF(Kalenteri!B174=7,"la",)))))))</f>
        <v>su</v>
      </c>
      <c r="C27" s="18">
        <v>1633</v>
      </c>
      <c r="D27" s="10">
        <v>375</v>
      </c>
      <c r="E27" s="10">
        <v>2</v>
      </c>
      <c r="F27" s="11">
        <v>32</v>
      </c>
      <c r="G27" s="18">
        <v>24</v>
      </c>
      <c r="H27" s="11">
        <v>624</v>
      </c>
      <c r="I27" s="18">
        <v>56</v>
      </c>
      <c r="J27" s="11">
        <v>84</v>
      </c>
      <c r="K27" s="33">
        <f t="shared" si="0"/>
        <v>2830</v>
      </c>
      <c r="L27" s="10">
        <v>414</v>
      </c>
      <c r="M27" s="10">
        <v>83</v>
      </c>
      <c r="N27" s="10"/>
      <c r="O27" s="11"/>
      <c r="P27" s="10"/>
      <c r="Q27" s="11">
        <v>83</v>
      </c>
      <c r="R27" s="30">
        <v>38</v>
      </c>
      <c r="S27" s="30">
        <v>57</v>
      </c>
      <c r="T27" s="33">
        <f t="shared" si="1"/>
        <v>675</v>
      </c>
      <c r="U27" s="10">
        <v>130</v>
      </c>
      <c r="V27" s="10">
        <v>35</v>
      </c>
      <c r="W27" s="10"/>
      <c r="X27" s="11"/>
      <c r="Y27" s="10"/>
      <c r="Z27" s="11">
        <v>48</v>
      </c>
      <c r="AA27" s="30">
        <v>14</v>
      </c>
      <c r="AB27" s="30">
        <v>21</v>
      </c>
      <c r="AC27" s="33">
        <f t="shared" si="2"/>
        <v>248</v>
      </c>
      <c r="AD27" s="12">
        <f t="shared" si="3"/>
        <v>3753</v>
      </c>
      <c r="AE27" s="39"/>
      <c r="AF27" s="39"/>
      <c r="AG27" s="39"/>
      <c r="AH27" s="39"/>
      <c r="AI27" s="39"/>
      <c r="AJ27" s="39"/>
    </row>
    <row r="28" spans="1:36" x14ac:dyDescent="0.2">
      <c r="A28" s="5">
        <f>DAY(Kalenteri!A175)</f>
        <v>24</v>
      </c>
      <c r="B28" s="3" t="str">
        <f>IF(Kalenteri!B175=1,"su",IF(Kalenteri!B175=2,"ma",IF(Kalenteri!B175=3,"ti",IF(Kalenteri!B175=4,"ke",IF(Kalenteri!B175=5,"to",IF(Kalenteri!B175=6,"pe",IF(Kalenteri!B175=7,"la",)))))))</f>
        <v>ma</v>
      </c>
      <c r="C28" s="18">
        <v>881</v>
      </c>
      <c r="D28" s="10">
        <v>293</v>
      </c>
      <c r="E28" s="10"/>
      <c r="F28" s="11">
        <v>16</v>
      </c>
      <c r="G28" s="18">
        <v>14</v>
      </c>
      <c r="H28" s="11">
        <v>340</v>
      </c>
      <c r="I28" s="18">
        <v>32</v>
      </c>
      <c r="J28" s="11">
        <v>48</v>
      </c>
      <c r="K28" s="33">
        <f t="shared" si="0"/>
        <v>1624</v>
      </c>
      <c r="L28" s="10">
        <f>312+83</f>
        <v>395</v>
      </c>
      <c r="M28" s="10">
        <v>149</v>
      </c>
      <c r="N28" s="10"/>
      <c r="O28" s="11"/>
      <c r="P28" s="10"/>
      <c r="Q28" s="11">
        <v>122</v>
      </c>
      <c r="R28" s="30">
        <v>34</v>
      </c>
      <c r="S28" s="30">
        <v>51</v>
      </c>
      <c r="T28" s="33">
        <f t="shared" si="1"/>
        <v>751</v>
      </c>
      <c r="U28" s="10">
        <f>95+21</f>
        <v>116</v>
      </c>
      <c r="V28" s="10">
        <v>33</v>
      </c>
      <c r="W28" s="10"/>
      <c r="X28" s="11"/>
      <c r="Y28" s="10"/>
      <c r="Z28" s="11">
        <v>45</v>
      </c>
      <c r="AA28" s="30"/>
      <c r="AB28" s="30"/>
      <c r="AC28" s="33">
        <f t="shared" si="2"/>
        <v>194</v>
      </c>
      <c r="AD28" s="12">
        <f t="shared" si="3"/>
        <v>2569</v>
      </c>
      <c r="AE28" s="39"/>
      <c r="AF28" s="39"/>
      <c r="AG28" s="39"/>
      <c r="AH28" s="39"/>
      <c r="AI28" s="39"/>
      <c r="AJ28" s="39"/>
    </row>
    <row r="29" spans="1:36" x14ac:dyDescent="0.2">
      <c r="A29" s="5">
        <f>DAY(Kalenteri!A176)</f>
        <v>25</v>
      </c>
      <c r="B29" s="3" t="str">
        <f>IF(Kalenteri!B176=1,"su",IF(Kalenteri!B176=2,"ma",IF(Kalenteri!B176=3,"ti",IF(Kalenteri!B176=4,"ke",IF(Kalenteri!B176=5,"to",IF(Kalenteri!B176=6,"pe",IF(Kalenteri!B176=7,"la",)))))))</f>
        <v>ti</v>
      </c>
      <c r="C29" s="18">
        <v>1088</v>
      </c>
      <c r="D29" s="10">
        <v>403</v>
      </c>
      <c r="E29" s="10"/>
      <c r="F29" s="11">
        <v>17</v>
      </c>
      <c r="G29" s="18">
        <v>57</v>
      </c>
      <c r="H29" s="11">
        <v>460</v>
      </c>
      <c r="I29" s="18">
        <v>28</v>
      </c>
      <c r="J29" s="11">
        <v>40</v>
      </c>
      <c r="K29" s="33">
        <f t="shared" si="0"/>
        <v>2093</v>
      </c>
      <c r="L29" s="10">
        <v>503</v>
      </c>
      <c r="M29" s="10">
        <v>191</v>
      </c>
      <c r="N29" s="10"/>
      <c r="O29" s="11"/>
      <c r="P29" s="10"/>
      <c r="Q29" s="11">
        <v>125</v>
      </c>
      <c r="R29" s="30">
        <v>34</v>
      </c>
      <c r="S29" s="30">
        <v>51</v>
      </c>
      <c r="T29" s="33">
        <f t="shared" si="1"/>
        <v>904</v>
      </c>
      <c r="U29" s="10">
        <v>143</v>
      </c>
      <c r="V29" s="10">
        <v>63</v>
      </c>
      <c r="W29" s="10"/>
      <c r="X29" s="11"/>
      <c r="Y29" s="10"/>
      <c r="Z29" s="11">
        <v>55</v>
      </c>
      <c r="AA29" s="30">
        <v>18</v>
      </c>
      <c r="AB29" s="30">
        <v>27</v>
      </c>
      <c r="AC29" s="33">
        <f t="shared" si="2"/>
        <v>306</v>
      </c>
      <c r="AD29" s="12">
        <f t="shared" si="3"/>
        <v>3303</v>
      </c>
      <c r="AE29" s="39"/>
      <c r="AF29" s="39"/>
      <c r="AG29" s="39"/>
      <c r="AH29" s="39"/>
      <c r="AI29" s="39"/>
      <c r="AJ29" s="39"/>
    </row>
    <row r="30" spans="1:36" x14ac:dyDescent="0.2">
      <c r="A30" s="5">
        <f>DAY(Kalenteri!A177)</f>
        <v>26</v>
      </c>
      <c r="B30" s="3" t="str">
        <f>IF(Kalenteri!B177=1,"su",IF(Kalenteri!B177=2,"ma",IF(Kalenteri!B177=3,"ti",IF(Kalenteri!B177=4,"ke",IF(Kalenteri!B177=5,"to",IF(Kalenteri!B177=6,"pe",IF(Kalenteri!B177=7,"la",)))))))</f>
        <v>ke</v>
      </c>
      <c r="C30" s="18">
        <v>1085</v>
      </c>
      <c r="D30" s="10">
        <v>370</v>
      </c>
      <c r="E30" s="10">
        <v>6</v>
      </c>
      <c r="F30" s="11">
        <v>30</v>
      </c>
      <c r="G30" s="18">
        <v>58</v>
      </c>
      <c r="H30" s="11">
        <v>430</v>
      </c>
      <c r="I30" s="18">
        <v>34</v>
      </c>
      <c r="J30" s="11">
        <v>51</v>
      </c>
      <c r="K30" s="33">
        <f t="shared" si="0"/>
        <v>2064</v>
      </c>
      <c r="L30" s="10">
        <v>589</v>
      </c>
      <c r="M30" s="10">
        <v>210</v>
      </c>
      <c r="N30" s="10"/>
      <c r="O30" s="11"/>
      <c r="P30" s="10"/>
      <c r="Q30" s="11">
        <v>180</v>
      </c>
      <c r="R30" s="30">
        <v>44</v>
      </c>
      <c r="S30" s="30">
        <v>66</v>
      </c>
      <c r="T30" s="33">
        <f t="shared" si="1"/>
        <v>1089</v>
      </c>
      <c r="U30" s="10">
        <v>134</v>
      </c>
      <c r="V30" s="10">
        <v>79</v>
      </c>
      <c r="W30" s="10"/>
      <c r="X30" s="11"/>
      <c r="Y30" s="10"/>
      <c r="Z30" s="11">
        <v>57</v>
      </c>
      <c r="AA30" s="30">
        <v>10</v>
      </c>
      <c r="AB30" s="30">
        <v>15</v>
      </c>
      <c r="AC30" s="33">
        <f t="shared" si="2"/>
        <v>295</v>
      </c>
      <c r="AD30" s="12">
        <f t="shared" si="3"/>
        <v>3448</v>
      </c>
      <c r="AE30" s="39"/>
      <c r="AF30" s="39"/>
      <c r="AG30" s="39"/>
      <c r="AH30" s="39"/>
      <c r="AI30" s="39"/>
      <c r="AJ30" s="39"/>
    </row>
    <row r="31" spans="1:36" x14ac:dyDescent="0.2">
      <c r="A31" s="5">
        <f>DAY(Kalenteri!A178)</f>
        <v>27</v>
      </c>
      <c r="B31" s="3" t="str">
        <f>IF(Kalenteri!B178=1,"su",IF(Kalenteri!B178=2,"ma",IF(Kalenteri!B178=3,"ti",IF(Kalenteri!B178=4,"ke",IF(Kalenteri!B178=5,"to",IF(Kalenteri!B178=6,"pe",IF(Kalenteri!B178=7,"la",)))))))</f>
        <v>to</v>
      </c>
      <c r="C31" s="18">
        <v>598</v>
      </c>
      <c r="D31" s="10">
        <v>235</v>
      </c>
      <c r="E31" s="10">
        <v>2</v>
      </c>
      <c r="F31" s="11">
        <v>12</v>
      </c>
      <c r="G31" s="18">
        <v>29</v>
      </c>
      <c r="H31" s="11">
        <v>230</v>
      </c>
      <c r="I31" s="18">
        <v>16</v>
      </c>
      <c r="J31" s="11">
        <v>24</v>
      </c>
      <c r="K31" s="33">
        <f t="shared" si="0"/>
        <v>1146</v>
      </c>
      <c r="L31" s="10">
        <v>235</v>
      </c>
      <c r="M31" s="10">
        <v>80</v>
      </c>
      <c r="N31" s="10"/>
      <c r="O31" s="11"/>
      <c r="P31" s="10"/>
      <c r="Q31" s="11">
        <v>66</v>
      </c>
      <c r="R31" s="30">
        <v>24</v>
      </c>
      <c r="S31" s="30">
        <v>36</v>
      </c>
      <c r="T31" s="33">
        <f t="shared" si="1"/>
        <v>441</v>
      </c>
      <c r="U31" s="10">
        <v>73</v>
      </c>
      <c r="V31" s="10">
        <v>31</v>
      </c>
      <c r="W31" s="10"/>
      <c r="X31" s="11"/>
      <c r="Y31" s="10"/>
      <c r="Z31" s="11">
        <v>22</v>
      </c>
      <c r="AA31" s="30">
        <v>2</v>
      </c>
      <c r="AB31" s="30">
        <v>3</v>
      </c>
      <c r="AC31" s="33">
        <f t="shared" si="2"/>
        <v>131</v>
      </c>
      <c r="AD31" s="12">
        <f t="shared" si="3"/>
        <v>1718</v>
      </c>
      <c r="AE31" s="39"/>
      <c r="AF31" s="39"/>
      <c r="AG31" s="39"/>
      <c r="AH31" s="39"/>
      <c r="AI31" s="39"/>
      <c r="AJ31" s="39"/>
    </row>
    <row r="32" spans="1:36" x14ac:dyDescent="0.2">
      <c r="A32" s="5">
        <f>DAY(Kalenteri!A179)</f>
        <v>28</v>
      </c>
      <c r="B32" s="3" t="str">
        <f>IF(Kalenteri!B179=1,"su",IF(Kalenteri!B179=2,"ma",IF(Kalenteri!B179=3,"ti",IF(Kalenteri!B179=4,"ke",IF(Kalenteri!B179=5,"to",IF(Kalenteri!B179=6,"pe",IF(Kalenteri!B179=7,"la",)))))))</f>
        <v>pe</v>
      </c>
      <c r="C32" s="18">
        <v>1240</v>
      </c>
      <c r="D32" s="10">
        <v>469</v>
      </c>
      <c r="E32" s="10">
        <v>4</v>
      </c>
      <c r="F32" s="11">
        <v>31</v>
      </c>
      <c r="G32" s="18">
        <v>21</v>
      </c>
      <c r="H32" s="11">
        <v>537</v>
      </c>
      <c r="I32" s="18">
        <v>90</v>
      </c>
      <c r="J32" s="11">
        <v>135</v>
      </c>
      <c r="K32" s="33">
        <f t="shared" si="0"/>
        <v>2527</v>
      </c>
      <c r="L32" s="10">
        <v>555</v>
      </c>
      <c r="M32" s="10">
        <v>182</v>
      </c>
      <c r="N32" s="10"/>
      <c r="O32" s="11"/>
      <c r="P32" s="10"/>
      <c r="Q32" s="11">
        <v>167</v>
      </c>
      <c r="R32" s="30">
        <v>32</v>
      </c>
      <c r="S32" s="30">
        <v>48</v>
      </c>
      <c r="T32" s="33">
        <f t="shared" si="1"/>
        <v>984</v>
      </c>
      <c r="U32" s="10">
        <v>153</v>
      </c>
      <c r="V32" s="10">
        <v>52</v>
      </c>
      <c r="W32" s="10"/>
      <c r="X32" s="11"/>
      <c r="Y32" s="10"/>
      <c r="Z32" s="11">
        <v>67</v>
      </c>
      <c r="AA32" s="30">
        <v>18</v>
      </c>
      <c r="AB32" s="30">
        <v>27</v>
      </c>
      <c r="AC32" s="33">
        <f t="shared" si="2"/>
        <v>317</v>
      </c>
      <c r="AD32" s="12">
        <f t="shared" si="3"/>
        <v>3828</v>
      </c>
      <c r="AE32" s="39"/>
      <c r="AF32" s="39"/>
      <c r="AG32" s="39"/>
      <c r="AH32" s="39"/>
      <c r="AI32" s="39"/>
      <c r="AJ32" s="39"/>
    </row>
    <row r="33" spans="1:36" x14ac:dyDescent="0.2">
      <c r="A33" s="5">
        <f>DAY(Kalenteri!A180)</f>
        <v>29</v>
      </c>
      <c r="B33" s="3" t="str">
        <f>IF(Kalenteri!B180=1,"su",IF(Kalenteri!B180=2,"ma",IF(Kalenteri!B180=3,"ti",IF(Kalenteri!B180=4,"ke",IF(Kalenteri!B180=5,"to",IF(Kalenteri!B180=6,"pe",IF(Kalenteri!B180=7,"la",)))))))</f>
        <v>la</v>
      </c>
      <c r="C33" s="18">
        <v>1532</v>
      </c>
      <c r="D33" s="10">
        <v>401</v>
      </c>
      <c r="E33" s="10">
        <v>2</v>
      </c>
      <c r="F33" s="11">
        <v>30</v>
      </c>
      <c r="G33" s="18">
        <v>17</v>
      </c>
      <c r="H33" s="11">
        <v>532</v>
      </c>
      <c r="I33" s="18">
        <v>60</v>
      </c>
      <c r="J33" s="11">
        <v>90</v>
      </c>
      <c r="K33" s="33">
        <f t="shared" si="0"/>
        <v>2664</v>
      </c>
      <c r="L33" s="10">
        <v>527</v>
      </c>
      <c r="M33" s="10">
        <v>120</v>
      </c>
      <c r="N33" s="10"/>
      <c r="O33" s="11"/>
      <c r="P33" s="10"/>
      <c r="Q33" s="11">
        <v>131</v>
      </c>
      <c r="R33" s="30">
        <v>36</v>
      </c>
      <c r="S33" s="30">
        <v>54</v>
      </c>
      <c r="T33" s="33">
        <f t="shared" si="1"/>
        <v>868</v>
      </c>
      <c r="U33" s="10">
        <v>156</v>
      </c>
      <c r="V33" s="10">
        <v>34</v>
      </c>
      <c r="W33" s="10"/>
      <c r="X33" s="11"/>
      <c r="Y33" s="10"/>
      <c r="Z33" s="11">
        <v>62</v>
      </c>
      <c r="AA33" s="30">
        <v>4</v>
      </c>
      <c r="AB33" s="30">
        <v>6</v>
      </c>
      <c r="AC33" s="33">
        <f t="shared" si="2"/>
        <v>262</v>
      </c>
      <c r="AD33" s="12">
        <f t="shared" si="3"/>
        <v>3794</v>
      </c>
      <c r="AE33" s="39"/>
      <c r="AF33" s="39"/>
      <c r="AG33" s="39"/>
      <c r="AH33" s="39"/>
      <c r="AI33" s="39"/>
      <c r="AJ33" s="39"/>
    </row>
    <row r="34" spans="1:36" x14ac:dyDescent="0.2">
      <c r="A34" s="5">
        <f>DAY(Kalenteri!A181)</f>
        <v>30</v>
      </c>
      <c r="B34" s="3" t="str">
        <f>IF(Kalenteri!B181=1,"su",IF(Kalenteri!B181=2,"ma",IF(Kalenteri!B181=3,"ti",IF(Kalenteri!B181=4,"ke",IF(Kalenteri!B181=5,"to",IF(Kalenteri!B181=6,"pe",IF(Kalenteri!B181=7,"la",)))))))</f>
        <v>su</v>
      </c>
      <c r="C34" s="18">
        <v>2287</v>
      </c>
      <c r="D34" s="10">
        <v>471</v>
      </c>
      <c r="E34" s="10">
        <v>4</v>
      </c>
      <c r="F34" s="11">
        <v>53</v>
      </c>
      <c r="G34" s="18">
        <v>24</v>
      </c>
      <c r="H34" s="11">
        <v>687</v>
      </c>
      <c r="I34" s="18">
        <v>54</v>
      </c>
      <c r="J34" s="11">
        <v>81</v>
      </c>
      <c r="K34" s="33">
        <f t="shared" si="0"/>
        <v>3661</v>
      </c>
      <c r="L34" s="10">
        <f>496+126</f>
        <v>622</v>
      </c>
      <c r="M34" s="10">
        <v>139</v>
      </c>
      <c r="N34" s="10"/>
      <c r="O34" s="11"/>
      <c r="P34" s="10"/>
      <c r="Q34" s="11">
        <v>186</v>
      </c>
      <c r="R34" s="30">
        <v>64</v>
      </c>
      <c r="S34" s="30">
        <v>96</v>
      </c>
      <c r="T34" s="33">
        <f t="shared" si="1"/>
        <v>1107</v>
      </c>
      <c r="U34" s="10">
        <f>195+49</f>
        <v>244</v>
      </c>
      <c r="V34" s="10">
        <v>50</v>
      </c>
      <c r="W34" s="10"/>
      <c r="X34" s="11"/>
      <c r="Y34" s="10"/>
      <c r="Z34" s="11">
        <v>86</v>
      </c>
      <c r="AA34" s="30">
        <v>10</v>
      </c>
      <c r="AB34" s="30">
        <v>15</v>
      </c>
      <c r="AC34" s="33">
        <f t="shared" si="2"/>
        <v>405</v>
      </c>
      <c r="AD34" s="12">
        <f t="shared" si="3"/>
        <v>5173</v>
      </c>
      <c r="AE34" s="39"/>
      <c r="AF34" s="39"/>
      <c r="AG34" s="39"/>
      <c r="AH34" s="39"/>
      <c r="AI34" s="39"/>
      <c r="AJ34" s="39"/>
    </row>
    <row r="35" spans="1:36" x14ac:dyDescent="0.2">
      <c r="A35" s="5"/>
      <c r="B35" s="3"/>
      <c r="C35" s="79"/>
      <c r="D35" s="80"/>
      <c r="E35" s="80"/>
      <c r="F35" s="81"/>
      <c r="G35" s="79"/>
      <c r="H35" s="81"/>
      <c r="I35" s="79"/>
      <c r="J35" s="81"/>
      <c r="K35" s="34">
        <f t="shared" si="0"/>
        <v>0</v>
      </c>
      <c r="L35" s="20"/>
      <c r="M35" s="20"/>
      <c r="N35" s="20"/>
      <c r="O35" s="21"/>
      <c r="P35" s="20"/>
      <c r="Q35" s="21"/>
      <c r="R35" s="31"/>
      <c r="S35" s="31"/>
      <c r="T35" s="34">
        <f t="shared" si="1"/>
        <v>0</v>
      </c>
      <c r="U35" s="20"/>
      <c r="V35" s="20"/>
      <c r="W35" s="20"/>
      <c r="X35" s="21"/>
      <c r="Y35" s="20"/>
      <c r="Z35" s="21"/>
      <c r="AA35" s="31"/>
      <c r="AB35" s="31"/>
      <c r="AC35" s="34">
        <f t="shared" si="2"/>
        <v>0</v>
      </c>
      <c r="AD35" s="19">
        <f t="shared" si="3"/>
        <v>0</v>
      </c>
      <c r="AE35" s="39"/>
      <c r="AF35" s="39"/>
      <c r="AG35" s="39"/>
      <c r="AH35" s="39"/>
      <c r="AI35" s="39"/>
      <c r="AJ35" s="39"/>
    </row>
    <row r="36" spans="1:36" x14ac:dyDescent="0.2">
      <c r="A36" s="6"/>
      <c r="B36"/>
      <c r="C36" s="82">
        <f t="shared" ref="C36:J36" si="4">SUM(C5:C35)</f>
        <v>32785</v>
      </c>
      <c r="D36" s="83">
        <f t="shared" si="4"/>
        <v>10750</v>
      </c>
      <c r="E36" s="83">
        <f t="shared" si="4"/>
        <v>57</v>
      </c>
      <c r="F36" s="84">
        <f t="shared" si="4"/>
        <v>705</v>
      </c>
      <c r="G36" s="83">
        <f t="shared" si="4"/>
        <v>1271</v>
      </c>
      <c r="H36" s="84">
        <f t="shared" si="4"/>
        <v>13749</v>
      </c>
      <c r="I36" s="83">
        <f t="shared" si="4"/>
        <v>1069</v>
      </c>
      <c r="J36" s="84">
        <f t="shared" si="4"/>
        <v>1598</v>
      </c>
      <c r="K36" s="85">
        <f t="shared" si="0"/>
        <v>61984</v>
      </c>
      <c r="L36" s="83">
        <f t="shared" ref="L36:S36" si="5">SUM(L5:L35)</f>
        <v>12967</v>
      </c>
      <c r="M36" s="83">
        <f t="shared" si="5"/>
        <v>4026</v>
      </c>
      <c r="N36" s="83">
        <f t="shared" si="5"/>
        <v>0</v>
      </c>
      <c r="O36" s="84">
        <f t="shared" si="5"/>
        <v>17</v>
      </c>
      <c r="P36" s="83">
        <f t="shared" si="5"/>
        <v>286</v>
      </c>
      <c r="Q36" s="84">
        <f t="shared" si="5"/>
        <v>3440</v>
      </c>
      <c r="R36" s="86">
        <f t="shared" si="5"/>
        <v>822</v>
      </c>
      <c r="S36" s="86">
        <f t="shared" si="5"/>
        <v>1233</v>
      </c>
      <c r="T36" s="85">
        <f t="shared" si="1"/>
        <v>22791</v>
      </c>
      <c r="U36" s="83">
        <f t="shared" ref="U36:AB36" si="6">SUM(U5:U35)</f>
        <v>3819</v>
      </c>
      <c r="V36" s="83">
        <f t="shared" si="6"/>
        <v>1284</v>
      </c>
      <c r="W36" s="83">
        <f t="shared" si="6"/>
        <v>0</v>
      </c>
      <c r="X36" s="84">
        <f t="shared" si="6"/>
        <v>1</v>
      </c>
      <c r="Y36" s="83">
        <f t="shared" si="6"/>
        <v>66</v>
      </c>
      <c r="Z36" s="84">
        <f t="shared" si="6"/>
        <v>1437</v>
      </c>
      <c r="AA36" s="86">
        <f t="shared" si="6"/>
        <v>212</v>
      </c>
      <c r="AB36" s="86">
        <f t="shared" si="6"/>
        <v>318</v>
      </c>
      <c r="AC36" s="85">
        <f t="shared" si="2"/>
        <v>7137</v>
      </c>
      <c r="AD36" s="87">
        <f t="shared" si="3"/>
        <v>91912</v>
      </c>
      <c r="AE36" s="66"/>
      <c r="AF36" s="66"/>
      <c r="AG36" s="66"/>
      <c r="AH36" s="66"/>
      <c r="AI36" s="66"/>
      <c r="AJ36" s="66"/>
    </row>
    <row r="37" spans="1:36" ht="8.1" customHeight="1" thickBot="1" x14ac:dyDescent="0.25">
      <c r="A37" s="6"/>
      <c r="B37"/>
      <c r="C37" s="2"/>
      <c r="D37" s="5"/>
      <c r="E37" s="5"/>
      <c r="F37" s="2"/>
      <c r="G37" s="2"/>
      <c r="H37" s="2"/>
      <c r="I37" s="5"/>
      <c r="J37" s="2"/>
      <c r="K37" s="2"/>
      <c r="L37" s="5"/>
      <c r="M37" s="2"/>
      <c r="N37" s="5"/>
      <c r="O37" s="5"/>
      <c r="P37" s="2"/>
      <c r="Q37" s="5"/>
      <c r="R37" s="42"/>
      <c r="S37" s="42"/>
      <c r="T37" s="2"/>
      <c r="U37" s="2"/>
      <c r="V37" s="2"/>
      <c r="W37" s="2"/>
      <c r="X37" s="5"/>
      <c r="Y37" s="2"/>
      <c r="Z37" s="2"/>
      <c r="AA37" s="39"/>
      <c r="AB37" s="39"/>
      <c r="AC37" s="5"/>
      <c r="AD37" s="40"/>
      <c r="AE37" s="40"/>
      <c r="AF37" s="40"/>
      <c r="AG37" s="40"/>
      <c r="AH37" s="40"/>
      <c r="AI37" s="40"/>
      <c r="AJ37" s="40"/>
    </row>
    <row r="38" spans="1:36" ht="24.95" customHeight="1" thickTop="1" x14ac:dyDescent="0.3">
      <c r="A38" s="6"/>
      <c r="B38"/>
      <c r="C38" s="171" t="str">
        <f>Kalenteri!E38</f>
        <v>Lippujen hinnat:</v>
      </c>
      <c r="D38" s="5"/>
      <c r="E38" s="5"/>
      <c r="F38" s="2"/>
      <c r="G38" s="2"/>
      <c r="H38" s="2"/>
      <c r="I38" s="5"/>
      <c r="J38" s="2"/>
      <c r="K38" s="2"/>
      <c r="L38" s="5"/>
      <c r="M38" s="2"/>
      <c r="N38" s="5"/>
      <c r="O38" s="5"/>
      <c r="P38" s="2"/>
      <c r="Q38"/>
      <c r="R38"/>
      <c r="S38"/>
      <c r="T38"/>
      <c r="U38" s="49" t="s">
        <v>71</v>
      </c>
      <c r="V38" s="50"/>
      <c r="W38" s="43"/>
      <c r="X38" s="44"/>
      <c r="Y38" s="43"/>
      <c r="Z38" s="43"/>
      <c r="AA38" s="44"/>
      <c r="AB38" s="44"/>
      <c r="AC38" s="47"/>
      <c r="AD38" s="45">
        <f>AD36</f>
        <v>91912</v>
      </c>
      <c r="AE38" s="41"/>
      <c r="AF38" s="41"/>
      <c r="AG38" s="41"/>
      <c r="AH38" s="41"/>
      <c r="AI38" s="41"/>
      <c r="AJ38" s="41"/>
    </row>
    <row r="39" spans="1:36" ht="24.95" customHeight="1" x14ac:dyDescent="0.3">
      <c r="A39" s="6"/>
      <c r="B39"/>
      <c r="C39" s="193" t="str">
        <f>Kalenteri!E39</f>
        <v>Mustikkamaan kautta: 1.9.-30.4. aik. 10 €, lapset 5 €, kimppalippu 30 €    1.5.-30.8. aik. 12 €, lapset 6 €, kimppalippu 36 €</v>
      </c>
      <c r="D39" s="89"/>
      <c r="E39" s="89"/>
      <c r="F39" s="90"/>
      <c r="G39" s="102"/>
      <c r="H39" s="174"/>
      <c r="I39" s="89"/>
      <c r="J39" s="90"/>
      <c r="K39" s="90"/>
      <c r="L39" s="89"/>
      <c r="M39" s="90"/>
      <c r="N39" s="89"/>
      <c r="O39" s="89"/>
      <c r="P39" s="89"/>
      <c r="Q39" s="104"/>
      <c r="R39" s="103"/>
      <c r="S39"/>
      <c r="T39"/>
      <c r="U39" s="62" t="s">
        <v>13</v>
      </c>
      <c r="V39" s="52"/>
      <c r="W39" s="53"/>
      <c r="X39" s="54"/>
      <c r="Y39" s="53"/>
      <c r="Z39" s="53"/>
      <c r="AA39" s="54"/>
      <c r="AB39" s="54"/>
      <c r="AC39" s="55"/>
      <c r="AD39" s="56">
        <f>AD36-Edellisvuosi!G7</f>
        <v>7191</v>
      </c>
      <c r="AE39" s="67"/>
      <c r="AF39" s="67"/>
      <c r="AG39" s="67"/>
      <c r="AH39" s="67"/>
      <c r="AI39" s="67"/>
      <c r="AJ39" s="67"/>
    </row>
    <row r="40" spans="1:36" ht="24.95" customHeight="1" x14ac:dyDescent="0.3">
      <c r="A40" s="6"/>
      <c r="B40" s="6"/>
      <c r="C40" s="194" t="str">
        <f>Kalenteri!E40</f>
        <v xml:space="preserve">                                    Vuosikortti:     aik. 50 €, lapset 20 €, perhekortti 100 €</v>
      </c>
      <c r="D40" s="39"/>
      <c r="E40" s="39"/>
      <c r="F40" s="42"/>
      <c r="G40" s="65"/>
      <c r="H40" s="176"/>
      <c r="I40" s="39"/>
      <c r="J40" s="42"/>
      <c r="K40" s="42"/>
      <c r="L40" s="39"/>
      <c r="M40" s="42"/>
      <c r="N40" s="39"/>
      <c r="O40" s="39"/>
      <c r="P40" s="39"/>
      <c r="Q40" s="23"/>
      <c r="R40" s="97"/>
      <c r="S40"/>
      <c r="T40"/>
      <c r="U40" s="63" t="s">
        <v>72</v>
      </c>
      <c r="V40" s="37"/>
      <c r="W40" s="51"/>
      <c r="X40" s="41"/>
      <c r="Y40" s="51"/>
      <c r="Z40" s="41"/>
      <c r="AA40" s="41"/>
      <c r="AB40" s="41"/>
      <c r="AC40" s="48"/>
      <c r="AD40" s="46">
        <f>AD36+'N1'!AD36+'N2'!AD36+'N3'!AD36+'N4'!AD36+'N5'!AD36</f>
        <v>198805</v>
      </c>
      <c r="AE40" s="41"/>
      <c r="AF40" s="41"/>
      <c r="AG40" s="41"/>
      <c r="AH40" s="41"/>
      <c r="AI40" s="41"/>
      <c r="AJ40" s="41"/>
    </row>
    <row r="41" spans="1:36" ht="24.95" customHeight="1" thickBot="1" x14ac:dyDescent="0.35">
      <c r="A41" s="4"/>
      <c r="B41" s="4"/>
      <c r="C41" s="195" t="str">
        <f>Kalenteri!E41</f>
        <v>Vesibusseilla:             1.9.-30.4. aik. 16 €, lapset 8 €, kimppalippu 47 €    1.5.-31.8. aik. 18 €, lapset 9 €, kimppalippu 53 €</v>
      </c>
      <c r="D41" s="93"/>
      <c r="E41" s="93"/>
      <c r="F41" s="94"/>
      <c r="G41" s="94"/>
      <c r="H41" s="175"/>
      <c r="I41" s="93"/>
      <c r="J41" s="96"/>
      <c r="K41" s="96"/>
      <c r="L41" s="93"/>
      <c r="M41" s="95"/>
      <c r="N41" s="95"/>
      <c r="O41" s="93"/>
      <c r="P41" s="93"/>
      <c r="Q41" s="95"/>
      <c r="R41" s="98"/>
      <c r="S41"/>
      <c r="T41"/>
      <c r="U41" s="64" t="s">
        <v>13</v>
      </c>
      <c r="V41" s="57"/>
      <c r="W41" s="58"/>
      <c r="X41" s="59"/>
      <c r="Y41" s="59"/>
      <c r="Z41" s="59"/>
      <c r="AA41" s="59"/>
      <c r="AB41" s="59"/>
      <c r="AC41" s="60"/>
      <c r="AD41" s="61">
        <f>AD40-Edellisvuosi!B7-Edellisvuosi!C7-Edellisvuosi!D7-Edellisvuosi!E7-Edellisvuosi!F7-Edellisvuosi!G7</f>
        <v>8256</v>
      </c>
      <c r="AE41" s="68"/>
      <c r="AF41" s="68"/>
      <c r="AG41" s="68"/>
      <c r="AH41" s="68"/>
      <c r="AI41" s="68"/>
      <c r="AJ41" s="68"/>
    </row>
    <row r="42" spans="1:36" ht="13.5" thickTop="1" x14ac:dyDescent="0.2"/>
  </sheetData>
  <sheetProtection password="C4AC" sheet="1" objects="1" scenarios="1"/>
  <phoneticPr fontId="4" type="noConversion"/>
  <pageMargins left="0" right="0" top="0.27559055118110237" bottom="0" header="0" footer="0"/>
  <pageSetup paperSize="9" scale="75" fitToHeight="0" orientation="landscape" horizontalDpi="4294967292" verticalDpi="4294967292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6321" r:id="rId4" name="Button 1">
              <controlPr defaultSize="0" print="0" autoFill="0" autoLine="0" autoPict="0" macro="[1]!TAMMI">
                <anchor moveWithCells="1" sizeWithCells="1">
                  <from>
                    <xdr:col>35</xdr:col>
                    <xdr:colOff>0</xdr:colOff>
                    <xdr:row>3</xdr:row>
                    <xdr:rowOff>9525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6322" r:id="rId5" name="Button 2">
              <controlPr defaultSize="0" print="0" autoFill="0" autoLine="0" autoPict="0" macro="[1]KTMAKRO!$A$1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6323" r:id="rId6" name="Button 3">
              <controlPr defaultSize="0" print="0" autoFill="0" autoLine="0" autoPict="0" macro="[1]!MAALIS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6324" r:id="rId7" name="Button 4">
              <controlPr defaultSize="0" print="0" autoFill="0" autoLine="0" autoPict="0" macro="[1]KTMAKRO!$D$1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6325" r:id="rId8" name="Button 5">
              <controlPr defaultSize="0" print="0" autoFill="0" autoLine="0" autoPict="0" macro="[1]KTMAKRO!$E$1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6326" r:id="rId9" name="Button 6">
              <controlPr defaultSize="0" print="0" autoFill="0" autoLine="0" autoPict="0" macro="[1]!KESÄ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6327" r:id="rId10" name="Button 7">
              <controlPr defaultSize="0" print="0" autoFill="0" autoLine="0" autoPict="0" macro="[1]!HELMI">
                <anchor moveWithCells="1" sizeWithCells="1">
                  <from>
                    <xdr:col>35</xdr:col>
                    <xdr:colOff>0</xdr:colOff>
                    <xdr:row>3</xdr:row>
                    <xdr:rowOff>9525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6328" r:id="rId11" name="Button 8">
              <controlPr defaultSize="0" print="0" autoFill="0" autoLine="0" autoPict="0" macro="[1]KTMAKRO!$G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6329" r:id="rId12" name="Button 9">
              <controlPr defaultSize="0" print="0" autoFill="0" autoLine="0" autoPict="0" macro="[1]KTMAKRO!$I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6330" r:id="rId13" name="Button 10">
              <controlPr defaultSize="0" print="0" autoFill="0" autoLine="0" autoPict="0" macro="[1]KTMAKRO!$J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6331" r:id="rId14" name="Button 11">
              <controlPr defaultSize="0" print="0" autoFill="0" autoLine="0" autoPict="0" macro="[1]KTMAKRO!$K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6332" r:id="rId15" name="Button 12">
              <controlPr defaultSize="0" print="0" autoFill="0" autoLine="0" autoPict="0" macro="[1]KTMAKRO!$L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6333" r:id="rId16" name="Button 13">
              <controlPr defaultSize="0" print="0" autoFill="0" autoLine="0" autoPict="0" macro="[1]KTMAKRO!$H$1">
                <anchor moveWithCells="1" sizeWithCells="1">
                  <from>
                    <xdr:col>35</xdr:col>
                    <xdr:colOff>0</xdr:colOff>
                    <xdr:row>5</xdr:row>
                    <xdr:rowOff>0</xdr:rowOff>
                  </from>
                  <to>
                    <xdr:col>35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6334" r:id="rId17" name="Button 14">
              <controlPr defaultSize="0" print="0" autoFill="0" autoLine="0" autoPict="0" macro="[1]!Yhteenveto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5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6335" r:id="rId18" name="Button 15">
              <controlPr defaultSize="0" print="0" autoFill="0" autoLine="0" autoPict="0" macro="[1]!GRAFIIKKA1">
                <anchor moveWithCells="1" sizeWithCells="1">
                  <from>
                    <xdr:col>35</xdr:col>
                    <xdr:colOff>0</xdr:colOff>
                    <xdr:row>8</xdr:row>
                    <xdr:rowOff>142875</xdr:rowOff>
                  </from>
                  <to>
                    <xdr:col>35</xdr:col>
                    <xdr:colOff>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6336" r:id="rId19" name="Button 16">
              <controlPr defaultSize="0" print="0" autoFill="0" autoLine="0" autoPict="0" macro="[1]!Grafiikka2">
                <anchor moveWithCells="1" sizeWithCells="1">
                  <from>
                    <xdr:col>35</xdr:col>
                    <xdr:colOff>0</xdr:colOff>
                    <xdr:row>8</xdr:row>
                    <xdr:rowOff>152400</xdr:rowOff>
                  </from>
                  <to>
                    <xdr:col>35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6337" r:id="rId20" name="Button 17">
              <controlPr defaultSize="0" print="0" autoFill="0" autoLine="0" autoPict="0" macro="[1]!Grafiikka4">
                <anchor moveWithCells="1" sizeWithCells="1">
                  <from>
                    <xdr:col>35</xdr:col>
                    <xdr:colOff>0</xdr:colOff>
                    <xdr:row>8</xdr:row>
                    <xdr:rowOff>142875</xdr:rowOff>
                  </from>
                  <to>
                    <xdr:col>35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6338" r:id="rId21" name="Button 18">
              <controlPr defaultSize="0" print="0" autoFill="0" autoLine="0" autoPict="0" macro="[1]!Grafiikka4">
                <anchor moveWithCells="1" sizeWithCells="1">
                  <from>
                    <xdr:col>35</xdr:col>
                    <xdr:colOff>0</xdr:colOff>
                    <xdr:row>8</xdr:row>
                    <xdr:rowOff>152400</xdr:rowOff>
                  </from>
                  <to>
                    <xdr:col>35</xdr:col>
                    <xdr:colOff>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6339" r:id="rId22" name="Button 19">
              <controlPr defaultSize="0" print="0" autoFill="0" autoLine="0" autoPict="0" macro="[1]!Grafiikka5">
                <anchor moveWithCells="1" sizeWithCells="1">
                  <from>
                    <xdr:col>35</xdr:col>
                    <xdr:colOff>0</xdr:colOff>
                    <xdr:row>8</xdr:row>
                    <xdr:rowOff>152400</xdr:rowOff>
                  </from>
                  <to>
                    <xdr:col>35</xdr:col>
                    <xdr:colOff>0</xdr:colOff>
                    <xdr:row>12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6340" r:id="rId23" name="Button 20">
              <controlPr defaultSize="0" print="0" autoFill="0" autoLine="0" autoPict="0" macro="[1]!Perusikkuna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12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/>
  <dimension ref="A1:AJ42"/>
  <sheetViews>
    <sheetView showGridLines="0" zoomScale="80" zoomScaleNormal="80" workbookViewId="0"/>
  </sheetViews>
  <sheetFormatPr defaultColWidth="9.75" defaultRowHeight="12.75" x14ac:dyDescent="0.2"/>
  <cols>
    <col min="1" max="1" width="3.75" style="1" customWidth="1"/>
    <col min="2" max="2" width="2.75" style="1" customWidth="1"/>
    <col min="3" max="4" width="6.125" style="1" customWidth="1"/>
    <col min="5" max="5" width="4" style="1" customWidth="1"/>
    <col min="6" max="6" width="4.5" style="1" customWidth="1"/>
    <col min="7" max="10" width="6.125" style="1" customWidth="1"/>
    <col min="11" max="11" width="5.875" style="1" customWidth="1"/>
    <col min="12" max="13" width="6.125" style="1" customWidth="1"/>
    <col min="14" max="14" width="5.25" style="1" customWidth="1"/>
    <col min="15" max="15" width="4.5" style="1" customWidth="1"/>
    <col min="16" max="16" width="6.125" style="1" customWidth="1"/>
    <col min="17" max="17" width="5.5" style="1" customWidth="1"/>
    <col min="18" max="19" width="6.125" style="1" customWidth="1"/>
    <col min="20" max="20" width="5.875" style="1" customWidth="1"/>
    <col min="21" max="22" width="6.125" style="1" customWidth="1"/>
    <col min="23" max="23" width="4.375" style="1" customWidth="1"/>
    <col min="24" max="24" width="4.25" style="1" customWidth="1"/>
    <col min="25" max="29" width="6.125" style="1" customWidth="1"/>
    <col min="30" max="36" width="15.625" style="1" customWidth="1"/>
  </cols>
  <sheetData>
    <row r="1" spans="1:36" ht="30" customHeight="1" x14ac:dyDescent="0.35">
      <c r="A1" s="22"/>
      <c r="B1" s="4"/>
      <c r="C1" s="105" t="s">
        <v>15</v>
      </c>
      <c r="D1" s="106"/>
      <c r="E1" s="106"/>
      <c r="F1" s="106"/>
      <c r="G1" s="106"/>
      <c r="H1" s="106"/>
      <c r="I1" s="106"/>
      <c r="J1" s="106"/>
      <c r="K1" s="106"/>
      <c r="L1" s="105" t="str">
        <f>Kalenteri!$H$1</f>
        <v>KÄVIJÄTILASTO 2013</v>
      </c>
      <c r="M1" s="107"/>
      <c r="N1" s="107"/>
      <c r="O1" s="107"/>
      <c r="P1" s="106"/>
      <c r="Q1" s="106"/>
      <c r="R1" s="105" t="s">
        <v>76</v>
      </c>
      <c r="S1" s="108"/>
      <c r="T1" s="106"/>
      <c r="U1" s="109"/>
      <c r="V1" s="105" t="s">
        <v>20</v>
      </c>
      <c r="W1" s="109"/>
      <c r="X1" s="106"/>
      <c r="Y1" s="106"/>
      <c r="Z1" s="106"/>
      <c r="AA1" s="106"/>
      <c r="AB1" s="106"/>
      <c r="AC1" s="106"/>
      <c r="AD1" s="110"/>
      <c r="AE1" s="4"/>
      <c r="AF1" s="4"/>
      <c r="AG1" s="4"/>
      <c r="AH1" s="4"/>
      <c r="AI1" s="4"/>
      <c r="AJ1" s="4"/>
    </row>
    <row r="2" spans="1:36" ht="30" customHeight="1" x14ac:dyDescent="0.3">
      <c r="A2" s="3"/>
      <c r="B2" s="4"/>
      <c r="C2" s="72"/>
      <c r="D2" s="73"/>
      <c r="E2" s="74" t="s">
        <v>1</v>
      </c>
      <c r="F2" s="75"/>
      <c r="G2" s="75"/>
      <c r="H2" s="75"/>
      <c r="I2" s="75"/>
      <c r="J2" s="75"/>
      <c r="K2" s="76"/>
      <c r="L2" s="72"/>
      <c r="M2" s="77"/>
      <c r="N2" s="73"/>
      <c r="O2" s="74" t="s">
        <v>2</v>
      </c>
      <c r="P2" s="75"/>
      <c r="Q2" s="75"/>
      <c r="R2" s="75"/>
      <c r="S2" s="75"/>
      <c r="T2" s="76"/>
      <c r="U2" s="72"/>
      <c r="V2" s="75"/>
      <c r="W2" s="73"/>
      <c r="X2" s="74" t="s">
        <v>3</v>
      </c>
      <c r="Y2" s="75"/>
      <c r="Z2" s="75"/>
      <c r="AA2" s="75"/>
      <c r="AB2" s="75"/>
      <c r="AC2" s="76"/>
      <c r="AD2" s="13"/>
      <c r="AE2" s="35"/>
      <c r="AF2" s="69"/>
      <c r="AG2" s="69"/>
      <c r="AH2" s="69"/>
      <c r="AI2" s="69"/>
      <c r="AJ2" s="69"/>
    </row>
    <row r="3" spans="1:36" x14ac:dyDescent="0.2">
      <c r="A3" s="4"/>
      <c r="B3" s="4"/>
      <c r="C3" s="24" t="s">
        <v>4</v>
      </c>
      <c r="D3" s="25"/>
      <c r="E3" s="25"/>
      <c r="F3" s="26"/>
      <c r="G3" s="24" t="s">
        <v>5</v>
      </c>
      <c r="H3" s="26"/>
      <c r="I3" s="25" t="s">
        <v>6</v>
      </c>
      <c r="J3" s="25"/>
      <c r="K3" s="27"/>
      <c r="L3" s="24" t="s">
        <v>4</v>
      </c>
      <c r="M3" s="25"/>
      <c r="N3" s="25"/>
      <c r="O3" s="26"/>
      <c r="P3" s="24" t="s">
        <v>5</v>
      </c>
      <c r="Q3" s="26"/>
      <c r="R3" s="25" t="s">
        <v>6</v>
      </c>
      <c r="S3" s="25"/>
      <c r="T3" s="27"/>
      <c r="U3" s="24" t="s">
        <v>4</v>
      </c>
      <c r="V3" s="25"/>
      <c r="W3" s="25"/>
      <c r="X3" s="26"/>
      <c r="Y3" s="24" t="s">
        <v>5</v>
      </c>
      <c r="Z3" s="26"/>
      <c r="AA3" s="25" t="s">
        <v>6</v>
      </c>
      <c r="AB3" s="25"/>
      <c r="AC3" s="27"/>
      <c r="AD3" s="36" t="s">
        <v>7</v>
      </c>
      <c r="AE3" s="38"/>
      <c r="AF3" s="70"/>
      <c r="AG3" s="70"/>
      <c r="AH3" s="70"/>
      <c r="AI3" s="70"/>
      <c r="AJ3"/>
    </row>
    <row r="4" spans="1:36" x14ac:dyDescent="0.2">
      <c r="A4" s="6"/>
      <c r="B4" s="4"/>
      <c r="C4" s="7" t="s">
        <v>8</v>
      </c>
      <c r="D4" s="8" t="s">
        <v>9</v>
      </c>
      <c r="E4" s="8" t="s">
        <v>10</v>
      </c>
      <c r="F4" s="9" t="s">
        <v>11</v>
      </c>
      <c r="G4" s="7" t="s">
        <v>8</v>
      </c>
      <c r="H4" s="9" t="s">
        <v>9</v>
      </c>
      <c r="I4" s="8" t="s">
        <v>8</v>
      </c>
      <c r="J4" s="8" t="s">
        <v>9</v>
      </c>
      <c r="K4" s="14" t="s">
        <v>0</v>
      </c>
      <c r="L4" s="7" t="s">
        <v>8</v>
      </c>
      <c r="M4" s="8" t="s">
        <v>9</v>
      </c>
      <c r="N4" s="8" t="s">
        <v>10</v>
      </c>
      <c r="O4" s="9" t="s">
        <v>11</v>
      </c>
      <c r="P4" s="7" t="s">
        <v>8</v>
      </c>
      <c r="Q4" s="9" t="s">
        <v>9</v>
      </c>
      <c r="R4" s="8" t="s">
        <v>8</v>
      </c>
      <c r="S4" s="8" t="s">
        <v>9</v>
      </c>
      <c r="T4" s="14" t="s">
        <v>0</v>
      </c>
      <c r="U4" s="7" t="s">
        <v>8</v>
      </c>
      <c r="V4" s="8" t="s">
        <v>9</v>
      </c>
      <c r="W4" s="8" t="s">
        <v>10</v>
      </c>
      <c r="X4" s="9" t="s">
        <v>11</v>
      </c>
      <c r="Y4" s="7" t="s">
        <v>8</v>
      </c>
      <c r="Z4" s="9" t="s">
        <v>9</v>
      </c>
      <c r="AA4" s="8" t="s">
        <v>8</v>
      </c>
      <c r="AB4" s="8" t="s">
        <v>9</v>
      </c>
      <c r="AC4" s="14" t="s">
        <v>0</v>
      </c>
      <c r="AD4" s="28"/>
      <c r="AE4" s="23"/>
      <c r="AF4" s="23"/>
      <c r="AG4" s="23"/>
      <c r="AH4" s="23"/>
      <c r="AI4" s="23"/>
      <c r="AJ4"/>
    </row>
    <row r="5" spans="1:36" x14ac:dyDescent="0.2">
      <c r="A5" s="5">
        <f>DAY(Kalenteri!A182)</f>
        <v>1</v>
      </c>
      <c r="B5" s="3" t="str">
        <f>IF(Kalenteri!B182=1,"su",IF(Kalenteri!B182=2,"ma",IF(Kalenteri!B182=3,"ti",IF(Kalenteri!B182=4,"ke",IF(Kalenteri!B182=5,"to",IF(Kalenteri!B182=6,"pe",IF(Kalenteri!B182=7,"la",)))))))</f>
        <v>ma</v>
      </c>
      <c r="C5" s="78">
        <v>1291</v>
      </c>
      <c r="D5" s="15">
        <v>487</v>
      </c>
      <c r="E5" s="15">
        <v>4</v>
      </c>
      <c r="F5" s="16">
        <v>28</v>
      </c>
      <c r="G5" s="78">
        <v>21</v>
      </c>
      <c r="H5" s="16">
        <v>530</v>
      </c>
      <c r="I5" s="78">
        <v>44</v>
      </c>
      <c r="J5" s="16">
        <v>66</v>
      </c>
      <c r="K5" s="32">
        <f t="shared" ref="K5:K36" si="0">SUM(C5:J5)</f>
        <v>2471</v>
      </c>
      <c r="L5" s="15">
        <f>459+137</f>
        <v>596</v>
      </c>
      <c r="M5" s="15">
        <v>216</v>
      </c>
      <c r="N5" s="15"/>
      <c r="O5" s="16"/>
      <c r="P5" s="15"/>
      <c r="Q5" s="16">
        <v>178</v>
      </c>
      <c r="R5" s="29">
        <v>30</v>
      </c>
      <c r="S5" s="29">
        <v>45</v>
      </c>
      <c r="T5" s="32">
        <f t="shared" ref="T5:T36" si="1">SUM(L5:S5)</f>
        <v>1065</v>
      </c>
      <c r="U5" s="15">
        <f>159+41</f>
        <v>200</v>
      </c>
      <c r="V5" s="15">
        <v>59</v>
      </c>
      <c r="W5" s="15"/>
      <c r="X5" s="16"/>
      <c r="Y5" s="15"/>
      <c r="Z5" s="16">
        <v>90</v>
      </c>
      <c r="AA5" s="29">
        <v>12</v>
      </c>
      <c r="AB5" s="29">
        <v>18</v>
      </c>
      <c r="AC5" s="32">
        <f t="shared" ref="AC5:AC36" si="2">SUM(U5:AB5)</f>
        <v>379</v>
      </c>
      <c r="AD5" s="17">
        <f t="shared" ref="AD5:AD36" si="3">SUM(K5,T5,AC5)</f>
        <v>3915</v>
      </c>
      <c r="AE5" s="39"/>
      <c r="AF5" s="39"/>
      <c r="AG5" s="39"/>
      <c r="AH5" s="39"/>
      <c r="AI5" s="39"/>
      <c r="AJ5"/>
    </row>
    <row r="6" spans="1:36" x14ac:dyDescent="0.2">
      <c r="A6" s="5">
        <f>DAY(Kalenteri!A183)</f>
        <v>2</v>
      </c>
      <c r="B6" s="3" t="str">
        <f>IF(Kalenteri!B183=1,"su",IF(Kalenteri!B183=2,"ma",IF(Kalenteri!B183=3,"ti",IF(Kalenteri!B183=4,"ke",IF(Kalenteri!B183=5,"to",IF(Kalenteri!B183=6,"pe",IF(Kalenteri!B183=7,"la",)))))))</f>
        <v>ti</v>
      </c>
      <c r="C6" s="18">
        <v>2082</v>
      </c>
      <c r="D6" s="10">
        <v>681</v>
      </c>
      <c r="E6" s="10">
        <v>7</v>
      </c>
      <c r="F6" s="11">
        <v>38</v>
      </c>
      <c r="G6" s="18">
        <v>47</v>
      </c>
      <c r="H6" s="11">
        <v>846</v>
      </c>
      <c r="I6" s="18">
        <v>87</v>
      </c>
      <c r="J6" s="11">
        <v>131</v>
      </c>
      <c r="K6" s="33">
        <f t="shared" si="0"/>
        <v>3919</v>
      </c>
      <c r="L6" s="10">
        <f>748+180</f>
        <v>928</v>
      </c>
      <c r="M6" s="10">
        <v>405</v>
      </c>
      <c r="N6" s="10"/>
      <c r="O6" s="11"/>
      <c r="P6" s="10"/>
      <c r="Q6" s="11">
        <v>259</v>
      </c>
      <c r="R6" s="30">
        <v>44</v>
      </c>
      <c r="S6" s="30">
        <v>66</v>
      </c>
      <c r="T6" s="33">
        <f t="shared" si="1"/>
        <v>1702</v>
      </c>
      <c r="U6" s="10">
        <f>216+44</f>
        <v>260</v>
      </c>
      <c r="V6" s="10">
        <v>90</v>
      </c>
      <c r="W6" s="10"/>
      <c r="X6" s="11"/>
      <c r="Y6" s="10"/>
      <c r="Z6" s="11">
        <v>109</v>
      </c>
      <c r="AA6" s="30">
        <v>12</v>
      </c>
      <c r="AB6" s="30">
        <v>18</v>
      </c>
      <c r="AC6" s="33">
        <f t="shared" si="2"/>
        <v>489</v>
      </c>
      <c r="AD6" s="12">
        <f t="shared" si="3"/>
        <v>6110</v>
      </c>
      <c r="AE6" s="39"/>
      <c r="AF6" s="39"/>
      <c r="AG6" s="39"/>
      <c r="AH6" s="39"/>
      <c r="AI6" s="39"/>
      <c r="AJ6"/>
    </row>
    <row r="7" spans="1:36" x14ac:dyDescent="0.2">
      <c r="A7" s="5">
        <f>DAY(Kalenteri!A184)</f>
        <v>3</v>
      </c>
      <c r="B7" s="3" t="str">
        <f>IF(Kalenteri!B184=1,"su",IF(Kalenteri!B184=2,"ma",IF(Kalenteri!B184=3,"ti",IF(Kalenteri!B184=4,"ke",IF(Kalenteri!B184=5,"to",IF(Kalenteri!B184=6,"pe",IF(Kalenteri!B184=7,"la",)))))))</f>
        <v>ke</v>
      </c>
      <c r="C7" s="18">
        <v>1742</v>
      </c>
      <c r="D7" s="10">
        <v>612</v>
      </c>
      <c r="E7" s="10">
        <v>4</v>
      </c>
      <c r="F7" s="11">
        <v>17</v>
      </c>
      <c r="G7" s="18">
        <v>34</v>
      </c>
      <c r="H7" s="11">
        <v>669</v>
      </c>
      <c r="I7" s="18">
        <v>110</v>
      </c>
      <c r="J7" s="11">
        <v>165</v>
      </c>
      <c r="K7" s="33">
        <f t="shared" si="0"/>
        <v>3353</v>
      </c>
      <c r="L7" s="10">
        <v>776</v>
      </c>
      <c r="M7" s="10">
        <v>244</v>
      </c>
      <c r="N7" s="10"/>
      <c r="O7" s="11">
        <v>1</v>
      </c>
      <c r="P7" s="10">
        <v>2</v>
      </c>
      <c r="Q7" s="11">
        <v>288</v>
      </c>
      <c r="R7" s="30">
        <v>64</v>
      </c>
      <c r="S7" s="30">
        <v>96</v>
      </c>
      <c r="T7" s="33">
        <f t="shared" si="1"/>
        <v>1471</v>
      </c>
      <c r="U7" s="10">
        <v>169</v>
      </c>
      <c r="V7" s="10">
        <v>65</v>
      </c>
      <c r="W7" s="10"/>
      <c r="X7" s="11"/>
      <c r="Y7" s="10"/>
      <c r="Z7" s="11">
        <v>70</v>
      </c>
      <c r="AA7" s="30">
        <v>8</v>
      </c>
      <c r="AB7" s="30">
        <v>12</v>
      </c>
      <c r="AC7" s="33">
        <f t="shared" si="2"/>
        <v>324</v>
      </c>
      <c r="AD7" s="12">
        <f t="shared" si="3"/>
        <v>5148</v>
      </c>
      <c r="AE7" s="39"/>
      <c r="AF7" s="39"/>
      <c r="AG7" s="39"/>
      <c r="AH7" s="39"/>
      <c r="AI7" s="39"/>
      <c r="AJ7"/>
    </row>
    <row r="8" spans="1:36" x14ac:dyDescent="0.2">
      <c r="A8" s="5">
        <f>DAY(Kalenteri!A185)</f>
        <v>4</v>
      </c>
      <c r="B8" s="3" t="str">
        <f>IF(Kalenteri!B185=1,"su",IF(Kalenteri!B185=2,"ma",IF(Kalenteri!B185=3,"ti",IF(Kalenteri!B185=4,"ke",IF(Kalenteri!B185=5,"to",IF(Kalenteri!B185=6,"pe",IF(Kalenteri!B185=7,"la",)))))))</f>
        <v>to</v>
      </c>
      <c r="C8" s="18">
        <v>390</v>
      </c>
      <c r="D8" s="10">
        <v>658</v>
      </c>
      <c r="E8" s="10">
        <v>4</v>
      </c>
      <c r="F8" s="11">
        <v>16</v>
      </c>
      <c r="G8" s="18">
        <v>34</v>
      </c>
      <c r="H8" s="11">
        <v>727</v>
      </c>
      <c r="I8" s="18">
        <v>115</v>
      </c>
      <c r="J8" s="11">
        <v>79</v>
      </c>
      <c r="K8" s="33">
        <f t="shared" si="0"/>
        <v>2023</v>
      </c>
      <c r="L8" s="10">
        <f>643+210</f>
        <v>853</v>
      </c>
      <c r="M8" s="10">
        <v>285</v>
      </c>
      <c r="N8" s="10"/>
      <c r="O8" s="11"/>
      <c r="P8" s="10"/>
      <c r="Q8" s="11">
        <v>287</v>
      </c>
      <c r="R8" s="30">
        <v>74</v>
      </c>
      <c r="S8" s="30">
        <v>111</v>
      </c>
      <c r="T8" s="33">
        <f t="shared" si="1"/>
        <v>1610</v>
      </c>
      <c r="U8" s="10">
        <f>201+50</f>
        <v>251</v>
      </c>
      <c r="V8" s="10">
        <v>69</v>
      </c>
      <c r="W8" s="10"/>
      <c r="X8" s="11"/>
      <c r="Y8" s="10">
        <v>6</v>
      </c>
      <c r="Z8" s="11">
        <v>128</v>
      </c>
      <c r="AA8" s="30">
        <v>10</v>
      </c>
      <c r="AB8" s="30">
        <v>15</v>
      </c>
      <c r="AC8" s="33">
        <f t="shared" si="2"/>
        <v>479</v>
      </c>
      <c r="AD8" s="12">
        <f t="shared" si="3"/>
        <v>4112</v>
      </c>
      <c r="AE8" s="39"/>
      <c r="AF8" s="39"/>
      <c r="AG8" s="39"/>
      <c r="AH8" s="39"/>
      <c r="AI8" s="39"/>
      <c r="AJ8"/>
    </row>
    <row r="9" spans="1:36" x14ac:dyDescent="0.2">
      <c r="A9" s="5">
        <f>DAY(Kalenteri!A186)</f>
        <v>5</v>
      </c>
      <c r="B9" s="3" t="str">
        <f>IF(Kalenteri!B186=1,"su",IF(Kalenteri!B186=2,"ma",IF(Kalenteri!B186=3,"ti",IF(Kalenteri!B186=4,"ke",IF(Kalenteri!B186=5,"to",IF(Kalenteri!B186=6,"pe",IF(Kalenteri!B186=7,"la",)))))))</f>
        <v>pe</v>
      </c>
      <c r="C9" s="18">
        <v>1220</v>
      </c>
      <c r="D9" s="10">
        <v>403</v>
      </c>
      <c r="E9" s="10">
        <v>3</v>
      </c>
      <c r="F9" s="11">
        <v>18</v>
      </c>
      <c r="G9" s="18">
        <v>29</v>
      </c>
      <c r="H9" s="11">
        <v>464</v>
      </c>
      <c r="I9" s="18">
        <v>40</v>
      </c>
      <c r="J9" s="11">
        <v>61</v>
      </c>
      <c r="K9" s="33">
        <f t="shared" si="0"/>
        <v>2238</v>
      </c>
      <c r="L9" s="10">
        <v>556</v>
      </c>
      <c r="M9" s="10">
        <v>187</v>
      </c>
      <c r="N9" s="10"/>
      <c r="O9" s="11"/>
      <c r="P9" s="10"/>
      <c r="Q9" s="11">
        <v>143</v>
      </c>
      <c r="R9" s="30">
        <v>52</v>
      </c>
      <c r="S9" s="30">
        <v>78</v>
      </c>
      <c r="T9" s="33">
        <f t="shared" si="1"/>
        <v>1016</v>
      </c>
      <c r="U9" s="10">
        <v>169</v>
      </c>
      <c r="V9" s="10">
        <v>42</v>
      </c>
      <c r="W9" s="10"/>
      <c r="X9" s="11"/>
      <c r="Y9" s="10"/>
      <c r="Z9" s="11">
        <v>72</v>
      </c>
      <c r="AA9" s="30">
        <v>10</v>
      </c>
      <c r="AB9" s="30">
        <v>15</v>
      </c>
      <c r="AC9" s="33">
        <f t="shared" si="2"/>
        <v>308</v>
      </c>
      <c r="AD9" s="12">
        <f t="shared" si="3"/>
        <v>3562</v>
      </c>
      <c r="AE9" s="39"/>
      <c r="AF9" s="39"/>
      <c r="AG9" s="39"/>
      <c r="AH9" s="39"/>
      <c r="AI9" s="39"/>
      <c r="AJ9"/>
    </row>
    <row r="10" spans="1:36" x14ac:dyDescent="0.2">
      <c r="A10" s="5">
        <f>DAY(Kalenteri!A187)</f>
        <v>6</v>
      </c>
      <c r="B10" s="3" t="str">
        <f>IF(Kalenteri!B187=1,"su",IF(Kalenteri!B187=2,"ma",IF(Kalenteri!B187=3,"ti",IF(Kalenteri!B187=4,"ke",IF(Kalenteri!B187=5,"to",IF(Kalenteri!B187=6,"pe",IF(Kalenteri!B187=7,"la",)))))))</f>
        <v>la</v>
      </c>
      <c r="C10" s="18">
        <v>2097</v>
      </c>
      <c r="D10" s="10">
        <v>498</v>
      </c>
      <c r="E10" s="10">
        <v>0</v>
      </c>
      <c r="F10" s="11">
        <v>39</v>
      </c>
      <c r="G10" s="18">
        <v>28</v>
      </c>
      <c r="H10" s="11">
        <v>716</v>
      </c>
      <c r="I10" s="18">
        <v>110</v>
      </c>
      <c r="J10" s="11">
        <v>162</v>
      </c>
      <c r="K10" s="33">
        <f t="shared" si="0"/>
        <v>3650</v>
      </c>
      <c r="L10" s="10">
        <f>741+136</f>
        <v>877</v>
      </c>
      <c r="M10" s="10">
        <v>196</v>
      </c>
      <c r="N10" s="10"/>
      <c r="O10" s="11"/>
      <c r="P10" s="10"/>
      <c r="Q10" s="11">
        <v>284</v>
      </c>
      <c r="R10" s="30">
        <v>50</v>
      </c>
      <c r="S10" s="30">
        <v>75</v>
      </c>
      <c r="T10" s="33">
        <f t="shared" si="1"/>
        <v>1482</v>
      </c>
      <c r="U10" s="10">
        <f>203+66</f>
        <v>269</v>
      </c>
      <c r="V10" s="10">
        <v>77</v>
      </c>
      <c r="W10" s="10"/>
      <c r="X10" s="11"/>
      <c r="Y10" s="10"/>
      <c r="Z10" s="11">
        <v>91</v>
      </c>
      <c r="AA10" s="30">
        <v>10</v>
      </c>
      <c r="AB10" s="30">
        <v>15</v>
      </c>
      <c r="AC10" s="33">
        <f t="shared" si="2"/>
        <v>462</v>
      </c>
      <c r="AD10" s="12">
        <f t="shared" si="3"/>
        <v>5594</v>
      </c>
      <c r="AE10" s="39"/>
      <c r="AF10" s="39"/>
      <c r="AG10" s="39"/>
      <c r="AH10" s="39"/>
      <c r="AI10" s="39"/>
      <c r="AJ10"/>
    </row>
    <row r="11" spans="1:36" x14ac:dyDescent="0.2">
      <c r="A11" s="5">
        <f>DAY(Kalenteri!A188)</f>
        <v>7</v>
      </c>
      <c r="B11" s="3" t="str">
        <f>IF(Kalenteri!B188=1,"su",IF(Kalenteri!B188=2,"ma",IF(Kalenteri!B188=3,"ti",IF(Kalenteri!B188=4,"ke",IF(Kalenteri!B188=5,"to",IF(Kalenteri!B188=6,"pe",IF(Kalenteri!B188=7,"la",)))))))</f>
        <v>su</v>
      </c>
      <c r="C11" s="18">
        <v>2086</v>
      </c>
      <c r="D11" s="10">
        <v>473</v>
      </c>
      <c r="E11" s="10">
        <v>8</v>
      </c>
      <c r="F11" s="11">
        <v>35</v>
      </c>
      <c r="G11" s="18">
        <v>27</v>
      </c>
      <c r="H11" s="11">
        <v>638</v>
      </c>
      <c r="I11" s="18">
        <v>78</v>
      </c>
      <c r="J11" s="11">
        <v>117</v>
      </c>
      <c r="K11" s="33">
        <f t="shared" si="0"/>
        <v>3462</v>
      </c>
      <c r="L11" s="10">
        <v>876</v>
      </c>
      <c r="M11" s="10">
        <v>178</v>
      </c>
      <c r="N11" s="10"/>
      <c r="O11" s="11">
        <v>2</v>
      </c>
      <c r="P11" s="10"/>
      <c r="Q11" s="11">
        <v>183</v>
      </c>
      <c r="R11" s="30">
        <v>70</v>
      </c>
      <c r="S11" s="30">
        <v>105</v>
      </c>
      <c r="T11" s="33">
        <f t="shared" si="1"/>
        <v>1414</v>
      </c>
      <c r="U11" s="10">
        <v>255</v>
      </c>
      <c r="V11" s="10">
        <v>61</v>
      </c>
      <c r="W11" s="10"/>
      <c r="X11" s="11"/>
      <c r="Y11" s="10"/>
      <c r="Z11" s="11">
        <v>63</v>
      </c>
      <c r="AA11" s="30">
        <v>16</v>
      </c>
      <c r="AB11" s="30">
        <v>24</v>
      </c>
      <c r="AC11" s="33">
        <f t="shared" si="2"/>
        <v>419</v>
      </c>
      <c r="AD11" s="12">
        <f t="shared" si="3"/>
        <v>5295</v>
      </c>
      <c r="AE11" s="39"/>
      <c r="AF11" s="39"/>
      <c r="AG11" s="39"/>
      <c r="AH11" s="39"/>
      <c r="AI11" s="39"/>
      <c r="AJ11"/>
    </row>
    <row r="12" spans="1:36" x14ac:dyDescent="0.2">
      <c r="A12" s="5">
        <f>DAY(Kalenteri!A189)</f>
        <v>8</v>
      </c>
      <c r="B12" s="3" t="str">
        <f>IF(Kalenteri!B189=1,"su",IF(Kalenteri!B189=2,"ma",IF(Kalenteri!B189=3,"ti",IF(Kalenteri!B189=4,"ke",IF(Kalenteri!B189=5,"to",IF(Kalenteri!B189=6,"pe",IF(Kalenteri!B189=7,"la",)))))))</f>
        <v>ma</v>
      </c>
      <c r="C12" s="18">
        <v>1656</v>
      </c>
      <c r="D12" s="10">
        <v>476</v>
      </c>
      <c r="E12" s="10">
        <v>4</v>
      </c>
      <c r="F12" s="11">
        <v>7</v>
      </c>
      <c r="G12" s="18">
        <v>30</v>
      </c>
      <c r="H12" s="11">
        <v>643</v>
      </c>
      <c r="I12" s="18">
        <v>54</v>
      </c>
      <c r="J12" s="11">
        <v>81</v>
      </c>
      <c r="K12" s="33">
        <f t="shared" si="0"/>
        <v>2951</v>
      </c>
      <c r="L12" s="10">
        <v>699</v>
      </c>
      <c r="M12" s="10">
        <v>212</v>
      </c>
      <c r="N12" s="10"/>
      <c r="O12" s="11"/>
      <c r="P12" s="10"/>
      <c r="Q12" s="11">
        <v>222</v>
      </c>
      <c r="R12" s="30">
        <v>86</v>
      </c>
      <c r="S12" s="30">
        <v>129</v>
      </c>
      <c r="T12" s="33">
        <f t="shared" si="1"/>
        <v>1348</v>
      </c>
      <c r="U12" s="10">
        <v>194</v>
      </c>
      <c r="V12" s="10">
        <v>60</v>
      </c>
      <c r="W12" s="10"/>
      <c r="X12" s="11"/>
      <c r="Y12" s="10"/>
      <c r="Z12" s="11">
        <v>82</v>
      </c>
      <c r="AA12" s="30">
        <v>12</v>
      </c>
      <c r="AB12" s="30">
        <v>18</v>
      </c>
      <c r="AC12" s="33">
        <f t="shared" si="2"/>
        <v>366</v>
      </c>
      <c r="AD12" s="12">
        <f t="shared" si="3"/>
        <v>4665</v>
      </c>
      <c r="AE12" s="39"/>
      <c r="AF12" s="39"/>
      <c r="AG12" s="39"/>
      <c r="AH12" s="39"/>
      <c r="AI12" s="39"/>
      <c r="AJ12"/>
    </row>
    <row r="13" spans="1:36" x14ac:dyDescent="0.2">
      <c r="A13" s="5">
        <f>DAY(Kalenteri!A190)</f>
        <v>9</v>
      </c>
      <c r="B13" s="3" t="str">
        <f>IF(Kalenteri!B190=1,"su",IF(Kalenteri!B190=2,"ma",IF(Kalenteri!B190=3,"ti",IF(Kalenteri!B190=4,"ke",IF(Kalenteri!B190=5,"to",IF(Kalenteri!B190=6,"pe",IF(Kalenteri!B190=7,"la",)))))))</f>
        <v>ti</v>
      </c>
      <c r="C13" s="18">
        <v>2296</v>
      </c>
      <c r="D13" s="10">
        <v>688</v>
      </c>
      <c r="E13" s="10">
        <v>3</v>
      </c>
      <c r="F13" s="11">
        <v>28</v>
      </c>
      <c r="G13" s="18">
        <v>56</v>
      </c>
      <c r="H13" s="11">
        <v>920</v>
      </c>
      <c r="I13" s="18">
        <v>108</v>
      </c>
      <c r="J13" s="11">
        <v>162</v>
      </c>
      <c r="K13" s="33">
        <f t="shared" si="0"/>
        <v>4261</v>
      </c>
      <c r="L13" s="10">
        <f>913+232</f>
        <v>1145</v>
      </c>
      <c r="M13" s="10">
        <v>364</v>
      </c>
      <c r="N13" s="10"/>
      <c r="O13" s="11">
        <v>1</v>
      </c>
      <c r="P13" s="10"/>
      <c r="Q13" s="11">
        <v>403</v>
      </c>
      <c r="R13" s="30">
        <v>56</v>
      </c>
      <c r="S13" s="30">
        <v>84</v>
      </c>
      <c r="T13" s="33">
        <f t="shared" si="1"/>
        <v>2053</v>
      </c>
      <c r="U13" s="10">
        <f>230+74</f>
        <v>304</v>
      </c>
      <c r="V13" s="10"/>
      <c r="W13" s="10"/>
      <c r="X13" s="11"/>
      <c r="Y13" s="10"/>
      <c r="Z13" s="11">
        <v>91</v>
      </c>
      <c r="AA13" s="30">
        <v>18</v>
      </c>
      <c r="AB13" s="30">
        <v>27</v>
      </c>
      <c r="AC13" s="33">
        <f t="shared" si="2"/>
        <v>440</v>
      </c>
      <c r="AD13" s="12">
        <f t="shared" si="3"/>
        <v>6754</v>
      </c>
      <c r="AE13" s="39"/>
      <c r="AF13" s="39"/>
      <c r="AG13" s="39"/>
      <c r="AH13" s="39"/>
      <c r="AI13" s="39"/>
      <c r="AJ13"/>
    </row>
    <row r="14" spans="1:36" x14ac:dyDescent="0.2">
      <c r="A14" s="5">
        <f>DAY(Kalenteri!A191)</f>
        <v>10</v>
      </c>
      <c r="B14" s="3" t="str">
        <f>IF(Kalenteri!B191=1,"su",IF(Kalenteri!B191=2,"ma",IF(Kalenteri!B191=3,"ti",IF(Kalenteri!B191=4,"ke",IF(Kalenteri!B191=5,"to",IF(Kalenteri!B191=6,"pe",IF(Kalenteri!B191=7,"la",)))))))</f>
        <v>ke</v>
      </c>
      <c r="C14" s="18">
        <v>811</v>
      </c>
      <c r="D14" s="10">
        <v>243</v>
      </c>
      <c r="E14" s="10"/>
      <c r="F14" s="11">
        <v>2</v>
      </c>
      <c r="G14" s="18">
        <v>27</v>
      </c>
      <c r="H14" s="11">
        <v>297</v>
      </c>
      <c r="I14" s="18">
        <v>36</v>
      </c>
      <c r="J14" s="11">
        <v>54</v>
      </c>
      <c r="K14" s="33">
        <f t="shared" si="0"/>
        <v>1470</v>
      </c>
      <c r="L14" s="10">
        <f>253+67</f>
        <v>320</v>
      </c>
      <c r="M14" s="10">
        <v>97</v>
      </c>
      <c r="N14" s="10"/>
      <c r="O14" s="11"/>
      <c r="P14" s="10"/>
      <c r="Q14" s="11">
        <v>84</v>
      </c>
      <c r="R14" s="30">
        <v>32</v>
      </c>
      <c r="S14" s="30">
        <v>48</v>
      </c>
      <c r="T14" s="33">
        <f t="shared" si="1"/>
        <v>581</v>
      </c>
      <c r="U14" s="10">
        <f>55+14</f>
        <v>69</v>
      </c>
      <c r="V14" s="10">
        <v>37</v>
      </c>
      <c r="W14" s="10"/>
      <c r="X14" s="11"/>
      <c r="Y14" s="10"/>
      <c r="Z14" s="11">
        <v>27</v>
      </c>
      <c r="AA14" s="30">
        <v>4</v>
      </c>
      <c r="AB14" s="30">
        <v>6</v>
      </c>
      <c r="AC14" s="33">
        <f t="shared" si="2"/>
        <v>143</v>
      </c>
      <c r="AD14" s="12">
        <f t="shared" si="3"/>
        <v>2194</v>
      </c>
      <c r="AE14" s="39"/>
      <c r="AF14" s="39"/>
      <c r="AG14" s="39"/>
      <c r="AH14" s="39"/>
      <c r="AI14" s="39"/>
      <c r="AJ14"/>
    </row>
    <row r="15" spans="1:36" x14ac:dyDescent="0.2">
      <c r="A15" s="5">
        <f>DAY(Kalenteri!A192)</f>
        <v>11</v>
      </c>
      <c r="B15" s="3" t="str">
        <f>IF(Kalenteri!B192=1,"su",IF(Kalenteri!B192=2,"ma",IF(Kalenteri!B192=3,"ti",IF(Kalenteri!B192=4,"ke",IF(Kalenteri!B192=5,"to",IF(Kalenteri!B192=6,"pe",IF(Kalenteri!B192=7,"la",)))))))</f>
        <v>to</v>
      </c>
      <c r="C15" s="18">
        <v>2252</v>
      </c>
      <c r="D15" s="10">
        <v>675</v>
      </c>
      <c r="E15" s="10">
        <v>8</v>
      </c>
      <c r="F15" s="11">
        <v>30</v>
      </c>
      <c r="G15" s="18">
        <v>47</v>
      </c>
      <c r="H15" s="11">
        <v>856</v>
      </c>
      <c r="I15" s="18">
        <v>96</v>
      </c>
      <c r="J15" s="11">
        <v>144</v>
      </c>
      <c r="K15" s="33">
        <f t="shared" si="0"/>
        <v>4108</v>
      </c>
      <c r="L15" s="10">
        <f>735+218</f>
        <v>953</v>
      </c>
      <c r="M15" s="10">
        <v>299</v>
      </c>
      <c r="N15" s="10"/>
      <c r="O15" s="11"/>
      <c r="P15" s="10"/>
      <c r="Q15" s="11">
        <v>278</v>
      </c>
      <c r="R15" s="30">
        <v>104</v>
      </c>
      <c r="S15" s="30">
        <v>156</v>
      </c>
      <c r="T15" s="33">
        <f t="shared" si="1"/>
        <v>1790</v>
      </c>
      <c r="U15" s="10">
        <f>218+66</f>
        <v>284</v>
      </c>
      <c r="V15" s="10">
        <v>73</v>
      </c>
      <c r="W15" s="10"/>
      <c r="X15" s="11"/>
      <c r="Y15" s="10"/>
      <c r="Z15" s="11">
        <v>116</v>
      </c>
      <c r="AA15" s="30">
        <v>22</v>
      </c>
      <c r="AB15" s="30">
        <v>33</v>
      </c>
      <c r="AC15" s="33">
        <f t="shared" si="2"/>
        <v>528</v>
      </c>
      <c r="AD15" s="12">
        <f t="shared" si="3"/>
        <v>6426</v>
      </c>
      <c r="AE15" s="39"/>
      <c r="AF15" s="39"/>
      <c r="AG15" s="39"/>
      <c r="AH15" s="39"/>
      <c r="AI15" s="39"/>
      <c r="AJ15"/>
    </row>
    <row r="16" spans="1:36" x14ac:dyDescent="0.2">
      <c r="A16" s="5">
        <f>DAY(Kalenteri!A193)</f>
        <v>12</v>
      </c>
      <c r="B16" s="3" t="str">
        <f>IF(Kalenteri!B193=1,"su",IF(Kalenteri!B193=2,"ma",IF(Kalenteri!B193=3,"ti",IF(Kalenteri!B193=4,"ke",IF(Kalenteri!B193=5,"to",IF(Kalenteri!B193=6,"pe",IF(Kalenteri!B193=7,"la",)))))))</f>
        <v>pe</v>
      </c>
      <c r="C16" s="18">
        <v>1600</v>
      </c>
      <c r="D16" s="10">
        <v>466</v>
      </c>
      <c r="E16" s="10">
        <v>18</v>
      </c>
      <c r="F16" s="11">
        <v>18</v>
      </c>
      <c r="G16" s="18">
        <v>38</v>
      </c>
      <c r="H16" s="11">
        <v>660</v>
      </c>
      <c r="I16" s="18">
        <v>66</v>
      </c>
      <c r="J16" s="11">
        <v>99</v>
      </c>
      <c r="K16" s="33">
        <f t="shared" si="0"/>
        <v>2965</v>
      </c>
      <c r="L16" s="10">
        <v>765</v>
      </c>
      <c r="M16" s="10">
        <v>181</v>
      </c>
      <c r="N16" s="10"/>
      <c r="O16" s="11"/>
      <c r="P16" s="10"/>
      <c r="Q16" s="11">
        <v>226</v>
      </c>
      <c r="R16" s="30">
        <v>66</v>
      </c>
      <c r="S16" s="30">
        <v>99</v>
      </c>
      <c r="T16" s="33">
        <f t="shared" si="1"/>
        <v>1337</v>
      </c>
      <c r="U16" s="10">
        <v>191</v>
      </c>
      <c r="V16" s="10">
        <v>56</v>
      </c>
      <c r="W16" s="10"/>
      <c r="X16" s="11"/>
      <c r="Y16" s="10"/>
      <c r="Z16" s="11">
        <v>89</v>
      </c>
      <c r="AA16" s="30">
        <v>10</v>
      </c>
      <c r="AB16" s="30">
        <v>15</v>
      </c>
      <c r="AC16" s="33">
        <f t="shared" si="2"/>
        <v>361</v>
      </c>
      <c r="AD16" s="12">
        <f t="shared" si="3"/>
        <v>4663</v>
      </c>
      <c r="AE16" s="39"/>
      <c r="AF16" s="39"/>
      <c r="AG16" s="39"/>
      <c r="AH16" s="39"/>
      <c r="AI16" s="39"/>
      <c r="AJ16"/>
    </row>
    <row r="17" spans="1:36" x14ac:dyDescent="0.2">
      <c r="A17" s="5">
        <f>DAY(Kalenteri!A194)</f>
        <v>13</v>
      </c>
      <c r="B17" s="3" t="str">
        <f>IF(Kalenteri!B194=1,"su",IF(Kalenteri!B194=2,"ma",IF(Kalenteri!B194=3,"ti",IF(Kalenteri!B194=4,"ke",IF(Kalenteri!B194=5,"to",IF(Kalenteri!B194=6,"pe",IF(Kalenteri!B194=7,"la",)))))))</f>
        <v>la</v>
      </c>
      <c r="C17" s="18">
        <v>2524</v>
      </c>
      <c r="D17" s="10">
        <v>563</v>
      </c>
      <c r="E17" s="10">
        <v>5</v>
      </c>
      <c r="F17" s="11">
        <v>34</v>
      </c>
      <c r="G17" s="18">
        <v>38</v>
      </c>
      <c r="H17" s="11">
        <v>784</v>
      </c>
      <c r="I17" s="18">
        <v>102</v>
      </c>
      <c r="J17" s="11">
        <v>153</v>
      </c>
      <c r="K17" s="33">
        <f t="shared" si="0"/>
        <v>4203</v>
      </c>
      <c r="L17" s="10">
        <v>1118</v>
      </c>
      <c r="M17" s="10">
        <v>248</v>
      </c>
      <c r="N17" s="10"/>
      <c r="O17" s="11"/>
      <c r="P17" s="10"/>
      <c r="Q17" s="11">
        <v>243</v>
      </c>
      <c r="R17" s="30">
        <v>68</v>
      </c>
      <c r="S17" s="30">
        <v>102</v>
      </c>
      <c r="T17" s="33">
        <f t="shared" si="1"/>
        <v>1779</v>
      </c>
      <c r="U17" s="10">
        <v>346</v>
      </c>
      <c r="V17" s="10">
        <v>64</v>
      </c>
      <c r="W17" s="10"/>
      <c r="X17" s="11"/>
      <c r="Y17" s="10"/>
      <c r="Z17" s="11">
        <v>120</v>
      </c>
      <c r="AA17" s="30">
        <v>6</v>
      </c>
      <c r="AB17" s="30">
        <v>9</v>
      </c>
      <c r="AC17" s="33">
        <f t="shared" si="2"/>
        <v>545</v>
      </c>
      <c r="AD17" s="12">
        <f t="shared" si="3"/>
        <v>6527</v>
      </c>
      <c r="AE17" s="39"/>
      <c r="AF17" s="39"/>
      <c r="AG17" s="39"/>
      <c r="AH17" s="39"/>
      <c r="AI17" s="39"/>
      <c r="AJ17"/>
    </row>
    <row r="18" spans="1:36" x14ac:dyDescent="0.2">
      <c r="A18" s="5">
        <f>DAY(Kalenteri!A195)</f>
        <v>14</v>
      </c>
      <c r="B18" s="3" t="str">
        <f>IF(Kalenteri!B195=1,"su",IF(Kalenteri!B195=2,"ma",IF(Kalenteri!B195=3,"ti",IF(Kalenteri!B195=4,"ke",IF(Kalenteri!B195=5,"to",IF(Kalenteri!B195=6,"pe",IF(Kalenteri!B195=7,"la",)))))))</f>
        <v>su</v>
      </c>
      <c r="C18" s="18">
        <v>2124</v>
      </c>
      <c r="D18" s="10">
        <v>517</v>
      </c>
      <c r="E18" s="10">
        <v>2</v>
      </c>
      <c r="F18" s="11">
        <v>24</v>
      </c>
      <c r="G18" s="18">
        <v>20</v>
      </c>
      <c r="H18" s="11">
        <v>626</v>
      </c>
      <c r="I18" s="18">
        <v>112</v>
      </c>
      <c r="J18" s="11">
        <v>168</v>
      </c>
      <c r="K18" s="33">
        <f t="shared" si="0"/>
        <v>3593</v>
      </c>
      <c r="L18" s="10">
        <v>719</v>
      </c>
      <c r="M18" s="10">
        <v>146</v>
      </c>
      <c r="N18" s="10"/>
      <c r="O18" s="11"/>
      <c r="P18" s="10"/>
      <c r="Q18" s="11">
        <v>118</v>
      </c>
      <c r="R18" s="30">
        <v>68</v>
      </c>
      <c r="S18" s="30">
        <v>102</v>
      </c>
      <c r="T18" s="33">
        <f t="shared" si="1"/>
        <v>1153</v>
      </c>
      <c r="U18" s="10">
        <v>206</v>
      </c>
      <c r="V18" s="10">
        <v>38</v>
      </c>
      <c r="W18" s="10"/>
      <c r="X18" s="11"/>
      <c r="Y18" s="10"/>
      <c r="Z18" s="11">
        <v>75</v>
      </c>
      <c r="AA18" s="30">
        <v>10</v>
      </c>
      <c r="AB18" s="30">
        <v>15</v>
      </c>
      <c r="AC18" s="33">
        <f t="shared" si="2"/>
        <v>344</v>
      </c>
      <c r="AD18" s="12">
        <f t="shared" si="3"/>
        <v>5090</v>
      </c>
      <c r="AE18" s="39"/>
      <c r="AF18" s="39"/>
      <c r="AG18" s="39"/>
      <c r="AH18" s="39"/>
      <c r="AI18" s="39"/>
      <c r="AJ18"/>
    </row>
    <row r="19" spans="1:36" x14ac:dyDescent="0.2">
      <c r="A19" s="5">
        <f>DAY(Kalenteri!A196)</f>
        <v>15</v>
      </c>
      <c r="B19" s="3" t="str">
        <f>IF(Kalenteri!B196=1,"su",IF(Kalenteri!B196=2,"ma",IF(Kalenteri!B196=3,"ti",IF(Kalenteri!B196=4,"ke",IF(Kalenteri!B196=5,"to",IF(Kalenteri!B196=6,"pe",IF(Kalenteri!B196=7,"la",)))))))</f>
        <v>ma</v>
      </c>
      <c r="C19" s="18">
        <v>1845</v>
      </c>
      <c r="D19" s="10">
        <v>569</v>
      </c>
      <c r="E19" s="10">
        <v>2</v>
      </c>
      <c r="F19" s="11">
        <v>16</v>
      </c>
      <c r="G19" s="18">
        <v>37</v>
      </c>
      <c r="H19" s="11">
        <v>745</v>
      </c>
      <c r="I19" s="18">
        <v>68</v>
      </c>
      <c r="J19" s="11">
        <v>103</v>
      </c>
      <c r="K19" s="33">
        <f t="shared" si="0"/>
        <v>3385</v>
      </c>
      <c r="L19" s="10">
        <f>648+153</f>
        <v>801</v>
      </c>
      <c r="M19" s="10">
        <v>239</v>
      </c>
      <c r="N19" s="10"/>
      <c r="O19" s="11">
        <v>1</v>
      </c>
      <c r="P19" s="10"/>
      <c r="Q19" s="11">
        <v>221</v>
      </c>
      <c r="R19" s="30">
        <v>82</v>
      </c>
      <c r="S19" s="30">
        <v>123</v>
      </c>
      <c r="T19" s="33">
        <f t="shared" si="1"/>
        <v>1467</v>
      </c>
      <c r="U19" s="10">
        <f>96+43</f>
        <v>139</v>
      </c>
      <c r="V19" s="10">
        <v>90</v>
      </c>
      <c r="W19" s="10"/>
      <c r="X19" s="11"/>
      <c r="Y19" s="10"/>
      <c r="Z19" s="11">
        <v>87</v>
      </c>
      <c r="AA19" s="30">
        <v>10</v>
      </c>
      <c r="AB19" s="30">
        <v>15</v>
      </c>
      <c r="AC19" s="33">
        <f t="shared" si="2"/>
        <v>341</v>
      </c>
      <c r="AD19" s="12">
        <f t="shared" si="3"/>
        <v>5193</v>
      </c>
      <c r="AE19" s="39"/>
      <c r="AF19" s="39"/>
      <c r="AG19" s="39"/>
      <c r="AH19" s="39"/>
      <c r="AI19" s="39"/>
      <c r="AJ19"/>
    </row>
    <row r="20" spans="1:36" x14ac:dyDescent="0.2">
      <c r="A20" s="5">
        <f>DAY(Kalenteri!A197)</f>
        <v>16</v>
      </c>
      <c r="B20" s="3" t="str">
        <f>IF(Kalenteri!B197=1,"su",IF(Kalenteri!B197=2,"ma",IF(Kalenteri!B197=3,"ti",IF(Kalenteri!B197=4,"ke",IF(Kalenteri!B197=5,"to",IF(Kalenteri!B197=6,"pe",IF(Kalenteri!B197=7,"la",)))))))</f>
        <v>ti</v>
      </c>
      <c r="C20" s="18">
        <v>2492</v>
      </c>
      <c r="D20" s="10">
        <v>742</v>
      </c>
      <c r="E20" s="10">
        <v>9</v>
      </c>
      <c r="F20" s="11">
        <v>23</v>
      </c>
      <c r="G20" s="18">
        <v>61</v>
      </c>
      <c r="H20" s="11">
        <v>1078</v>
      </c>
      <c r="I20" s="18">
        <v>138</v>
      </c>
      <c r="J20" s="11">
        <v>207</v>
      </c>
      <c r="K20" s="33">
        <f t="shared" si="0"/>
        <v>4750</v>
      </c>
      <c r="L20" s="10">
        <f>853+205</f>
        <v>1058</v>
      </c>
      <c r="M20" s="10">
        <v>339</v>
      </c>
      <c r="N20" s="10"/>
      <c r="O20" s="11">
        <v>3</v>
      </c>
      <c r="P20" s="10"/>
      <c r="Q20" s="11">
        <v>323</v>
      </c>
      <c r="R20" s="30">
        <v>124</v>
      </c>
      <c r="S20" s="30">
        <v>186</v>
      </c>
      <c r="T20" s="33">
        <f t="shared" si="1"/>
        <v>2033</v>
      </c>
      <c r="U20" s="10">
        <f>210+276</f>
        <v>486</v>
      </c>
      <c r="V20" s="10">
        <v>85</v>
      </c>
      <c r="W20" s="10"/>
      <c r="X20" s="11"/>
      <c r="Y20" s="10"/>
      <c r="Z20" s="11">
        <v>107</v>
      </c>
      <c r="AA20" s="30">
        <v>10</v>
      </c>
      <c r="AB20" s="30">
        <v>15</v>
      </c>
      <c r="AC20" s="33">
        <f t="shared" si="2"/>
        <v>703</v>
      </c>
      <c r="AD20" s="12">
        <f t="shared" si="3"/>
        <v>7486</v>
      </c>
      <c r="AE20" s="39"/>
      <c r="AF20" s="39"/>
      <c r="AG20" s="39"/>
      <c r="AH20" s="39"/>
      <c r="AI20" s="39"/>
      <c r="AJ20"/>
    </row>
    <row r="21" spans="1:36" x14ac:dyDescent="0.2">
      <c r="A21" s="5">
        <f>DAY(Kalenteri!A198)</f>
        <v>17</v>
      </c>
      <c r="B21" s="3" t="str">
        <f>IF(Kalenteri!B198=1,"su",IF(Kalenteri!B198=2,"ma",IF(Kalenteri!B198=3,"ti",IF(Kalenteri!B198=4,"ke",IF(Kalenteri!B198=5,"to",IF(Kalenteri!B198=6,"pe",IF(Kalenteri!B198=7,"la",)))))))</f>
        <v>ke</v>
      </c>
      <c r="C21" s="18">
        <v>2399</v>
      </c>
      <c r="D21" s="10">
        <v>761</v>
      </c>
      <c r="E21" s="10">
        <v>10</v>
      </c>
      <c r="F21" s="11">
        <v>28</v>
      </c>
      <c r="G21" s="18">
        <v>56</v>
      </c>
      <c r="H21" s="11">
        <v>905</v>
      </c>
      <c r="I21" s="18">
        <v>122</v>
      </c>
      <c r="J21" s="11">
        <v>183</v>
      </c>
      <c r="K21" s="33">
        <f t="shared" si="0"/>
        <v>4464</v>
      </c>
      <c r="L21" s="10">
        <v>983</v>
      </c>
      <c r="M21" s="10">
        <v>355</v>
      </c>
      <c r="N21" s="10"/>
      <c r="O21" s="11">
        <v>2</v>
      </c>
      <c r="P21" s="10"/>
      <c r="Q21" s="11">
        <v>255</v>
      </c>
      <c r="R21" s="30">
        <v>56</v>
      </c>
      <c r="S21" s="30">
        <v>84</v>
      </c>
      <c r="T21" s="33">
        <f t="shared" si="1"/>
        <v>1735</v>
      </c>
      <c r="U21" s="10">
        <v>284</v>
      </c>
      <c r="V21" s="10">
        <v>101</v>
      </c>
      <c r="W21" s="10"/>
      <c r="X21" s="11"/>
      <c r="Y21" s="10"/>
      <c r="Z21" s="11">
        <v>104</v>
      </c>
      <c r="AA21" s="30">
        <v>14</v>
      </c>
      <c r="AB21" s="30">
        <v>21</v>
      </c>
      <c r="AC21" s="33">
        <f t="shared" si="2"/>
        <v>524</v>
      </c>
      <c r="AD21" s="12">
        <f t="shared" si="3"/>
        <v>6723</v>
      </c>
      <c r="AE21" s="39"/>
      <c r="AF21" s="39"/>
      <c r="AG21" s="39"/>
      <c r="AH21" s="39"/>
      <c r="AI21" s="39"/>
      <c r="AJ21"/>
    </row>
    <row r="22" spans="1:36" x14ac:dyDescent="0.2">
      <c r="A22" s="5">
        <f>DAY(Kalenteri!A199)</f>
        <v>18</v>
      </c>
      <c r="B22" s="3" t="str">
        <f>IF(Kalenteri!B199=1,"su",IF(Kalenteri!B199=2,"ma",IF(Kalenteri!B199=3,"ti",IF(Kalenteri!B199=4,"ke",IF(Kalenteri!B199=5,"to",IF(Kalenteri!B199=6,"pe",IF(Kalenteri!B199=7,"la",)))))))</f>
        <v>to</v>
      </c>
      <c r="C22" s="18">
        <v>1119</v>
      </c>
      <c r="D22" s="10">
        <v>343</v>
      </c>
      <c r="E22" s="10">
        <v>1</v>
      </c>
      <c r="F22" s="11">
        <v>13</v>
      </c>
      <c r="G22" s="18">
        <v>60</v>
      </c>
      <c r="H22" s="11">
        <v>390</v>
      </c>
      <c r="I22" s="18">
        <v>48</v>
      </c>
      <c r="J22" s="11">
        <v>72</v>
      </c>
      <c r="K22" s="33">
        <f t="shared" si="0"/>
        <v>2046</v>
      </c>
      <c r="L22" s="10">
        <v>490</v>
      </c>
      <c r="M22" s="10">
        <v>144</v>
      </c>
      <c r="N22" s="10"/>
      <c r="O22" s="11"/>
      <c r="P22" s="10"/>
      <c r="Q22" s="11">
        <v>101</v>
      </c>
      <c r="R22" s="30">
        <v>42</v>
      </c>
      <c r="S22" s="30">
        <v>63</v>
      </c>
      <c r="T22" s="33">
        <f t="shared" si="1"/>
        <v>840</v>
      </c>
      <c r="U22" s="10">
        <v>117</v>
      </c>
      <c r="V22" s="10">
        <v>38</v>
      </c>
      <c r="W22" s="10"/>
      <c r="X22" s="11"/>
      <c r="Y22" s="10"/>
      <c r="Z22" s="11">
        <v>43</v>
      </c>
      <c r="AA22" s="30">
        <v>6</v>
      </c>
      <c r="AB22" s="30">
        <v>9</v>
      </c>
      <c r="AC22" s="33">
        <f t="shared" si="2"/>
        <v>213</v>
      </c>
      <c r="AD22" s="12">
        <f t="shared" si="3"/>
        <v>3099</v>
      </c>
      <c r="AE22" s="39"/>
      <c r="AF22" s="39"/>
      <c r="AG22" s="39"/>
      <c r="AH22" s="39"/>
      <c r="AI22" s="39"/>
      <c r="AJ22"/>
    </row>
    <row r="23" spans="1:36" x14ac:dyDescent="0.2">
      <c r="A23" s="5">
        <f>DAY(Kalenteri!A200)</f>
        <v>19</v>
      </c>
      <c r="B23" s="3" t="str">
        <f>IF(Kalenteri!B200=1,"su",IF(Kalenteri!B200=2,"ma",IF(Kalenteri!B200=3,"ti",IF(Kalenteri!B200=4,"ke",IF(Kalenteri!B200=5,"to",IF(Kalenteri!B200=6,"pe",IF(Kalenteri!B200=7,"la",)))))))</f>
        <v>pe</v>
      </c>
      <c r="C23" s="18">
        <v>1034</v>
      </c>
      <c r="D23" s="10">
        <v>336</v>
      </c>
      <c r="E23" s="10">
        <v>1</v>
      </c>
      <c r="F23" s="11">
        <v>11</v>
      </c>
      <c r="G23" s="18">
        <v>25</v>
      </c>
      <c r="H23" s="11">
        <v>407</v>
      </c>
      <c r="I23" s="18">
        <v>46</v>
      </c>
      <c r="J23" s="11">
        <v>69</v>
      </c>
      <c r="K23" s="33">
        <f t="shared" si="0"/>
        <v>1929</v>
      </c>
      <c r="L23" s="10">
        <f>352+82</f>
        <v>434</v>
      </c>
      <c r="M23" s="10">
        <v>74</v>
      </c>
      <c r="N23" s="10"/>
      <c r="O23" s="11"/>
      <c r="P23" s="10"/>
      <c r="Q23" s="11">
        <v>102</v>
      </c>
      <c r="R23" s="30">
        <v>28</v>
      </c>
      <c r="S23" s="30">
        <v>42</v>
      </c>
      <c r="T23" s="33">
        <f t="shared" si="1"/>
        <v>680</v>
      </c>
      <c r="U23" s="10">
        <v>75</v>
      </c>
      <c r="V23" s="10">
        <v>27</v>
      </c>
      <c r="W23" s="10"/>
      <c r="X23" s="11"/>
      <c r="Y23" s="10"/>
      <c r="Z23" s="11">
        <v>30</v>
      </c>
      <c r="AA23" s="30">
        <v>4</v>
      </c>
      <c r="AB23" s="30">
        <v>6</v>
      </c>
      <c r="AC23" s="33">
        <f t="shared" si="2"/>
        <v>142</v>
      </c>
      <c r="AD23" s="12">
        <f t="shared" si="3"/>
        <v>2751</v>
      </c>
      <c r="AE23" s="39"/>
      <c r="AF23" s="39"/>
      <c r="AG23" s="39"/>
      <c r="AH23" s="39"/>
      <c r="AI23" s="39"/>
      <c r="AJ23"/>
    </row>
    <row r="24" spans="1:36" x14ac:dyDescent="0.2">
      <c r="A24" s="5">
        <f>DAY(Kalenteri!A201)</f>
        <v>20</v>
      </c>
      <c r="B24" s="3" t="str">
        <f>IF(Kalenteri!B201=1,"su",IF(Kalenteri!B201=2,"ma",IF(Kalenteri!B201=3,"ti",IF(Kalenteri!B201=4,"ke",IF(Kalenteri!B201=5,"to",IF(Kalenteri!B201=6,"pe",IF(Kalenteri!B201=7,"la",)))))))</f>
        <v>la</v>
      </c>
      <c r="C24" s="18">
        <v>2383</v>
      </c>
      <c r="D24" s="10">
        <v>589</v>
      </c>
      <c r="E24" s="10"/>
      <c r="F24" s="11">
        <v>27</v>
      </c>
      <c r="G24" s="18">
        <v>20</v>
      </c>
      <c r="H24" s="11">
        <v>798</v>
      </c>
      <c r="I24" s="18">
        <v>90</v>
      </c>
      <c r="J24" s="11">
        <v>134</v>
      </c>
      <c r="K24" s="33">
        <f t="shared" si="0"/>
        <v>4041</v>
      </c>
      <c r="L24" s="10">
        <f>734+165</f>
        <v>899</v>
      </c>
      <c r="M24" s="10">
        <v>186</v>
      </c>
      <c r="N24" s="10"/>
      <c r="O24" s="11">
        <v>2</v>
      </c>
      <c r="P24" s="10"/>
      <c r="Q24" s="11">
        <v>172</v>
      </c>
      <c r="R24" s="30">
        <v>62</v>
      </c>
      <c r="S24" s="30">
        <v>93</v>
      </c>
      <c r="T24" s="33">
        <f>SUM(L24:S24)</f>
        <v>1414</v>
      </c>
      <c r="U24" s="10">
        <f>172+54</f>
        <v>226</v>
      </c>
      <c r="V24" s="10">
        <v>48</v>
      </c>
      <c r="W24" s="10"/>
      <c r="X24" s="11"/>
      <c r="Y24" s="10"/>
      <c r="Z24" s="11">
        <v>82</v>
      </c>
      <c r="AA24" s="30">
        <v>4</v>
      </c>
      <c r="AB24" s="30">
        <v>6</v>
      </c>
      <c r="AC24" s="33">
        <f t="shared" si="2"/>
        <v>366</v>
      </c>
      <c r="AD24" s="12">
        <f t="shared" si="3"/>
        <v>5821</v>
      </c>
      <c r="AE24" s="39"/>
      <c r="AF24" s="39"/>
      <c r="AG24" s="39"/>
      <c r="AH24" s="39"/>
      <c r="AI24" s="39"/>
      <c r="AJ24" s="39"/>
    </row>
    <row r="25" spans="1:36" x14ac:dyDescent="0.2">
      <c r="A25" s="5">
        <f>DAY(Kalenteri!A202)</f>
        <v>21</v>
      </c>
      <c r="B25" s="3" t="str">
        <f>IF(Kalenteri!B202=1,"su",IF(Kalenteri!B202=2,"ma",IF(Kalenteri!B202=3,"ti",IF(Kalenteri!B202=4,"ke",IF(Kalenteri!B202=5,"to",IF(Kalenteri!B202=6,"pe",IF(Kalenteri!B202=7,"la",)))))))</f>
        <v>su</v>
      </c>
      <c r="C25" s="18">
        <v>1970</v>
      </c>
      <c r="D25" s="10">
        <v>448</v>
      </c>
      <c r="E25" s="10">
        <v>5</v>
      </c>
      <c r="F25" s="11">
        <v>16</v>
      </c>
      <c r="G25" s="18">
        <v>20</v>
      </c>
      <c r="H25" s="11">
        <v>595</v>
      </c>
      <c r="I25" s="18">
        <v>106</v>
      </c>
      <c r="J25" s="11">
        <v>159</v>
      </c>
      <c r="K25" s="33">
        <f t="shared" si="0"/>
        <v>3319</v>
      </c>
      <c r="L25" s="10">
        <f>522+123</f>
        <v>645</v>
      </c>
      <c r="M25" s="10">
        <v>135</v>
      </c>
      <c r="N25" s="10"/>
      <c r="O25" s="11"/>
      <c r="P25" s="10"/>
      <c r="Q25" s="11">
        <v>115</v>
      </c>
      <c r="R25" s="30">
        <v>86</v>
      </c>
      <c r="S25" s="30">
        <v>129</v>
      </c>
      <c r="T25" s="33">
        <f t="shared" si="1"/>
        <v>1110</v>
      </c>
      <c r="U25" s="10">
        <f>124+42</f>
        <v>166</v>
      </c>
      <c r="V25" s="10">
        <v>46</v>
      </c>
      <c r="W25" s="10"/>
      <c r="X25" s="11"/>
      <c r="Y25" s="10"/>
      <c r="Z25" s="11">
        <v>57</v>
      </c>
      <c r="AA25" s="30">
        <v>2</v>
      </c>
      <c r="AB25" s="30">
        <v>3</v>
      </c>
      <c r="AC25" s="33">
        <f>SUM(U25:AB25)</f>
        <v>274</v>
      </c>
      <c r="AD25" s="12">
        <f t="shared" si="3"/>
        <v>4703</v>
      </c>
      <c r="AE25" s="39"/>
      <c r="AF25" s="39"/>
      <c r="AG25" s="39"/>
      <c r="AH25" s="39"/>
      <c r="AI25" s="39"/>
      <c r="AJ25" s="39"/>
    </row>
    <row r="26" spans="1:36" x14ac:dyDescent="0.2">
      <c r="A26" s="5">
        <f>DAY(Kalenteri!A203)</f>
        <v>22</v>
      </c>
      <c r="B26" s="3" t="str">
        <f>IF(Kalenteri!B203=1,"su",IF(Kalenteri!B203=2,"ma",IF(Kalenteri!B203=3,"ti",IF(Kalenteri!B203=4,"ke",IF(Kalenteri!B203=5,"to",IF(Kalenteri!B203=6,"pe",IF(Kalenteri!B203=7,"la",)))))))</f>
        <v>ma</v>
      </c>
      <c r="C26" s="18">
        <v>1026</v>
      </c>
      <c r="D26" s="10">
        <v>343</v>
      </c>
      <c r="E26" s="10">
        <v>9</v>
      </c>
      <c r="F26" s="11">
        <v>9</v>
      </c>
      <c r="G26" s="18">
        <v>15</v>
      </c>
      <c r="H26" s="11">
        <v>361</v>
      </c>
      <c r="I26" s="18">
        <v>42</v>
      </c>
      <c r="J26" s="11">
        <v>63</v>
      </c>
      <c r="K26" s="33">
        <f t="shared" si="0"/>
        <v>1868</v>
      </c>
      <c r="L26" s="10">
        <f>298+60</f>
        <v>358</v>
      </c>
      <c r="M26" s="10">
        <v>144</v>
      </c>
      <c r="N26" s="10"/>
      <c r="O26" s="11"/>
      <c r="P26" s="10"/>
      <c r="Q26" s="11">
        <v>124</v>
      </c>
      <c r="R26" s="30">
        <v>68</v>
      </c>
      <c r="S26" s="30">
        <v>102</v>
      </c>
      <c r="T26" s="33">
        <f t="shared" si="1"/>
        <v>796</v>
      </c>
      <c r="U26" s="10">
        <f>72+12</f>
        <v>84</v>
      </c>
      <c r="V26" s="10">
        <v>43</v>
      </c>
      <c r="W26" s="10"/>
      <c r="X26" s="11"/>
      <c r="Y26" s="10"/>
      <c r="Z26" s="11">
        <v>38</v>
      </c>
      <c r="AA26" s="30">
        <v>6</v>
      </c>
      <c r="AB26" s="30">
        <v>9</v>
      </c>
      <c r="AC26" s="33">
        <f t="shared" si="2"/>
        <v>180</v>
      </c>
      <c r="AD26" s="12">
        <f t="shared" si="3"/>
        <v>2844</v>
      </c>
      <c r="AE26" s="39"/>
      <c r="AF26" s="39"/>
      <c r="AG26" s="39"/>
      <c r="AH26" s="39"/>
      <c r="AI26" s="39"/>
      <c r="AJ26" s="39"/>
    </row>
    <row r="27" spans="1:36" x14ac:dyDescent="0.2">
      <c r="A27" s="5">
        <f>DAY(Kalenteri!A204)</f>
        <v>23</v>
      </c>
      <c r="B27" s="3" t="str">
        <f>IF(Kalenteri!B204=1,"su",IF(Kalenteri!B204=2,"ma",IF(Kalenteri!B204=3,"ti",IF(Kalenteri!B204=4,"ke",IF(Kalenteri!B204=5,"to",IF(Kalenteri!B204=6,"pe",IF(Kalenteri!B204=7,"la",)))))))</f>
        <v>ti</v>
      </c>
      <c r="C27" s="18">
        <v>2426</v>
      </c>
      <c r="D27" s="10">
        <v>782</v>
      </c>
      <c r="E27" s="10">
        <v>4</v>
      </c>
      <c r="F27" s="11">
        <v>27</v>
      </c>
      <c r="G27" s="18">
        <v>60</v>
      </c>
      <c r="H27" s="11">
        <v>900</v>
      </c>
      <c r="I27" s="18">
        <v>102</v>
      </c>
      <c r="J27" s="11">
        <v>153</v>
      </c>
      <c r="K27" s="33">
        <f t="shared" si="0"/>
        <v>4454</v>
      </c>
      <c r="L27" s="10">
        <f>730+200</f>
        <v>930</v>
      </c>
      <c r="M27" s="10">
        <v>284</v>
      </c>
      <c r="N27" s="10"/>
      <c r="O27" s="11"/>
      <c r="P27" s="10"/>
      <c r="Q27" s="11">
        <v>204</v>
      </c>
      <c r="R27" s="30">
        <v>64</v>
      </c>
      <c r="S27" s="30">
        <v>96</v>
      </c>
      <c r="T27" s="33">
        <f t="shared" si="1"/>
        <v>1578</v>
      </c>
      <c r="U27" s="10">
        <f>209+43</f>
        <v>252</v>
      </c>
      <c r="V27" s="10">
        <v>90</v>
      </c>
      <c r="W27" s="10"/>
      <c r="X27" s="11"/>
      <c r="Y27" s="10"/>
      <c r="Z27" s="11">
        <v>90</v>
      </c>
      <c r="AA27" s="30">
        <v>14</v>
      </c>
      <c r="AB27" s="30">
        <v>21</v>
      </c>
      <c r="AC27" s="33">
        <f t="shared" si="2"/>
        <v>467</v>
      </c>
      <c r="AD27" s="12">
        <f t="shared" si="3"/>
        <v>6499</v>
      </c>
      <c r="AE27" s="39"/>
      <c r="AF27" s="39"/>
      <c r="AG27" s="39"/>
      <c r="AH27" s="39"/>
      <c r="AI27" s="39"/>
      <c r="AJ27" s="39"/>
    </row>
    <row r="28" spans="1:36" x14ac:dyDescent="0.2">
      <c r="A28" s="5">
        <f>DAY(Kalenteri!A205)</f>
        <v>24</v>
      </c>
      <c r="B28" s="3" t="str">
        <f>IF(Kalenteri!B205=1,"su",IF(Kalenteri!B205=2,"ma",IF(Kalenteri!B205=3,"ti",IF(Kalenteri!B205=4,"ke",IF(Kalenteri!B205=5,"to",IF(Kalenteri!B205=6,"pe",IF(Kalenteri!B205=7,"la",)))))))</f>
        <v>ke</v>
      </c>
      <c r="C28" s="18">
        <v>2045</v>
      </c>
      <c r="D28" s="10">
        <v>669</v>
      </c>
      <c r="E28" s="10">
        <v>2</v>
      </c>
      <c r="F28" s="11">
        <v>11</v>
      </c>
      <c r="G28" s="18">
        <v>49</v>
      </c>
      <c r="H28" s="11">
        <v>765</v>
      </c>
      <c r="I28" s="18">
        <v>76</v>
      </c>
      <c r="J28" s="11">
        <v>114</v>
      </c>
      <c r="K28" s="33">
        <f t="shared" si="0"/>
        <v>3731</v>
      </c>
      <c r="L28" s="10">
        <f>663+131</f>
        <v>794</v>
      </c>
      <c r="M28" s="10">
        <v>229</v>
      </c>
      <c r="N28" s="10"/>
      <c r="O28" s="11"/>
      <c r="P28" s="10"/>
      <c r="Q28" s="11">
        <v>226</v>
      </c>
      <c r="R28" s="30">
        <v>80</v>
      </c>
      <c r="S28" s="30">
        <v>120</v>
      </c>
      <c r="T28" s="33">
        <f t="shared" si="1"/>
        <v>1449</v>
      </c>
      <c r="U28" s="10">
        <v>238</v>
      </c>
      <c r="V28" s="10">
        <v>68</v>
      </c>
      <c r="W28" s="10"/>
      <c r="X28" s="11"/>
      <c r="Y28" s="10"/>
      <c r="Z28" s="11">
        <v>85</v>
      </c>
      <c r="AA28" s="30">
        <v>16</v>
      </c>
      <c r="AB28" s="30">
        <v>24</v>
      </c>
      <c r="AC28" s="33">
        <f t="shared" si="2"/>
        <v>431</v>
      </c>
      <c r="AD28" s="12">
        <f t="shared" si="3"/>
        <v>5611</v>
      </c>
      <c r="AE28" s="39"/>
      <c r="AF28" s="39"/>
      <c r="AG28" s="39"/>
      <c r="AH28" s="39"/>
      <c r="AI28" s="39"/>
      <c r="AJ28" s="39"/>
    </row>
    <row r="29" spans="1:36" x14ac:dyDescent="0.2">
      <c r="A29" s="5">
        <f>DAY(Kalenteri!A206)</f>
        <v>25</v>
      </c>
      <c r="B29" s="3" t="str">
        <f>IF(Kalenteri!B206=1,"su",IF(Kalenteri!B206=2,"ma",IF(Kalenteri!B206=3,"ti",IF(Kalenteri!B206=4,"ke",IF(Kalenteri!B206=5,"to",IF(Kalenteri!B206=6,"pe",IF(Kalenteri!B206=7,"la",)))))))</f>
        <v>to</v>
      </c>
      <c r="C29" s="18">
        <v>1913</v>
      </c>
      <c r="D29" s="10">
        <v>552</v>
      </c>
      <c r="E29" s="10">
        <v>7</v>
      </c>
      <c r="F29" s="11">
        <v>17</v>
      </c>
      <c r="G29" s="18">
        <v>80</v>
      </c>
      <c r="H29" s="11">
        <v>711</v>
      </c>
      <c r="I29" s="18">
        <v>84</v>
      </c>
      <c r="J29" s="11">
        <v>126</v>
      </c>
      <c r="K29" s="33">
        <f t="shared" si="0"/>
        <v>3490</v>
      </c>
      <c r="L29" s="10">
        <v>687</v>
      </c>
      <c r="M29" s="10">
        <v>200</v>
      </c>
      <c r="N29" s="10"/>
      <c r="O29" s="11"/>
      <c r="P29" s="10"/>
      <c r="Q29" s="11">
        <v>168</v>
      </c>
      <c r="R29" s="30">
        <v>86</v>
      </c>
      <c r="S29" s="30">
        <v>129</v>
      </c>
      <c r="T29" s="33">
        <f t="shared" si="1"/>
        <v>1270</v>
      </c>
      <c r="U29" s="10">
        <v>195</v>
      </c>
      <c r="V29" s="10">
        <v>57</v>
      </c>
      <c r="W29" s="10"/>
      <c r="X29" s="11"/>
      <c r="Y29" s="10">
        <v>11</v>
      </c>
      <c r="Z29" s="11">
        <v>98</v>
      </c>
      <c r="AA29" s="30">
        <v>6</v>
      </c>
      <c r="AB29" s="30">
        <v>9</v>
      </c>
      <c r="AC29" s="33">
        <f t="shared" si="2"/>
        <v>376</v>
      </c>
      <c r="AD29" s="12">
        <f t="shared" si="3"/>
        <v>5136</v>
      </c>
      <c r="AE29" s="39"/>
      <c r="AF29" s="39"/>
      <c r="AG29" s="39"/>
      <c r="AH29" s="39"/>
      <c r="AI29" s="39"/>
      <c r="AJ29" s="39"/>
    </row>
    <row r="30" spans="1:36" x14ac:dyDescent="0.2">
      <c r="A30" s="5">
        <f>DAY(Kalenteri!A207)</f>
        <v>26</v>
      </c>
      <c r="B30" s="3" t="str">
        <f>IF(Kalenteri!B207=1,"su",IF(Kalenteri!B207=2,"ma",IF(Kalenteri!B207=3,"ti",IF(Kalenteri!B207=4,"ke",IF(Kalenteri!B207=5,"to",IF(Kalenteri!B207=6,"pe",IF(Kalenteri!B207=7,"la",)))))))</f>
        <v>pe</v>
      </c>
      <c r="C30" s="18">
        <v>1349</v>
      </c>
      <c r="D30" s="10">
        <v>385</v>
      </c>
      <c r="E30" s="10">
        <v>10</v>
      </c>
      <c r="F30" s="11">
        <v>9</v>
      </c>
      <c r="G30" s="18">
        <v>20</v>
      </c>
      <c r="H30" s="11">
        <v>571</v>
      </c>
      <c r="I30" s="18">
        <v>46</v>
      </c>
      <c r="J30" s="11">
        <v>69</v>
      </c>
      <c r="K30" s="33">
        <f t="shared" si="0"/>
        <v>2459</v>
      </c>
      <c r="L30" s="10">
        <v>632</v>
      </c>
      <c r="M30" s="10">
        <v>191</v>
      </c>
      <c r="N30" s="10"/>
      <c r="O30" s="11"/>
      <c r="P30" s="10"/>
      <c r="Q30" s="11">
        <v>178</v>
      </c>
      <c r="R30" s="30">
        <v>60</v>
      </c>
      <c r="S30" s="30">
        <v>90</v>
      </c>
      <c r="T30" s="33">
        <f t="shared" si="1"/>
        <v>1151</v>
      </c>
      <c r="U30" s="10">
        <v>138</v>
      </c>
      <c r="V30" s="10">
        <v>42</v>
      </c>
      <c r="W30" s="10"/>
      <c r="X30" s="11"/>
      <c r="Y30" s="10"/>
      <c r="Z30" s="11">
        <v>58</v>
      </c>
      <c r="AA30" s="30"/>
      <c r="AB30" s="30"/>
      <c r="AC30" s="33">
        <f t="shared" si="2"/>
        <v>238</v>
      </c>
      <c r="AD30" s="12">
        <f t="shared" si="3"/>
        <v>3848</v>
      </c>
      <c r="AE30" s="39"/>
      <c r="AF30" s="39"/>
      <c r="AG30" s="39"/>
      <c r="AH30" s="39"/>
      <c r="AI30" s="39"/>
      <c r="AJ30" s="39"/>
    </row>
    <row r="31" spans="1:36" x14ac:dyDescent="0.2">
      <c r="A31" s="5">
        <f>DAY(Kalenteri!A208)</f>
        <v>27</v>
      </c>
      <c r="B31" s="3" t="str">
        <f>IF(Kalenteri!B208=1,"su",IF(Kalenteri!B208=2,"ma",IF(Kalenteri!B208=3,"ti",IF(Kalenteri!B208=4,"ke",IF(Kalenteri!B208=5,"to",IF(Kalenteri!B208=6,"pe",IF(Kalenteri!B208=7,"la",)))))))</f>
        <v>la</v>
      </c>
      <c r="C31" s="18">
        <v>2132</v>
      </c>
      <c r="D31" s="10">
        <v>535</v>
      </c>
      <c r="E31" s="10">
        <v>5</v>
      </c>
      <c r="F31" s="11">
        <v>10</v>
      </c>
      <c r="G31" s="18">
        <v>23</v>
      </c>
      <c r="H31" s="11">
        <v>676</v>
      </c>
      <c r="I31" s="18">
        <v>80</v>
      </c>
      <c r="J31" s="11">
        <v>120</v>
      </c>
      <c r="K31" s="33">
        <f t="shared" si="0"/>
        <v>3581</v>
      </c>
      <c r="L31" s="10">
        <v>1097</v>
      </c>
      <c r="M31" s="10">
        <v>241</v>
      </c>
      <c r="N31" s="10"/>
      <c r="O31" s="11"/>
      <c r="P31" s="10"/>
      <c r="Q31" s="11">
        <v>192</v>
      </c>
      <c r="R31" s="30">
        <v>54</v>
      </c>
      <c r="S31" s="30">
        <v>81</v>
      </c>
      <c r="T31" s="33">
        <f t="shared" si="1"/>
        <v>1665</v>
      </c>
      <c r="U31" s="10">
        <v>282</v>
      </c>
      <c r="V31" s="10">
        <v>75</v>
      </c>
      <c r="W31" s="10"/>
      <c r="X31" s="11"/>
      <c r="Y31" s="10"/>
      <c r="Z31" s="11">
        <v>104</v>
      </c>
      <c r="AA31" s="30">
        <v>12</v>
      </c>
      <c r="AB31" s="30">
        <v>18</v>
      </c>
      <c r="AC31" s="33">
        <f t="shared" si="2"/>
        <v>491</v>
      </c>
      <c r="AD31" s="12">
        <f t="shared" si="3"/>
        <v>5737</v>
      </c>
      <c r="AE31" s="39"/>
      <c r="AF31" s="39"/>
      <c r="AG31" s="39"/>
      <c r="AH31" s="39"/>
      <c r="AI31" s="39"/>
      <c r="AJ31" s="39"/>
    </row>
    <row r="32" spans="1:36" x14ac:dyDescent="0.2">
      <c r="A32" s="5">
        <f>DAY(Kalenteri!A209)</f>
        <v>28</v>
      </c>
      <c r="B32" s="3" t="str">
        <f>IF(Kalenteri!B209=1,"su",IF(Kalenteri!B209=2,"ma",IF(Kalenteri!B209=3,"ti",IF(Kalenteri!B209=4,"ke",IF(Kalenteri!B209=5,"to",IF(Kalenteri!B209=6,"pe",IF(Kalenteri!B209=7,"la",)))))))</f>
        <v>su</v>
      </c>
      <c r="C32" s="18">
        <v>1795</v>
      </c>
      <c r="D32" s="10">
        <v>390</v>
      </c>
      <c r="E32" s="10">
        <v>6</v>
      </c>
      <c r="F32" s="11">
        <v>21</v>
      </c>
      <c r="G32" s="18">
        <v>23</v>
      </c>
      <c r="H32" s="11">
        <v>511</v>
      </c>
      <c r="I32" s="18">
        <v>64</v>
      </c>
      <c r="J32" s="11">
        <v>96</v>
      </c>
      <c r="K32" s="33">
        <f t="shared" si="0"/>
        <v>2906</v>
      </c>
      <c r="L32" s="10">
        <v>617</v>
      </c>
      <c r="M32" s="10">
        <v>162</v>
      </c>
      <c r="N32" s="10"/>
      <c r="O32" s="11">
        <v>1</v>
      </c>
      <c r="P32" s="10"/>
      <c r="Q32" s="11">
        <v>124</v>
      </c>
      <c r="R32" s="30">
        <v>48</v>
      </c>
      <c r="S32" s="30">
        <v>72</v>
      </c>
      <c r="T32" s="33">
        <f t="shared" si="1"/>
        <v>1024</v>
      </c>
      <c r="U32" s="10">
        <v>224</v>
      </c>
      <c r="V32" s="10">
        <v>49</v>
      </c>
      <c r="W32" s="10"/>
      <c r="X32" s="11"/>
      <c r="Y32" s="10"/>
      <c r="Z32" s="11">
        <v>63</v>
      </c>
      <c r="AA32" s="30">
        <v>4</v>
      </c>
      <c r="AB32" s="30">
        <v>6</v>
      </c>
      <c r="AC32" s="33">
        <f t="shared" si="2"/>
        <v>346</v>
      </c>
      <c r="AD32" s="12">
        <f t="shared" si="3"/>
        <v>4276</v>
      </c>
      <c r="AE32" s="39"/>
      <c r="AF32" s="39"/>
      <c r="AG32" s="39"/>
      <c r="AH32" s="39"/>
      <c r="AI32" s="39"/>
      <c r="AJ32" s="39"/>
    </row>
    <row r="33" spans="1:36" x14ac:dyDescent="0.2">
      <c r="A33" s="5">
        <f>DAY(Kalenteri!A210)</f>
        <v>29</v>
      </c>
      <c r="B33" s="3" t="str">
        <f>IF(Kalenteri!B210=1,"su",IF(Kalenteri!B210=2,"ma",IF(Kalenteri!B210=3,"ti",IF(Kalenteri!B210=4,"ke",IF(Kalenteri!B210=5,"to",IF(Kalenteri!B210=6,"pe",IF(Kalenteri!B210=7,"la",)))))))</f>
        <v>ma</v>
      </c>
      <c r="C33" s="18">
        <v>1432</v>
      </c>
      <c r="D33" s="10">
        <v>447</v>
      </c>
      <c r="E33" s="10">
        <v>2</v>
      </c>
      <c r="F33" s="11">
        <v>34</v>
      </c>
      <c r="G33" s="18">
        <v>33</v>
      </c>
      <c r="H33" s="11">
        <v>514</v>
      </c>
      <c r="I33" s="18">
        <v>40</v>
      </c>
      <c r="J33" s="11">
        <v>60</v>
      </c>
      <c r="K33" s="33">
        <f t="shared" si="0"/>
        <v>2562</v>
      </c>
      <c r="L33" s="10">
        <v>645</v>
      </c>
      <c r="M33" s="10">
        <v>205</v>
      </c>
      <c r="N33" s="10"/>
      <c r="O33" s="11"/>
      <c r="P33" s="10"/>
      <c r="Q33" s="11">
        <v>136</v>
      </c>
      <c r="R33" s="30">
        <v>28</v>
      </c>
      <c r="S33" s="30">
        <v>42</v>
      </c>
      <c r="T33" s="33">
        <f t="shared" si="1"/>
        <v>1056</v>
      </c>
      <c r="U33" s="10">
        <v>153</v>
      </c>
      <c r="V33" s="10">
        <v>46</v>
      </c>
      <c r="W33" s="10"/>
      <c r="X33" s="11"/>
      <c r="Y33" s="10"/>
      <c r="Z33" s="11">
        <v>74</v>
      </c>
      <c r="AA33" s="30">
        <v>8</v>
      </c>
      <c r="AB33" s="30">
        <v>12</v>
      </c>
      <c r="AC33" s="33">
        <f t="shared" si="2"/>
        <v>293</v>
      </c>
      <c r="AD33" s="12">
        <f t="shared" si="3"/>
        <v>3911</v>
      </c>
      <c r="AE33" s="39"/>
      <c r="AF33" s="39"/>
      <c r="AG33" s="39"/>
      <c r="AH33" s="39"/>
      <c r="AI33" s="39"/>
      <c r="AJ33" s="39"/>
    </row>
    <row r="34" spans="1:36" x14ac:dyDescent="0.2">
      <c r="A34" s="5">
        <f>DAY(Kalenteri!A211)</f>
        <v>30</v>
      </c>
      <c r="B34" s="3" t="str">
        <f>IF(Kalenteri!B211=1,"su",IF(Kalenteri!B211=2,"ma",IF(Kalenteri!B211=3,"ti",IF(Kalenteri!B211=4,"ke",IF(Kalenteri!B211=5,"to",IF(Kalenteri!B211=6,"pe",IF(Kalenteri!B211=7,"la",)))))))</f>
        <v>ti</v>
      </c>
      <c r="C34" s="18">
        <v>1361</v>
      </c>
      <c r="D34" s="10">
        <v>420</v>
      </c>
      <c r="E34" s="10">
        <v>2</v>
      </c>
      <c r="F34" s="11">
        <v>16</v>
      </c>
      <c r="G34" s="18">
        <v>31</v>
      </c>
      <c r="H34" s="11">
        <v>554</v>
      </c>
      <c r="I34" s="18">
        <v>60</v>
      </c>
      <c r="J34" s="11">
        <v>90</v>
      </c>
      <c r="K34" s="33">
        <f t="shared" si="0"/>
        <v>2534</v>
      </c>
      <c r="L34" s="10">
        <f>430+93</f>
        <v>523</v>
      </c>
      <c r="M34" s="10">
        <v>177</v>
      </c>
      <c r="N34" s="10"/>
      <c r="O34" s="11"/>
      <c r="P34" s="10"/>
      <c r="Q34" s="11">
        <v>160</v>
      </c>
      <c r="R34" s="30">
        <v>72</v>
      </c>
      <c r="S34" s="30">
        <v>108</v>
      </c>
      <c r="T34" s="33">
        <f t="shared" si="1"/>
        <v>1040</v>
      </c>
      <c r="U34" s="10">
        <f>124+34</f>
        <v>158</v>
      </c>
      <c r="V34" s="10">
        <v>54</v>
      </c>
      <c r="W34" s="10"/>
      <c r="X34" s="11"/>
      <c r="Y34" s="10"/>
      <c r="Z34" s="11">
        <v>69</v>
      </c>
      <c r="AA34" s="30">
        <v>8</v>
      </c>
      <c r="AB34" s="30">
        <v>12</v>
      </c>
      <c r="AC34" s="33">
        <f t="shared" si="2"/>
        <v>301</v>
      </c>
      <c r="AD34" s="12">
        <f t="shared" si="3"/>
        <v>3875</v>
      </c>
      <c r="AE34" s="39"/>
      <c r="AF34" s="39"/>
      <c r="AG34" s="39"/>
      <c r="AH34" s="39"/>
      <c r="AI34" s="39"/>
      <c r="AJ34" s="39"/>
    </row>
    <row r="35" spans="1:36" x14ac:dyDescent="0.2">
      <c r="A35" s="5">
        <f>DAY(Kalenteri!A212)</f>
        <v>31</v>
      </c>
      <c r="B35" s="3" t="str">
        <f>IF(Kalenteri!B212=1,"su",IF(Kalenteri!B212=2,"ma",IF(Kalenteri!B212=3,"ti",IF(Kalenteri!B212=4,"ke",IF(Kalenteri!B212=5,"to",IF(Kalenteri!B212=6,"pe",IF(Kalenteri!B212=7,"la",)))))))</f>
        <v>ke</v>
      </c>
      <c r="C35" s="79">
        <v>1462</v>
      </c>
      <c r="D35" s="80">
        <v>528</v>
      </c>
      <c r="E35" s="80"/>
      <c r="F35" s="81">
        <v>10</v>
      </c>
      <c r="G35" s="79">
        <v>28</v>
      </c>
      <c r="H35" s="81">
        <v>644</v>
      </c>
      <c r="I35" s="79">
        <v>62</v>
      </c>
      <c r="J35" s="81">
        <v>93</v>
      </c>
      <c r="K35" s="34">
        <f t="shared" si="0"/>
        <v>2827</v>
      </c>
      <c r="L35" s="20">
        <v>585</v>
      </c>
      <c r="M35" s="20">
        <v>211</v>
      </c>
      <c r="N35" s="20"/>
      <c r="O35" s="21"/>
      <c r="P35" s="20"/>
      <c r="Q35" s="21">
        <v>137</v>
      </c>
      <c r="R35" s="31">
        <v>50</v>
      </c>
      <c r="S35" s="31">
        <v>75</v>
      </c>
      <c r="T35" s="34">
        <f t="shared" si="1"/>
        <v>1058</v>
      </c>
      <c r="U35" s="20">
        <f>132+36</f>
        <v>168</v>
      </c>
      <c r="V35" s="20">
        <v>80</v>
      </c>
      <c r="W35" s="20"/>
      <c r="X35" s="21"/>
      <c r="Y35" s="20"/>
      <c r="Z35" s="21">
        <v>76</v>
      </c>
      <c r="AA35" s="31">
        <v>18</v>
      </c>
      <c r="AB35" s="31">
        <v>27</v>
      </c>
      <c r="AC35" s="34">
        <f t="shared" si="2"/>
        <v>369</v>
      </c>
      <c r="AD35" s="19">
        <f t="shared" si="3"/>
        <v>4254</v>
      </c>
      <c r="AE35" s="39"/>
      <c r="AF35" s="39"/>
      <c r="AG35" s="39"/>
      <c r="AH35" s="39"/>
      <c r="AI35" s="39"/>
      <c r="AJ35" s="39"/>
    </row>
    <row r="36" spans="1:36" x14ac:dyDescent="0.2">
      <c r="A36" s="6"/>
      <c r="B36"/>
      <c r="C36" s="82">
        <f t="shared" ref="C36:J36" si="4">SUM(C5:C35)</f>
        <v>54354</v>
      </c>
      <c r="D36" s="83">
        <f t="shared" si="4"/>
        <v>16279</v>
      </c>
      <c r="E36" s="83">
        <f t="shared" si="4"/>
        <v>145</v>
      </c>
      <c r="F36" s="84">
        <f t="shared" si="4"/>
        <v>632</v>
      </c>
      <c r="G36" s="83">
        <f t="shared" si="4"/>
        <v>1117</v>
      </c>
      <c r="H36" s="84">
        <f t="shared" si="4"/>
        <v>20501</v>
      </c>
      <c r="I36" s="83">
        <f t="shared" si="4"/>
        <v>2432</v>
      </c>
      <c r="J36" s="84">
        <f t="shared" si="4"/>
        <v>3553</v>
      </c>
      <c r="K36" s="85">
        <f t="shared" si="0"/>
        <v>99013</v>
      </c>
      <c r="L36" s="83">
        <f t="shared" ref="L36:S36" si="5">SUM(L5:L35)</f>
        <v>23359</v>
      </c>
      <c r="M36" s="83">
        <f t="shared" si="5"/>
        <v>6774</v>
      </c>
      <c r="N36" s="83">
        <f t="shared" si="5"/>
        <v>0</v>
      </c>
      <c r="O36" s="84">
        <f t="shared" si="5"/>
        <v>13</v>
      </c>
      <c r="P36" s="83">
        <f t="shared" si="5"/>
        <v>2</v>
      </c>
      <c r="Q36" s="84">
        <f t="shared" si="5"/>
        <v>6134</v>
      </c>
      <c r="R36" s="86">
        <f t="shared" si="5"/>
        <v>1954</v>
      </c>
      <c r="S36" s="86">
        <f t="shared" si="5"/>
        <v>2931</v>
      </c>
      <c r="T36" s="85">
        <f t="shared" si="1"/>
        <v>41167</v>
      </c>
      <c r="U36" s="83">
        <f t="shared" ref="U36:AB36" si="6">SUM(U5:U35)</f>
        <v>6552</v>
      </c>
      <c r="V36" s="83">
        <f t="shared" si="6"/>
        <v>1830</v>
      </c>
      <c r="W36" s="83">
        <f t="shared" si="6"/>
        <v>0</v>
      </c>
      <c r="X36" s="84">
        <f t="shared" si="6"/>
        <v>0</v>
      </c>
      <c r="Y36" s="83">
        <f t="shared" si="6"/>
        <v>17</v>
      </c>
      <c r="Z36" s="84">
        <f t="shared" si="6"/>
        <v>2488</v>
      </c>
      <c r="AA36" s="86">
        <f t="shared" si="6"/>
        <v>302</v>
      </c>
      <c r="AB36" s="86">
        <f t="shared" si="6"/>
        <v>453</v>
      </c>
      <c r="AC36" s="85">
        <f t="shared" si="2"/>
        <v>11642</v>
      </c>
      <c r="AD36" s="87">
        <f t="shared" si="3"/>
        <v>151822</v>
      </c>
      <c r="AE36" s="66"/>
      <c r="AF36" s="66"/>
      <c r="AG36" s="66"/>
      <c r="AH36" s="66"/>
      <c r="AI36" s="66"/>
      <c r="AJ36" s="66"/>
    </row>
    <row r="37" spans="1:36" ht="8.1" customHeight="1" thickBot="1" x14ac:dyDescent="0.25">
      <c r="A37" s="6"/>
      <c r="B37"/>
      <c r="C37" s="2"/>
      <c r="D37" s="5"/>
      <c r="E37" s="5"/>
      <c r="F37" s="2"/>
      <c r="G37" s="2"/>
      <c r="H37" s="2"/>
      <c r="I37" s="5"/>
      <c r="J37" s="2"/>
      <c r="K37" s="2"/>
      <c r="L37" s="5"/>
      <c r="M37" s="2"/>
      <c r="N37" s="5"/>
      <c r="O37" s="5"/>
      <c r="P37" s="2"/>
      <c r="Q37" s="5"/>
      <c r="R37" s="42"/>
      <c r="S37" s="42"/>
      <c r="T37" s="2"/>
      <c r="U37" s="2"/>
      <c r="V37" s="2"/>
      <c r="W37" s="2"/>
      <c r="X37" s="5"/>
      <c r="Y37" s="2"/>
      <c r="Z37" s="2"/>
      <c r="AA37" s="39"/>
      <c r="AB37" s="39"/>
      <c r="AC37" s="5"/>
      <c r="AD37" s="40"/>
      <c r="AE37" s="40"/>
      <c r="AF37" s="40"/>
      <c r="AG37" s="40"/>
      <c r="AH37" s="40"/>
      <c r="AI37" s="40"/>
      <c r="AJ37" s="40"/>
    </row>
    <row r="38" spans="1:36" ht="24.95" customHeight="1" thickTop="1" x14ac:dyDescent="0.3">
      <c r="A38" s="6"/>
      <c r="B38"/>
      <c r="C38" s="171" t="str">
        <f>Kalenteri!E38</f>
        <v>Lippujen hinnat:</v>
      </c>
      <c r="D38" s="5"/>
      <c r="E38" s="5"/>
      <c r="F38" s="2"/>
      <c r="G38" s="2"/>
      <c r="H38" s="2"/>
      <c r="I38" s="5"/>
      <c r="J38" s="2"/>
      <c r="K38" s="2"/>
      <c r="L38" s="5"/>
      <c r="M38" s="2"/>
      <c r="N38" s="5"/>
      <c r="O38" s="5"/>
      <c r="P38" s="2"/>
      <c r="Q38"/>
      <c r="R38"/>
      <c r="S38"/>
      <c r="T38"/>
      <c r="U38" s="49" t="s">
        <v>71</v>
      </c>
      <c r="V38" s="50"/>
      <c r="W38" s="43"/>
      <c r="X38" s="44"/>
      <c r="Y38" s="43"/>
      <c r="Z38" s="43"/>
      <c r="AA38" s="44"/>
      <c r="AB38" s="44"/>
      <c r="AC38" s="47"/>
      <c r="AD38" s="45">
        <f>AD36</f>
        <v>151822</v>
      </c>
      <c r="AE38" s="41"/>
      <c r="AF38" s="41"/>
      <c r="AG38" s="41"/>
      <c r="AH38" s="41"/>
      <c r="AI38" s="41"/>
      <c r="AJ38" s="41"/>
    </row>
    <row r="39" spans="1:36" ht="24.95" customHeight="1" x14ac:dyDescent="0.3">
      <c r="A39" s="6"/>
      <c r="B39"/>
      <c r="C39" s="193" t="str">
        <f>Kalenteri!E39</f>
        <v>Mustikkamaan kautta: 1.9.-30.4. aik. 10 €, lapset 5 €, kimppalippu 30 €    1.5.-30.8. aik. 12 €, lapset 6 €, kimppalippu 36 €</v>
      </c>
      <c r="D39" s="89"/>
      <c r="E39" s="89"/>
      <c r="F39" s="90"/>
      <c r="G39" s="102"/>
      <c r="H39" s="174"/>
      <c r="I39" s="89"/>
      <c r="J39" s="90"/>
      <c r="K39" s="90"/>
      <c r="L39" s="89"/>
      <c r="M39" s="90"/>
      <c r="N39" s="89"/>
      <c r="O39" s="89"/>
      <c r="P39" s="89"/>
      <c r="Q39" s="104"/>
      <c r="R39" s="103"/>
      <c r="S39"/>
      <c r="T39"/>
      <c r="U39" s="62" t="s">
        <v>13</v>
      </c>
      <c r="V39" s="52"/>
      <c r="W39" s="53"/>
      <c r="X39" s="54"/>
      <c r="Y39" s="53"/>
      <c r="Z39" s="53"/>
      <c r="AA39" s="54"/>
      <c r="AB39" s="54"/>
      <c r="AC39" s="55"/>
      <c r="AD39" s="56">
        <f>AD36-Edellisvuosi!H7</f>
        <v>-9142</v>
      </c>
      <c r="AE39" s="67"/>
      <c r="AF39" s="67"/>
      <c r="AG39" s="67"/>
      <c r="AH39" s="67"/>
      <c r="AI39" s="67"/>
      <c r="AJ39" s="67"/>
    </row>
    <row r="40" spans="1:36" ht="24.95" customHeight="1" x14ac:dyDescent="0.3">
      <c r="A40" s="6"/>
      <c r="B40" s="6"/>
      <c r="C40" s="194" t="str">
        <f>Kalenteri!E40</f>
        <v xml:space="preserve">                                    Vuosikortti:     aik. 50 €, lapset 20 €, perhekortti 100 €</v>
      </c>
      <c r="D40" s="39"/>
      <c r="E40" s="39"/>
      <c r="F40" s="42"/>
      <c r="G40" s="65"/>
      <c r="H40" s="176"/>
      <c r="I40" s="39"/>
      <c r="J40" s="42"/>
      <c r="K40" s="42"/>
      <c r="L40" s="39"/>
      <c r="M40" s="42"/>
      <c r="N40" s="39"/>
      <c r="O40" s="39"/>
      <c r="P40" s="39"/>
      <c r="Q40" s="23"/>
      <c r="R40" s="97"/>
      <c r="S40"/>
      <c r="T40"/>
      <c r="U40" s="63" t="s">
        <v>72</v>
      </c>
      <c r="V40" s="37"/>
      <c r="W40" s="51"/>
      <c r="X40" s="41"/>
      <c r="Y40" s="51"/>
      <c r="Z40" s="41"/>
      <c r="AA40" s="41"/>
      <c r="AB40" s="41"/>
      <c r="AC40" s="48"/>
      <c r="AD40" s="46">
        <f>AD36+'N1'!AD36+'N2'!AD36+'N3'!AD36+'N4'!AD36+'N5'!AD36+'N6'!AD36</f>
        <v>350627</v>
      </c>
      <c r="AE40" s="41"/>
      <c r="AF40" s="41"/>
      <c r="AG40" s="41"/>
      <c r="AH40" s="41"/>
      <c r="AI40" s="41"/>
      <c r="AJ40" s="41"/>
    </row>
    <row r="41" spans="1:36" ht="24.95" customHeight="1" thickBot="1" x14ac:dyDescent="0.35">
      <c r="A41" s="4"/>
      <c r="B41" s="4"/>
      <c r="C41" s="195" t="str">
        <f>Kalenteri!E41</f>
        <v>Vesibusseilla:             1.9.-30.4. aik. 16 €, lapset 8 €, kimppalippu 47 €    1.5.-31.8. aik. 18 €, lapset 9 €, kimppalippu 53 €</v>
      </c>
      <c r="D41" s="93"/>
      <c r="E41" s="93"/>
      <c r="F41" s="94"/>
      <c r="G41" s="94"/>
      <c r="H41" s="175"/>
      <c r="I41" s="93"/>
      <c r="J41" s="96"/>
      <c r="K41" s="96"/>
      <c r="L41" s="93"/>
      <c r="M41" s="95"/>
      <c r="N41" s="95"/>
      <c r="O41" s="93"/>
      <c r="P41" s="93"/>
      <c r="Q41" s="95"/>
      <c r="R41" s="98"/>
      <c r="S41"/>
      <c r="T41"/>
      <c r="U41" s="64" t="s">
        <v>13</v>
      </c>
      <c r="V41" s="57"/>
      <c r="W41" s="58"/>
      <c r="X41" s="59"/>
      <c r="Y41" s="59"/>
      <c r="Z41" s="59"/>
      <c r="AA41" s="59"/>
      <c r="AB41" s="59"/>
      <c r="AC41" s="60"/>
      <c r="AD41" s="61">
        <f>AD40-Edellisvuosi!B7-Edellisvuosi!C7-Edellisvuosi!D7-Edellisvuosi!E7-Edellisvuosi!F7-Edellisvuosi!G7-Edellisvuosi!H7</f>
        <v>-886</v>
      </c>
      <c r="AE41" s="68"/>
      <c r="AF41" s="68"/>
      <c r="AG41" s="68"/>
      <c r="AH41" s="68"/>
      <c r="AI41" s="68"/>
      <c r="AJ41" s="68"/>
    </row>
    <row r="42" spans="1:36" ht="13.5" thickTop="1" x14ac:dyDescent="0.2"/>
  </sheetData>
  <sheetProtection password="C4AC" sheet="1" objects="1" scenarios="1"/>
  <phoneticPr fontId="4" type="noConversion"/>
  <pageMargins left="0" right="0" top="0.27559055118110237" bottom="0" header="0" footer="0"/>
  <pageSetup paperSize="9" scale="75" fitToHeight="0" orientation="landscape" horizontalDpi="4294967292" verticalDpi="4294967292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5537" r:id="rId4" name="Button 1">
              <controlPr defaultSize="0" print="0" autoFill="0" autoLine="0" autoPict="0" macro="[1]!TAMMI">
                <anchor moveWithCells="1" sizeWithCells="1">
                  <from>
                    <xdr:col>35</xdr:col>
                    <xdr:colOff>0</xdr:colOff>
                    <xdr:row>3</xdr:row>
                    <xdr:rowOff>9525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538" r:id="rId5" name="Button 2">
              <controlPr defaultSize="0" print="0" autoFill="0" autoLine="0" autoPict="0" macro="[1]KTMAKRO!$A$1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539" r:id="rId6" name="Button 3">
              <controlPr defaultSize="0" print="0" autoFill="0" autoLine="0" autoPict="0" macro="[1]!MAALIS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540" r:id="rId7" name="Button 4">
              <controlPr defaultSize="0" print="0" autoFill="0" autoLine="0" autoPict="0" macro="[1]KTMAKRO!$D$1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541" r:id="rId8" name="Button 5">
              <controlPr defaultSize="0" print="0" autoFill="0" autoLine="0" autoPict="0" macro="[1]KTMAKRO!$E$1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542" r:id="rId9" name="Button 6">
              <controlPr defaultSize="0" print="0" autoFill="0" autoLine="0" autoPict="0" macro="[1]!KESÄ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543" r:id="rId10" name="Button 7">
              <controlPr defaultSize="0" print="0" autoFill="0" autoLine="0" autoPict="0" macro="[1]!HELMI">
                <anchor moveWithCells="1" sizeWithCells="1">
                  <from>
                    <xdr:col>35</xdr:col>
                    <xdr:colOff>0</xdr:colOff>
                    <xdr:row>3</xdr:row>
                    <xdr:rowOff>9525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544" r:id="rId11" name="Button 8">
              <controlPr defaultSize="0" print="0" autoFill="0" autoLine="0" autoPict="0" macro="[1]KTMAKRO!$G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545" r:id="rId12" name="Button 9">
              <controlPr defaultSize="0" print="0" autoFill="0" autoLine="0" autoPict="0" macro="[1]KTMAKRO!$I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546" r:id="rId13" name="Button 10">
              <controlPr defaultSize="0" print="0" autoFill="0" autoLine="0" autoPict="0" macro="[1]KTMAKRO!$J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547" r:id="rId14" name="Button 11">
              <controlPr defaultSize="0" print="0" autoFill="0" autoLine="0" autoPict="0" macro="[1]KTMAKRO!$K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548" r:id="rId15" name="Button 12">
              <controlPr defaultSize="0" print="0" autoFill="0" autoLine="0" autoPict="0" macro="[1]KTMAKRO!$L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549" r:id="rId16" name="Button 13">
              <controlPr defaultSize="0" print="0" autoFill="0" autoLine="0" autoPict="0" macro="[1]KTMAKRO!$H$1">
                <anchor moveWithCells="1" sizeWithCells="1">
                  <from>
                    <xdr:col>35</xdr:col>
                    <xdr:colOff>0</xdr:colOff>
                    <xdr:row>5</xdr:row>
                    <xdr:rowOff>0</xdr:rowOff>
                  </from>
                  <to>
                    <xdr:col>35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550" r:id="rId17" name="Button 14">
              <controlPr defaultSize="0" print="0" autoFill="0" autoLine="0" autoPict="0" macro="[1]!Yhteenveto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5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551" r:id="rId18" name="Button 15">
              <controlPr defaultSize="0" print="0" autoFill="0" autoLine="0" autoPict="0" macro="[1]!GRAFIIKKA1">
                <anchor moveWithCells="1" sizeWithCells="1">
                  <from>
                    <xdr:col>35</xdr:col>
                    <xdr:colOff>0</xdr:colOff>
                    <xdr:row>8</xdr:row>
                    <xdr:rowOff>142875</xdr:rowOff>
                  </from>
                  <to>
                    <xdr:col>35</xdr:col>
                    <xdr:colOff>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552" r:id="rId19" name="Button 16">
              <controlPr defaultSize="0" print="0" autoFill="0" autoLine="0" autoPict="0" macro="[1]!Grafiikka2">
                <anchor moveWithCells="1" sizeWithCells="1">
                  <from>
                    <xdr:col>35</xdr:col>
                    <xdr:colOff>0</xdr:colOff>
                    <xdr:row>8</xdr:row>
                    <xdr:rowOff>152400</xdr:rowOff>
                  </from>
                  <to>
                    <xdr:col>35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553" r:id="rId20" name="Button 17">
              <controlPr defaultSize="0" print="0" autoFill="0" autoLine="0" autoPict="0" macro="[1]!Grafiikka4">
                <anchor moveWithCells="1" sizeWithCells="1">
                  <from>
                    <xdr:col>35</xdr:col>
                    <xdr:colOff>0</xdr:colOff>
                    <xdr:row>8</xdr:row>
                    <xdr:rowOff>142875</xdr:rowOff>
                  </from>
                  <to>
                    <xdr:col>35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554" r:id="rId21" name="Button 18">
              <controlPr defaultSize="0" print="0" autoFill="0" autoLine="0" autoPict="0" macro="[1]!Grafiikka4">
                <anchor moveWithCells="1" sizeWithCells="1">
                  <from>
                    <xdr:col>35</xdr:col>
                    <xdr:colOff>0</xdr:colOff>
                    <xdr:row>8</xdr:row>
                    <xdr:rowOff>152400</xdr:rowOff>
                  </from>
                  <to>
                    <xdr:col>35</xdr:col>
                    <xdr:colOff>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555" r:id="rId22" name="Button 19">
              <controlPr defaultSize="0" print="0" autoFill="0" autoLine="0" autoPict="0" macro="[1]!Grafiikka5">
                <anchor moveWithCells="1" sizeWithCells="1">
                  <from>
                    <xdr:col>35</xdr:col>
                    <xdr:colOff>0</xdr:colOff>
                    <xdr:row>8</xdr:row>
                    <xdr:rowOff>152400</xdr:rowOff>
                  </from>
                  <to>
                    <xdr:col>35</xdr:col>
                    <xdr:colOff>0</xdr:colOff>
                    <xdr:row>12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556" r:id="rId23" name="Button 20">
              <controlPr defaultSize="0" print="0" autoFill="0" autoLine="0" autoPict="0" macro="[1]!Perusikkuna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12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/>
  <dimension ref="A1:AJ42"/>
  <sheetViews>
    <sheetView showGridLines="0" zoomScale="80" zoomScaleNormal="80" workbookViewId="0"/>
  </sheetViews>
  <sheetFormatPr defaultColWidth="9.75" defaultRowHeight="12.75" x14ac:dyDescent="0.2"/>
  <cols>
    <col min="1" max="1" width="3.75" style="1" customWidth="1"/>
    <col min="2" max="2" width="2.75" style="1" customWidth="1"/>
    <col min="3" max="4" width="6.125" style="1" customWidth="1"/>
    <col min="5" max="5" width="4" style="1" customWidth="1"/>
    <col min="6" max="6" width="4.5" style="1" customWidth="1"/>
    <col min="7" max="10" width="6.125" style="1" customWidth="1"/>
    <col min="11" max="11" width="5.875" style="1" customWidth="1"/>
    <col min="12" max="13" width="6.125" style="1" customWidth="1"/>
    <col min="14" max="14" width="5.25" style="1" customWidth="1"/>
    <col min="15" max="15" width="4.5" style="1" customWidth="1"/>
    <col min="16" max="16" width="6.125" style="1" customWidth="1"/>
    <col min="17" max="17" width="5.5" style="1" customWidth="1"/>
    <col min="18" max="19" width="6.125" style="1" customWidth="1"/>
    <col min="20" max="20" width="5.875" style="1" customWidth="1"/>
    <col min="21" max="22" width="6.125" style="1" customWidth="1"/>
    <col min="23" max="23" width="4.375" style="1" customWidth="1"/>
    <col min="24" max="24" width="4.25" style="1" customWidth="1"/>
    <col min="25" max="29" width="6.125" style="1" customWidth="1"/>
    <col min="30" max="36" width="15.625" style="1" customWidth="1"/>
  </cols>
  <sheetData>
    <row r="1" spans="1:36" ht="30" customHeight="1" x14ac:dyDescent="0.35">
      <c r="A1" s="22"/>
      <c r="B1" s="4"/>
      <c r="C1" s="105" t="s">
        <v>15</v>
      </c>
      <c r="D1" s="106"/>
      <c r="E1" s="106"/>
      <c r="F1" s="106"/>
      <c r="G1" s="106"/>
      <c r="H1" s="106"/>
      <c r="I1" s="106"/>
      <c r="J1" s="106"/>
      <c r="K1" s="106"/>
      <c r="L1" s="105" t="str">
        <f>Kalenteri!$H$1</f>
        <v>KÄVIJÄTILASTO 2013</v>
      </c>
      <c r="M1" s="107"/>
      <c r="N1" s="107"/>
      <c r="O1" s="107"/>
      <c r="P1" s="106"/>
      <c r="Q1" s="106"/>
      <c r="R1" s="105" t="s">
        <v>77</v>
      </c>
      <c r="S1" s="108"/>
      <c r="T1" s="106"/>
      <c r="U1" s="109"/>
      <c r="V1" s="105" t="s">
        <v>20</v>
      </c>
      <c r="W1" s="109"/>
      <c r="X1" s="106"/>
      <c r="Y1" s="106"/>
      <c r="Z1" s="106"/>
      <c r="AA1" s="106"/>
      <c r="AB1" s="106"/>
      <c r="AC1" s="106"/>
      <c r="AD1" s="110"/>
      <c r="AE1" s="4"/>
      <c r="AF1" s="4"/>
      <c r="AG1" s="4"/>
      <c r="AH1" s="4"/>
      <c r="AI1" s="4"/>
      <c r="AJ1" s="4"/>
    </row>
    <row r="2" spans="1:36" ht="30" customHeight="1" x14ac:dyDescent="0.3">
      <c r="A2" s="3"/>
      <c r="B2" s="4"/>
      <c r="C2" s="72"/>
      <c r="D2" s="73"/>
      <c r="E2" s="74" t="s">
        <v>1</v>
      </c>
      <c r="F2" s="75"/>
      <c r="G2" s="75"/>
      <c r="H2" s="75"/>
      <c r="I2" s="75"/>
      <c r="J2" s="75"/>
      <c r="K2" s="76"/>
      <c r="L2" s="72"/>
      <c r="M2" s="77"/>
      <c r="N2" s="73"/>
      <c r="O2" s="74" t="s">
        <v>2</v>
      </c>
      <c r="P2" s="75"/>
      <c r="Q2" s="75"/>
      <c r="R2" s="75"/>
      <c r="S2" s="75"/>
      <c r="T2" s="76"/>
      <c r="U2" s="72"/>
      <c r="V2" s="75"/>
      <c r="W2" s="73"/>
      <c r="X2" s="74" t="s">
        <v>3</v>
      </c>
      <c r="Y2" s="75"/>
      <c r="Z2" s="75"/>
      <c r="AA2" s="75"/>
      <c r="AB2" s="75"/>
      <c r="AC2" s="76"/>
      <c r="AD2" s="13"/>
      <c r="AE2" s="35"/>
      <c r="AF2" s="69"/>
      <c r="AG2" s="69"/>
      <c r="AH2" s="69"/>
      <c r="AI2" s="69"/>
      <c r="AJ2" s="69"/>
    </row>
    <row r="3" spans="1:36" x14ac:dyDescent="0.2">
      <c r="A3" s="4"/>
      <c r="B3" s="4"/>
      <c r="C3" s="24" t="s">
        <v>4</v>
      </c>
      <c r="D3" s="25"/>
      <c r="E3" s="25"/>
      <c r="F3" s="26"/>
      <c r="G3" s="24" t="s">
        <v>5</v>
      </c>
      <c r="H3" s="26"/>
      <c r="I3" s="25" t="s">
        <v>6</v>
      </c>
      <c r="J3" s="25"/>
      <c r="K3" s="27"/>
      <c r="L3" s="24" t="s">
        <v>4</v>
      </c>
      <c r="M3" s="25"/>
      <c r="N3" s="25"/>
      <c r="O3" s="26"/>
      <c r="P3" s="24" t="s">
        <v>5</v>
      </c>
      <c r="Q3" s="26"/>
      <c r="R3" s="25" t="s">
        <v>6</v>
      </c>
      <c r="S3" s="25"/>
      <c r="T3" s="27"/>
      <c r="U3" s="24" t="s">
        <v>4</v>
      </c>
      <c r="V3" s="25"/>
      <c r="W3" s="25"/>
      <c r="X3" s="26"/>
      <c r="Y3" s="24" t="s">
        <v>5</v>
      </c>
      <c r="Z3" s="26"/>
      <c r="AA3" s="25" t="s">
        <v>6</v>
      </c>
      <c r="AB3" s="25"/>
      <c r="AC3" s="27"/>
      <c r="AD3" s="36" t="s">
        <v>7</v>
      </c>
      <c r="AE3" s="38"/>
      <c r="AF3" s="70"/>
      <c r="AG3" s="70"/>
      <c r="AH3" s="70"/>
      <c r="AI3" s="70"/>
      <c r="AJ3"/>
    </row>
    <row r="4" spans="1:36" x14ac:dyDescent="0.2">
      <c r="A4" s="6"/>
      <c r="B4" s="4"/>
      <c r="C4" s="7" t="s">
        <v>8</v>
      </c>
      <c r="D4" s="8" t="s">
        <v>9</v>
      </c>
      <c r="E4" s="8" t="s">
        <v>10</v>
      </c>
      <c r="F4" s="9" t="s">
        <v>11</v>
      </c>
      <c r="G4" s="7" t="s">
        <v>8</v>
      </c>
      <c r="H4" s="9" t="s">
        <v>9</v>
      </c>
      <c r="I4" s="8" t="s">
        <v>8</v>
      </c>
      <c r="J4" s="8" t="s">
        <v>9</v>
      </c>
      <c r="K4" s="14" t="s">
        <v>0</v>
      </c>
      <c r="L4" s="7" t="s">
        <v>8</v>
      </c>
      <c r="M4" s="8" t="s">
        <v>9</v>
      </c>
      <c r="N4" s="8" t="s">
        <v>10</v>
      </c>
      <c r="O4" s="9" t="s">
        <v>11</v>
      </c>
      <c r="P4" s="7" t="s">
        <v>8</v>
      </c>
      <c r="Q4" s="9" t="s">
        <v>9</v>
      </c>
      <c r="R4" s="8" t="s">
        <v>8</v>
      </c>
      <c r="S4" s="8" t="s">
        <v>9</v>
      </c>
      <c r="T4" s="14" t="s">
        <v>0</v>
      </c>
      <c r="U4" s="7" t="s">
        <v>8</v>
      </c>
      <c r="V4" s="8" t="s">
        <v>9</v>
      </c>
      <c r="W4" s="8" t="s">
        <v>10</v>
      </c>
      <c r="X4" s="9" t="s">
        <v>11</v>
      </c>
      <c r="Y4" s="7" t="s">
        <v>8</v>
      </c>
      <c r="Z4" s="9" t="s">
        <v>9</v>
      </c>
      <c r="AA4" s="8" t="s">
        <v>8</v>
      </c>
      <c r="AB4" s="8" t="s">
        <v>9</v>
      </c>
      <c r="AC4" s="14" t="s">
        <v>0</v>
      </c>
      <c r="AD4" s="28"/>
      <c r="AE4" s="23"/>
      <c r="AF4" s="23"/>
      <c r="AG4" s="23"/>
      <c r="AH4" s="23"/>
      <c r="AI4" s="23"/>
      <c r="AJ4"/>
    </row>
    <row r="5" spans="1:36" x14ac:dyDescent="0.2">
      <c r="A5" s="5">
        <f>DAY(Kalenteri!A213)</f>
        <v>1</v>
      </c>
      <c r="B5" s="3" t="str">
        <f>IF(Kalenteri!B213=1,"su",IF(Kalenteri!B213=2,"ma",IF(Kalenteri!B213=3,"ti",IF(Kalenteri!B213=4,"ke",IF(Kalenteri!B213=5,"to",IF(Kalenteri!B213=6,"pe",IF(Kalenteri!B213=7,"la",)))))))</f>
        <v>to</v>
      </c>
      <c r="C5" s="78">
        <v>882</v>
      </c>
      <c r="D5" s="15">
        <v>321</v>
      </c>
      <c r="E5" s="15">
        <v>0</v>
      </c>
      <c r="F5" s="16">
        <v>3</v>
      </c>
      <c r="G5" s="78">
        <v>5</v>
      </c>
      <c r="H5" s="16">
        <v>322</v>
      </c>
      <c r="I5" s="78">
        <v>44</v>
      </c>
      <c r="J5" s="16">
        <v>66</v>
      </c>
      <c r="K5" s="32">
        <f t="shared" ref="K5:K36" si="0">SUM(C5:J5)</f>
        <v>1643</v>
      </c>
      <c r="L5" s="15">
        <v>336</v>
      </c>
      <c r="M5" s="15">
        <v>119</v>
      </c>
      <c r="N5" s="15"/>
      <c r="O5" s="16"/>
      <c r="P5" s="15">
        <v>1</v>
      </c>
      <c r="Q5" s="16">
        <v>94</v>
      </c>
      <c r="R5" s="29">
        <v>48</v>
      </c>
      <c r="S5" s="29">
        <v>72</v>
      </c>
      <c r="T5" s="32">
        <f t="shared" ref="T5:T36" si="1">SUM(L5:S5)</f>
        <v>670</v>
      </c>
      <c r="U5" s="15">
        <v>96</v>
      </c>
      <c r="V5" s="15">
        <v>27</v>
      </c>
      <c r="W5" s="15"/>
      <c r="X5" s="16"/>
      <c r="Y5" s="15">
        <v>0</v>
      </c>
      <c r="Z5" s="16">
        <v>39</v>
      </c>
      <c r="AA5" s="29">
        <v>8</v>
      </c>
      <c r="AB5" s="29">
        <v>12</v>
      </c>
      <c r="AC5" s="32">
        <f t="shared" ref="AC5:AC36" si="2">SUM(U5:AB5)</f>
        <v>182</v>
      </c>
      <c r="AD5" s="17">
        <f t="shared" ref="AD5:AD36" si="3">SUM(K5,T5,AC5)</f>
        <v>2495</v>
      </c>
      <c r="AE5" s="39"/>
      <c r="AF5" s="39"/>
      <c r="AG5" s="39"/>
      <c r="AH5" s="39"/>
      <c r="AI5" s="39"/>
      <c r="AJ5"/>
    </row>
    <row r="6" spans="1:36" x14ac:dyDescent="0.2">
      <c r="A6" s="5">
        <f>DAY(Kalenteri!A214)</f>
        <v>2</v>
      </c>
      <c r="B6" s="3" t="str">
        <f>IF(Kalenteri!B214=1,"su",IF(Kalenteri!B214=2,"ma",IF(Kalenteri!B214=3,"ti",IF(Kalenteri!B214=4,"ke",IF(Kalenteri!B214=5,"to",IF(Kalenteri!B214=6,"pe",IF(Kalenteri!B214=7,"la",)))))))</f>
        <v>pe</v>
      </c>
      <c r="C6" s="18">
        <v>1344</v>
      </c>
      <c r="D6" s="10">
        <v>396</v>
      </c>
      <c r="E6" s="10">
        <v>6</v>
      </c>
      <c r="F6" s="11">
        <v>11</v>
      </c>
      <c r="G6" s="18">
        <v>24</v>
      </c>
      <c r="H6" s="11">
        <v>526</v>
      </c>
      <c r="I6" s="18">
        <v>82</v>
      </c>
      <c r="J6" s="11">
        <v>119</v>
      </c>
      <c r="K6" s="33">
        <f t="shared" si="0"/>
        <v>2508</v>
      </c>
      <c r="L6" s="10">
        <v>566</v>
      </c>
      <c r="M6" s="10">
        <v>195</v>
      </c>
      <c r="N6" s="10"/>
      <c r="O6" s="11">
        <v>1</v>
      </c>
      <c r="P6" s="10"/>
      <c r="Q6" s="11">
        <v>155</v>
      </c>
      <c r="R6" s="30">
        <v>60</v>
      </c>
      <c r="S6" s="30">
        <v>90</v>
      </c>
      <c r="T6" s="33">
        <f t="shared" si="1"/>
        <v>1067</v>
      </c>
      <c r="U6" s="10">
        <v>151</v>
      </c>
      <c r="V6" s="10">
        <v>59</v>
      </c>
      <c r="W6" s="10"/>
      <c r="X6" s="11"/>
      <c r="Y6" s="10">
        <v>0</v>
      </c>
      <c r="Z6" s="11">
        <v>78</v>
      </c>
      <c r="AA6" s="30">
        <v>2</v>
      </c>
      <c r="AB6" s="30">
        <v>3</v>
      </c>
      <c r="AC6" s="33">
        <f t="shared" si="2"/>
        <v>293</v>
      </c>
      <c r="AD6" s="12">
        <f t="shared" si="3"/>
        <v>3868</v>
      </c>
      <c r="AE6" s="39"/>
      <c r="AF6" s="39"/>
      <c r="AG6" s="39"/>
      <c r="AH6" s="39"/>
      <c r="AI6" s="39"/>
      <c r="AJ6"/>
    </row>
    <row r="7" spans="1:36" x14ac:dyDescent="0.2">
      <c r="A7" s="5">
        <f>DAY(Kalenteri!A215)</f>
        <v>3</v>
      </c>
      <c r="B7" s="3" t="str">
        <f>IF(Kalenteri!B215=1,"su",IF(Kalenteri!B215=2,"ma",IF(Kalenteri!B215=3,"ti",IF(Kalenteri!B215=4,"ke",IF(Kalenteri!B215=5,"to",IF(Kalenteri!B215=6,"pe",IF(Kalenteri!B215=7,"la",)))))))</f>
        <v>la</v>
      </c>
      <c r="C7" s="18">
        <v>2298</v>
      </c>
      <c r="D7" s="10">
        <v>571</v>
      </c>
      <c r="E7" s="10">
        <v>0</v>
      </c>
      <c r="F7" s="11">
        <v>53</v>
      </c>
      <c r="G7" s="18">
        <v>10</v>
      </c>
      <c r="H7" s="11">
        <v>763</v>
      </c>
      <c r="I7" s="18">
        <v>87</v>
      </c>
      <c r="J7" s="11">
        <v>129</v>
      </c>
      <c r="K7" s="33">
        <f t="shared" si="0"/>
        <v>3911</v>
      </c>
      <c r="L7" s="10">
        <v>1021</v>
      </c>
      <c r="M7" s="10">
        <v>217</v>
      </c>
      <c r="N7" s="10"/>
      <c r="O7" s="11">
        <v>2</v>
      </c>
      <c r="P7" s="10"/>
      <c r="Q7" s="11">
        <v>204</v>
      </c>
      <c r="R7" s="30">
        <v>48</v>
      </c>
      <c r="S7" s="30">
        <v>72</v>
      </c>
      <c r="T7" s="33">
        <f t="shared" si="1"/>
        <v>1564</v>
      </c>
      <c r="U7" s="10">
        <v>324</v>
      </c>
      <c r="V7" s="10">
        <v>75</v>
      </c>
      <c r="W7" s="10"/>
      <c r="X7" s="11"/>
      <c r="Y7" s="10">
        <v>0</v>
      </c>
      <c r="Z7" s="11">
        <v>108</v>
      </c>
      <c r="AA7" s="30">
        <v>6</v>
      </c>
      <c r="AB7" s="30">
        <v>9</v>
      </c>
      <c r="AC7" s="33">
        <f t="shared" si="2"/>
        <v>522</v>
      </c>
      <c r="AD7" s="12">
        <f t="shared" si="3"/>
        <v>5997</v>
      </c>
      <c r="AE7" s="39"/>
      <c r="AF7" s="39"/>
      <c r="AG7" s="39"/>
      <c r="AH7" s="39"/>
      <c r="AI7" s="39"/>
      <c r="AJ7"/>
    </row>
    <row r="8" spans="1:36" x14ac:dyDescent="0.2">
      <c r="A8" s="5">
        <f>DAY(Kalenteri!A216)</f>
        <v>4</v>
      </c>
      <c r="B8" s="3" t="str">
        <f>IF(Kalenteri!B216=1,"su",IF(Kalenteri!B216=2,"ma",IF(Kalenteri!B216=3,"ti",IF(Kalenteri!B216=4,"ke",IF(Kalenteri!B216=5,"to",IF(Kalenteri!B216=6,"pe",IF(Kalenteri!B216=7,"la",)))))))</f>
        <v>su</v>
      </c>
      <c r="C8" s="18">
        <v>1762</v>
      </c>
      <c r="D8" s="10">
        <v>451</v>
      </c>
      <c r="E8" s="10">
        <v>2</v>
      </c>
      <c r="F8" s="11">
        <v>30</v>
      </c>
      <c r="G8" s="18">
        <v>33</v>
      </c>
      <c r="H8" s="11">
        <v>570</v>
      </c>
      <c r="I8" s="18">
        <v>75</v>
      </c>
      <c r="J8" s="11">
        <v>111</v>
      </c>
      <c r="K8" s="33">
        <f t="shared" si="0"/>
        <v>3034</v>
      </c>
      <c r="L8" s="10">
        <v>720</v>
      </c>
      <c r="M8" s="10">
        <v>191</v>
      </c>
      <c r="N8" s="10"/>
      <c r="O8" s="11"/>
      <c r="P8" s="10"/>
      <c r="Q8" s="11">
        <v>148</v>
      </c>
      <c r="R8" s="30">
        <v>34</v>
      </c>
      <c r="S8" s="30">
        <v>51</v>
      </c>
      <c r="T8" s="33">
        <f t="shared" si="1"/>
        <v>1144</v>
      </c>
      <c r="U8" s="10">
        <v>255</v>
      </c>
      <c r="V8" s="10">
        <v>43</v>
      </c>
      <c r="W8" s="10"/>
      <c r="X8" s="11"/>
      <c r="Y8" s="10">
        <v>0</v>
      </c>
      <c r="Z8" s="11">
        <v>82</v>
      </c>
      <c r="AA8" s="30">
        <v>4</v>
      </c>
      <c r="AB8" s="30">
        <v>6</v>
      </c>
      <c r="AC8" s="33">
        <f t="shared" si="2"/>
        <v>390</v>
      </c>
      <c r="AD8" s="12">
        <f t="shared" si="3"/>
        <v>4568</v>
      </c>
      <c r="AE8" s="39"/>
      <c r="AF8" s="39"/>
      <c r="AG8" s="39"/>
      <c r="AH8" s="39"/>
      <c r="AI8" s="39"/>
      <c r="AJ8"/>
    </row>
    <row r="9" spans="1:36" x14ac:dyDescent="0.2">
      <c r="A9" s="5">
        <f>DAY(Kalenteri!A217)</f>
        <v>5</v>
      </c>
      <c r="B9" s="3" t="str">
        <f>IF(Kalenteri!B217=1,"su",IF(Kalenteri!B217=2,"ma",IF(Kalenteri!B217=3,"ti",IF(Kalenteri!B217=4,"ke",IF(Kalenteri!B217=5,"to",IF(Kalenteri!B217=6,"pe",IF(Kalenteri!B217=7,"la",)))))))</f>
        <v>ma</v>
      </c>
      <c r="C9" s="18">
        <v>1225</v>
      </c>
      <c r="D9" s="10">
        <v>434</v>
      </c>
      <c r="E9" s="10">
        <v>5</v>
      </c>
      <c r="F9" s="11">
        <v>17</v>
      </c>
      <c r="G9" s="18">
        <v>29</v>
      </c>
      <c r="H9" s="11">
        <v>414</v>
      </c>
      <c r="I9" s="18">
        <v>48</v>
      </c>
      <c r="J9" s="11">
        <v>72</v>
      </c>
      <c r="K9" s="33">
        <f t="shared" si="0"/>
        <v>2244</v>
      </c>
      <c r="L9" s="10">
        <v>91</v>
      </c>
      <c r="M9" s="10">
        <v>205</v>
      </c>
      <c r="N9" s="10"/>
      <c r="O9" s="11"/>
      <c r="P9" s="10"/>
      <c r="Q9" s="11">
        <v>115</v>
      </c>
      <c r="R9" s="30">
        <v>46</v>
      </c>
      <c r="S9" s="30">
        <v>69</v>
      </c>
      <c r="T9" s="33">
        <f t="shared" si="1"/>
        <v>526</v>
      </c>
      <c r="U9" s="10">
        <v>134</v>
      </c>
      <c r="V9" s="10">
        <v>52</v>
      </c>
      <c r="W9" s="10"/>
      <c r="X9" s="11"/>
      <c r="Y9" s="10">
        <v>0</v>
      </c>
      <c r="Z9" s="11">
        <v>49</v>
      </c>
      <c r="AA9" s="30">
        <v>4</v>
      </c>
      <c r="AB9" s="30">
        <v>6</v>
      </c>
      <c r="AC9" s="33">
        <f t="shared" si="2"/>
        <v>245</v>
      </c>
      <c r="AD9" s="12">
        <f t="shared" si="3"/>
        <v>3015</v>
      </c>
      <c r="AE9" s="39"/>
      <c r="AF9" s="39"/>
      <c r="AG9" s="39"/>
      <c r="AH9" s="39"/>
      <c r="AI9" s="39"/>
      <c r="AJ9"/>
    </row>
    <row r="10" spans="1:36" x14ac:dyDescent="0.2">
      <c r="A10" s="5">
        <f>DAY(Kalenteri!A218)</f>
        <v>6</v>
      </c>
      <c r="B10" s="3" t="str">
        <f>IF(Kalenteri!B218=1,"su",IF(Kalenteri!B218=2,"ma",IF(Kalenteri!B218=3,"ti",IF(Kalenteri!B218=4,"ke",IF(Kalenteri!B218=5,"to",IF(Kalenteri!B218=6,"pe",IF(Kalenteri!B218=7,"la",)))))))</f>
        <v>ti</v>
      </c>
      <c r="C10" s="18">
        <v>1458</v>
      </c>
      <c r="D10" s="10">
        <v>551</v>
      </c>
      <c r="E10" s="10">
        <v>14</v>
      </c>
      <c r="F10" s="11">
        <v>21</v>
      </c>
      <c r="G10" s="18">
        <v>39</v>
      </c>
      <c r="H10" s="11">
        <v>491</v>
      </c>
      <c r="I10" s="18">
        <v>70</v>
      </c>
      <c r="J10" s="11">
        <v>105</v>
      </c>
      <c r="K10" s="33">
        <f t="shared" si="0"/>
        <v>2749</v>
      </c>
      <c r="L10" s="10">
        <f>525+206</f>
        <v>731</v>
      </c>
      <c r="M10" s="10">
        <v>241</v>
      </c>
      <c r="N10" s="10"/>
      <c r="O10" s="11"/>
      <c r="P10" s="10"/>
      <c r="Q10" s="11">
        <v>124</v>
      </c>
      <c r="R10" s="30">
        <v>50</v>
      </c>
      <c r="S10" s="30">
        <v>75</v>
      </c>
      <c r="T10" s="33">
        <f t="shared" si="1"/>
        <v>1221</v>
      </c>
      <c r="U10" s="10">
        <f>127+79</f>
        <v>206</v>
      </c>
      <c r="V10" s="10">
        <v>53</v>
      </c>
      <c r="W10" s="10"/>
      <c r="X10" s="11"/>
      <c r="Y10" s="10">
        <v>0</v>
      </c>
      <c r="Z10" s="11">
        <v>74</v>
      </c>
      <c r="AA10" s="30">
        <v>4</v>
      </c>
      <c r="AB10" s="30">
        <v>6</v>
      </c>
      <c r="AC10" s="33">
        <f t="shared" si="2"/>
        <v>343</v>
      </c>
      <c r="AD10" s="12">
        <f t="shared" si="3"/>
        <v>4313</v>
      </c>
      <c r="AE10" s="39"/>
      <c r="AF10" s="39"/>
      <c r="AG10" s="39"/>
      <c r="AH10" s="39"/>
      <c r="AI10" s="39"/>
      <c r="AJ10"/>
    </row>
    <row r="11" spans="1:36" x14ac:dyDescent="0.2">
      <c r="A11" s="5">
        <f>DAY(Kalenteri!A219)</f>
        <v>7</v>
      </c>
      <c r="B11" s="3" t="str">
        <f>IF(Kalenteri!B219=1,"su",IF(Kalenteri!B219=2,"ma",IF(Kalenteri!B219=3,"ti",IF(Kalenteri!B219=4,"ke",IF(Kalenteri!B219=5,"to",IF(Kalenteri!B219=6,"pe",IF(Kalenteri!B219=7,"la",)))))))</f>
        <v>ke</v>
      </c>
      <c r="C11" s="18">
        <v>1099</v>
      </c>
      <c r="D11" s="10">
        <v>423</v>
      </c>
      <c r="E11" s="10">
        <v>5</v>
      </c>
      <c r="F11" s="11">
        <v>10</v>
      </c>
      <c r="G11" s="18">
        <v>37</v>
      </c>
      <c r="H11" s="11">
        <v>376</v>
      </c>
      <c r="I11" s="18">
        <v>52</v>
      </c>
      <c r="J11" s="11">
        <v>78</v>
      </c>
      <c r="K11" s="33">
        <f t="shared" si="0"/>
        <v>2080</v>
      </c>
      <c r="L11" s="10">
        <v>534</v>
      </c>
      <c r="M11" s="10">
        <v>209</v>
      </c>
      <c r="N11" s="10"/>
      <c r="O11" s="11"/>
      <c r="P11" s="10"/>
      <c r="Q11" s="11">
        <v>125</v>
      </c>
      <c r="R11" s="30">
        <v>52</v>
      </c>
      <c r="S11" s="30">
        <v>78</v>
      </c>
      <c r="T11" s="33">
        <f t="shared" si="1"/>
        <v>998</v>
      </c>
      <c r="U11" s="10">
        <v>140</v>
      </c>
      <c r="V11" s="10">
        <v>49</v>
      </c>
      <c r="W11" s="10"/>
      <c r="X11" s="11"/>
      <c r="Y11" s="10">
        <v>0</v>
      </c>
      <c r="Z11" s="11">
        <v>38</v>
      </c>
      <c r="AA11" s="30">
        <v>8</v>
      </c>
      <c r="AB11" s="30">
        <v>12</v>
      </c>
      <c r="AC11" s="33">
        <f t="shared" si="2"/>
        <v>247</v>
      </c>
      <c r="AD11" s="12">
        <f t="shared" si="3"/>
        <v>3325</v>
      </c>
      <c r="AE11" s="39"/>
      <c r="AF11" s="39"/>
      <c r="AG11" s="39"/>
      <c r="AH11" s="39"/>
      <c r="AI11" s="39"/>
      <c r="AJ11"/>
    </row>
    <row r="12" spans="1:36" x14ac:dyDescent="0.2">
      <c r="A12" s="5">
        <f>DAY(Kalenteri!A220)</f>
        <v>8</v>
      </c>
      <c r="B12" s="3" t="str">
        <f>IF(Kalenteri!B220=1,"su",IF(Kalenteri!B220=2,"ma",IF(Kalenteri!B220=3,"ti",IF(Kalenteri!B220=4,"ke",IF(Kalenteri!B220=5,"to",IF(Kalenteri!B220=6,"pe",IF(Kalenteri!B220=7,"la",)))))))</f>
        <v>to</v>
      </c>
      <c r="C12" s="18">
        <v>1018</v>
      </c>
      <c r="D12" s="10">
        <v>344</v>
      </c>
      <c r="E12" s="10"/>
      <c r="F12" s="11">
        <v>28</v>
      </c>
      <c r="G12" s="18">
        <v>37</v>
      </c>
      <c r="H12" s="11">
        <v>339</v>
      </c>
      <c r="I12" s="18">
        <v>30</v>
      </c>
      <c r="J12" s="11">
        <v>45</v>
      </c>
      <c r="K12" s="33">
        <f t="shared" si="0"/>
        <v>1841</v>
      </c>
      <c r="L12" s="10">
        <v>469</v>
      </c>
      <c r="M12" s="10">
        <v>135</v>
      </c>
      <c r="N12" s="10"/>
      <c r="O12" s="11"/>
      <c r="P12" s="10"/>
      <c r="Q12" s="11">
        <v>95</v>
      </c>
      <c r="R12" s="30">
        <v>40</v>
      </c>
      <c r="S12" s="30">
        <v>60</v>
      </c>
      <c r="T12" s="33">
        <f t="shared" si="1"/>
        <v>799</v>
      </c>
      <c r="U12" s="10">
        <v>75</v>
      </c>
      <c r="V12" s="10">
        <v>20</v>
      </c>
      <c r="W12" s="10"/>
      <c r="X12" s="11"/>
      <c r="Y12" s="10">
        <v>0</v>
      </c>
      <c r="Z12" s="11">
        <v>35</v>
      </c>
      <c r="AA12" s="30">
        <v>4</v>
      </c>
      <c r="AB12" s="30">
        <v>6</v>
      </c>
      <c r="AC12" s="33">
        <f t="shared" si="2"/>
        <v>140</v>
      </c>
      <c r="AD12" s="12">
        <f t="shared" si="3"/>
        <v>2780</v>
      </c>
      <c r="AE12" s="39"/>
      <c r="AF12" s="39"/>
      <c r="AG12" s="39"/>
      <c r="AH12" s="39"/>
      <c r="AI12" s="39"/>
      <c r="AJ12"/>
    </row>
    <row r="13" spans="1:36" x14ac:dyDescent="0.2">
      <c r="A13" s="5">
        <f>DAY(Kalenteri!A221)</f>
        <v>9</v>
      </c>
      <c r="B13" s="3" t="str">
        <f>IF(Kalenteri!B221=1,"su",IF(Kalenteri!B221=2,"ma",IF(Kalenteri!B221=3,"ti",IF(Kalenteri!B221=4,"ke",IF(Kalenteri!B221=5,"to",IF(Kalenteri!B221=6,"pe",IF(Kalenteri!B221=7,"la",)))))))</f>
        <v>pe</v>
      </c>
      <c r="C13" s="18">
        <v>143</v>
      </c>
      <c r="D13" s="10">
        <v>268</v>
      </c>
      <c r="E13" s="10">
        <v>3</v>
      </c>
      <c r="F13" s="11">
        <v>13</v>
      </c>
      <c r="G13" s="18">
        <v>12</v>
      </c>
      <c r="H13" s="11">
        <v>250</v>
      </c>
      <c r="I13" s="18">
        <v>18</v>
      </c>
      <c r="J13" s="11">
        <v>27</v>
      </c>
      <c r="K13" s="33">
        <f t="shared" si="0"/>
        <v>734</v>
      </c>
      <c r="L13" s="10">
        <v>308</v>
      </c>
      <c r="M13" s="10">
        <v>87</v>
      </c>
      <c r="N13" s="10"/>
      <c r="O13" s="11"/>
      <c r="P13" s="10"/>
      <c r="Q13" s="11">
        <v>64</v>
      </c>
      <c r="R13" s="30">
        <v>22</v>
      </c>
      <c r="S13" s="30">
        <v>33</v>
      </c>
      <c r="T13" s="33">
        <f t="shared" si="1"/>
        <v>514</v>
      </c>
      <c r="U13" s="10">
        <v>69</v>
      </c>
      <c r="V13" s="10">
        <v>18</v>
      </c>
      <c r="W13" s="10"/>
      <c r="X13" s="11"/>
      <c r="Y13" s="10">
        <v>0</v>
      </c>
      <c r="Z13" s="11">
        <v>25</v>
      </c>
      <c r="AA13" s="30">
        <v>6</v>
      </c>
      <c r="AB13" s="30">
        <v>9</v>
      </c>
      <c r="AC13" s="33">
        <f t="shared" si="2"/>
        <v>127</v>
      </c>
      <c r="AD13" s="12">
        <f t="shared" si="3"/>
        <v>1375</v>
      </c>
      <c r="AE13" s="39"/>
      <c r="AF13" s="39"/>
      <c r="AG13" s="39"/>
      <c r="AH13" s="39"/>
      <c r="AI13" s="39"/>
      <c r="AJ13"/>
    </row>
    <row r="14" spans="1:36" x14ac:dyDescent="0.2">
      <c r="A14" s="5">
        <f>DAY(Kalenteri!A222)</f>
        <v>10</v>
      </c>
      <c r="B14" s="3" t="str">
        <f>IF(Kalenteri!B222=1,"su",IF(Kalenteri!B222=2,"ma",IF(Kalenteri!B222=3,"ti",IF(Kalenteri!B222=4,"ke",IF(Kalenteri!B222=5,"to",IF(Kalenteri!B222=6,"pe",IF(Kalenteri!B222=7,"la",)))))))</f>
        <v>la</v>
      </c>
      <c r="C14" s="18">
        <v>1787</v>
      </c>
      <c r="D14" s="10">
        <v>432</v>
      </c>
      <c r="E14" s="10">
        <v>0</v>
      </c>
      <c r="F14" s="11">
        <v>18</v>
      </c>
      <c r="G14" s="18">
        <v>21</v>
      </c>
      <c r="H14" s="11">
        <v>560</v>
      </c>
      <c r="I14" s="18">
        <v>42</v>
      </c>
      <c r="J14" s="11">
        <v>63</v>
      </c>
      <c r="K14" s="33">
        <f t="shared" si="0"/>
        <v>2923</v>
      </c>
      <c r="L14" s="10">
        <f>591</f>
        <v>591</v>
      </c>
      <c r="M14" s="10">
        <v>139</v>
      </c>
      <c r="N14" s="10"/>
      <c r="O14" s="11"/>
      <c r="P14" s="10"/>
      <c r="Q14" s="11">
        <v>91</v>
      </c>
      <c r="R14" s="30">
        <v>38</v>
      </c>
      <c r="S14" s="30">
        <v>57</v>
      </c>
      <c r="T14" s="33">
        <f t="shared" si="1"/>
        <v>916</v>
      </c>
      <c r="U14" s="10">
        <f>152+39</f>
        <v>191</v>
      </c>
      <c r="V14" s="10">
        <v>52</v>
      </c>
      <c r="W14" s="10"/>
      <c r="X14" s="11"/>
      <c r="Y14" s="10">
        <v>0</v>
      </c>
      <c r="Z14" s="11">
        <v>81</v>
      </c>
      <c r="AA14" s="30">
        <v>6</v>
      </c>
      <c r="AB14" s="30">
        <v>9</v>
      </c>
      <c r="AC14" s="33">
        <f t="shared" si="2"/>
        <v>339</v>
      </c>
      <c r="AD14" s="12">
        <f t="shared" si="3"/>
        <v>4178</v>
      </c>
      <c r="AE14" s="39"/>
      <c r="AF14" s="39"/>
      <c r="AG14" s="39"/>
      <c r="AH14" s="39"/>
      <c r="AI14" s="39"/>
      <c r="AJ14"/>
    </row>
    <row r="15" spans="1:36" x14ac:dyDescent="0.2">
      <c r="A15" s="5">
        <f>DAY(Kalenteri!A223)</f>
        <v>11</v>
      </c>
      <c r="B15" s="3" t="str">
        <f>IF(Kalenteri!B223=1,"su",IF(Kalenteri!B223=2,"ma",IF(Kalenteri!B223=3,"ti",IF(Kalenteri!B223=4,"ke",IF(Kalenteri!B223=5,"to",IF(Kalenteri!B223=6,"pe",IF(Kalenteri!B223=7,"la",)))))))</f>
        <v>su</v>
      </c>
      <c r="C15" s="18">
        <v>1517</v>
      </c>
      <c r="D15" s="10">
        <v>343</v>
      </c>
      <c r="E15" s="10">
        <v>2</v>
      </c>
      <c r="F15" s="11">
        <v>28</v>
      </c>
      <c r="G15" s="18">
        <v>18</v>
      </c>
      <c r="H15" s="11">
        <v>486</v>
      </c>
      <c r="I15" s="18">
        <v>56</v>
      </c>
      <c r="J15" s="11">
        <v>84</v>
      </c>
      <c r="K15" s="33">
        <f t="shared" si="0"/>
        <v>2534</v>
      </c>
      <c r="L15" s="10">
        <f>378+103</f>
        <v>481</v>
      </c>
      <c r="M15" s="10">
        <v>118</v>
      </c>
      <c r="N15" s="10"/>
      <c r="O15" s="11"/>
      <c r="P15" s="10"/>
      <c r="Q15" s="11">
        <v>124</v>
      </c>
      <c r="R15" s="30">
        <v>34</v>
      </c>
      <c r="S15" s="30">
        <v>51</v>
      </c>
      <c r="T15" s="33">
        <f t="shared" si="1"/>
        <v>808</v>
      </c>
      <c r="U15" s="10">
        <f>127+31</f>
        <v>158</v>
      </c>
      <c r="V15" s="10">
        <v>44</v>
      </c>
      <c r="W15" s="10"/>
      <c r="X15" s="11"/>
      <c r="Y15" s="10">
        <v>0</v>
      </c>
      <c r="Z15" s="11">
        <v>54</v>
      </c>
      <c r="AA15" s="30">
        <v>8</v>
      </c>
      <c r="AB15" s="30">
        <v>12</v>
      </c>
      <c r="AC15" s="33">
        <f t="shared" si="2"/>
        <v>276</v>
      </c>
      <c r="AD15" s="12">
        <f t="shared" si="3"/>
        <v>3618</v>
      </c>
      <c r="AE15" s="39"/>
      <c r="AF15" s="39"/>
      <c r="AG15" s="39"/>
      <c r="AH15" s="39"/>
      <c r="AI15" s="39"/>
      <c r="AJ15"/>
    </row>
    <row r="16" spans="1:36" x14ac:dyDescent="0.2">
      <c r="A16" s="5">
        <f>DAY(Kalenteri!A224)</f>
        <v>12</v>
      </c>
      <c r="B16" s="3" t="str">
        <f>IF(Kalenteri!B224=1,"su",IF(Kalenteri!B224=2,"ma",IF(Kalenteri!B224=3,"ti",IF(Kalenteri!B224=4,"ke",IF(Kalenteri!B224=5,"to",IF(Kalenteri!B224=6,"pe",IF(Kalenteri!B224=7,"la",)))))))</f>
        <v>ma</v>
      </c>
      <c r="C16" s="18">
        <v>312</v>
      </c>
      <c r="D16" s="10">
        <v>81</v>
      </c>
      <c r="E16" s="10"/>
      <c r="F16" s="11">
        <v>13</v>
      </c>
      <c r="G16" s="18">
        <v>3</v>
      </c>
      <c r="H16" s="11">
        <v>99</v>
      </c>
      <c r="I16" s="18">
        <v>9</v>
      </c>
      <c r="J16" s="11">
        <v>12</v>
      </c>
      <c r="K16" s="33">
        <f t="shared" si="0"/>
        <v>529</v>
      </c>
      <c r="L16" s="10">
        <v>158</v>
      </c>
      <c r="M16" s="10">
        <v>46</v>
      </c>
      <c r="N16" s="10"/>
      <c r="O16" s="11"/>
      <c r="P16" s="10"/>
      <c r="Q16" s="11">
        <v>38</v>
      </c>
      <c r="R16" s="30">
        <v>10</v>
      </c>
      <c r="S16" s="30">
        <v>15</v>
      </c>
      <c r="T16" s="33">
        <f t="shared" si="1"/>
        <v>267</v>
      </c>
      <c r="U16" s="10">
        <v>20</v>
      </c>
      <c r="V16" s="10">
        <v>7</v>
      </c>
      <c r="W16" s="10"/>
      <c r="X16" s="11"/>
      <c r="Y16" s="10">
        <v>0</v>
      </c>
      <c r="Z16" s="11">
        <v>8</v>
      </c>
      <c r="AA16" s="30">
        <v>0</v>
      </c>
      <c r="AB16" s="30">
        <v>0</v>
      </c>
      <c r="AC16" s="33">
        <f t="shared" si="2"/>
        <v>35</v>
      </c>
      <c r="AD16" s="12">
        <f t="shared" si="3"/>
        <v>831</v>
      </c>
      <c r="AE16" s="39"/>
      <c r="AF16" s="39"/>
      <c r="AG16" s="39"/>
      <c r="AH16" s="39"/>
      <c r="AI16" s="39"/>
      <c r="AJ16"/>
    </row>
    <row r="17" spans="1:36" x14ac:dyDescent="0.2">
      <c r="A17" s="5">
        <f>DAY(Kalenteri!A225)</f>
        <v>13</v>
      </c>
      <c r="B17" s="3" t="str">
        <f>IF(Kalenteri!B225=1,"su",IF(Kalenteri!B225=2,"ma",IF(Kalenteri!B225=3,"ti",IF(Kalenteri!B225=4,"ke",IF(Kalenteri!B225=5,"to",IF(Kalenteri!B225=6,"pe",IF(Kalenteri!B225=7,"la",)))))))</f>
        <v>ti</v>
      </c>
      <c r="C17" s="18">
        <v>310</v>
      </c>
      <c r="D17" s="10">
        <v>21</v>
      </c>
      <c r="E17" s="10">
        <v>2</v>
      </c>
      <c r="F17" s="11">
        <v>4</v>
      </c>
      <c r="G17" s="18">
        <v>10</v>
      </c>
      <c r="H17" s="11">
        <v>214</v>
      </c>
      <c r="I17" s="18">
        <v>6</v>
      </c>
      <c r="J17" s="11">
        <v>9</v>
      </c>
      <c r="K17" s="33">
        <f t="shared" si="0"/>
        <v>576</v>
      </c>
      <c r="L17" s="10">
        <f>83+26</f>
        <v>109</v>
      </c>
      <c r="M17" s="10">
        <v>23</v>
      </c>
      <c r="N17" s="10"/>
      <c r="O17" s="11"/>
      <c r="P17" s="10"/>
      <c r="Q17" s="11">
        <v>18</v>
      </c>
      <c r="R17" s="30"/>
      <c r="S17" s="30"/>
      <c r="T17" s="33">
        <f t="shared" si="1"/>
        <v>150</v>
      </c>
      <c r="U17" s="10">
        <f>13+2</f>
        <v>15</v>
      </c>
      <c r="V17" s="10">
        <v>1</v>
      </c>
      <c r="W17" s="10"/>
      <c r="X17" s="11"/>
      <c r="Y17" s="10">
        <v>0</v>
      </c>
      <c r="Z17" s="11">
        <v>4</v>
      </c>
      <c r="AA17" s="30">
        <v>0</v>
      </c>
      <c r="AB17" s="30">
        <v>0</v>
      </c>
      <c r="AC17" s="33">
        <f t="shared" si="2"/>
        <v>20</v>
      </c>
      <c r="AD17" s="12">
        <f t="shared" si="3"/>
        <v>746</v>
      </c>
      <c r="AE17" s="39"/>
      <c r="AF17" s="39"/>
      <c r="AG17" s="39"/>
      <c r="AH17" s="39"/>
      <c r="AI17" s="39"/>
      <c r="AJ17"/>
    </row>
    <row r="18" spans="1:36" x14ac:dyDescent="0.2">
      <c r="A18" s="5">
        <f>DAY(Kalenteri!A226)</f>
        <v>14</v>
      </c>
      <c r="B18" s="3" t="str">
        <f>IF(Kalenteri!B226=1,"su",IF(Kalenteri!B226=2,"ma",IF(Kalenteri!B226=3,"ti",IF(Kalenteri!B226=4,"ke",IF(Kalenteri!B226=5,"to",IF(Kalenteri!B226=6,"pe",IF(Kalenteri!B226=7,"la",)))))))</f>
        <v>ke</v>
      </c>
      <c r="C18" s="18">
        <v>65</v>
      </c>
      <c r="D18" s="10">
        <v>9</v>
      </c>
      <c r="E18" s="10"/>
      <c r="F18" s="11">
        <v>2</v>
      </c>
      <c r="G18" s="18">
        <v>1</v>
      </c>
      <c r="H18" s="11">
        <v>18</v>
      </c>
      <c r="I18" s="18"/>
      <c r="J18" s="11"/>
      <c r="K18" s="33">
        <f t="shared" si="0"/>
        <v>95</v>
      </c>
      <c r="L18" s="10">
        <v>40</v>
      </c>
      <c r="M18" s="10">
        <v>5</v>
      </c>
      <c r="N18" s="10"/>
      <c r="O18" s="11"/>
      <c r="P18" s="10"/>
      <c r="Q18" s="11">
        <v>8</v>
      </c>
      <c r="R18" s="30"/>
      <c r="S18" s="30"/>
      <c r="T18" s="33">
        <f t="shared" si="1"/>
        <v>53</v>
      </c>
      <c r="U18" s="10">
        <v>0</v>
      </c>
      <c r="V18" s="10">
        <v>0</v>
      </c>
      <c r="W18" s="10"/>
      <c r="X18" s="11"/>
      <c r="Y18" s="10">
        <v>0</v>
      </c>
      <c r="Z18" s="11">
        <v>0</v>
      </c>
      <c r="AA18" s="30">
        <v>0</v>
      </c>
      <c r="AB18" s="30">
        <v>0</v>
      </c>
      <c r="AC18" s="33">
        <f t="shared" si="2"/>
        <v>0</v>
      </c>
      <c r="AD18" s="12">
        <f t="shared" si="3"/>
        <v>148</v>
      </c>
      <c r="AE18" s="39"/>
      <c r="AF18" s="39"/>
      <c r="AG18" s="39"/>
      <c r="AH18" s="39"/>
      <c r="AI18" s="39"/>
      <c r="AJ18"/>
    </row>
    <row r="19" spans="1:36" x14ac:dyDescent="0.2">
      <c r="A19" s="5">
        <f>DAY(Kalenteri!A227)</f>
        <v>15</v>
      </c>
      <c r="B19" s="3" t="str">
        <f>IF(Kalenteri!B227=1,"su",IF(Kalenteri!B227=2,"ma",IF(Kalenteri!B227=3,"ti",IF(Kalenteri!B227=4,"ke",IF(Kalenteri!B227=5,"to",IF(Kalenteri!B227=6,"pe",IF(Kalenteri!B227=7,"la",)))))))</f>
        <v>to</v>
      </c>
      <c r="C19" s="18">
        <v>376</v>
      </c>
      <c r="D19" s="10">
        <v>47</v>
      </c>
      <c r="E19" s="10">
        <v>5</v>
      </c>
      <c r="F19" s="11">
        <v>5</v>
      </c>
      <c r="G19" s="18">
        <v>9</v>
      </c>
      <c r="H19" s="11">
        <v>126</v>
      </c>
      <c r="I19" s="18">
        <v>4</v>
      </c>
      <c r="J19" s="11">
        <v>6</v>
      </c>
      <c r="K19" s="33">
        <f t="shared" si="0"/>
        <v>578</v>
      </c>
      <c r="L19" s="10">
        <f>150+38</f>
        <v>188</v>
      </c>
      <c r="M19" s="10">
        <v>18</v>
      </c>
      <c r="N19" s="10"/>
      <c r="O19" s="11"/>
      <c r="P19" s="10"/>
      <c r="Q19" s="11">
        <v>54</v>
      </c>
      <c r="R19" s="30">
        <v>4</v>
      </c>
      <c r="S19" s="30">
        <v>6</v>
      </c>
      <c r="T19" s="33">
        <f t="shared" si="1"/>
        <v>270</v>
      </c>
      <c r="U19" s="10">
        <v>29</v>
      </c>
      <c r="V19" s="10">
        <v>1</v>
      </c>
      <c r="W19" s="10"/>
      <c r="X19" s="11"/>
      <c r="Y19" s="10">
        <v>0</v>
      </c>
      <c r="Z19" s="11">
        <v>5</v>
      </c>
      <c r="AA19" s="30">
        <v>0</v>
      </c>
      <c r="AB19" s="30">
        <v>0</v>
      </c>
      <c r="AC19" s="33">
        <f t="shared" si="2"/>
        <v>35</v>
      </c>
      <c r="AD19" s="12">
        <f t="shared" si="3"/>
        <v>883</v>
      </c>
      <c r="AE19" s="39"/>
      <c r="AF19" s="39"/>
      <c r="AG19" s="39"/>
      <c r="AH19" s="39"/>
      <c r="AI19" s="39"/>
      <c r="AJ19"/>
    </row>
    <row r="20" spans="1:36" x14ac:dyDescent="0.2">
      <c r="A20" s="5">
        <f>DAY(Kalenteri!A228)</f>
        <v>16</v>
      </c>
      <c r="B20" s="3" t="str">
        <f>IF(Kalenteri!B228=1,"su",IF(Kalenteri!B228=2,"ma",IF(Kalenteri!B228=3,"ti",IF(Kalenteri!B228=4,"ke",IF(Kalenteri!B228=5,"to",IF(Kalenteri!B228=6,"pe",IF(Kalenteri!B228=7,"la",)))))))</f>
        <v>pe</v>
      </c>
      <c r="C20" s="18">
        <v>885</v>
      </c>
      <c r="D20" s="10">
        <v>194</v>
      </c>
      <c r="E20" s="10">
        <v>4</v>
      </c>
      <c r="F20" s="11">
        <v>16</v>
      </c>
      <c r="G20" s="18">
        <v>12</v>
      </c>
      <c r="H20" s="11">
        <v>362</v>
      </c>
      <c r="I20" s="18">
        <v>8</v>
      </c>
      <c r="J20" s="11">
        <v>12</v>
      </c>
      <c r="K20" s="33">
        <f t="shared" si="0"/>
        <v>1493</v>
      </c>
      <c r="L20" s="10">
        <v>402</v>
      </c>
      <c r="M20" s="10">
        <v>40</v>
      </c>
      <c r="N20" s="10"/>
      <c r="O20" s="11"/>
      <c r="P20" s="10"/>
      <c r="Q20" s="11">
        <v>117</v>
      </c>
      <c r="R20" s="30">
        <v>8</v>
      </c>
      <c r="S20" s="30">
        <v>12</v>
      </c>
      <c r="T20" s="33">
        <f t="shared" si="1"/>
        <v>579</v>
      </c>
      <c r="U20" s="10">
        <f>23+62</f>
        <v>85</v>
      </c>
      <c r="V20" s="10">
        <v>6</v>
      </c>
      <c r="W20" s="10"/>
      <c r="X20" s="11">
        <v>1</v>
      </c>
      <c r="Y20" s="10">
        <v>0</v>
      </c>
      <c r="Z20" s="11">
        <v>38</v>
      </c>
      <c r="AA20" s="30">
        <v>2</v>
      </c>
      <c r="AB20" s="30">
        <v>3</v>
      </c>
      <c r="AC20" s="33">
        <f t="shared" si="2"/>
        <v>135</v>
      </c>
      <c r="AD20" s="12">
        <f t="shared" si="3"/>
        <v>2207</v>
      </c>
      <c r="AE20" s="39"/>
      <c r="AF20" s="39"/>
      <c r="AG20" s="39"/>
      <c r="AH20" s="39"/>
      <c r="AI20" s="39"/>
      <c r="AJ20"/>
    </row>
    <row r="21" spans="1:36" x14ac:dyDescent="0.2">
      <c r="A21" s="5">
        <f>DAY(Kalenteri!A229)</f>
        <v>17</v>
      </c>
      <c r="B21" s="3" t="str">
        <f>IF(Kalenteri!B229=1,"su",IF(Kalenteri!B229=2,"ma",IF(Kalenteri!B229=3,"ti",IF(Kalenteri!B229=4,"ke",IF(Kalenteri!B229=5,"to",IF(Kalenteri!B229=6,"pe",IF(Kalenteri!B229=7,"la",)))))))</f>
        <v>la</v>
      </c>
      <c r="C21" s="18">
        <v>765</v>
      </c>
      <c r="D21" s="10">
        <v>198</v>
      </c>
      <c r="E21" s="10"/>
      <c r="F21" s="11">
        <v>21</v>
      </c>
      <c r="G21" s="18">
        <v>9</v>
      </c>
      <c r="H21" s="11">
        <v>248</v>
      </c>
      <c r="I21" s="18">
        <v>18</v>
      </c>
      <c r="J21" s="11">
        <v>27</v>
      </c>
      <c r="K21" s="33">
        <f t="shared" si="0"/>
        <v>1286</v>
      </c>
      <c r="L21" s="10">
        <f>259+42</f>
        <v>301</v>
      </c>
      <c r="M21" s="10">
        <v>71</v>
      </c>
      <c r="N21" s="10"/>
      <c r="O21" s="11"/>
      <c r="P21" s="10"/>
      <c r="Q21" s="11">
        <v>210</v>
      </c>
      <c r="R21" s="30">
        <v>8</v>
      </c>
      <c r="S21" s="30">
        <v>12</v>
      </c>
      <c r="T21" s="33">
        <f t="shared" si="1"/>
        <v>602</v>
      </c>
      <c r="U21" s="10">
        <f>41+7</f>
        <v>48</v>
      </c>
      <c r="V21" s="10">
        <v>13</v>
      </c>
      <c r="W21" s="10"/>
      <c r="X21" s="11"/>
      <c r="Y21" s="10">
        <v>0</v>
      </c>
      <c r="Z21" s="11">
        <v>27</v>
      </c>
      <c r="AA21" s="30">
        <v>2</v>
      </c>
      <c r="AB21" s="30">
        <v>3</v>
      </c>
      <c r="AC21" s="33">
        <f t="shared" si="2"/>
        <v>93</v>
      </c>
      <c r="AD21" s="12">
        <f t="shared" si="3"/>
        <v>1981</v>
      </c>
      <c r="AE21" s="39"/>
      <c r="AF21" s="39"/>
      <c r="AG21" s="39"/>
      <c r="AH21" s="39"/>
      <c r="AI21" s="39"/>
      <c r="AJ21"/>
    </row>
    <row r="22" spans="1:36" x14ac:dyDescent="0.2">
      <c r="A22" s="5">
        <f>DAY(Kalenteri!A230)</f>
        <v>18</v>
      </c>
      <c r="B22" s="3" t="str">
        <f>IF(Kalenteri!B230=1,"su",IF(Kalenteri!B230=2,"ma",IF(Kalenteri!B230=3,"ti",IF(Kalenteri!B230=4,"ke",IF(Kalenteri!B230=5,"to",IF(Kalenteri!B230=6,"pe",IF(Kalenteri!B230=7,"la",)))))))</f>
        <v>su</v>
      </c>
      <c r="C22" s="18">
        <v>1579</v>
      </c>
      <c r="D22" s="10">
        <v>316</v>
      </c>
      <c r="E22" s="10">
        <v>4</v>
      </c>
      <c r="F22" s="11">
        <v>41</v>
      </c>
      <c r="G22" s="18">
        <v>11</v>
      </c>
      <c r="H22" s="11">
        <v>515</v>
      </c>
      <c r="I22" s="18">
        <v>38</v>
      </c>
      <c r="J22" s="11">
        <v>57</v>
      </c>
      <c r="K22" s="33">
        <f t="shared" si="0"/>
        <v>2561</v>
      </c>
      <c r="L22" s="10">
        <v>419</v>
      </c>
      <c r="M22" s="10">
        <v>77</v>
      </c>
      <c r="N22" s="10"/>
      <c r="O22" s="11"/>
      <c r="P22" s="10"/>
      <c r="Q22" s="11">
        <v>59</v>
      </c>
      <c r="R22" s="30">
        <v>16</v>
      </c>
      <c r="S22" s="30">
        <v>24</v>
      </c>
      <c r="T22" s="33">
        <f t="shared" si="1"/>
        <v>595</v>
      </c>
      <c r="U22" s="10">
        <v>102</v>
      </c>
      <c r="V22" s="10">
        <v>26</v>
      </c>
      <c r="W22" s="10"/>
      <c r="X22" s="11"/>
      <c r="Y22" s="10">
        <v>0</v>
      </c>
      <c r="Z22" s="11">
        <v>48</v>
      </c>
      <c r="AA22" s="30">
        <v>8</v>
      </c>
      <c r="AB22" s="30">
        <v>12</v>
      </c>
      <c r="AC22" s="33">
        <f t="shared" si="2"/>
        <v>196</v>
      </c>
      <c r="AD22" s="12">
        <f t="shared" si="3"/>
        <v>3352</v>
      </c>
      <c r="AE22" s="39"/>
      <c r="AF22" s="39"/>
      <c r="AG22" s="39"/>
      <c r="AH22" s="39"/>
      <c r="AI22" s="39"/>
      <c r="AJ22"/>
    </row>
    <row r="23" spans="1:36" x14ac:dyDescent="0.2">
      <c r="A23" s="5">
        <f>DAY(Kalenteri!A231)</f>
        <v>19</v>
      </c>
      <c r="B23" s="3" t="str">
        <f>IF(Kalenteri!B231=1,"su",IF(Kalenteri!B231=2,"ma",IF(Kalenteri!B231=3,"ti",IF(Kalenteri!B231=4,"ke",IF(Kalenteri!B231=5,"to",IF(Kalenteri!B231=6,"pe",IF(Kalenteri!B231=7,"la",)))))))</f>
        <v>ma</v>
      </c>
      <c r="C23" s="18">
        <v>241</v>
      </c>
      <c r="D23" s="10">
        <v>28</v>
      </c>
      <c r="E23" s="10"/>
      <c r="F23" s="11">
        <v>3</v>
      </c>
      <c r="G23" s="18">
        <v>7</v>
      </c>
      <c r="H23" s="11">
        <v>58</v>
      </c>
      <c r="I23" s="18">
        <v>4</v>
      </c>
      <c r="J23" s="11">
        <v>6</v>
      </c>
      <c r="K23" s="33">
        <f t="shared" si="0"/>
        <v>347</v>
      </c>
      <c r="L23" s="10">
        <v>109</v>
      </c>
      <c r="M23" s="10">
        <v>20</v>
      </c>
      <c r="N23" s="10"/>
      <c r="O23" s="11"/>
      <c r="P23" s="10"/>
      <c r="Q23" s="11">
        <v>21</v>
      </c>
      <c r="R23" s="30">
        <v>2</v>
      </c>
      <c r="S23" s="30">
        <v>3</v>
      </c>
      <c r="T23" s="33">
        <f t="shared" si="1"/>
        <v>155</v>
      </c>
      <c r="U23" s="10">
        <v>15</v>
      </c>
      <c r="V23" s="10">
        <v>2</v>
      </c>
      <c r="W23" s="10"/>
      <c r="X23" s="11"/>
      <c r="Y23" s="10">
        <v>0</v>
      </c>
      <c r="Z23" s="11">
        <v>5</v>
      </c>
      <c r="AA23" s="30">
        <v>0</v>
      </c>
      <c r="AB23" s="30">
        <v>0</v>
      </c>
      <c r="AC23" s="33">
        <f t="shared" si="2"/>
        <v>22</v>
      </c>
      <c r="AD23" s="12">
        <f t="shared" si="3"/>
        <v>524</v>
      </c>
      <c r="AE23" s="39"/>
      <c r="AF23" s="39"/>
      <c r="AG23" s="39"/>
      <c r="AH23" s="39"/>
      <c r="AI23" s="39"/>
      <c r="AJ23"/>
    </row>
    <row r="24" spans="1:36" x14ac:dyDescent="0.2">
      <c r="A24" s="5">
        <f>DAY(Kalenteri!A232)</f>
        <v>20</v>
      </c>
      <c r="B24" s="3" t="str">
        <f>IF(Kalenteri!B232=1,"su",IF(Kalenteri!B232=2,"ma",IF(Kalenteri!B232=3,"ti",IF(Kalenteri!B232=4,"ke",IF(Kalenteri!B232=5,"to",IF(Kalenteri!B232=6,"pe",IF(Kalenteri!B232=7,"la",)))))))</f>
        <v>ti</v>
      </c>
      <c r="C24" s="18">
        <v>622</v>
      </c>
      <c r="D24" s="10">
        <v>76</v>
      </c>
      <c r="E24" s="10">
        <v>12</v>
      </c>
      <c r="F24" s="11">
        <v>12</v>
      </c>
      <c r="G24" s="18">
        <v>10</v>
      </c>
      <c r="H24" s="11">
        <v>190</v>
      </c>
      <c r="I24" s="18">
        <v>8</v>
      </c>
      <c r="J24" s="11">
        <v>12</v>
      </c>
      <c r="K24" s="33">
        <f t="shared" si="0"/>
        <v>942</v>
      </c>
      <c r="L24" s="10">
        <f>243+77</f>
        <v>320</v>
      </c>
      <c r="M24" s="10">
        <v>36</v>
      </c>
      <c r="N24" s="10"/>
      <c r="O24" s="11"/>
      <c r="P24" s="10"/>
      <c r="Q24" s="11">
        <v>68</v>
      </c>
      <c r="R24" s="30">
        <v>14</v>
      </c>
      <c r="S24" s="30">
        <v>21</v>
      </c>
      <c r="T24" s="33">
        <f t="shared" si="1"/>
        <v>459</v>
      </c>
      <c r="U24" s="10">
        <f>49+23</f>
        <v>72</v>
      </c>
      <c r="V24" s="10">
        <v>12</v>
      </c>
      <c r="W24" s="10"/>
      <c r="X24" s="11"/>
      <c r="Y24" s="10">
        <v>0</v>
      </c>
      <c r="Z24" s="11">
        <v>23</v>
      </c>
      <c r="AA24" s="30">
        <v>0</v>
      </c>
      <c r="AB24" s="30">
        <v>0</v>
      </c>
      <c r="AC24" s="33">
        <f t="shared" si="2"/>
        <v>107</v>
      </c>
      <c r="AD24" s="12">
        <f t="shared" si="3"/>
        <v>1508</v>
      </c>
      <c r="AE24" s="39"/>
      <c r="AF24" s="39"/>
      <c r="AG24" s="39"/>
      <c r="AH24" s="39"/>
      <c r="AI24" s="39"/>
      <c r="AJ24" s="39"/>
    </row>
    <row r="25" spans="1:36" x14ac:dyDescent="0.2">
      <c r="A25" s="5">
        <f>DAY(Kalenteri!A233)</f>
        <v>21</v>
      </c>
      <c r="B25" s="3" t="str">
        <f>IF(Kalenteri!B233=1,"su",IF(Kalenteri!B233=2,"ma",IF(Kalenteri!B233=3,"ti",IF(Kalenteri!B233=4,"ke",IF(Kalenteri!B233=5,"to",IF(Kalenteri!B233=6,"pe",IF(Kalenteri!B233=7,"la",)))))))</f>
        <v>ke</v>
      </c>
      <c r="C25" s="18">
        <v>630</v>
      </c>
      <c r="D25" s="10">
        <v>89</v>
      </c>
      <c r="E25" s="10">
        <v>1</v>
      </c>
      <c r="F25" s="11">
        <v>13</v>
      </c>
      <c r="G25" s="18">
        <v>15</v>
      </c>
      <c r="H25" s="11">
        <v>210</v>
      </c>
      <c r="I25" s="18">
        <v>2</v>
      </c>
      <c r="J25" s="11">
        <v>3</v>
      </c>
      <c r="K25" s="33">
        <f t="shared" si="0"/>
        <v>963</v>
      </c>
      <c r="L25" s="10">
        <f>259+90</f>
        <v>349</v>
      </c>
      <c r="M25" s="10">
        <v>64</v>
      </c>
      <c r="N25" s="10"/>
      <c r="O25" s="11"/>
      <c r="P25" s="10"/>
      <c r="Q25" s="11">
        <v>70</v>
      </c>
      <c r="R25" s="30">
        <v>2</v>
      </c>
      <c r="S25" s="30">
        <v>3</v>
      </c>
      <c r="T25" s="33">
        <f t="shared" si="1"/>
        <v>488</v>
      </c>
      <c r="U25" s="10">
        <f>53+8</f>
        <v>61</v>
      </c>
      <c r="V25" s="10">
        <v>8</v>
      </c>
      <c r="W25" s="10"/>
      <c r="X25" s="11"/>
      <c r="Y25" s="10">
        <v>0</v>
      </c>
      <c r="Z25" s="11">
        <v>14</v>
      </c>
      <c r="AA25" s="30">
        <v>0</v>
      </c>
      <c r="AB25" s="30">
        <v>0</v>
      </c>
      <c r="AC25" s="33">
        <f t="shared" si="2"/>
        <v>83</v>
      </c>
      <c r="AD25" s="12">
        <f t="shared" si="3"/>
        <v>1534</v>
      </c>
      <c r="AE25" s="39"/>
      <c r="AF25" s="39"/>
      <c r="AG25" s="39"/>
      <c r="AH25" s="39"/>
      <c r="AI25" s="39"/>
      <c r="AJ25" s="39"/>
    </row>
    <row r="26" spans="1:36" x14ac:dyDescent="0.2">
      <c r="A26" s="5">
        <f>DAY(Kalenteri!A234)</f>
        <v>22</v>
      </c>
      <c r="B26" s="3" t="str">
        <f>IF(Kalenteri!B234=1,"su",IF(Kalenteri!B234=2,"ma",IF(Kalenteri!B234=3,"ti",IF(Kalenteri!B234=4,"ke",IF(Kalenteri!B234=5,"to",IF(Kalenteri!B234=6,"pe",IF(Kalenteri!B234=7,"la",)))))))</f>
        <v>to</v>
      </c>
      <c r="C26" s="18">
        <v>272</v>
      </c>
      <c r="D26" s="10">
        <v>19</v>
      </c>
      <c r="E26" s="10">
        <v>7</v>
      </c>
      <c r="F26" s="11">
        <v>5</v>
      </c>
      <c r="G26" s="18">
        <v>21</v>
      </c>
      <c r="H26" s="11">
        <v>90</v>
      </c>
      <c r="I26" s="18">
        <v>4</v>
      </c>
      <c r="J26" s="11">
        <v>6</v>
      </c>
      <c r="K26" s="33">
        <f t="shared" si="0"/>
        <v>424</v>
      </c>
      <c r="L26" s="10">
        <v>169</v>
      </c>
      <c r="M26" s="10">
        <v>26</v>
      </c>
      <c r="N26" s="10"/>
      <c r="O26" s="11"/>
      <c r="P26" s="10"/>
      <c r="Q26" s="11">
        <v>46</v>
      </c>
      <c r="R26" s="30"/>
      <c r="S26" s="30"/>
      <c r="T26" s="33">
        <f t="shared" si="1"/>
        <v>241</v>
      </c>
      <c r="U26" s="10">
        <v>18</v>
      </c>
      <c r="V26" s="10">
        <v>3</v>
      </c>
      <c r="W26" s="10"/>
      <c r="X26" s="11"/>
      <c r="Y26" s="10">
        <v>0</v>
      </c>
      <c r="Z26" s="11">
        <v>9</v>
      </c>
      <c r="AA26" s="30">
        <v>0</v>
      </c>
      <c r="AB26" s="30">
        <v>0</v>
      </c>
      <c r="AC26" s="33">
        <f t="shared" si="2"/>
        <v>30</v>
      </c>
      <c r="AD26" s="12">
        <f t="shared" si="3"/>
        <v>695</v>
      </c>
      <c r="AE26" s="39"/>
      <c r="AF26" s="39"/>
      <c r="AG26" s="39"/>
      <c r="AH26" s="39"/>
      <c r="AI26" s="39"/>
      <c r="AJ26" s="39"/>
    </row>
    <row r="27" spans="1:36" x14ac:dyDescent="0.2">
      <c r="A27" s="5">
        <f>DAY(Kalenteri!A235)</f>
        <v>23</v>
      </c>
      <c r="B27" s="3" t="str">
        <f>IF(Kalenteri!B235=1,"su",IF(Kalenteri!B235=2,"ma",IF(Kalenteri!B235=3,"ti",IF(Kalenteri!B235=4,"ke",IF(Kalenteri!B235=5,"to",IF(Kalenteri!B235=6,"pe",IF(Kalenteri!B235=7,"la",)))))))</f>
        <v>pe</v>
      </c>
      <c r="C27" s="18">
        <v>653</v>
      </c>
      <c r="D27" s="10">
        <v>78</v>
      </c>
      <c r="E27" s="10"/>
      <c r="F27" s="11">
        <v>9</v>
      </c>
      <c r="G27" s="18">
        <v>37</v>
      </c>
      <c r="H27" s="11">
        <v>282</v>
      </c>
      <c r="I27" s="18">
        <v>6</v>
      </c>
      <c r="J27" s="11">
        <v>9</v>
      </c>
      <c r="K27" s="33">
        <f t="shared" si="0"/>
        <v>1074</v>
      </c>
      <c r="L27" s="10">
        <v>285</v>
      </c>
      <c r="M27" s="10">
        <v>58</v>
      </c>
      <c r="N27" s="10"/>
      <c r="O27" s="11"/>
      <c r="P27" s="10"/>
      <c r="Q27" s="11">
        <v>82</v>
      </c>
      <c r="R27" s="30">
        <v>6</v>
      </c>
      <c r="S27" s="30">
        <v>9</v>
      </c>
      <c r="T27" s="33">
        <f t="shared" si="1"/>
        <v>440</v>
      </c>
      <c r="U27" s="10">
        <v>41</v>
      </c>
      <c r="V27" s="10">
        <v>9</v>
      </c>
      <c r="W27" s="10"/>
      <c r="X27" s="11"/>
      <c r="Y27" s="10">
        <v>4</v>
      </c>
      <c r="Z27" s="11">
        <v>40</v>
      </c>
      <c r="AA27" s="30">
        <v>4</v>
      </c>
      <c r="AB27" s="30">
        <v>6</v>
      </c>
      <c r="AC27" s="33">
        <f t="shared" si="2"/>
        <v>104</v>
      </c>
      <c r="AD27" s="12">
        <f t="shared" si="3"/>
        <v>1618</v>
      </c>
      <c r="AE27" s="39"/>
      <c r="AF27" s="39"/>
      <c r="AG27" s="39"/>
      <c r="AH27" s="39"/>
      <c r="AI27" s="39"/>
      <c r="AJ27" s="39"/>
    </row>
    <row r="28" spans="1:36" x14ac:dyDescent="0.2">
      <c r="A28" s="5">
        <f>DAY(Kalenteri!A236)</f>
        <v>24</v>
      </c>
      <c r="B28" s="3" t="str">
        <f>IF(Kalenteri!B236=1,"su",IF(Kalenteri!B236=2,"ma",IF(Kalenteri!B236=3,"ti",IF(Kalenteri!B236=4,"ke",IF(Kalenteri!B236=5,"to",IF(Kalenteri!B236=6,"pe",IF(Kalenteri!B236=7,"la",)))))))</f>
        <v>la</v>
      </c>
      <c r="C28" s="18">
        <v>1751</v>
      </c>
      <c r="D28" s="10">
        <v>392</v>
      </c>
      <c r="E28" s="10"/>
      <c r="F28" s="11">
        <v>37</v>
      </c>
      <c r="G28" s="18">
        <v>26</v>
      </c>
      <c r="H28" s="11">
        <v>609</v>
      </c>
      <c r="I28" s="18">
        <v>64</v>
      </c>
      <c r="J28" s="11">
        <v>96</v>
      </c>
      <c r="K28" s="33">
        <f t="shared" si="0"/>
        <v>2975</v>
      </c>
      <c r="L28" s="10">
        <v>635</v>
      </c>
      <c r="M28" s="10">
        <v>120</v>
      </c>
      <c r="N28" s="10"/>
      <c r="O28" s="11"/>
      <c r="P28" s="10"/>
      <c r="Q28" s="11">
        <v>128</v>
      </c>
      <c r="R28" s="30">
        <v>26</v>
      </c>
      <c r="S28" s="30">
        <v>39</v>
      </c>
      <c r="T28" s="33">
        <f t="shared" si="1"/>
        <v>948</v>
      </c>
      <c r="U28" s="10">
        <v>92</v>
      </c>
      <c r="V28" s="10">
        <v>35</v>
      </c>
      <c r="W28" s="10"/>
      <c r="X28" s="11"/>
      <c r="Y28" s="10">
        <v>0</v>
      </c>
      <c r="Z28" s="11">
        <v>32</v>
      </c>
      <c r="AA28" s="30">
        <v>10</v>
      </c>
      <c r="AB28" s="30">
        <v>15</v>
      </c>
      <c r="AC28" s="33">
        <f t="shared" si="2"/>
        <v>184</v>
      </c>
      <c r="AD28" s="12">
        <f t="shared" si="3"/>
        <v>4107</v>
      </c>
      <c r="AE28" s="39"/>
      <c r="AF28" s="39"/>
      <c r="AG28" s="39"/>
      <c r="AH28" s="39"/>
      <c r="AI28" s="39"/>
      <c r="AJ28" s="39"/>
    </row>
    <row r="29" spans="1:36" x14ac:dyDescent="0.2">
      <c r="A29" s="5">
        <f>DAY(Kalenteri!A237)</f>
        <v>25</v>
      </c>
      <c r="B29" s="3" t="str">
        <f>IF(Kalenteri!B237=1,"su",IF(Kalenteri!B237=2,"ma",IF(Kalenteri!B237=3,"ti",IF(Kalenteri!B237=4,"ke",IF(Kalenteri!B237=5,"to",IF(Kalenteri!B237=6,"pe",IF(Kalenteri!B237=7,"la",)))))))</f>
        <v>su</v>
      </c>
      <c r="C29" s="18">
        <v>1545</v>
      </c>
      <c r="D29" s="10">
        <v>346</v>
      </c>
      <c r="E29" s="10">
        <v>2</v>
      </c>
      <c r="F29" s="11">
        <v>47</v>
      </c>
      <c r="G29" s="18">
        <v>38</v>
      </c>
      <c r="H29" s="11">
        <v>520</v>
      </c>
      <c r="I29" s="18">
        <v>58</v>
      </c>
      <c r="J29" s="11">
        <v>87</v>
      </c>
      <c r="K29" s="33">
        <f t="shared" si="0"/>
        <v>2643</v>
      </c>
      <c r="L29" s="10">
        <v>487</v>
      </c>
      <c r="M29" s="10">
        <v>110</v>
      </c>
      <c r="N29" s="10"/>
      <c r="O29" s="11"/>
      <c r="P29" s="10">
        <v>3</v>
      </c>
      <c r="Q29" s="11">
        <v>144</v>
      </c>
      <c r="R29" s="30">
        <v>12</v>
      </c>
      <c r="S29" s="30">
        <v>18</v>
      </c>
      <c r="T29" s="33">
        <f t="shared" si="1"/>
        <v>774</v>
      </c>
      <c r="U29" s="10">
        <v>92</v>
      </c>
      <c r="V29" s="10">
        <v>26</v>
      </c>
      <c r="W29" s="10"/>
      <c r="X29" s="11"/>
      <c r="Y29" s="10">
        <v>0</v>
      </c>
      <c r="Z29" s="11">
        <v>39</v>
      </c>
      <c r="AA29" s="30">
        <v>2</v>
      </c>
      <c r="AB29" s="30">
        <v>3</v>
      </c>
      <c r="AC29" s="33">
        <f t="shared" si="2"/>
        <v>162</v>
      </c>
      <c r="AD29" s="12">
        <f t="shared" si="3"/>
        <v>3579</v>
      </c>
      <c r="AE29" s="39"/>
      <c r="AF29" s="39"/>
      <c r="AG29" s="39"/>
      <c r="AH29" s="39"/>
      <c r="AI29" s="39"/>
      <c r="AJ29" s="39"/>
    </row>
    <row r="30" spans="1:36" x14ac:dyDescent="0.2">
      <c r="A30" s="5">
        <f>DAY(Kalenteri!A238)</f>
        <v>26</v>
      </c>
      <c r="B30" s="3" t="str">
        <f>IF(Kalenteri!B238=1,"su",IF(Kalenteri!B238=2,"ma",IF(Kalenteri!B238=3,"ti",IF(Kalenteri!B238=4,"ke",IF(Kalenteri!B238=5,"to",IF(Kalenteri!B238=6,"pe",IF(Kalenteri!B238=7,"la",)))))))</f>
        <v>ma</v>
      </c>
      <c r="C30" s="18">
        <v>468</v>
      </c>
      <c r="D30" s="10">
        <v>65</v>
      </c>
      <c r="E30" s="10">
        <v>3</v>
      </c>
      <c r="F30" s="11">
        <v>13</v>
      </c>
      <c r="G30" s="18">
        <v>11</v>
      </c>
      <c r="H30" s="11">
        <v>178</v>
      </c>
      <c r="I30" s="18">
        <v>8</v>
      </c>
      <c r="J30" s="11">
        <v>12</v>
      </c>
      <c r="K30" s="33">
        <f t="shared" si="0"/>
        <v>758</v>
      </c>
      <c r="L30" s="10">
        <f>180+41</f>
        <v>221</v>
      </c>
      <c r="M30" s="10">
        <v>48</v>
      </c>
      <c r="N30" s="10"/>
      <c r="O30" s="11"/>
      <c r="P30" s="10"/>
      <c r="Q30" s="11">
        <v>66</v>
      </c>
      <c r="R30" s="30"/>
      <c r="S30" s="30"/>
      <c r="T30" s="33">
        <f t="shared" si="1"/>
        <v>335</v>
      </c>
      <c r="U30" s="10">
        <v>53</v>
      </c>
      <c r="V30" s="10">
        <v>2</v>
      </c>
      <c r="W30" s="10"/>
      <c r="X30" s="11"/>
      <c r="Y30" s="10">
        <v>0</v>
      </c>
      <c r="Z30" s="11">
        <v>25</v>
      </c>
      <c r="AA30" s="30">
        <v>0</v>
      </c>
      <c r="AB30" s="30">
        <v>0</v>
      </c>
      <c r="AC30" s="33">
        <f t="shared" si="2"/>
        <v>80</v>
      </c>
      <c r="AD30" s="12">
        <f t="shared" si="3"/>
        <v>1173</v>
      </c>
      <c r="AE30" s="39"/>
      <c r="AF30" s="39"/>
      <c r="AG30" s="39"/>
      <c r="AH30" s="39"/>
      <c r="AI30" s="39"/>
      <c r="AJ30" s="39"/>
    </row>
    <row r="31" spans="1:36" x14ac:dyDescent="0.2">
      <c r="A31" s="5">
        <f>DAY(Kalenteri!A239)</f>
        <v>27</v>
      </c>
      <c r="B31" s="3" t="str">
        <f>IF(Kalenteri!B239=1,"su",IF(Kalenteri!B239=2,"ma",IF(Kalenteri!B239=3,"ti",IF(Kalenteri!B239=4,"ke",IF(Kalenteri!B239=5,"to",IF(Kalenteri!B239=6,"pe",IF(Kalenteri!B239=7,"la",)))))))</f>
        <v>ti</v>
      </c>
      <c r="C31" s="18">
        <v>456</v>
      </c>
      <c r="D31" s="10">
        <v>37</v>
      </c>
      <c r="E31" s="10">
        <v>1</v>
      </c>
      <c r="F31" s="11">
        <v>13</v>
      </c>
      <c r="G31" s="18">
        <v>15</v>
      </c>
      <c r="H31" s="11">
        <v>184</v>
      </c>
      <c r="I31" s="18">
        <v>2</v>
      </c>
      <c r="J31" s="11">
        <v>3</v>
      </c>
      <c r="K31" s="33">
        <f t="shared" si="0"/>
        <v>711</v>
      </c>
      <c r="L31" s="10">
        <v>245</v>
      </c>
      <c r="M31" s="10">
        <v>69</v>
      </c>
      <c r="N31" s="10"/>
      <c r="O31" s="11"/>
      <c r="P31" s="10"/>
      <c r="Q31" s="11">
        <v>50</v>
      </c>
      <c r="R31" s="30">
        <v>2</v>
      </c>
      <c r="S31" s="30">
        <v>3</v>
      </c>
      <c r="T31" s="33">
        <f t="shared" si="1"/>
        <v>369</v>
      </c>
      <c r="U31" s="10">
        <v>63</v>
      </c>
      <c r="V31" s="10">
        <v>3</v>
      </c>
      <c r="W31" s="10"/>
      <c r="X31" s="11"/>
      <c r="Y31" s="10">
        <v>0</v>
      </c>
      <c r="Z31" s="11">
        <v>10</v>
      </c>
      <c r="AA31" s="30">
        <v>0</v>
      </c>
      <c r="AB31" s="30">
        <v>0</v>
      </c>
      <c r="AC31" s="33">
        <f t="shared" si="2"/>
        <v>76</v>
      </c>
      <c r="AD31" s="12">
        <f t="shared" si="3"/>
        <v>1156</v>
      </c>
      <c r="AE31" s="39"/>
      <c r="AF31" s="39"/>
      <c r="AG31" s="39"/>
      <c r="AH31" s="39"/>
      <c r="AI31" s="39"/>
      <c r="AJ31" s="39"/>
    </row>
    <row r="32" spans="1:36" x14ac:dyDescent="0.2">
      <c r="A32" s="5">
        <f>DAY(Kalenteri!A240)</f>
        <v>28</v>
      </c>
      <c r="B32" s="3" t="str">
        <f>IF(Kalenteri!B240=1,"su",IF(Kalenteri!B240=2,"ma",IF(Kalenteri!B240=3,"ti",IF(Kalenteri!B240=4,"ke",IF(Kalenteri!B240=5,"to",IF(Kalenteri!B240=6,"pe",IF(Kalenteri!B240=7,"la",)))))))</f>
        <v>ke</v>
      </c>
      <c r="C32" s="18">
        <v>447</v>
      </c>
      <c r="D32" s="10">
        <v>56</v>
      </c>
      <c r="E32" s="10">
        <v>1</v>
      </c>
      <c r="F32" s="11">
        <v>22</v>
      </c>
      <c r="G32" s="18">
        <v>21</v>
      </c>
      <c r="H32" s="11">
        <v>206</v>
      </c>
      <c r="I32" s="18">
        <v>4</v>
      </c>
      <c r="J32" s="11">
        <v>6</v>
      </c>
      <c r="K32" s="33">
        <f t="shared" si="0"/>
        <v>763</v>
      </c>
      <c r="L32" s="10">
        <v>274</v>
      </c>
      <c r="M32" s="10">
        <v>37</v>
      </c>
      <c r="N32" s="10"/>
      <c r="O32" s="11"/>
      <c r="P32" s="10"/>
      <c r="Q32" s="11">
        <v>48</v>
      </c>
      <c r="R32" s="30">
        <v>6</v>
      </c>
      <c r="S32" s="30">
        <v>9</v>
      </c>
      <c r="T32" s="33">
        <f t="shared" si="1"/>
        <v>374</v>
      </c>
      <c r="U32" s="10">
        <v>42</v>
      </c>
      <c r="V32" s="10">
        <v>5</v>
      </c>
      <c r="W32" s="10"/>
      <c r="X32" s="11"/>
      <c r="Y32" s="10">
        <v>0</v>
      </c>
      <c r="Z32" s="11">
        <v>12</v>
      </c>
      <c r="AA32" s="30">
        <v>0</v>
      </c>
      <c r="AB32" s="30">
        <v>0</v>
      </c>
      <c r="AC32" s="33">
        <f t="shared" si="2"/>
        <v>59</v>
      </c>
      <c r="AD32" s="12">
        <f t="shared" si="3"/>
        <v>1196</v>
      </c>
      <c r="AE32" s="39"/>
      <c r="AF32" s="39"/>
      <c r="AG32" s="39"/>
      <c r="AH32" s="39"/>
      <c r="AI32" s="39"/>
      <c r="AJ32" s="39"/>
    </row>
    <row r="33" spans="1:36" x14ac:dyDescent="0.2">
      <c r="A33" s="5">
        <f>DAY(Kalenteri!A241)</f>
        <v>29</v>
      </c>
      <c r="B33" s="3" t="str">
        <f>IF(Kalenteri!B241=1,"su",IF(Kalenteri!B241=2,"ma",IF(Kalenteri!B241=3,"ti",IF(Kalenteri!B241=4,"ke",IF(Kalenteri!B241=5,"to",IF(Kalenteri!B241=6,"pe",IF(Kalenteri!B241=7,"la",)))))))</f>
        <v>to</v>
      </c>
      <c r="C33" s="18">
        <v>350</v>
      </c>
      <c r="D33" s="10">
        <v>21</v>
      </c>
      <c r="E33" s="10">
        <v>4</v>
      </c>
      <c r="F33" s="11">
        <v>8</v>
      </c>
      <c r="G33" s="18">
        <v>45</v>
      </c>
      <c r="H33" s="11">
        <v>129</v>
      </c>
      <c r="I33" s="18">
        <v>2</v>
      </c>
      <c r="J33" s="11">
        <v>3</v>
      </c>
      <c r="K33" s="33">
        <f t="shared" si="0"/>
        <v>562</v>
      </c>
      <c r="L33" s="10">
        <v>165</v>
      </c>
      <c r="M33" s="10">
        <v>19</v>
      </c>
      <c r="N33" s="10"/>
      <c r="O33" s="11"/>
      <c r="P33" s="10"/>
      <c r="Q33" s="11">
        <v>33</v>
      </c>
      <c r="R33" s="30"/>
      <c r="S33" s="30"/>
      <c r="T33" s="33">
        <f t="shared" si="1"/>
        <v>217</v>
      </c>
      <c r="U33" s="10">
        <v>49</v>
      </c>
      <c r="V33" s="10"/>
      <c r="W33" s="10"/>
      <c r="X33" s="11"/>
      <c r="Y33" s="10">
        <v>0</v>
      </c>
      <c r="Z33" s="11">
        <v>8</v>
      </c>
      <c r="AA33" s="30">
        <v>0</v>
      </c>
      <c r="AB33" s="30">
        <v>0</v>
      </c>
      <c r="AC33" s="33">
        <f t="shared" si="2"/>
        <v>57</v>
      </c>
      <c r="AD33" s="12">
        <f t="shared" si="3"/>
        <v>836</v>
      </c>
      <c r="AE33" s="39"/>
      <c r="AF33" s="39"/>
      <c r="AG33" s="39"/>
      <c r="AH33" s="39"/>
      <c r="AI33" s="39"/>
      <c r="AJ33" s="39"/>
    </row>
    <row r="34" spans="1:36" x14ac:dyDescent="0.2">
      <c r="A34" s="5">
        <f>DAY(Kalenteri!A242)</f>
        <v>30</v>
      </c>
      <c r="B34" s="3" t="str">
        <f>IF(Kalenteri!B242=1,"su",IF(Kalenteri!B242=2,"ma",IF(Kalenteri!B242=3,"ti",IF(Kalenteri!B242=4,"ke",IF(Kalenteri!B242=5,"to",IF(Kalenteri!B242=6,"pe",IF(Kalenteri!B242=7,"la",)))))))</f>
        <v>pe</v>
      </c>
      <c r="C34" s="18">
        <v>328</v>
      </c>
      <c r="D34" s="10">
        <v>38</v>
      </c>
      <c r="E34" s="10">
        <v>4</v>
      </c>
      <c r="F34" s="11">
        <v>12</v>
      </c>
      <c r="G34" s="18">
        <v>53</v>
      </c>
      <c r="H34" s="11">
        <v>291</v>
      </c>
      <c r="I34" s="18">
        <v>2</v>
      </c>
      <c r="J34" s="11">
        <v>3</v>
      </c>
      <c r="K34" s="33">
        <f t="shared" si="0"/>
        <v>731</v>
      </c>
      <c r="L34" s="10">
        <v>172</v>
      </c>
      <c r="M34" s="10">
        <v>38</v>
      </c>
      <c r="N34" s="10"/>
      <c r="O34" s="11"/>
      <c r="P34" s="10"/>
      <c r="Q34" s="11">
        <v>53</v>
      </c>
      <c r="R34" s="30">
        <v>10</v>
      </c>
      <c r="S34" s="30">
        <v>15</v>
      </c>
      <c r="T34" s="33">
        <f t="shared" si="1"/>
        <v>288</v>
      </c>
      <c r="U34" s="10">
        <v>49</v>
      </c>
      <c r="V34" s="10"/>
      <c r="W34" s="10"/>
      <c r="X34" s="11"/>
      <c r="Y34" s="10">
        <v>0</v>
      </c>
      <c r="Z34" s="11">
        <v>8</v>
      </c>
      <c r="AA34" s="30">
        <v>0</v>
      </c>
      <c r="AB34" s="30">
        <v>0</v>
      </c>
      <c r="AC34" s="33">
        <f t="shared" si="2"/>
        <v>57</v>
      </c>
      <c r="AD34" s="12">
        <f t="shared" si="3"/>
        <v>1076</v>
      </c>
      <c r="AE34" s="39"/>
      <c r="AF34" s="39"/>
      <c r="AG34" s="39"/>
      <c r="AH34" s="39"/>
      <c r="AI34" s="39"/>
      <c r="AJ34" s="39"/>
    </row>
    <row r="35" spans="1:36" x14ac:dyDescent="0.2">
      <c r="A35" s="5">
        <f>DAY(Kalenteri!A243)</f>
        <v>31</v>
      </c>
      <c r="B35" s="3" t="str">
        <f>IF(Kalenteri!B243=1,"su",IF(Kalenteri!B243=2,"ma",IF(Kalenteri!B243=3,"ti",IF(Kalenteri!B243=4,"ke",IF(Kalenteri!B243=5,"to",IF(Kalenteri!B243=6,"pe",IF(Kalenteri!B243=7,"la",)))))))</f>
        <v>la</v>
      </c>
      <c r="C35" s="79">
        <v>1031</v>
      </c>
      <c r="D35" s="80">
        <v>253</v>
      </c>
      <c r="E35" s="80">
        <v>4</v>
      </c>
      <c r="F35" s="81">
        <v>16</v>
      </c>
      <c r="G35" s="79">
        <v>22</v>
      </c>
      <c r="H35" s="81">
        <v>352</v>
      </c>
      <c r="I35" s="79">
        <v>28</v>
      </c>
      <c r="J35" s="81">
        <v>42</v>
      </c>
      <c r="K35" s="34">
        <f t="shared" si="0"/>
        <v>1748</v>
      </c>
      <c r="L35" s="20">
        <f>266+61</f>
        <v>327</v>
      </c>
      <c r="M35" s="20">
        <v>58</v>
      </c>
      <c r="N35" s="20"/>
      <c r="O35" s="21"/>
      <c r="P35" s="20"/>
      <c r="Q35" s="21">
        <v>65</v>
      </c>
      <c r="R35" s="31">
        <v>8</v>
      </c>
      <c r="S35" s="31">
        <v>12</v>
      </c>
      <c r="T35" s="34">
        <f t="shared" si="1"/>
        <v>470</v>
      </c>
      <c r="U35" s="20">
        <f>42+17</f>
        <v>59</v>
      </c>
      <c r="V35" s="20">
        <v>10</v>
      </c>
      <c r="W35" s="20"/>
      <c r="X35" s="21"/>
      <c r="Y35" s="20">
        <v>0</v>
      </c>
      <c r="Z35" s="21">
        <v>21</v>
      </c>
      <c r="AA35" s="31">
        <v>2</v>
      </c>
      <c r="AB35" s="31">
        <v>3</v>
      </c>
      <c r="AC35" s="34">
        <f t="shared" si="2"/>
        <v>95</v>
      </c>
      <c r="AD35" s="19">
        <f t="shared" si="3"/>
        <v>2313</v>
      </c>
      <c r="AE35" s="39"/>
      <c r="AF35" s="39"/>
      <c r="AG35" s="39"/>
      <c r="AH35" s="39"/>
      <c r="AI35" s="39"/>
      <c r="AJ35" s="39"/>
    </row>
    <row r="36" spans="1:36" x14ac:dyDescent="0.2">
      <c r="A36" s="6"/>
      <c r="B36"/>
      <c r="C36" s="82">
        <f t="shared" ref="C36:J36" si="4">SUM(C5:C35)</f>
        <v>27619</v>
      </c>
      <c r="D36" s="83">
        <f t="shared" si="4"/>
        <v>6898</v>
      </c>
      <c r="E36" s="83">
        <f t="shared" si="4"/>
        <v>91</v>
      </c>
      <c r="F36" s="84">
        <f t="shared" si="4"/>
        <v>544</v>
      </c>
      <c r="G36" s="83">
        <f t="shared" si="4"/>
        <v>641</v>
      </c>
      <c r="H36" s="84">
        <f t="shared" si="4"/>
        <v>9978</v>
      </c>
      <c r="I36" s="83">
        <f t="shared" si="4"/>
        <v>879</v>
      </c>
      <c r="J36" s="84">
        <f t="shared" si="4"/>
        <v>1310</v>
      </c>
      <c r="K36" s="85">
        <f t="shared" si="0"/>
        <v>47960</v>
      </c>
      <c r="L36" s="83">
        <f t="shared" ref="L36:S36" si="5">SUM(L5:L35)</f>
        <v>11223</v>
      </c>
      <c r="M36" s="83">
        <f t="shared" si="5"/>
        <v>2839</v>
      </c>
      <c r="N36" s="83">
        <f t="shared" si="5"/>
        <v>0</v>
      </c>
      <c r="O36" s="84">
        <f t="shared" si="5"/>
        <v>3</v>
      </c>
      <c r="P36" s="83">
        <f t="shared" si="5"/>
        <v>4</v>
      </c>
      <c r="Q36" s="84">
        <f t="shared" si="5"/>
        <v>2717</v>
      </c>
      <c r="R36" s="86">
        <f t="shared" si="5"/>
        <v>606</v>
      </c>
      <c r="S36" s="86">
        <f t="shared" si="5"/>
        <v>909</v>
      </c>
      <c r="T36" s="85">
        <f t="shared" si="1"/>
        <v>18301</v>
      </c>
      <c r="U36" s="83">
        <f t="shared" ref="U36:AB36" si="6">SUM(U5:U35)</f>
        <v>2804</v>
      </c>
      <c r="V36" s="83">
        <f t="shared" si="6"/>
        <v>661</v>
      </c>
      <c r="W36" s="83">
        <f t="shared" si="6"/>
        <v>0</v>
      </c>
      <c r="X36" s="84">
        <f t="shared" si="6"/>
        <v>1</v>
      </c>
      <c r="Y36" s="83">
        <f t="shared" si="6"/>
        <v>4</v>
      </c>
      <c r="Z36" s="84">
        <f t="shared" si="6"/>
        <v>1039</v>
      </c>
      <c r="AA36" s="86">
        <f t="shared" si="6"/>
        <v>90</v>
      </c>
      <c r="AB36" s="86">
        <f t="shared" si="6"/>
        <v>135</v>
      </c>
      <c r="AC36" s="85">
        <f t="shared" si="2"/>
        <v>4734</v>
      </c>
      <c r="AD36" s="87">
        <f t="shared" si="3"/>
        <v>70995</v>
      </c>
      <c r="AE36" s="66"/>
      <c r="AF36" s="66"/>
      <c r="AG36" s="66"/>
      <c r="AH36" s="66"/>
      <c r="AI36" s="66"/>
      <c r="AJ36" s="66"/>
    </row>
    <row r="37" spans="1:36" ht="8.1" customHeight="1" thickBot="1" x14ac:dyDescent="0.25">
      <c r="A37" s="6"/>
      <c r="B37"/>
      <c r="C37" s="2"/>
      <c r="D37" s="5"/>
      <c r="E37" s="5"/>
      <c r="F37" s="2"/>
      <c r="G37" s="2"/>
      <c r="H37" s="2"/>
      <c r="I37" s="5"/>
      <c r="J37" s="2"/>
      <c r="K37" s="2"/>
      <c r="L37" s="5"/>
      <c r="M37" s="2"/>
      <c r="N37" s="5"/>
      <c r="O37" s="5"/>
      <c r="P37" s="2"/>
      <c r="Q37" s="5"/>
      <c r="R37" s="42"/>
      <c r="S37" s="42"/>
      <c r="T37" s="2"/>
      <c r="U37" s="2"/>
      <c r="V37" s="2"/>
      <c r="W37" s="2"/>
      <c r="X37" s="5"/>
      <c r="Y37" s="2"/>
      <c r="Z37" s="2"/>
      <c r="AA37" s="39"/>
      <c r="AB37" s="39"/>
      <c r="AC37" s="5"/>
      <c r="AD37" s="40"/>
      <c r="AE37" s="40"/>
      <c r="AF37" s="40"/>
      <c r="AG37" s="40"/>
      <c r="AH37" s="40"/>
      <c r="AI37" s="40"/>
      <c r="AJ37" s="40"/>
    </row>
    <row r="38" spans="1:36" ht="24.95" customHeight="1" thickTop="1" x14ac:dyDescent="0.3">
      <c r="A38" s="6"/>
      <c r="B38"/>
      <c r="C38" s="171" t="str">
        <f>Kalenteri!E38</f>
        <v>Lippujen hinnat:</v>
      </c>
      <c r="D38" s="5"/>
      <c r="E38" s="5"/>
      <c r="F38" s="2"/>
      <c r="G38" s="2"/>
      <c r="H38" s="2"/>
      <c r="I38" s="5"/>
      <c r="J38" s="2"/>
      <c r="K38" s="2"/>
      <c r="L38" s="5"/>
      <c r="M38" s="2"/>
      <c r="N38" s="5"/>
      <c r="O38" s="5"/>
      <c r="P38" s="2"/>
      <c r="Q38"/>
      <c r="R38"/>
      <c r="S38"/>
      <c r="T38"/>
      <c r="U38" s="49" t="s">
        <v>71</v>
      </c>
      <c r="V38" s="50"/>
      <c r="W38" s="43"/>
      <c r="X38" s="44"/>
      <c r="Y38" s="43"/>
      <c r="Z38" s="43"/>
      <c r="AA38" s="44"/>
      <c r="AB38" s="44"/>
      <c r="AC38" s="47"/>
      <c r="AD38" s="45">
        <f>AD36</f>
        <v>70995</v>
      </c>
      <c r="AE38" s="41"/>
      <c r="AF38" s="41"/>
      <c r="AG38" s="41"/>
      <c r="AH38" s="41"/>
      <c r="AI38" s="41"/>
      <c r="AJ38" s="41"/>
    </row>
    <row r="39" spans="1:36" ht="24.95" customHeight="1" x14ac:dyDescent="0.3">
      <c r="A39" s="6"/>
      <c r="B39"/>
      <c r="C39" s="193" t="str">
        <f>Kalenteri!E39</f>
        <v>Mustikkamaan kautta: 1.9.-30.4. aik. 10 €, lapset 5 €, kimppalippu 30 €    1.5.-30.8. aik. 12 €, lapset 6 €, kimppalippu 36 €</v>
      </c>
      <c r="D39" s="89"/>
      <c r="E39" s="89"/>
      <c r="F39" s="90"/>
      <c r="G39" s="102"/>
      <c r="H39" s="174"/>
      <c r="I39" s="89"/>
      <c r="J39" s="90"/>
      <c r="K39" s="90"/>
      <c r="L39" s="89"/>
      <c r="M39" s="90"/>
      <c r="N39" s="89"/>
      <c r="O39" s="89"/>
      <c r="P39" s="89"/>
      <c r="Q39" s="104"/>
      <c r="R39" s="103"/>
      <c r="S39"/>
      <c r="T39"/>
      <c r="U39" s="62" t="s">
        <v>13</v>
      </c>
      <c r="V39" s="52"/>
      <c r="W39" s="53"/>
      <c r="X39" s="54"/>
      <c r="Y39" s="53"/>
      <c r="Z39" s="53"/>
      <c r="AA39" s="54"/>
      <c r="AB39" s="54"/>
      <c r="AC39" s="55"/>
      <c r="AD39" s="56">
        <f>AD36-Edellisvuosi!I7</f>
        <v>-4669</v>
      </c>
      <c r="AE39" s="67"/>
      <c r="AF39" s="67"/>
      <c r="AG39" s="67"/>
      <c r="AH39" s="67"/>
      <c r="AI39" s="67"/>
      <c r="AJ39" s="67"/>
    </row>
    <row r="40" spans="1:36" ht="24.95" customHeight="1" x14ac:dyDescent="0.3">
      <c r="A40" s="6"/>
      <c r="B40" s="6"/>
      <c r="C40" s="194" t="str">
        <f>Kalenteri!E40</f>
        <v xml:space="preserve">                                    Vuosikortti:     aik. 50 €, lapset 20 €, perhekortti 100 €</v>
      </c>
      <c r="D40" s="39"/>
      <c r="E40" s="39"/>
      <c r="F40" s="42"/>
      <c r="G40" s="65"/>
      <c r="H40" s="176"/>
      <c r="I40" s="39"/>
      <c r="J40" s="42"/>
      <c r="K40" s="42"/>
      <c r="L40" s="39"/>
      <c r="M40" s="42"/>
      <c r="N40" s="39"/>
      <c r="O40" s="39"/>
      <c r="P40" s="39"/>
      <c r="Q40" s="23"/>
      <c r="R40" s="97"/>
      <c r="S40"/>
      <c r="T40"/>
      <c r="U40" s="63" t="s">
        <v>72</v>
      </c>
      <c r="V40" s="37"/>
      <c r="W40" s="51"/>
      <c r="X40" s="41"/>
      <c r="Y40" s="51"/>
      <c r="Z40" s="41"/>
      <c r="AA40" s="41"/>
      <c r="AB40" s="41"/>
      <c r="AC40" s="48"/>
      <c r="AD40" s="46">
        <f>AD36+'N1'!AD36+'N2'!AD36+'N3'!AD36+'N4'!AD36+'N5'!AD36+'N6'!AD36+'N7'!AD36</f>
        <v>421622</v>
      </c>
      <c r="AE40" s="41"/>
      <c r="AF40" s="41"/>
      <c r="AG40" s="41"/>
      <c r="AH40" s="41"/>
      <c r="AI40" s="41"/>
      <c r="AJ40" s="41"/>
    </row>
    <row r="41" spans="1:36" ht="24.95" customHeight="1" thickBot="1" x14ac:dyDescent="0.35">
      <c r="A41" s="4"/>
      <c r="B41" s="4"/>
      <c r="C41" s="195" t="str">
        <f>Kalenteri!E41</f>
        <v>Vesibusseilla:             1.9.-30.4. aik. 16 €, lapset 8 €, kimppalippu 47 €    1.5.-31.8. aik. 18 €, lapset 9 €, kimppalippu 53 €</v>
      </c>
      <c r="D41" s="93"/>
      <c r="E41" s="93"/>
      <c r="F41" s="94"/>
      <c r="G41" s="94"/>
      <c r="H41" s="175"/>
      <c r="I41" s="93"/>
      <c r="J41" s="96"/>
      <c r="K41" s="96"/>
      <c r="L41" s="93"/>
      <c r="M41" s="95"/>
      <c r="N41" s="95"/>
      <c r="O41" s="93"/>
      <c r="P41" s="93"/>
      <c r="Q41" s="95"/>
      <c r="R41" s="98"/>
      <c r="S41"/>
      <c r="T41"/>
      <c r="U41" s="64" t="s">
        <v>13</v>
      </c>
      <c r="V41" s="57"/>
      <c r="W41" s="58"/>
      <c r="X41" s="59"/>
      <c r="Y41" s="59"/>
      <c r="Z41" s="59"/>
      <c r="AA41" s="59"/>
      <c r="AB41" s="59"/>
      <c r="AC41" s="60"/>
      <c r="AD41" s="61">
        <f>AD40-Edellisvuosi!B7-Edellisvuosi!C7-Edellisvuosi!D7-Edellisvuosi!E7-Edellisvuosi!F7-Edellisvuosi!G7-Edellisvuosi!H7-Edellisvuosi!I7</f>
        <v>-5555</v>
      </c>
      <c r="AE41" s="68"/>
      <c r="AF41" s="68"/>
      <c r="AG41" s="68"/>
      <c r="AH41" s="68"/>
      <c r="AI41" s="68"/>
      <c r="AJ41" s="68"/>
    </row>
    <row r="42" spans="1:36" ht="13.5" thickTop="1" x14ac:dyDescent="0.2"/>
  </sheetData>
  <sheetProtection password="C4AC" sheet="1" objects="1" scenarios="1"/>
  <phoneticPr fontId="4" type="noConversion"/>
  <pageMargins left="0" right="0" top="0.27559055118110237" bottom="0" header="0" footer="0"/>
  <pageSetup paperSize="9" scale="75" fitToHeight="0" orientation="landscape" horizontalDpi="4294967292" verticalDpi="4294967292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8609" r:id="rId4" name="Button 1">
              <controlPr defaultSize="0" print="0" autoFill="0" autoLine="0" autoPict="0" macro="[1]!TAMMI">
                <anchor moveWithCells="1" sizeWithCells="1">
                  <from>
                    <xdr:col>35</xdr:col>
                    <xdr:colOff>0</xdr:colOff>
                    <xdr:row>3</xdr:row>
                    <xdr:rowOff>9525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8610" r:id="rId5" name="Button 2">
              <controlPr defaultSize="0" print="0" autoFill="0" autoLine="0" autoPict="0" macro="[1]KTMAKRO!$A$1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8611" r:id="rId6" name="Button 3">
              <controlPr defaultSize="0" print="0" autoFill="0" autoLine="0" autoPict="0" macro="[1]!MAALIS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8612" r:id="rId7" name="Button 4">
              <controlPr defaultSize="0" print="0" autoFill="0" autoLine="0" autoPict="0" macro="[1]KTMAKRO!$D$1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8613" r:id="rId8" name="Button 5">
              <controlPr defaultSize="0" print="0" autoFill="0" autoLine="0" autoPict="0" macro="[1]KTMAKRO!$E$1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8614" r:id="rId9" name="Button 6">
              <controlPr defaultSize="0" print="0" autoFill="0" autoLine="0" autoPict="0" macro="[1]!KESÄ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8615" r:id="rId10" name="Button 7">
              <controlPr defaultSize="0" print="0" autoFill="0" autoLine="0" autoPict="0" macro="[1]!HELMI">
                <anchor moveWithCells="1" sizeWithCells="1">
                  <from>
                    <xdr:col>35</xdr:col>
                    <xdr:colOff>0</xdr:colOff>
                    <xdr:row>3</xdr:row>
                    <xdr:rowOff>9525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8616" r:id="rId11" name="Button 8">
              <controlPr defaultSize="0" print="0" autoFill="0" autoLine="0" autoPict="0" macro="[1]KTMAKRO!$G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8617" r:id="rId12" name="Button 9">
              <controlPr defaultSize="0" print="0" autoFill="0" autoLine="0" autoPict="0" macro="[1]KTMAKRO!$I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8618" r:id="rId13" name="Button 10">
              <controlPr defaultSize="0" print="0" autoFill="0" autoLine="0" autoPict="0" macro="[1]KTMAKRO!$J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8619" r:id="rId14" name="Button 11">
              <controlPr defaultSize="0" print="0" autoFill="0" autoLine="0" autoPict="0" macro="[1]KTMAKRO!$K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8620" r:id="rId15" name="Button 12">
              <controlPr defaultSize="0" print="0" autoFill="0" autoLine="0" autoPict="0" macro="[1]KTMAKRO!$L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8621" r:id="rId16" name="Button 13">
              <controlPr defaultSize="0" print="0" autoFill="0" autoLine="0" autoPict="0" macro="[1]KTMAKRO!$H$1">
                <anchor moveWithCells="1" sizeWithCells="1">
                  <from>
                    <xdr:col>35</xdr:col>
                    <xdr:colOff>0</xdr:colOff>
                    <xdr:row>5</xdr:row>
                    <xdr:rowOff>0</xdr:rowOff>
                  </from>
                  <to>
                    <xdr:col>35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8622" r:id="rId17" name="Button 14">
              <controlPr defaultSize="0" print="0" autoFill="0" autoLine="0" autoPict="0" macro="[1]!Yhteenveto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5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8623" r:id="rId18" name="Button 15">
              <controlPr defaultSize="0" print="0" autoFill="0" autoLine="0" autoPict="0" macro="[1]!GRAFIIKKA1">
                <anchor moveWithCells="1" sizeWithCells="1">
                  <from>
                    <xdr:col>35</xdr:col>
                    <xdr:colOff>0</xdr:colOff>
                    <xdr:row>8</xdr:row>
                    <xdr:rowOff>142875</xdr:rowOff>
                  </from>
                  <to>
                    <xdr:col>35</xdr:col>
                    <xdr:colOff>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8624" r:id="rId19" name="Button 16">
              <controlPr defaultSize="0" print="0" autoFill="0" autoLine="0" autoPict="0" macro="[1]!Grafiikka2">
                <anchor moveWithCells="1" sizeWithCells="1">
                  <from>
                    <xdr:col>35</xdr:col>
                    <xdr:colOff>0</xdr:colOff>
                    <xdr:row>8</xdr:row>
                    <xdr:rowOff>152400</xdr:rowOff>
                  </from>
                  <to>
                    <xdr:col>35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8625" r:id="rId20" name="Button 17">
              <controlPr defaultSize="0" print="0" autoFill="0" autoLine="0" autoPict="0" macro="[1]!Grafiikka4">
                <anchor moveWithCells="1" sizeWithCells="1">
                  <from>
                    <xdr:col>35</xdr:col>
                    <xdr:colOff>0</xdr:colOff>
                    <xdr:row>8</xdr:row>
                    <xdr:rowOff>142875</xdr:rowOff>
                  </from>
                  <to>
                    <xdr:col>35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8626" r:id="rId21" name="Button 18">
              <controlPr defaultSize="0" print="0" autoFill="0" autoLine="0" autoPict="0" macro="[1]!Grafiikka4">
                <anchor moveWithCells="1" sizeWithCells="1">
                  <from>
                    <xdr:col>35</xdr:col>
                    <xdr:colOff>0</xdr:colOff>
                    <xdr:row>8</xdr:row>
                    <xdr:rowOff>152400</xdr:rowOff>
                  </from>
                  <to>
                    <xdr:col>35</xdr:col>
                    <xdr:colOff>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8627" r:id="rId22" name="Button 19">
              <controlPr defaultSize="0" print="0" autoFill="0" autoLine="0" autoPict="0" macro="[1]!Grafiikka5">
                <anchor moveWithCells="1" sizeWithCells="1">
                  <from>
                    <xdr:col>35</xdr:col>
                    <xdr:colOff>0</xdr:colOff>
                    <xdr:row>8</xdr:row>
                    <xdr:rowOff>152400</xdr:rowOff>
                  </from>
                  <to>
                    <xdr:col>35</xdr:col>
                    <xdr:colOff>0</xdr:colOff>
                    <xdr:row>12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8628" r:id="rId23" name="Button 20">
              <controlPr defaultSize="0" print="0" autoFill="0" autoLine="0" autoPict="0" macro="[1]!Perusikkuna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12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Laskentataulukot</vt:lpstr>
      </vt:variant>
      <vt:variant>
        <vt:i4>48</vt:i4>
      </vt:variant>
      <vt:variant>
        <vt:lpstr>Nimetyt alueet</vt:lpstr>
      </vt:variant>
      <vt:variant>
        <vt:i4>73</vt:i4>
      </vt:variant>
    </vt:vector>
  </HeadingPairs>
  <TitlesOfParts>
    <vt:vector size="121" baseType="lpstr">
      <vt:lpstr>Ohje</vt:lpstr>
      <vt:lpstr>N1</vt:lpstr>
      <vt:lpstr>N2</vt:lpstr>
      <vt:lpstr>N3</vt:lpstr>
      <vt:lpstr>N4</vt:lpstr>
      <vt:lpstr>N5</vt:lpstr>
      <vt:lpstr>N6</vt:lpstr>
      <vt:lpstr>N7</vt:lpstr>
      <vt:lpstr>N8</vt:lpstr>
      <vt:lpstr>N9</vt:lpstr>
      <vt:lpstr>N10</vt:lpstr>
      <vt:lpstr>N11</vt:lpstr>
      <vt:lpstr>N12</vt:lpstr>
      <vt:lpstr>K1</vt:lpstr>
      <vt:lpstr>K2</vt:lpstr>
      <vt:lpstr>K3</vt:lpstr>
      <vt:lpstr>K4</vt:lpstr>
      <vt:lpstr>K5</vt:lpstr>
      <vt:lpstr>K6</vt:lpstr>
      <vt:lpstr>K7</vt:lpstr>
      <vt:lpstr>K8</vt:lpstr>
      <vt:lpstr>K9</vt:lpstr>
      <vt:lpstr>K10</vt:lpstr>
      <vt:lpstr>K11</vt:lpstr>
      <vt:lpstr>K12</vt:lpstr>
      <vt:lpstr>Yht1</vt:lpstr>
      <vt:lpstr>Yht2</vt:lpstr>
      <vt:lpstr>Yht3</vt:lpstr>
      <vt:lpstr>Yht4</vt:lpstr>
      <vt:lpstr>Yht5</vt:lpstr>
      <vt:lpstr>Yht6</vt:lpstr>
      <vt:lpstr>Yht7</vt:lpstr>
      <vt:lpstr>Yht8</vt:lpstr>
      <vt:lpstr>Yht9</vt:lpstr>
      <vt:lpstr>Yht10</vt:lpstr>
      <vt:lpstr>Yht11</vt:lpstr>
      <vt:lpstr>Yht12</vt:lpstr>
      <vt:lpstr>Kalenteri</vt:lpstr>
      <vt:lpstr>Kalent_pohja_norm</vt:lpstr>
      <vt:lpstr>Kalent_pohja_kark</vt:lpstr>
      <vt:lpstr>Edellisvuosi</vt:lpstr>
      <vt:lpstr>Yhteenveto</vt:lpstr>
      <vt:lpstr>Graf.1</vt:lpstr>
      <vt:lpstr>Graf.2</vt:lpstr>
      <vt:lpstr>Graf. 3</vt:lpstr>
      <vt:lpstr>Graf. 4</vt:lpstr>
      <vt:lpstr>Graf.5</vt:lpstr>
      <vt:lpstr>Graf.6</vt:lpstr>
      <vt:lpstr>'K1'!_PT1</vt:lpstr>
      <vt:lpstr>'K10'!_PT1</vt:lpstr>
      <vt:lpstr>'K11'!_PT1</vt:lpstr>
      <vt:lpstr>'K12'!_PT1</vt:lpstr>
      <vt:lpstr>'K2'!_PT1</vt:lpstr>
      <vt:lpstr>'K3'!_PT1</vt:lpstr>
      <vt:lpstr>'K4'!_PT1</vt:lpstr>
      <vt:lpstr>'K5'!_PT1</vt:lpstr>
      <vt:lpstr>'K6'!_PT1</vt:lpstr>
      <vt:lpstr>'K7'!_PT1</vt:lpstr>
      <vt:lpstr>'K8'!_PT1</vt:lpstr>
      <vt:lpstr>'K9'!_PT1</vt:lpstr>
      <vt:lpstr>'N10'!_PT1</vt:lpstr>
      <vt:lpstr>'N11'!_PT1</vt:lpstr>
      <vt:lpstr>'N12'!_PT1</vt:lpstr>
      <vt:lpstr>'N2'!_PT1</vt:lpstr>
      <vt:lpstr>'N3'!_PT1</vt:lpstr>
      <vt:lpstr>'N4'!_PT1</vt:lpstr>
      <vt:lpstr>'N5'!_PT1</vt:lpstr>
      <vt:lpstr>'N6'!_PT1</vt:lpstr>
      <vt:lpstr>'N7'!_PT1</vt:lpstr>
      <vt:lpstr>'N8'!_PT1</vt:lpstr>
      <vt:lpstr>'N9'!_PT1</vt:lpstr>
      <vt:lpstr>Yht1!_PT1</vt:lpstr>
      <vt:lpstr>Yht10!_PT1</vt:lpstr>
      <vt:lpstr>Yht11!_PT1</vt:lpstr>
      <vt:lpstr>Yht12!_PT1</vt:lpstr>
      <vt:lpstr>Yht2!_PT1</vt:lpstr>
      <vt:lpstr>Yht3!_PT1</vt:lpstr>
      <vt:lpstr>Yht4!_PT1</vt:lpstr>
      <vt:lpstr>Yht5!_PT1</vt:lpstr>
      <vt:lpstr>Yht6!_PT1</vt:lpstr>
      <vt:lpstr>Yht7!_PT1</vt:lpstr>
      <vt:lpstr>Yht8!_PT1</vt:lpstr>
      <vt:lpstr>Yht9!_PT1</vt:lpstr>
      <vt:lpstr>_PT1</vt:lpstr>
      <vt:lpstr>Graf.5!Tulostusalue</vt:lpstr>
      <vt:lpstr>'K1'!Tulostusalue</vt:lpstr>
      <vt:lpstr>'K10'!Tulostusalue</vt:lpstr>
      <vt:lpstr>'K11'!Tulostusalue</vt:lpstr>
      <vt:lpstr>'K12'!Tulostusalue</vt:lpstr>
      <vt:lpstr>'K2'!Tulostusalue</vt:lpstr>
      <vt:lpstr>'K3'!Tulostusalue</vt:lpstr>
      <vt:lpstr>'K4'!Tulostusalue</vt:lpstr>
      <vt:lpstr>'K5'!Tulostusalue</vt:lpstr>
      <vt:lpstr>'K6'!Tulostusalue</vt:lpstr>
      <vt:lpstr>'K7'!Tulostusalue</vt:lpstr>
      <vt:lpstr>'K8'!Tulostusalue</vt:lpstr>
      <vt:lpstr>'K9'!Tulostusalue</vt:lpstr>
      <vt:lpstr>'N1'!Tulostusalue</vt:lpstr>
      <vt:lpstr>'N10'!Tulostusalue</vt:lpstr>
      <vt:lpstr>'N11'!Tulostusalue</vt:lpstr>
      <vt:lpstr>'N12'!Tulostusalue</vt:lpstr>
      <vt:lpstr>'N2'!Tulostusalue</vt:lpstr>
      <vt:lpstr>'N3'!Tulostusalue</vt:lpstr>
      <vt:lpstr>'N4'!Tulostusalue</vt:lpstr>
      <vt:lpstr>'N5'!Tulostusalue</vt:lpstr>
      <vt:lpstr>'N6'!Tulostusalue</vt:lpstr>
      <vt:lpstr>'N7'!Tulostusalue</vt:lpstr>
      <vt:lpstr>'N8'!Tulostusalue</vt:lpstr>
      <vt:lpstr>'N9'!Tulostusalue</vt:lpstr>
      <vt:lpstr>Yht1!Tulostusalue</vt:lpstr>
      <vt:lpstr>Yht10!Tulostusalue</vt:lpstr>
      <vt:lpstr>Yht11!Tulostusalue</vt:lpstr>
      <vt:lpstr>Yht12!Tulostusalue</vt:lpstr>
      <vt:lpstr>Yht2!Tulostusalue</vt:lpstr>
      <vt:lpstr>Yht3!Tulostusalue</vt:lpstr>
      <vt:lpstr>Yht4!Tulostusalue</vt:lpstr>
      <vt:lpstr>Yht5!Tulostusalue</vt:lpstr>
      <vt:lpstr>Yht6!Tulostusalue</vt:lpstr>
      <vt:lpstr>Yht7!Tulostusalue</vt:lpstr>
      <vt:lpstr>Yht8!Tulostusalue</vt:lpstr>
      <vt:lpstr>Yht9!Tulostusalue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Kävijätilasto</dc:title>
  <dc:subject>Vuosi 2005</dc:subject>
  <dc:creator>Ilari Sten</dc:creator>
  <dc:description>Käytetään tyhjänä pohjana seuraavan vuoden kävijätilastoa varten</dc:description>
  <cp:lastModifiedBy>Ilari Sten</cp:lastModifiedBy>
  <cp:lastPrinted>2013-11-13T07:16:05Z</cp:lastPrinted>
  <dcterms:created xsi:type="dcterms:W3CDTF">2000-02-04T11:08:06Z</dcterms:created>
  <dcterms:modified xsi:type="dcterms:W3CDTF">2016-02-05T08:57:00Z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uokkaaja">
    <vt:lpwstr>Ilari Sten</vt:lpwstr>
  </property>
</Properties>
</file>