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KiCost!$J$5:$O$40</definedName>
    <definedName name="global_part_data">KiCost!$A$5:$I$40</definedName>
    <definedName name="mouser_part_data">KiCost!$P$5:$U$40</definedName>
    <definedName name="newark_part_data">KiCost!$V$5:$AA$40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<sst xmlns="http://schemas.openxmlformats.org/spreadsheetml/2006/main" count="322" uniqueCount="210">
  <si>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</si>
  <si>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</si>
  <si>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</si>
  <si>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</si>
  <si>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</si>
  <si>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</si>
  <si>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</si>
  <si>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</si>
  <si>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</si>
  <si>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</si>
  <si>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U3</t>
  </si>
  <si>
    <t>BMP280</t>
  </si>
  <si>
    <t>w_smd_qfn:LGA8</t>
  </si>
  <si>
    <t>P3</t>
  </si>
  <si>
    <t>CONN_01X03</t>
  </si>
  <si>
    <t>w_conn_screw:mstba_2,5%2f3-g-5,08</t>
  </si>
  <si>
    <t>C8,C10,C13-C15</t>
  </si>
  <si>
    <t>100n</t>
  </si>
  <si>
    <t>Capacitors_SMD:C_0603_HandSoldering</t>
  </si>
  <si>
    <t>GRM188R71E104KA01D</t>
  </si>
  <si>
    <t>U1</t>
  </si>
  <si>
    <t>MAX1811</t>
  </si>
  <si>
    <t>SMD_Packages:SOIC-8-N</t>
  </si>
  <si>
    <t>R6,R7,R14</t>
  </si>
  <si>
    <t>10k</t>
  </si>
  <si>
    <t>Resistors_SMD:R_0603_HandSoldering</t>
  </si>
  <si>
    <t xml:space="preserve">	_x000D_RC0603JR-0710KL</t>
  </si>
  <si>
    <t>U2</t>
  </si>
  <si>
    <t>Dataflash</t>
  </si>
  <si>
    <t>AT45DB081E</t>
  </si>
  <si>
    <t>P1</t>
  </si>
  <si>
    <t>Battery</t>
  </si>
  <si>
    <t>Wire_Pads:SolderWirePad_2x_1-5mmDrill</t>
  </si>
  <si>
    <t>C4</t>
  </si>
  <si>
    <t>3.3u</t>
  </si>
  <si>
    <t>Capacitors_SMD:C_1206_HandSoldering</t>
  </si>
  <si>
    <t>TAJA335K016RNJ</t>
  </si>
  <si>
    <t>R15</t>
  </si>
  <si>
    <t>470R</t>
  </si>
  <si>
    <t>RC0603JR-07470RL</t>
  </si>
  <si>
    <t>R4,R5</t>
  </si>
  <si>
    <t>100R</t>
  </si>
  <si>
    <t>RC0603FR-07100RL</t>
  </si>
  <si>
    <t>C2,C3</t>
  </si>
  <si>
    <t>18p</t>
  </si>
  <si>
    <t>BLM18PG121SN1D</t>
  </si>
  <si>
    <t>R1,R2,R11</t>
  </si>
  <si>
    <t>68R</t>
  </si>
  <si>
    <t>RC0603FR-0768RL</t>
  </si>
  <si>
    <t>C1,C5,C6,C9,C16</t>
  </si>
  <si>
    <t>10u</t>
  </si>
  <si>
    <t>Capacitors_SMD:C_0805_HandSoldering</t>
  </si>
  <si>
    <t>CC0805ZKY5V6BB106</t>
  </si>
  <si>
    <t>U5</t>
  </si>
  <si>
    <t>LT1129CST-3.3</t>
  </si>
  <si>
    <t>TO_SOT_Packages_SMD:SOT-223</t>
  </si>
  <si>
    <t>D1</t>
  </si>
  <si>
    <t>Led_RGBA</t>
  </si>
  <si>
    <t>LEDs:LED_RGB_DUAL_0606</t>
  </si>
  <si>
    <t>LTST-C19HE1WT</t>
  </si>
  <si>
    <t>Q1</t>
  </si>
  <si>
    <t>FDS6890A</t>
  </si>
  <si>
    <t>Power_Integrations:SO-8</t>
  </si>
  <si>
    <t>FDS6890ACT</t>
  </si>
  <si>
    <t>R17</t>
  </si>
  <si>
    <t>100k</t>
  </si>
  <si>
    <t>RC0603JR-07100KL</t>
  </si>
  <si>
    <t>C11</t>
  </si>
  <si>
    <t>4.7u</t>
  </si>
  <si>
    <t>ZRB18AR6YA475KE05L</t>
  </si>
  <si>
    <t>D3</t>
  </si>
  <si>
    <t>Led_Small</t>
  </si>
  <si>
    <t>LEDs:LED-0603</t>
  </si>
  <si>
    <t>LTST-C191KGKT</t>
  </si>
  <si>
    <t>D2</t>
  </si>
  <si>
    <t>LTST-C191KFKT</t>
  </si>
  <si>
    <t>D4</t>
  </si>
  <si>
    <t>LTST-C191KRKT</t>
  </si>
  <si>
    <t>Y1</t>
  </si>
  <si>
    <t>16MHz</t>
  </si>
  <si>
    <t>Crystals:Crystal_SMD_0603_4Pads</t>
  </si>
  <si>
    <t>ABMM2-16.000MHZ-E2-T</t>
  </si>
  <si>
    <t>U4</t>
  </si>
  <si>
    <t>LIS331HH</t>
  </si>
  <si>
    <t>w_smd_qfn:LGA-16-3x3</t>
  </si>
  <si>
    <t>H3LIS331DLTR</t>
  </si>
  <si>
    <t>IC2</t>
  </si>
  <si>
    <t>LSM303D</t>
  </si>
  <si>
    <t>LSM303DTR</t>
  </si>
  <si>
    <t>C7</t>
  </si>
  <si>
    <t>10n</t>
  </si>
  <si>
    <t>GRM188R71H103KA01D</t>
  </si>
  <si>
    <t>R16</t>
  </si>
  <si>
    <t>300k</t>
  </si>
  <si>
    <t>RC0603JR-07300KL</t>
  </si>
  <si>
    <t>SW1,SW2</t>
  </si>
  <si>
    <t>SW_PUSH</t>
  </si>
  <si>
    <t>Buttons_Switches_SMD:SW_SPST_EVQP7A</t>
  </si>
  <si>
    <t>EVQ-P7A01P</t>
  </si>
  <si>
    <t>CON1</t>
  </si>
  <si>
    <t>AVR-ISP-6</t>
  </si>
  <si>
    <t>Pin_Headers:Pin_Header_Straight_2x03</t>
  </si>
  <si>
    <t>R12,R13</t>
  </si>
  <si>
    <t>10R</t>
  </si>
  <si>
    <t>RC0603FR-0710RL</t>
  </si>
  <si>
    <t>R3</t>
  </si>
  <si>
    <t>1k5</t>
  </si>
  <si>
    <t>TNPW06031K50BEEA</t>
  </si>
  <si>
    <t>R8-R10</t>
  </si>
  <si>
    <t>2k2</t>
  </si>
  <si>
    <t>RC0603FR-072K2L</t>
  </si>
  <si>
    <t>P2</t>
  </si>
  <si>
    <t>USB_A</t>
  </si>
  <si>
    <t>Connect:usb-PCB</t>
  </si>
  <si>
    <t>C12</t>
  </si>
  <si>
    <t>0.22u</t>
  </si>
  <si>
    <t>JMK105B7224KV-F</t>
  </si>
  <si>
    <t>IC1</t>
  </si>
  <si>
    <t>ATMEGA328P-A</t>
  </si>
  <si>
    <t>Housings_QFP:TQFP-32_7x7mm_Pitch0.8mm</t>
  </si>
  <si>
    <t>atmega328p-a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</si>
  <si>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</si>
  <si>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</si>
  <si>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</si>
  <si>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</si>
  <si>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</si>
  <si>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</si>
  <si>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</si>
  <si>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</si>
  <si>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490-1524-1-ND</t>
  </si>
  <si>
    <t>Link</t>
  </si>
  <si>
    <t>1265-1198-1-ND</t>
  </si>
  <si>
    <t>478-2354-1-ND</t>
  </si>
  <si>
    <t>311-470GRCT-ND</t>
  </si>
  <si>
    <t>311-100HRCT-ND</t>
  </si>
  <si>
    <t>490-1037-1-ND</t>
  </si>
  <si>
    <t>311-68.0HRCT-ND</t>
  </si>
  <si>
    <t>311-1355-1-ND</t>
  </si>
  <si>
    <t>160-2162-1-ND</t>
  </si>
  <si>
    <t>FDS6890ACT-ND</t>
  </si>
  <si>
    <t>311-100KGRCT-ND</t>
  </si>
  <si>
    <t>490-10992-1-ND</t>
  </si>
  <si>
    <t>160-1446-1-ND</t>
  </si>
  <si>
    <t>160-1445-1-ND</t>
  </si>
  <si>
    <t>160-1447-1-ND</t>
  </si>
  <si>
    <t>535-9634-1-ND</t>
  </si>
  <si>
    <t>497-13903-1-ND</t>
  </si>
  <si>
    <t>497-13819-1-ND</t>
  </si>
  <si>
    <t>490-1512-1-ND</t>
  </si>
  <si>
    <t>311-300KGRCT-ND</t>
  </si>
  <si>
    <t>P16763CT-ND</t>
  </si>
  <si>
    <t>311-10.0HRCT-ND</t>
  </si>
  <si>
    <t>TNP1.50KAACT-ND</t>
  </si>
  <si>
    <t>311-2.20KHRCT-ND</t>
  </si>
  <si>
    <t>587-2475-1-ND</t>
  </si>
  <si>
    <t>ATMEGA328P-AU-ND</t>
  </si>
  <si>
    <t>Mouser</t>
  </si>
  <si>
    <t>262-BMP280</t>
  </si>
  <si>
    <t>81-GRM39X104K25</t>
  </si>
  <si>
    <t>700-MAX1811ESA</t>
  </si>
  <si>
    <t>603-RC0603JR-0710KL</t>
  </si>
  <si>
    <t>988-AT45DB081E-SHN-T</t>
  </si>
  <si>
    <t>581-TAJA335K016</t>
  </si>
  <si>
    <t>603-RC0603JR-07470RL</t>
  </si>
  <si>
    <t>603-RC0603FR-07100RL</t>
  </si>
  <si>
    <t>81-BLM18PG121SN1D</t>
  </si>
  <si>
    <t>603-RC0603FR-0768RL</t>
  </si>
  <si>
    <t>603-CC805ZKY5V6BB106</t>
  </si>
  <si>
    <t>859-LTST-C19HE1WT</t>
  </si>
  <si>
    <t>603-RC0603JR-07100KL</t>
  </si>
  <si>
    <t>81-ZRB18AR6YA475KE5L</t>
  </si>
  <si>
    <t>859-LTST-C191KGKT</t>
  </si>
  <si>
    <t>859-LTST-C191KFKT</t>
  </si>
  <si>
    <t>859-LTST-C191KRKT</t>
  </si>
  <si>
    <t>815-ABMM2-16-E2T</t>
  </si>
  <si>
    <t>511-H3LIS331DLTR</t>
  </si>
  <si>
    <t>511-LSM303DTR</t>
  </si>
  <si>
    <t>81-GRM39X103K50D</t>
  </si>
  <si>
    <t>603-RC0603JR-07300KL</t>
  </si>
  <si>
    <t>667-EVQP7A01P</t>
  </si>
  <si>
    <t>603-RC0603FR-0710RL</t>
  </si>
  <si>
    <t>71-TNPW06031K50BEEA</t>
  </si>
  <si>
    <t>603-RC0603FR-072K2L</t>
  </si>
  <si>
    <t>963-JMK105B7224KV-F</t>
  </si>
  <si>
    <t>556-ATMEGA328P-AU</t>
  </si>
  <si>
    <t>Newark</t>
  </si>
  <si>
    <t>77Y5290</t>
  </si>
  <si>
    <t>14T3317</t>
  </si>
  <si>
    <t>68R0144</t>
  </si>
  <si>
    <t>52X5840</t>
  </si>
  <si>
    <t>60R5849</t>
  </si>
  <si>
    <t>68R0193</t>
  </si>
  <si>
    <t>68R0052</t>
  </si>
  <si>
    <t>73M9109</t>
  </si>
  <si>
    <t>98K7436</t>
  </si>
  <si>
    <t>68R4928</t>
  </si>
  <si>
    <t>57M2065</t>
  </si>
  <si>
    <t>67R2078</t>
  </si>
  <si>
    <t>68R0147</t>
  </si>
  <si>
    <t>12X8125</t>
  </si>
  <si>
    <t>09J9435</t>
  </si>
  <si>
    <t>13J1698</t>
  </si>
  <si>
    <t>06X3488</t>
  </si>
  <si>
    <t>89W0992</t>
  </si>
  <si>
    <t>38K1669</t>
  </si>
  <si>
    <t>83T2830</t>
  </si>
  <si>
    <t>05R3256</t>
  </si>
  <si>
    <t>68R0064</t>
  </si>
  <si>
    <t>84R9120</t>
  </si>
  <si>
    <t>68T2935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</si>
</sst>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Search/../ProductDetail/Bosch-Sensortec/BMP280/?qs=sGAEpiMZZMtIHXa%252bTo%2fr2eGxaEtuZJz3i3U5QWpV0wc%3d" TargetMode="External"/><Relationship Id="rId2" Type="http://schemas.openxmlformats.org/officeDocument/2006/relationships/hyperlink" Target="http://www.newark.com/webapp/wcs/stores/servlet/Search?catalogId=15003&amp;langId=-1&amp;storeId=10194&amp;gs=true&amp;st=BMP280" TargetMode="External"/><Relationship Id="rId3" Type="http://schemas.openxmlformats.org/officeDocument/2006/relationships/hyperlink" Target="http://www.digikey.com/product-detail/en/GRM188R71E104KA01D/490-1524-1-ND/587865" TargetMode="External"/><Relationship Id="rId4" Type="http://schemas.openxmlformats.org/officeDocument/2006/relationships/hyperlink" Target="http://www.mouser.com/Search/Refine.aspx?Keyword=GRM188R71E104KA01D" TargetMode="External"/><Relationship Id="rId5" Type="http://schemas.openxmlformats.org/officeDocument/2006/relationships/hyperlink" Target="http://www.newark.com/murata/grm188r71e104ka01d/capacitor-ceramic-0-1uf-10-25v/dp/14T3317" TargetMode="External"/><Relationship Id="rId6" Type="http://schemas.openxmlformats.org/officeDocument/2006/relationships/hyperlink" Target="http://www.mouser.com/Search/../ProductDetail/Maxim-Integrated/MAX1811ESA+/?qs=sGAEpiMZZMsfD%252bbMpEGFJW8KB1dw6TbhqqCmHZxEfxk%3d" TargetMode="External"/><Relationship Id="rId7" Type="http://schemas.openxmlformats.org/officeDocument/2006/relationships/hyperlink" Target="http://www.mouser.com/Search/Refine.aspx?Keyword=%09%0DRC0603JR-0710KL" TargetMode="External"/><Relationship Id="rId8" Type="http://schemas.openxmlformats.org/officeDocument/2006/relationships/hyperlink" Target="http://www.newark.com/yageo/rc0603jr-0710kl/res-thick-film-10k-5-0-1w-0603/dp/68R0144" TargetMode="External"/><Relationship Id="rId9" Type="http://schemas.openxmlformats.org/officeDocument/2006/relationships/hyperlink" Target="http://www.digikey.com/product-detail/en/AT45DB081E-UUN-T/1265-1198-1-ND/5806542" TargetMode="External"/><Relationship Id="rId10" Type="http://schemas.openxmlformats.org/officeDocument/2006/relationships/hyperlink" Target="http://www.mouser.com/Search/../ProductDetail/Adesto-Technologies/AT45DB081E-SHN-T/?qs=sGAEpiMZZMtI%252bQ06EiAoG9rbDhWRtSZUpEPPuH1veP0%3d" TargetMode="External"/><Relationship Id="rId11" Type="http://schemas.openxmlformats.org/officeDocument/2006/relationships/hyperlink" Target="http://www.newark.com/adesto-technologies/at45db081e-shn-b/memory-serial-flash-8mbit-soic/dp/52X5840" TargetMode="External"/><Relationship Id="rId12" Type="http://schemas.openxmlformats.org/officeDocument/2006/relationships/hyperlink" Target="http://www.digikey.com/product-detail/en/TAJA335K016RNJ/478-2354-1-ND/678522" TargetMode="External"/><Relationship Id="rId13" Type="http://schemas.openxmlformats.org/officeDocument/2006/relationships/hyperlink" Target="http://www.mouser.com/Search/Refine.aspx?Keyword=TAJA335K016RNJ" TargetMode="External"/><Relationship Id="rId14" Type="http://schemas.openxmlformats.org/officeDocument/2006/relationships/hyperlink" Target="http://www.newark.com/avx/taja335k016rnj/tantalum-capacitor-3-3uf-16v-5/dp/60R5849" TargetMode="External"/><Relationship Id="rId15" Type="http://schemas.openxmlformats.org/officeDocument/2006/relationships/hyperlink" Target="http://www.digikey.com/product-detail/en/RC0603JR-07470RL/311-470GRCT-ND/729738" TargetMode="External"/><Relationship Id="rId16" Type="http://schemas.openxmlformats.org/officeDocument/2006/relationships/hyperlink" Target="http://www.mouser.com/Search/Refine.aspx?Keyword=RC0603JR-07470RL" TargetMode="External"/><Relationship Id="rId17" Type="http://schemas.openxmlformats.org/officeDocument/2006/relationships/hyperlink" Target="http://www.newark.com/yageo/rc0603jr-07470rl/res-thick-film-470r-5-0-1w-0603/dp/68R0193" TargetMode="External"/><Relationship Id="rId18" Type="http://schemas.openxmlformats.org/officeDocument/2006/relationships/hyperlink" Target="http://www.digikey.com/product-detail/en/RC0603FR-07100RL/311-100HRCT-ND/729835" TargetMode="External"/><Relationship Id="rId19" Type="http://schemas.openxmlformats.org/officeDocument/2006/relationships/hyperlink" Target="http://www.mouser.com/Search/Refine.aspx?Keyword=RC0603FR-07100RL" TargetMode="External"/><Relationship Id="rId20" Type="http://schemas.openxmlformats.org/officeDocument/2006/relationships/hyperlink" Target="http://www.newark.com/yageo/rc0603fr-07100rl/res-thick-film-100r-1-0-1w-0603/dp/68R0052" TargetMode="External"/><Relationship Id="rId21" Type="http://schemas.openxmlformats.org/officeDocument/2006/relationships/hyperlink" Target="http://www.digikey.com/product-detail/en/BLM18PG121SN1D/490-1037-1-ND/584485" TargetMode="External"/><Relationship Id="rId22" Type="http://schemas.openxmlformats.org/officeDocument/2006/relationships/hyperlink" Target="http://www.mouser.com/Search/Refine.aspx?Keyword=BLM18PG121SN1D" TargetMode="External"/><Relationship Id="rId23" Type="http://schemas.openxmlformats.org/officeDocument/2006/relationships/hyperlink" Target="http://www.newark.com/murata/blm18pg121sn1d/ferrite-bead-120-ohm-2a-0603/dp/73M9109" TargetMode="External"/><Relationship Id="rId24" Type="http://schemas.openxmlformats.org/officeDocument/2006/relationships/hyperlink" Target="http://www.digikey.com/product-detail/en/RC0603FR-0768RL/311-68.0HRCT-ND/730298" TargetMode="External"/><Relationship Id="rId25" Type="http://schemas.openxmlformats.org/officeDocument/2006/relationships/hyperlink" Target="http://www.mouser.com/Search/Refine.aspx?Keyword=RC0603FR-0768RL" TargetMode="External"/><Relationship Id="rId26" Type="http://schemas.openxmlformats.org/officeDocument/2006/relationships/hyperlink" Target="http://www.newark.com/webapp/wcs/stores/servlet/Search?catalogId=15003&amp;langId=-1&amp;storeId=10194&amp;gs=true&amp;st=RC0603FR-0768RL" TargetMode="External"/><Relationship Id="rId27" Type="http://schemas.openxmlformats.org/officeDocument/2006/relationships/hyperlink" Target="http://www.digikey.com/product-detail/en/CC0805ZKY5V6BB106/311-1355-1-ND/2103139" TargetMode="External"/><Relationship Id="rId28" Type="http://schemas.openxmlformats.org/officeDocument/2006/relationships/hyperlink" Target="http://www.mouser.com/Search/Refine.aspx?Keyword=CC0805ZKY5V6BB106" TargetMode="External"/><Relationship Id="rId29" Type="http://schemas.openxmlformats.org/officeDocument/2006/relationships/hyperlink" Target="http://www.newark.com/yageo/cc0805zky5v6bb106/ceramic-capacitor-10uf-10v-y5v/dp/68R4928" TargetMode="External"/><Relationship Id="rId30" Type="http://schemas.openxmlformats.org/officeDocument/2006/relationships/hyperlink" Target="http://www.newark.com/webapp/wcs/stores/servlet/Search?catalogId=15003&amp;langId=-1&amp;storeId=10194&amp;gs=true&amp;st=LT1129CST-3.3" TargetMode="External"/><Relationship Id="rId31" Type="http://schemas.openxmlformats.org/officeDocument/2006/relationships/hyperlink" Target="http://www.digikey.com/product-detail/en/LTST-C19HE1WT/160-2162-1-ND/4866310" TargetMode="External"/><Relationship Id="rId32" Type="http://schemas.openxmlformats.org/officeDocument/2006/relationships/hyperlink" Target="http://www.mouser.com/Search/Refine.aspx?Keyword=LTST-C19HE1WT" TargetMode="External"/><Relationship Id="rId33" Type="http://schemas.openxmlformats.org/officeDocument/2006/relationships/hyperlink" Target="http://www.digikey.com/scripts/DkSearch/dksus.dll?WT.z_header=search_go&amp;lang=en&amp;keywords=FDS6890ACT" TargetMode="External"/><Relationship Id="rId34" Type="http://schemas.openxmlformats.org/officeDocument/2006/relationships/hyperlink" Target="http://www.newark.com/fairchild-semiconductor/fds6890a/mosfet-full-reel/dp/67R2078" TargetMode="External"/><Relationship Id="rId35" Type="http://schemas.openxmlformats.org/officeDocument/2006/relationships/hyperlink" Target="http://www.digikey.com/product-detail/en/RC0603JR-07100KL/311-100KGRCT-ND/729645" TargetMode="External"/><Relationship Id="rId36" Type="http://schemas.openxmlformats.org/officeDocument/2006/relationships/hyperlink" Target="http://www.mouser.com/Search/Refine.aspx?Keyword=RC0603JR-07100KL" TargetMode="External"/><Relationship Id="rId37" Type="http://schemas.openxmlformats.org/officeDocument/2006/relationships/hyperlink" Target="http://www.newark.com/yageo/rc0603jr-07100kl/res-thick-film-100k-5-0-1w-0603/dp/68R0147" TargetMode="External"/><Relationship Id="rId38" Type="http://schemas.openxmlformats.org/officeDocument/2006/relationships/hyperlink" Target="http://www.digikey.com/product-detail/en/ZRB18AR6YA475KE05L/490-10992-1-ND/5321193" TargetMode="External"/><Relationship Id="rId39" Type="http://schemas.openxmlformats.org/officeDocument/2006/relationships/hyperlink" Target="http://www.mouser.com/Search/Refine.aspx?Keyword=ZRB18AR6YA475KE05L" TargetMode="External"/><Relationship Id="rId40" Type="http://schemas.openxmlformats.org/officeDocument/2006/relationships/hyperlink" Target="http://www.digikey.com/product-detail/en/LTST-C191KGKT/160-1446-1-ND/386834" TargetMode="External"/><Relationship Id="rId41" Type="http://schemas.openxmlformats.org/officeDocument/2006/relationships/hyperlink" Target="http://www.mouser.com/Search/Refine.aspx?Keyword=LTST-C191KGKT" TargetMode="External"/><Relationship Id="rId42" Type="http://schemas.openxmlformats.org/officeDocument/2006/relationships/hyperlink" Target="http://www.newark.com/webapp/wcs/stores/servlet/Search?catalogId=15003&amp;langId=-1&amp;storeId=10194&amp;gs=true&amp;st=LTST-C191KGKT" TargetMode="External"/><Relationship Id="rId43" Type="http://schemas.openxmlformats.org/officeDocument/2006/relationships/hyperlink" Target="http://www.digikey.com/product-detail/en/LTST-C191KFKT/160-1445-1-ND/386832" TargetMode="External"/><Relationship Id="rId44" Type="http://schemas.openxmlformats.org/officeDocument/2006/relationships/hyperlink" Target="http://www.mouser.com/Search/Refine.aspx?Keyword=LTST-C191KFKT" TargetMode="External"/><Relationship Id="rId45" Type="http://schemas.openxmlformats.org/officeDocument/2006/relationships/hyperlink" Target="http://www.digikey.com/product-detail/en/LTST-C191KRKT/160-1447-1-ND/386836" TargetMode="External"/><Relationship Id="rId46" Type="http://schemas.openxmlformats.org/officeDocument/2006/relationships/hyperlink" Target="http://www.mouser.com/Search/Refine.aspx?Keyword=LTST-C191KRKT" TargetMode="External"/><Relationship Id="rId47" Type="http://schemas.openxmlformats.org/officeDocument/2006/relationships/hyperlink" Target="http://www.newark.com/lumex/sml-lx0603siw-tr/led-red-0-8mm-x-1mm-60mcd-636nm/dp/09J9435" TargetMode="External"/><Relationship Id="rId48" Type="http://schemas.openxmlformats.org/officeDocument/2006/relationships/hyperlink" Target="http://www.digikey.com/product-detail/en/ABMM2-16.000MHZ-E2-T/535-9634-1-ND/1237101" TargetMode="External"/><Relationship Id="rId49" Type="http://schemas.openxmlformats.org/officeDocument/2006/relationships/hyperlink" Target="http://www.mouser.com/Search/Refine.aspx?Keyword=ABMM2-16.000MHZ-E2-T" TargetMode="External"/><Relationship Id="rId50" Type="http://schemas.openxmlformats.org/officeDocument/2006/relationships/hyperlink" Target="http://www.newark.com/abracon/abmm2-16-000mhz-e2-t/crystal-16mhz-18pf-6-x-3-5mm/dp/13J1698" TargetMode="External"/><Relationship Id="rId51" Type="http://schemas.openxmlformats.org/officeDocument/2006/relationships/hyperlink" Target="http://www.digikey.com/product-detail/en/H3LIS331DLTR/497-13903-1-ND/4311636" TargetMode="External"/><Relationship Id="rId52" Type="http://schemas.openxmlformats.org/officeDocument/2006/relationships/hyperlink" Target="http://www.mouser.com/Search/Refine.aspx?Keyword=H3LIS331DLTR" TargetMode="External"/><Relationship Id="rId53" Type="http://schemas.openxmlformats.org/officeDocument/2006/relationships/hyperlink" Target="http://www.newark.com/webapp/wcs/stores/servlet/Search?catalogId=15003&amp;langId=-1&amp;storeId=10194&amp;gs=true&amp;st=H3LIS331DLTR" TargetMode="External"/><Relationship Id="rId54" Type="http://schemas.openxmlformats.org/officeDocument/2006/relationships/hyperlink" Target="http://www.digikey.com/product-detail/en/LSM303DTR/497-13819-1-ND/4245539" TargetMode="External"/><Relationship Id="rId55" Type="http://schemas.openxmlformats.org/officeDocument/2006/relationships/hyperlink" Target="http://www.mouser.com/Search/Refine.aspx?Keyword=LSM303DTR" TargetMode="External"/><Relationship Id="rId56" Type="http://schemas.openxmlformats.org/officeDocument/2006/relationships/hyperlink" Target="http://www.newark.com/webapp/wcs/stores/servlet/Search?catalogId=15003&amp;langId=-1&amp;storeId=10194&amp;gs=true&amp;st=LSM303DTR" TargetMode="External"/><Relationship Id="rId57" Type="http://schemas.openxmlformats.org/officeDocument/2006/relationships/hyperlink" Target="http://www.digikey.com/product-detail/en/GRM188R71H103KA01D/490-1512-1-ND/587862" TargetMode="External"/><Relationship Id="rId58" Type="http://schemas.openxmlformats.org/officeDocument/2006/relationships/hyperlink" Target="http://www.mouser.com/Search/Refine.aspx?Keyword=GRM188R71H103KA01D" TargetMode="External"/><Relationship Id="rId59" Type="http://schemas.openxmlformats.org/officeDocument/2006/relationships/hyperlink" Target="http://www.newark.com/murata/grm188r71h103ka01d/ceramic-capacitor-0-01uf-50v-x7r/dp/38K1669" TargetMode="External"/><Relationship Id="rId60" Type="http://schemas.openxmlformats.org/officeDocument/2006/relationships/hyperlink" Target="http://www.digikey.com/product-detail/en/RC0603JR-07300KL/311-300KGRCT-ND/729713" TargetMode="External"/><Relationship Id="rId61" Type="http://schemas.openxmlformats.org/officeDocument/2006/relationships/hyperlink" Target="http://www.mouser.com/Search/Refine.aspx?Keyword=RC0603JR-07300KL" TargetMode="External"/><Relationship Id="rId62" Type="http://schemas.openxmlformats.org/officeDocument/2006/relationships/hyperlink" Target="http://www.digikey.com/product-detail/en/EVQ-P7A01P/P16763CT-ND/4429456" TargetMode="External"/><Relationship Id="rId63" Type="http://schemas.openxmlformats.org/officeDocument/2006/relationships/hyperlink" Target="http://www.mouser.com/Search/Refine.aspx?Keyword=EVQ-P7A01P" TargetMode="External"/><Relationship Id="rId64" Type="http://schemas.openxmlformats.org/officeDocument/2006/relationships/hyperlink" Target="http://www.newark.com/panasonic-electronic-components/evq-p7a01p/switch-tactile-spst-no-50ma-12vdc/dp/83T2830" TargetMode="External"/><Relationship Id="rId65" Type="http://schemas.openxmlformats.org/officeDocument/2006/relationships/hyperlink" Target="http://www.digikey.com/product-detail/en/RC0603FR-0710RL/311-10.0HRCT-ND/729826" TargetMode="External"/><Relationship Id="rId66" Type="http://schemas.openxmlformats.org/officeDocument/2006/relationships/hyperlink" Target="http://www.mouser.com/Search/Refine.aspx?Keyword=RC0603FR-0710RL" TargetMode="External"/><Relationship Id="rId67" Type="http://schemas.openxmlformats.org/officeDocument/2006/relationships/hyperlink" Target="http://www.digikey.com/product-detail/en/TNPW06031K50BEEA/TNP1.50KAACT-ND/1857068" TargetMode="External"/><Relationship Id="rId68" Type="http://schemas.openxmlformats.org/officeDocument/2006/relationships/hyperlink" Target="http://www.mouser.com/Search/../ProductDetail/Vishay/TNPW06031K50BEEA/?qs=sGAEpiMZZMu61qfTUdNhGxJRuluY1gSVipp8rmja%252bHI%3d" TargetMode="External"/><Relationship Id="rId69" Type="http://schemas.openxmlformats.org/officeDocument/2006/relationships/hyperlink" Target="http://www.newark.com/vishay-dale/tnpw06031k50beea/res-thin-film-1k5-0-1-0-063w-0603/dp/05R3256" TargetMode="External"/><Relationship Id="rId70" Type="http://schemas.openxmlformats.org/officeDocument/2006/relationships/hyperlink" Target="http://www.digikey.com/product-detail/en/RC0603FR-072K2L/311-2.20KHRCT-ND/729963" TargetMode="External"/><Relationship Id="rId71" Type="http://schemas.openxmlformats.org/officeDocument/2006/relationships/hyperlink" Target="http://www.mouser.com/Search/Refine.aspx?Keyword=RC0603FR-072K2L" TargetMode="External"/><Relationship Id="rId72" Type="http://schemas.openxmlformats.org/officeDocument/2006/relationships/hyperlink" Target="http://www.newark.com/yageo/rc0603fr-072k2l/res-thick-film-2k2-1-0-1w-0603/dp/68R0064" TargetMode="External"/><Relationship Id="rId73" Type="http://schemas.openxmlformats.org/officeDocument/2006/relationships/hyperlink" Target="http://www.digikey.com/product-detail/en/JMK105B7224KV-F/587-2475-1-ND/2230341" TargetMode="External"/><Relationship Id="rId74" Type="http://schemas.openxmlformats.org/officeDocument/2006/relationships/hyperlink" Target="http://www.mouser.com/Search/Refine.aspx?Keyword=JMK105B7224KV-F" TargetMode="External"/><Relationship Id="rId75" Type="http://schemas.openxmlformats.org/officeDocument/2006/relationships/hyperlink" Target="http://www.newark.com/taiyo-yuden/jmk105b7224kv-f/ceramic-capacitor-0-22uf-6-3v/dp/84R9120" TargetMode="External"/><Relationship Id="rId76" Type="http://schemas.openxmlformats.org/officeDocument/2006/relationships/hyperlink" Target="http://www.digikey.com/product-detail/en/ATMEGA328P-AU/ATMEGA328P-AU-ND/1832260" TargetMode="External"/><Relationship Id="rId77" Type="http://schemas.openxmlformats.org/officeDocument/2006/relationships/hyperlink" Target="http://www.mouser.com/Search/../ProductDetail/Atmel/ATMEGA328P-AU/?qs=sGAEpiMZZMutXGli8Ay4kPvU7V9BGPHXoy84L9T7tYg%3d" TargetMode="External"/><Relationship Id="rId78" Type="http://schemas.openxmlformats.org/officeDocument/2006/relationships/hyperlink" Target="http://www.newark.com/atmel/atmega328p-au/microcontroller-mcu-8-bit-atmega/dp/68T2935" TargetMode="External"/><Relationship Id="rId79" Type="http://schemas.openxmlformats.org/officeDocument/2006/relationships/vmlDrawing" Target="../drawings/vmlDrawing1.vml"/><Relationship Id="rId8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121</v>
      </c>
      <c r="I1" s="2">
        <v>100</v>
      </c>
    </row>
    <row r="2" spans="1:27">
      <c r="H2" s="3" t="s">
        <v>122</v>
      </c>
      <c r="I2" s="4">
        <f>sum(I7:I40)</f>
        <v>0</v>
      </c>
      <c r="M2" s="4">
        <f>sum(M7:M40)</f>
        <v>0</v>
      </c>
      <c r="S2" s="4">
        <f>sum(S7:S40)</f>
        <v>0</v>
      </c>
      <c r="Y2" s="4">
        <f>sum(Y7:Y40)</f>
        <v>0</v>
      </c>
    </row>
    <row r="3" spans="1:27">
      <c r="H3" s="3" t="s">
        <v>123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124</v>
      </c>
      <c r="K5" s="7"/>
      <c r="L5" s="7"/>
      <c r="M5" s="7"/>
      <c r="N5" s="7"/>
      <c r="O5" s="7"/>
      <c r="P5" s="8" t="s">
        <v>156</v>
      </c>
      <c r="Q5" s="8"/>
      <c r="R5" s="8"/>
      <c r="S5" s="8"/>
      <c r="T5" s="8"/>
      <c r="U5" s="8"/>
      <c r="V5" s="9" t="s">
        <v>185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126</v>
      </c>
      <c r="K6" s="10" t="s">
        <v>127</v>
      </c>
      <c r="L6" s="10" t="s">
        <v>3</v>
      </c>
      <c r="M6" s="10" t="s">
        <v>2</v>
      </c>
      <c r="N6" s="10" t="s">
        <v>128</v>
      </c>
      <c r="O6" s="10" t="s">
        <v>125</v>
      </c>
      <c r="P6" s="10" t="s">
        <v>126</v>
      </c>
      <c r="Q6" s="10" t="s">
        <v>127</v>
      </c>
      <c r="R6" s="10" t="s">
        <v>3</v>
      </c>
      <c r="S6" s="10" t="s">
        <v>2</v>
      </c>
      <c r="T6" s="10" t="s">
        <v>128</v>
      </c>
      <c r="U6" s="10" t="s">
        <v>125</v>
      </c>
      <c r="V6" s="10" t="s">
        <v>126</v>
      </c>
      <c r="W6" s="10" t="s">
        <v>127</v>
      </c>
      <c r="X6" s="10" t="s">
        <v>3</v>
      </c>
      <c r="Y6" s="10" t="s">
        <v>2</v>
      </c>
      <c r="Z6" s="10" t="s">
        <v>128</v>
      </c>
      <c r="AA6" s="10" t="s">
        <v>125</v>
      </c>
    </row>
    <row r="7" spans="1:27">
      <c r="A7" t="s">
        <v>10</v>
      </c>
      <c r="B7" t="s">
        <v>11</v>
      </c>
      <c r="D7" t="s">
        <v>12</v>
      </c>
      <c r="F7" t="s">
        <v>11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  <c r="P7">
        <v>18112</v>
      </c>
      <c r="R7" s="11">
        <f>iferror(lookup(if(Q7="",G7,Q7),{0,1,10,25,100,250,500,1000,2500,5000,10000},{0.0,2.99,2.71,2.51,2.3,2.1,1.96,1.8,1.77,1.66,1.66}),"")</f>
        <v>0</v>
      </c>
      <c r="S7" s="11">
        <f>iferror(if(Q7="",G7,Q7)*R7,"")</f>
        <v>0</v>
      </c>
      <c r="T7" t="s">
        <v>157</v>
      </c>
      <c r="U7" s="12" t="s">
        <v>130</v>
      </c>
      <c r="V7">
        <v>0</v>
      </c>
      <c r="X7" s="11">
        <f>iferror(lookup(if(W7="",G7,W7),{0,1,50,100,250,500},{0.0,14.22,12.9,11.82,10.98,10.26}),"")</f>
        <v>0</v>
      </c>
      <c r="Y7" s="11">
        <f>iferror(if(W7="",G7,W7)*X7,"")</f>
        <v>0</v>
      </c>
      <c r="Z7" t="s">
        <v>186</v>
      </c>
      <c r="AA7" s="12" t="s">
        <v>130</v>
      </c>
    </row>
    <row r="8" spans="1:27">
      <c r="A8" t="s">
        <v>13</v>
      </c>
      <c r="B8" t="s">
        <v>14</v>
      </c>
      <c r="D8" t="s">
        <v>15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18</v>
      </c>
      <c r="F9" t="s">
        <v>19</v>
      </c>
      <c r="G9">
        <f>BoardQty*5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  <c r="J9">
        <v>5237930</v>
      </c>
      <c r="L9" s="11">
        <f>iferror(lookup(if(K9="",G9,K9),{0,1,10,50,100,250,500,1000,4000,8000,12000,28000,100000},{0.0,0.1,0.019,0.0104,0.0088,0.0072,0.00616,0.0048,0.00368,0.00336,0.0032,0.00304,0.0022}),"")</f>
        <v>0</v>
      </c>
      <c r="M9" s="11">
        <f>iferror(if(K9="",G9,K9)*L9,"")</f>
        <v>0</v>
      </c>
      <c r="N9" t="s">
        <v>129</v>
      </c>
      <c r="O9" s="12" t="s">
        <v>130</v>
      </c>
      <c r="P9">
        <v>1718480</v>
      </c>
      <c r="R9" s="11">
        <f>iferror(lookup(if(Q9="",G9,Q9),{0,1,10,100,1000,4000,8000,24000,48000,100000},{0.0,0.316,0.039,0.024,0.019,0.015,0.013,0.012,0.011,0.009}),"")</f>
        <v>0</v>
      </c>
      <c r="S9" s="11">
        <f>iferror(if(Q9="",G9,Q9)*R9,"")</f>
        <v>0</v>
      </c>
      <c r="T9" t="s">
        <v>158</v>
      </c>
      <c r="U9" s="12" t="s">
        <v>130</v>
      </c>
      <c r="V9">
        <v>2213</v>
      </c>
      <c r="X9" s="11">
        <f>iferror(lookup(if(W9="",G9,W9),{0,1,250,500,1000,5000},{0.0,0.041,0.037,0.033,0.029,0.02}),"")</f>
        <v>0</v>
      </c>
      <c r="Y9" s="11">
        <f>iferror(if(W9="",G9,W9)*X9,"")</f>
        <v>0</v>
      </c>
      <c r="Z9" t="s">
        <v>187</v>
      </c>
      <c r="AA9" s="12" t="s">
        <v>130</v>
      </c>
    </row>
    <row r="10" spans="1:27">
      <c r="A10" t="s">
        <v>20</v>
      </c>
      <c r="B10" t="s">
        <v>21</v>
      </c>
      <c r="D10" t="s">
        <v>22</v>
      </c>
      <c r="F10" t="s">
        <v>21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  <c r="P10">
        <v>1860</v>
      </c>
      <c r="R10" s="11">
        <f>iferror(lookup(if(Q10="",G10,Q10),{0,1,25,50,100,250,500},{0.0,4.41,2.99,2.75,2.16,2.06,1.95}),"")</f>
        <v>0</v>
      </c>
      <c r="S10" s="11">
        <f>iferror(if(Q10="",G10,Q10)*R10,"")</f>
        <v>0</v>
      </c>
      <c r="T10" t="s">
        <v>159</v>
      </c>
      <c r="U10" s="12" t="s">
        <v>130</v>
      </c>
    </row>
    <row r="11" spans="1:27">
      <c r="A11" t="s">
        <v>23</v>
      </c>
      <c r="B11" t="s">
        <v>24</v>
      </c>
      <c r="D11" t="s">
        <v>25</v>
      </c>
      <c r="F11" t="s">
        <v>26</v>
      </c>
      <c r="G11">
        <f>BoardQty*3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  <c r="P11">
        <v>484126</v>
      </c>
      <c r="R11" s="11">
        <f>iferror(lookup(if(Q11="",G11,Q11),{0,1,10,100,1000,5000,50000},{0.0,0.099,0.008,0.003,0.002,0.002,0.001}),"")</f>
        <v>0</v>
      </c>
      <c r="S11" s="11">
        <f>iferror(if(Q11="",G11,Q11)*R11,"")</f>
        <v>0</v>
      </c>
      <c r="T11" t="s">
        <v>160</v>
      </c>
      <c r="U11" s="12" t="s">
        <v>130</v>
      </c>
      <c r="V11">
        <v>5960</v>
      </c>
      <c r="X11" s="11">
        <f>iferror(lookup(if(W11="",G11,W11),{0,1,10,25,100,250,1000},{0.0,0.07,0.012,0.008,0.005,0.004,0.002}),"")</f>
        <v>0</v>
      </c>
      <c r="Y11" s="11">
        <f>iferror(if(W11="",G11,W11)*X11,"")</f>
        <v>0</v>
      </c>
      <c r="Z11" t="s">
        <v>188</v>
      </c>
      <c r="AA11" s="12" t="s">
        <v>130</v>
      </c>
    </row>
    <row r="12" spans="1:27">
      <c r="A12" t="s">
        <v>27</v>
      </c>
      <c r="B12" t="s">
        <v>28</v>
      </c>
      <c r="D12" t="s">
        <v>22</v>
      </c>
      <c r="F12" t="s">
        <v>29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  <c r="J12">
        <v>3750</v>
      </c>
      <c r="L12" s="11">
        <f>iferror(lookup(if(K12="",G12,K12),{0,1,10,25,50,100,250,500,1000,2500,5000,10000,15000,25000},{0.0,1.8,1.639,1.5952,1.5866,1.4183,1.41372,1.39306,1.33263,1.28444,1.12838,1.09854,1.03275,0.9639}),"")</f>
        <v>0</v>
      </c>
      <c r="M12" s="11">
        <f>iferror(if(K12="",G12,K12)*L12,"")</f>
        <v>0</v>
      </c>
      <c r="N12" t="s">
        <v>131</v>
      </c>
      <c r="O12" s="12" t="s">
        <v>130</v>
      </c>
      <c r="P12">
        <v>2691</v>
      </c>
      <c r="R12" s="11">
        <f>iferror(lookup(if(Q12="",G12,Q12),{0,1,10,100,500,1000,2000,10000},{0.0,1.69,1.48,1.33,1.31,1.24,1.1,0.969}),"")</f>
        <v>0</v>
      </c>
      <c r="S12" s="11">
        <f>iferror(if(Q12="",G12,Q12)*R12,"")</f>
        <v>0</v>
      </c>
      <c r="T12" t="s">
        <v>161</v>
      </c>
      <c r="U12" s="12" t="s">
        <v>130</v>
      </c>
      <c r="V12">
        <v>275</v>
      </c>
      <c r="X12" s="11">
        <f>iferror(lookup(if(W12="",G12,W12),{0,1,100,250,500,1000},{0.0,1.94,1.56,1.41,1.3,1.2}),"")</f>
        <v>0</v>
      </c>
      <c r="Y12" s="11">
        <f>iferror(if(W12="",G12,W12)*X12,"")</f>
        <v>0</v>
      </c>
      <c r="Z12" t="s">
        <v>189</v>
      </c>
      <c r="AA12" s="12" t="s">
        <v>130</v>
      </c>
    </row>
    <row r="13" spans="1:27">
      <c r="A13" t="s">
        <v>30</v>
      </c>
      <c r="B13" t="s">
        <v>31</v>
      </c>
      <c r="D13" t="s">
        <v>32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33</v>
      </c>
      <c r="B14" t="s">
        <v>34</v>
      </c>
      <c r="D14" t="s">
        <v>35</v>
      </c>
      <c r="F14" t="s">
        <v>36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  <c r="J14">
        <v>27042</v>
      </c>
      <c r="L14" s="11">
        <f>iferror(lookup(if(K14="",G14,K14),{0,1,10,100,250,500,1000,2000,4000,8000,10000,14000,50000,100000},{0.0,0.35,0.29,0.1452,0.10892,0.0962,0.08531,0.0726,0.06716,0.119,0.06353,0.06026,0.05445,0.0481}),"")</f>
        <v>0</v>
      </c>
      <c r="M14" s="11">
        <f>iferror(if(K14="",G14,K14)*L14,"")</f>
        <v>0</v>
      </c>
      <c r="N14" t="s">
        <v>132</v>
      </c>
      <c r="O14" s="12" t="s">
        <v>130</v>
      </c>
      <c r="P14">
        <v>6425</v>
      </c>
      <c r="R14" s="11">
        <f>iferror(lookup(if(Q14="",G14,Q14),{0,1,100,200,500,1000,2000,4000,10000,24000},{0.0,0.289,0.146,0.109,0.097,0.086,0.073,0.068,0.061,0.058}),"")</f>
        <v>0</v>
      </c>
      <c r="S14" s="11">
        <f>iferror(if(Q14="",G14,Q14)*R14,"")</f>
        <v>0</v>
      </c>
      <c r="T14" t="s">
        <v>162</v>
      </c>
      <c r="U14" s="12" t="s">
        <v>130</v>
      </c>
      <c r="V14">
        <v>2337</v>
      </c>
      <c r="X14" s="11">
        <f>iferror(lookup(if(W14="",G14,W14),{0,1,10,100,250,500,1000},{0.0,0.608,0.561,0.273,0.225,0.204,0.186}),"")</f>
        <v>0</v>
      </c>
      <c r="Y14" s="11">
        <f>iferror(if(W14="",G14,W14)*X14,"")</f>
        <v>0</v>
      </c>
      <c r="Z14" t="s">
        <v>190</v>
      </c>
      <c r="AA14" s="12" t="s">
        <v>130</v>
      </c>
    </row>
    <row r="15" spans="1:27">
      <c r="A15" t="s">
        <v>37</v>
      </c>
      <c r="B15" t="s">
        <v>38</v>
      </c>
      <c r="D15" t="s">
        <v>25</v>
      </c>
      <c r="F15" t="s">
        <v>39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  <c r="J15">
        <v>285702</v>
      </c>
      <c r="L15" s="11">
        <f>iferror(lookup(if(K15="",G15,K15),{0,1,10,25,100,250,500,1000,2500,5000,10000,25000,50000,125000},{0.0,0.1,0.011,0.008,0.0044,0.00336,0.0027,0.00198,0.00172,0.00129,0.00112,0.00099,0.0009,0.00089}),"")</f>
        <v>0</v>
      </c>
      <c r="M15" s="11">
        <f>iferror(if(K15="",G15,K15)*L15,"")</f>
        <v>0</v>
      </c>
      <c r="N15" t="s">
        <v>133</v>
      </c>
      <c r="O15" s="12" t="s">
        <v>130</v>
      </c>
      <c r="P15">
        <v>48780</v>
      </c>
      <c r="R15" s="11">
        <f>iferror(lookup(if(Q15="",G15,Q15),{0,1,10,100,1000,5000,50000},{0.0,0.099,0.008,0.003,0.002,0.002,0.001}),"")</f>
        <v>0</v>
      </c>
      <c r="S15" s="11">
        <f>iferror(if(Q15="",G15,Q15)*R15,"")</f>
        <v>0</v>
      </c>
      <c r="T15" t="s">
        <v>163</v>
      </c>
      <c r="U15" s="12" t="s">
        <v>130</v>
      </c>
      <c r="V15">
        <v>1371</v>
      </c>
      <c r="X15" s="11">
        <f>iferror(lookup(if(W15="",G15,W15),{0,1,10,25,100,250,1000},{0.0,0.07,0.012,0.008,0.005,0.004,0.002}),"")</f>
        <v>0</v>
      </c>
      <c r="Y15" s="11">
        <f>iferror(if(W15="",G15,W15)*X15,"")</f>
        <v>0</v>
      </c>
      <c r="Z15" t="s">
        <v>191</v>
      </c>
      <c r="AA15" s="12" t="s">
        <v>130</v>
      </c>
    </row>
    <row r="16" spans="1:27">
      <c r="A16" t="s">
        <v>40</v>
      </c>
      <c r="B16" t="s">
        <v>41</v>
      </c>
      <c r="D16" t="s">
        <v>25</v>
      </c>
      <c r="F16" t="s">
        <v>42</v>
      </c>
      <c r="G16">
        <f>BoardQty*2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  <c r="J16">
        <v>2230631</v>
      </c>
      <c r="L16" s="11">
        <f>iferror(lookup(if(K16="",G16,K16),{0,1,10,25,100,250,500,1000,2500,5000,10000,25000,50000,125000},{0.0,0.1,0.014,0.01,0.0057,0.00436,0.00348,0.00257,0.00223,0.00167,0.00145,0.00128,0.00117,0.00115}),"")</f>
        <v>0</v>
      </c>
      <c r="M16" s="11">
        <f>iferror(if(K16="",G16,K16)*L16,"")</f>
        <v>0</v>
      </c>
      <c r="N16" t="s">
        <v>134</v>
      </c>
      <c r="O16" s="12" t="s">
        <v>130</v>
      </c>
      <c r="P16">
        <v>475570</v>
      </c>
      <c r="R16" s="11">
        <f>iferror(lookup(if(Q16="",G16,Q16),{0,1,10,100,1000,5000,10000},{0.0,0.099,0.01,0.003,0.002,0.002,0.001}),"")</f>
        <v>0</v>
      </c>
      <c r="S16" s="11">
        <f>iferror(if(Q16="",G16,Q16)*R16,"")</f>
        <v>0</v>
      </c>
      <c r="T16" t="s">
        <v>164</v>
      </c>
      <c r="U16" s="12" t="s">
        <v>130</v>
      </c>
      <c r="V16">
        <v>853</v>
      </c>
      <c r="X16" s="11">
        <f>iferror(lookup(if(W16="",G16,W16),{0,1,10,25,100,250,1000},{0.0,0.09,0.015,0.011,0.006,0.004,0.003}),"")</f>
        <v>0</v>
      </c>
      <c r="Y16" s="11">
        <f>iferror(if(W16="",G16,W16)*X16,"")</f>
        <v>0</v>
      </c>
      <c r="Z16" t="s">
        <v>192</v>
      </c>
      <c r="AA16" s="12" t="s">
        <v>130</v>
      </c>
    </row>
    <row r="17" spans="1:27">
      <c r="A17" t="s">
        <v>43</v>
      </c>
      <c r="B17" t="s">
        <v>44</v>
      </c>
      <c r="D17" t="s">
        <v>18</v>
      </c>
      <c r="F17" t="s">
        <v>45</v>
      </c>
      <c r="G17">
        <f>BoardQty*2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  <c r="J17">
        <v>489555</v>
      </c>
      <c r="L17" s="11">
        <f>iferror(lookup(if(K17="",G17,K17),{0,1,10,50,100,250,500,1000,4000,8000,12000,28000,100000},{0.0,0.1,0.083,0.0684,0.0501,0.03644,0.0334,0.02884,0.02208,0.02001,0.01932,0.01794,0.01773}),"")</f>
        <v>0</v>
      </c>
      <c r="M17" s="11">
        <f>iferror(if(K17="",G17,K17)*L17,"")</f>
        <v>0</v>
      </c>
      <c r="N17" t="s">
        <v>135</v>
      </c>
      <c r="O17" s="12" t="s">
        <v>130</v>
      </c>
      <c r="P17">
        <v>241414</v>
      </c>
      <c r="R17" s="11">
        <f>iferror(lookup(if(Q17="",G17,Q17),{0,1,10,100,1000,4000,8000,24000},{0.0,0.099,0.068,0.034,0.028,0.023,0.02,0.019}),"")</f>
        <v>0</v>
      </c>
      <c r="S17" s="11">
        <f>iferror(if(Q17="",G17,Q17)*R17,"")</f>
        <v>0</v>
      </c>
      <c r="T17" t="s">
        <v>165</v>
      </c>
      <c r="U17" s="12" t="s">
        <v>130</v>
      </c>
      <c r="V17">
        <v>40733</v>
      </c>
      <c r="X17" s="11">
        <f>iferror(lookup(if(W17="",G17,W17),{0,1,50,100,500,1000,2500,5000,10000},{0.0,0.036,0.033,0.026,0.024,0.022,0.02,0.019,0.018}),"")</f>
        <v>0</v>
      </c>
      <c r="Y17" s="11">
        <f>iferror(if(W17="",G17,W17)*X17,"")</f>
        <v>0</v>
      </c>
      <c r="Z17" t="s">
        <v>193</v>
      </c>
      <c r="AA17" s="12" t="s">
        <v>130</v>
      </c>
    </row>
    <row r="18" spans="1:27">
      <c r="A18" t="s">
        <v>46</v>
      </c>
      <c r="B18" t="s">
        <v>47</v>
      </c>
      <c r="D18" t="s">
        <v>25</v>
      </c>
      <c r="F18" t="s">
        <v>48</v>
      </c>
      <c r="G18">
        <f>BoardQty*3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  <c r="J18">
        <v>471855</v>
      </c>
      <c r="L18" s="11">
        <f>iferror(lookup(if(K18="",G18,K18),{0,1,10,25,100,250,500,1000,2500,5000,10000,25000,50000,125000},{0.0,0.1,0.014,0.01,0.0057,0.00436,0.00348,0.00257,0.00223,0.00167,0.00145,0.00128,0.00117,0.00115}),"")</f>
        <v>0</v>
      </c>
      <c r="M18" s="11">
        <f>iferror(if(K18="",G18,K18)*L18,"")</f>
        <v>0</v>
      </c>
      <c r="N18" t="s">
        <v>136</v>
      </c>
      <c r="O18" s="12" t="s">
        <v>130</v>
      </c>
      <c r="P18">
        <v>24190</v>
      </c>
      <c r="R18" s="11">
        <f>iferror(lookup(if(Q18="",G18,Q18),{0,1,10,100,1000,5000,10000},{0.0,0.099,0.01,0.003,0.002,0.002,0.001}),"")</f>
        <v>0</v>
      </c>
      <c r="S18" s="11">
        <f>iferror(if(Q18="",G18,Q18)*R18,"")</f>
        <v>0</v>
      </c>
      <c r="T18" t="s">
        <v>166</v>
      </c>
      <c r="U18" s="12" t="s">
        <v>130</v>
      </c>
      <c r="V18">
        <v>3106</v>
      </c>
      <c r="X18" s="11">
        <f>iferror(lookup(if(W18="",G18,W18),{0,1,10,25,100,250,1000},{0.0,0.01,0.01,0.01,0.006,0.004,0.003}),"")</f>
        <v>0</v>
      </c>
      <c r="Y18" s="11">
        <f>iferror(if(W18="",G18,W18)*X18,"")</f>
        <v>0</v>
      </c>
      <c r="Z18" t="s">
        <v>194</v>
      </c>
      <c r="AA18" s="12" t="s">
        <v>130</v>
      </c>
    </row>
    <row r="19" spans="1:27">
      <c r="A19" t="s">
        <v>49</v>
      </c>
      <c r="B19" t="s">
        <v>50</v>
      </c>
      <c r="D19" t="s">
        <v>51</v>
      </c>
      <c r="F19" t="s">
        <v>52</v>
      </c>
      <c r="G19">
        <f>BoardQty*5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  <c r="J19">
        <v>393069</v>
      </c>
      <c r="L19" s="11">
        <f>iferror(lookup(if(K19="",G19,K19),{0,1,10,25,100,250,500,1000,3000,6000,9000,15000,30000,75000,150000},{0.0,0.16,0.112,0.084,0.0532,0.0448,0.03752,0.0308,0.02632,0.02408,0.0224,0.02128,0.02016,0.01848,0.01527}),"")</f>
        <v>0</v>
      </c>
      <c r="M19" s="11">
        <f>iferror(if(K19="",G19,K19)*L19,"")</f>
        <v>0</v>
      </c>
      <c r="N19" t="s">
        <v>137</v>
      </c>
      <c r="O19" s="12" t="s">
        <v>130</v>
      </c>
      <c r="P19">
        <v>7548</v>
      </c>
      <c r="R19" s="11">
        <f>iferror(lookup(if(Q19="",G19,Q19),{0,1,10,100,1000,3000,9000,24000,45000,99000},{0.0,0.159,0.084,0.038,0.031,0.025,0.022,0.021,0.019,0.016}),"")</f>
        <v>0</v>
      </c>
      <c r="S19" s="11">
        <f>iferror(if(Q19="",G19,Q19)*R19,"")</f>
        <v>0</v>
      </c>
      <c r="T19" t="s">
        <v>167</v>
      </c>
      <c r="U19" s="12" t="s">
        <v>130</v>
      </c>
      <c r="V19">
        <v>1005</v>
      </c>
      <c r="X19" s="11">
        <f>iferror(lookup(if(W19="",G19,W19),{0,1,10,25,100,250,500,1000},{0.0,0.189,0.135,0.095,0.062,0.051,0.043,0.034}),"")</f>
        <v>0</v>
      </c>
      <c r="Y19" s="11">
        <f>iferror(if(W19="",G19,W19)*X19,"")</f>
        <v>0</v>
      </c>
      <c r="Z19" t="s">
        <v>195</v>
      </c>
      <c r="AA19" s="12" t="s">
        <v>130</v>
      </c>
    </row>
    <row r="20" spans="1:27">
      <c r="A20" t="s">
        <v>53</v>
      </c>
      <c r="B20" t="s">
        <v>54</v>
      </c>
      <c r="D20" t="s">
        <v>55</v>
      </c>
      <c r="F20" t="s">
        <v>54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  <c r="V20">
        <v>67</v>
      </c>
      <c r="X20" s="11">
        <f>iferror(lookup(if(W20="",G20,W20),{0,1,25,100},{0.0,4.52,2.99,2.35}),"")</f>
        <v>0</v>
      </c>
      <c r="Y20" s="11">
        <f>iferror(if(W20="",G20,W20)*X20,"")</f>
        <v>0</v>
      </c>
      <c r="Z20" t="s">
        <v>196</v>
      </c>
      <c r="AA20" s="12" t="s">
        <v>130</v>
      </c>
    </row>
    <row r="21" spans="1:27">
      <c r="A21" t="s">
        <v>56</v>
      </c>
      <c r="B21" t="s">
        <v>57</v>
      </c>
      <c r="D21" t="s">
        <v>58</v>
      </c>
      <c r="F21" t="s">
        <v>59</v>
      </c>
      <c r="G21">
        <f>BoardQty*1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  <c r="J21">
        <v>24977</v>
      </c>
      <c r="L21" s="11">
        <f>iferror(lookup(if(K21="",G21,K21),{0,1,10,100,250,500,1000,3000,6000,15000,30000,75000,150000},{0.0,0.55,0.425,0.2755,0.23612,0.20462,0.1574,0.12986,0.11805,0.11018,0.10625,0.10231,0.09838}),"")</f>
        <v>0</v>
      </c>
      <c r="M21" s="11">
        <f>iferror(if(K21="",G21,K21)*L21,"")</f>
        <v>0</v>
      </c>
      <c r="N21" t="s">
        <v>138</v>
      </c>
      <c r="O21" s="12" t="s">
        <v>130</v>
      </c>
      <c r="P21">
        <v>4548</v>
      </c>
      <c r="R21" s="11">
        <f>iferror(lookup(if(Q21="",G21,Q21),{0,1,10,100,500,1000,3000,6000,9000,24000},{0.0,0.63,0.483,0.269,0.232,0.179,0.148,0.134,0.126,0.124}),"")</f>
        <v>0</v>
      </c>
      <c r="S21" s="11">
        <f>iferror(if(Q21="",G21,Q21)*R21,"")</f>
        <v>0</v>
      </c>
      <c r="T21" t="s">
        <v>168</v>
      </c>
      <c r="U21" s="12" t="s">
        <v>130</v>
      </c>
    </row>
    <row r="22" spans="1:27">
      <c r="A22" t="s">
        <v>60</v>
      </c>
      <c r="B22" t="s">
        <v>61</v>
      </c>
      <c r="D22" t="s">
        <v>62</v>
      </c>
      <c r="F22" t="s">
        <v>63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  <c r="J22">
        <v>1173</v>
      </c>
      <c r="L22" s="11">
        <f>iferror(lookup(if(K22="",G22,K22),{0,1,10,100,500,1000,2500,5000,12500,25000,62500},{0.0,1.57,1.406,1.1276,0.92682,0.7672,0.69512,0.66937,0.64362,0.63333,0.61788}),"")</f>
        <v>0</v>
      </c>
      <c r="M22" s="11">
        <f>iferror(if(K22="",G22,K22)*L22,"")</f>
        <v>0</v>
      </c>
      <c r="N22" t="s">
        <v>139</v>
      </c>
      <c r="O22" s="12" t="s">
        <v>130</v>
      </c>
      <c r="V22">
        <v>0</v>
      </c>
      <c r="X22" s="11">
        <f>iferror(lookup(if(W22="",G22,W22),{0,1,2500,10000,25000},{0.0,0.67,0.67,0.644,0.623}),"")</f>
        <v>0</v>
      </c>
      <c r="Y22" s="11">
        <f>iferror(if(W22="",G22,W22)*X22,"")</f>
        <v>0</v>
      </c>
      <c r="Z22" t="s">
        <v>197</v>
      </c>
      <c r="AA22" s="12" t="s">
        <v>130</v>
      </c>
    </row>
    <row r="23" spans="1:27">
      <c r="A23" t="s">
        <v>64</v>
      </c>
      <c r="B23" t="s">
        <v>65</v>
      </c>
      <c r="D23" t="s">
        <v>25</v>
      </c>
      <c r="F23" t="s">
        <v>66</v>
      </c>
      <c r="G23">
        <f>BoardQty*1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  <c r="J23">
        <v>1319272</v>
      </c>
      <c r="L23" s="11">
        <f>iferror(lookup(if(K23="",G23,K23),{0,1,10,25,100,250,500,1000,2500,5000,10000,25000,50000,125000},{0.0,0.1,0.011,0.008,0.0044,0.00336,0.0027,0.00198,0.00172,0.00129,0.00112,0.00099,0.0009,0.00089}),"")</f>
        <v>0</v>
      </c>
      <c r="M23" s="11">
        <f>iferror(if(K23="",G23,K23)*L23,"")</f>
        <v>0</v>
      </c>
      <c r="N23" t="s">
        <v>140</v>
      </c>
      <c r="O23" s="12" t="s">
        <v>130</v>
      </c>
      <c r="P23">
        <v>99167</v>
      </c>
      <c r="R23" s="11">
        <f>iferror(lookup(if(Q23="",G23,Q23),{0,1,10,100,1000,5000,50000},{0.0,0.099,0.008,0.003,0.002,0.002,0.001}),"")</f>
        <v>0</v>
      </c>
      <c r="S23" s="11">
        <f>iferror(if(Q23="",G23,Q23)*R23,"")</f>
        <v>0</v>
      </c>
      <c r="T23" t="s">
        <v>169</v>
      </c>
      <c r="U23" s="12" t="s">
        <v>130</v>
      </c>
      <c r="V23">
        <v>30704</v>
      </c>
      <c r="X23" s="11">
        <f>iferror(lookup(if(W23="",G23,W23),{0,1,10,25,100,250,1000},{0.0,0.07,0.012,0.008,0.005,0.004,0.002}),"")</f>
        <v>0</v>
      </c>
      <c r="Y23" s="11">
        <f>iferror(if(W23="",G23,W23)*X23,"")</f>
        <v>0</v>
      </c>
      <c r="Z23" t="s">
        <v>198</v>
      </c>
      <c r="AA23" s="12" t="s">
        <v>130</v>
      </c>
    </row>
    <row r="24" spans="1:27">
      <c r="A24" t="s">
        <v>67</v>
      </c>
      <c r="B24" t="s">
        <v>68</v>
      </c>
      <c r="D24" t="s">
        <v>18</v>
      </c>
      <c r="F24" t="s">
        <v>69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  <c r="J24">
        <v>2053</v>
      </c>
      <c r="L24" s="11">
        <f>iferror(lookup(if(K24="",G24,K24),{0,1,10,50,100,250,500,1000,3000,6000,9000,15000,30000,75000,150000},{0.0,0.32,0.263,0.148,0.1316,0.09872,0.08718,0.07732,0.0658,0.06087,0.05758,0.05461,0.05264,0.04935,0.04359}),"")</f>
        <v>0</v>
      </c>
      <c r="M24" s="11">
        <f>iferror(if(K24="",G24,K24)*L24,"")</f>
        <v>0</v>
      </c>
      <c r="N24" t="s">
        <v>141</v>
      </c>
      <c r="O24" s="12" t="s">
        <v>130</v>
      </c>
      <c r="P24">
        <v>24848</v>
      </c>
      <c r="R24" s="11">
        <f>iferror(lookup(if(Q24="",G24,Q24),{0,1,10,100,1000,3000,9000,24000,45000,99000},{0.0,0.316,0.146,0.087,0.077,0.06,0.055,0.052,0.049,0.047}),"")</f>
        <v>0</v>
      </c>
      <c r="S24" s="11">
        <f>iferror(if(Q24="",G24,Q24)*R24,"")</f>
        <v>0</v>
      </c>
      <c r="T24" t="s">
        <v>170</v>
      </c>
      <c r="U24" s="12" t="s">
        <v>130</v>
      </c>
    </row>
    <row r="25" spans="1:27">
      <c r="A25" t="s">
        <v>70</v>
      </c>
      <c r="B25" t="s">
        <v>71</v>
      </c>
      <c r="D25" t="s">
        <v>72</v>
      </c>
      <c r="F25" t="s">
        <v>73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  <c r="J25">
        <v>535867</v>
      </c>
      <c r="L25" s="11">
        <f>iferror(lookup(if(K25="",G25,K25),{0,1,10,100,250,500,1000,2500,5000,10000,25000,50000,125000},{0.0,0.28,0.222,0.1212,0.0808,0.06868,0.05252,0.04747,0.0404,0.03636,0.03232,0.02929,0.02727}),"")</f>
        <v>0</v>
      </c>
      <c r="M25" s="11">
        <f>iferror(if(K25="",G25,K25)*L25,"")</f>
        <v>0</v>
      </c>
      <c r="N25" t="s">
        <v>142</v>
      </c>
      <c r="O25" s="12" t="s">
        <v>130</v>
      </c>
      <c r="P25">
        <v>78058</v>
      </c>
      <c r="R25" s="11">
        <f>iferror(lookup(if(Q25="",G25,Q25),{0,1,10,100,1000,5000,10000,25000,50000,100000},{0.0,0.32,0.254,0.078,0.055,0.047,0.041,0.037,0.034,0.033}),"")</f>
        <v>0</v>
      </c>
      <c r="S25" s="11">
        <f>iferror(if(Q25="",G25,Q25)*R25,"")</f>
        <v>0</v>
      </c>
      <c r="T25" t="s">
        <v>171</v>
      </c>
      <c r="U25" s="12" t="s">
        <v>130</v>
      </c>
      <c r="V25">
        <v>9000</v>
      </c>
      <c r="X25" s="11">
        <f>iferror(lookup(if(W25="",G25,W25),{0,1,3000,6000,12000},{0.0,0.103,0.103,0.098,0.093}),"")</f>
        <v>0</v>
      </c>
      <c r="Y25" s="11">
        <f>iferror(if(W25="",G25,W25)*X25,"")</f>
        <v>0</v>
      </c>
      <c r="Z25" t="s">
        <v>199</v>
      </c>
      <c r="AA25" s="12" t="s">
        <v>130</v>
      </c>
    </row>
    <row r="26" spans="1:27">
      <c r="A26" t="s">
        <v>74</v>
      </c>
      <c r="B26" t="s">
        <v>71</v>
      </c>
      <c r="D26" t="s">
        <v>72</v>
      </c>
      <c r="F26" t="s">
        <v>75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  <c r="J26">
        <v>186591</v>
      </c>
      <c r="L26" s="11">
        <f>iferror(lookup(if(K26="",G26,K26),{0,1,10,100,250,500,1000,2500,5000,10000,25000,50000,125000},{0.0,0.26,0.207,0.1128,0.0752,0.06392,0.04888,0.04418,0.0376,0.03384,0.03008,0.02726,0.02538}),"")</f>
        <v>0</v>
      </c>
      <c r="M26" s="11">
        <f>iferror(if(K26="",G26,K26)*L26,"")</f>
        <v>0</v>
      </c>
      <c r="N26" t="s">
        <v>143</v>
      </c>
      <c r="O26" s="12" t="s">
        <v>130</v>
      </c>
      <c r="P26">
        <v>11457</v>
      </c>
      <c r="R26" s="11">
        <f>iferror(lookup(if(Q26="",G26,Q26),{0,1,10,100,1000,5000,10000,25000,50000,100000},{0.0,0.299,0.232,0.073,0.05,0.043,0.038,0.034,0.031,0.028}),"")</f>
        <v>0</v>
      </c>
      <c r="S26" s="11">
        <f>iferror(if(Q26="",G26,Q26)*R26,"")</f>
        <v>0</v>
      </c>
      <c r="T26" t="s">
        <v>172</v>
      </c>
      <c r="U26" s="12" t="s">
        <v>130</v>
      </c>
    </row>
    <row r="27" spans="1:27">
      <c r="A27" t="s">
        <v>76</v>
      </c>
      <c r="B27" t="s">
        <v>71</v>
      </c>
      <c r="D27" t="s">
        <v>72</v>
      </c>
      <c r="F27" t="s">
        <v>77</v>
      </c>
      <c r="G27">
        <f>BoardQty*1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  <c r="J27">
        <v>638126</v>
      </c>
      <c r="L27" s="11">
        <f>iferror(lookup(if(K27="",G27,K27),{0,1,10,100,250,500,1000,2500,5000,10000,25000,50000,125000},{0.0,0.28,0.222,0.1212,0.0808,0.06868,0.05252,0.04747,0.0404,0.03636,0.03232,0.02929,0.02727}),"")</f>
        <v>0</v>
      </c>
      <c r="M27" s="11">
        <f>iferror(if(K27="",G27,K27)*L27,"")</f>
        <v>0</v>
      </c>
      <c r="N27" t="s">
        <v>144</v>
      </c>
      <c r="O27" s="12" t="s">
        <v>130</v>
      </c>
      <c r="P27">
        <v>93063</v>
      </c>
      <c r="R27" s="11">
        <f>iferror(lookup(if(Q27="",G27,Q27),{0,1,10,100,1000,5000,10000,25000,50000,100000},{0.0,0.32,0.254,0.078,0.055,0.047,0.041,0.037,0.034,0.033}),"")</f>
        <v>0</v>
      </c>
      <c r="S27" s="11">
        <f>iferror(if(Q27="",G27,Q27)*R27,"")</f>
        <v>0</v>
      </c>
      <c r="T27" t="s">
        <v>173</v>
      </c>
      <c r="U27" s="12" t="s">
        <v>130</v>
      </c>
      <c r="V27">
        <v>4754</v>
      </c>
      <c r="X27" s="11">
        <f>iferror(lookup(if(W27="",G27,W27),{0,1,10,100,500},{0.0,0.522,0.434,0.347,0.324}),"")</f>
        <v>0</v>
      </c>
      <c r="Y27" s="11">
        <f>iferror(if(W27="",G27,W27)*X27,"")</f>
        <v>0</v>
      </c>
      <c r="Z27" t="s">
        <v>200</v>
      </c>
      <c r="AA27" s="12" t="s">
        <v>130</v>
      </c>
    </row>
    <row r="28" spans="1:27">
      <c r="A28" t="s">
        <v>78</v>
      </c>
      <c r="B28" t="s">
        <v>79</v>
      </c>
      <c r="D28" t="s">
        <v>80</v>
      </c>
      <c r="F28" t="s">
        <v>81</v>
      </c>
      <c r="G28">
        <f>BoardQty*1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  <c r="J28">
        <v>12335</v>
      </c>
      <c r="L28" s="11">
        <f>iferror(lookup(if(K28="",G28,K28),{0,1,10,50,100,500,1000,3000,5000,10000},{0.0,0.83,0.738,0.6894,0.61,0.57646,0.4575,0.44225,0.427,0.41175}),"")</f>
        <v>0</v>
      </c>
      <c r="M28" s="11">
        <f>iferror(if(K28="",G28,K28)*L28,"")</f>
        <v>0</v>
      </c>
      <c r="N28" t="s">
        <v>145</v>
      </c>
      <c r="O28" s="12" t="s">
        <v>130</v>
      </c>
      <c r="P28">
        <v>657</v>
      </c>
      <c r="R28" s="11">
        <f>iferror(lookup(if(Q28="",G28,Q28),{0,1,10,50,100,200,500,1000},{0.0,1.04,0.91,0.642,0.58,0.562,0.463,0.444}),"")</f>
        <v>0</v>
      </c>
      <c r="S28" s="11">
        <f>iferror(if(Q28="",G28,Q28)*R28,"")</f>
        <v>0</v>
      </c>
      <c r="T28" t="s">
        <v>174</v>
      </c>
      <c r="U28" s="12" t="s">
        <v>130</v>
      </c>
      <c r="V28">
        <v>289</v>
      </c>
      <c r="X28" s="11">
        <f>iferror(lookup(if(W28="",G28,W28),{0,1,10,50,100,500},{0.0,0.929,0.823,0.769,0.68,0.643}),"")</f>
        <v>0</v>
      </c>
      <c r="Y28" s="11">
        <f>iferror(if(W28="",G28,W28)*X28,"")</f>
        <v>0</v>
      </c>
      <c r="Z28" t="s">
        <v>201</v>
      </c>
      <c r="AA28" s="12" t="s">
        <v>130</v>
      </c>
    </row>
    <row r="29" spans="1:27">
      <c r="A29" t="s">
        <v>82</v>
      </c>
      <c r="B29" t="s">
        <v>83</v>
      </c>
      <c r="D29" t="s">
        <v>84</v>
      </c>
      <c r="F29" t="s">
        <v>85</v>
      </c>
      <c r="G29">
        <f>BoardQty*1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  <c r="J29">
        <v>10454</v>
      </c>
      <c r="L29" s="11">
        <f>iferror(lookup(if(K29="",G29,K29),{0,1,10,100,500,1000,4000,8000,12000,28000},{0.0,10.2,9.246,7.622,6.664,5.78935,5.4145,5.20625,5.12295,4.998}),"")</f>
        <v>0</v>
      </c>
      <c r="M29" s="11">
        <f>iferror(if(K29="",G29,K29)*L29,"")</f>
        <v>0</v>
      </c>
      <c r="N29" t="s">
        <v>146</v>
      </c>
      <c r="O29" s="12" t="s">
        <v>130</v>
      </c>
      <c r="P29">
        <v>3296</v>
      </c>
      <c r="R29" s="11">
        <f>iferror(lookup(if(Q29="",G29,Q29),{0,1,10,25,50,100,250,500,1000,4000},{0.0,10.27,9.24,8.41,7.84,7.6,6.93,6.33,5.44,5.44}),"")</f>
        <v>0</v>
      </c>
      <c r="S29" s="11">
        <f>iferror(if(Q29="",G29,Q29)*R29,"")</f>
        <v>0</v>
      </c>
      <c r="T29" t="s">
        <v>175</v>
      </c>
      <c r="U29" s="12" t="s">
        <v>130</v>
      </c>
      <c r="V29">
        <v>0</v>
      </c>
      <c r="X29" s="11">
        <f>iferror(lookup(if(W29="",G29,W29),{0,1,25},{0.0,6.52,6.52}),"")</f>
        <v>0</v>
      </c>
      <c r="Y29" s="11">
        <f>iferror(if(W29="",G29,W29)*X29,"")</f>
        <v>0</v>
      </c>
      <c r="Z29" t="s">
        <v>202</v>
      </c>
      <c r="AA29" s="12" t="s">
        <v>130</v>
      </c>
    </row>
    <row r="30" spans="1:27">
      <c r="A30" t="s">
        <v>86</v>
      </c>
      <c r="B30" t="s">
        <v>87</v>
      </c>
      <c r="D30" t="s">
        <v>84</v>
      </c>
      <c r="F30" t="s">
        <v>88</v>
      </c>
      <c r="G30">
        <f>BoardQty*1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  <c r="J30">
        <v>14398</v>
      </c>
      <c r="L30" s="11">
        <f>iferror(lookup(if(K30="",G30,K30),{0,1,10,100,500,1000,4000,8000,12000,28000},{0.0,3.08,2.764,2.2673,1.92888,1.62432,1.50024,1.44384,1.39872,1.3536}),"")</f>
        <v>0</v>
      </c>
      <c r="M30" s="11">
        <f>iferror(if(K30="",G30,K30)*L30,"")</f>
        <v>0</v>
      </c>
      <c r="N30" t="s">
        <v>147</v>
      </c>
      <c r="O30" s="12" t="s">
        <v>130</v>
      </c>
      <c r="P30">
        <v>426</v>
      </c>
      <c r="R30" s="11">
        <f>iferror(lookup(if(Q30="",G30,Q30),{0,1,10,100,250,500,1000,4000},{0.0,2.94,2.5,2.17,2.05,1.84,1.55,1.47}),"")</f>
        <v>0</v>
      </c>
      <c r="S30" s="11">
        <f>iferror(if(Q30="",G30,Q30)*R30,"")</f>
        <v>0</v>
      </c>
      <c r="T30" t="s">
        <v>176</v>
      </c>
      <c r="U30" s="12" t="s">
        <v>130</v>
      </c>
      <c r="V30">
        <v>0</v>
      </c>
      <c r="X30" s="11">
        <f>iferror(lookup(if(W30="",G30,W30),{0,1,25},{0.0,1.77,1.77}),"")</f>
        <v>0</v>
      </c>
      <c r="Y30" s="11">
        <f>iferror(if(W30="",G30,W30)*X30,"")</f>
        <v>0</v>
      </c>
      <c r="Z30" t="s">
        <v>203</v>
      </c>
      <c r="AA30" s="12" t="s">
        <v>130</v>
      </c>
    </row>
    <row r="31" spans="1:27">
      <c r="A31" t="s">
        <v>89</v>
      </c>
      <c r="B31" t="s">
        <v>90</v>
      </c>
      <c r="D31" t="s">
        <v>18</v>
      </c>
      <c r="F31" t="s">
        <v>91</v>
      </c>
      <c r="G31">
        <f>BoardQty*1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  <c r="J31">
        <v>2168502</v>
      </c>
      <c r="L31" s="11">
        <f>iferror(lookup(if(K31="",G31,K31),{0,1,10,50,100,250,500,1000,4000,8000,12000,28000,100000},{0.0,0.1,0.019,0.01,0.0085,0.00696,0.00596,0.00465,0.00357,0.00326,0.0031,0.00295,0.00213}),"")</f>
        <v>0</v>
      </c>
      <c r="M31" s="11">
        <f>iferror(if(K31="",G31,K31)*L31,"")</f>
        <v>0</v>
      </c>
      <c r="N31" t="s">
        <v>148</v>
      </c>
      <c r="O31" s="12" t="s">
        <v>130</v>
      </c>
      <c r="P31">
        <v>432275</v>
      </c>
      <c r="R31" s="11">
        <f>iferror(lookup(if(Q31="",G31,Q31),{0,1,10,100,4000},{0.0,0.099,0.01,0.005,0.005}),"")</f>
        <v>0</v>
      </c>
      <c r="S31" s="11">
        <f>iferror(if(Q31="",G31,Q31)*R31,"")</f>
        <v>0</v>
      </c>
      <c r="T31" t="s">
        <v>177</v>
      </c>
      <c r="U31" s="12" t="s">
        <v>130</v>
      </c>
      <c r="V31">
        <v>2157</v>
      </c>
      <c r="X31" s="11">
        <f>iferror(lookup(if(W31="",G31,W31),{0,1,250,500,1000,5000},{0.0,0.008,0.007,0.006,0.006,0.004}),"")</f>
        <v>0</v>
      </c>
      <c r="Y31" s="11">
        <f>iferror(if(W31="",G31,W31)*X31,"")</f>
        <v>0</v>
      </c>
      <c r="Z31" t="s">
        <v>204</v>
      </c>
      <c r="AA31" s="12" t="s">
        <v>130</v>
      </c>
    </row>
    <row r="32" spans="1:27">
      <c r="A32" t="s">
        <v>92</v>
      </c>
      <c r="B32" t="s">
        <v>93</v>
      </c>
      <c r="D32" t="s">
        <v>25</v>
      </c>
      <c r="F32" t="s">
        <v>94</v>
      </c>
      <c r="G32">
        <f>BoardQty*1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  <c r="J32">
        <v>69667</v>
      </c>
      <c r="L32" s="11">
        <f>iferror(lookup(if(K32="",G32,K32),{0,1,10,25,100,250,500,1000,2500,5000,10000,25000,50000,125000},{0.0,0.1,0.011,0.008,0.0044,0.00336,0.0027,0.00198,0.00172,0.00129,0.00112,0.00099,0.0009,0.00089}),"")</f>
        <v>0</v>
      </c>
      <c r="M32" s="11">
        <f>iferror(if(K32="",G32,K32)*L32,"")</f>
        <v>0</v>
      </c>
      <c r="N32" t="s">
        <v>149</v>
      </c>
      <c r="O32" s="12" t="s">
        <v>130</v>
      </c>
      <c r="P32">
        <v>15467</v>
      </c>
      <c r="R32" s="11">
        <f>iferror(lookup(if(Q32="",G32,Q32),{0,1,10,100,1000,5000,50000},{0.0,0.099,0.008,0.003,0.002,0.002,0.001}),"")</f>
        <v>0</v>
      </c>
      <c r="S32" s="11">
        <f>iferror(if(Q32="",G32,Q32)*R32,"")</f>
        <v>0</v>
      </c>
      <c r="T32" t="s">
        <v>178</v>
      </c>
      <c r="U32" s="12" t="s">
        <v>130</v>
      </c>
    </row>
    <row r="33" spans="1:27">
      <c r="A33" t="s">
        <v>95</v>
      </c>
      <c r="B33" t="s">
        <v>96</v>
      </c>
      <c r="D33" t="s">
        <v>97</v>
      </c>
      <c r="F33" t="s">
        <v>98</v>
      </c>
      <c r="G33">
        <f>BoardQty*2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  <c r="J33">
        <v>92557</v>
      </c>
      <c r="L33" s="11">
        <f>iferror(lookup(if(K33="",G33,K33),{0,1,10,25,50,100,250,500,1000,5000,10000,15000,25000},{0.0,0.74,0.693,0.6236,0.5544,0.5313,0.48512,0.462,0.38115,0.3045,0.2835,0.2793,0.273}),"")</f>
        <v>0</v>
      </c>
      <c r="M33" s="11">
        <f>iferror(if(K33="",G33,K33)*L33,"")</f>
        <v>0</v>
      </c>
      <c r="N33" t="s">
        <v>150</v>
      </c>
      <c r="O33" s="12" t="s">
        <v>130</v>
      </c>
      <c r="P33">
        <v>8325</v>
      </c>
      <c r="R33" s="11">
        <f>iferror(lookup(if(Q33="",G33,Q33),{0,1,10,100,1000,5000,10000,25000},{0.0,0.72,0.546,0.435,0.331,0.3,0.275,0.274}),"")</f>
        <v>0</v>
      </c>
      <c r="S33" s="11">
        <f>iferror(if(Q33="",G33,Q33)*R33,"")</f>
        <v>0</v>
      </c>
      <c r="T33" t="s">
        <v>179</v>
      </c>
      <c r="U33" s="12" t="s">
        <v>130</v>
      </c>
      <c r="V33">
        <v>2220</v>
      </c>
      <c r="X33" s="11">
        <f>iferror(lookup(if(W33="",G33,W33),{0,1,10,25,50,100,250,500},{0.0,1.13,0.832,0.765,0.675,0.607,0.473,0.347}),"")</f>
        <v>0</v>
      </c>
      <c r="Y33" s="11">
        <f>iferror(if(W33="",G33,W33)*X33,"")</f>
        <v>0</v>
      </c>
      <c r="Z33" t="s">
        <v>205</v>
      </c>
      <c r="AA33" s="12" t="s">
        <v>130</v>
      </c>
    </row>
    <row r="34" spans="1:27">
      <c r="A34" t="s">
        <v>99</v>
      </c>
      <c r="B34" t="s">
        <v>100</v>
      </c>
      <c r="D34" t="s">
        <v>101</v>
      </c>
      <c r="G34">
        <f>BoardQty*1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</row>
    <row r="35" spans="1:27">
      <c r="A35" t="s">
        <v>102</v>
      </c>
      <c r="B35" t="s">
        <v>103</v>
      </c>
      <c r="D35" t="s">
        <v>25</v>
      </c>
      <c r="F35" t="s">
        <v>104</v>
      </c>
      <c r="G35">
        <f>BoardQty*2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  <c r="J35">
        <v>1474400</v>
      </c>
      <c r="L35" s="11">
        <f>iferror(lookup(if(K35="",G35,K35),{0,1,10,25,100,250,500,1000,2500,5000,10000,25000,50000,125000},{0.0,0.1,0.014,0.01,0.0057,0.00436,0.00348,0.00257,0.00223,0.00167,0.00145,0.00128,0.00117,0.00115}),"")</f>
        <v>0</v>
      </c>
      <c r="M35" s="11">
        <f>iferror(if(K35="",G35,K35)*L35,"")</f>
        <v>0</v>
      </c>
      <c r="N35" t="s">
        <v>151</v>
      </c>
      <c r="O35" s="12" t="s">
        <v>130</v>
      </c>
      <c r="P35">
        <v>146539</v>
      </c>
      <c r="R35" s="11">
        <f>iferror(lookup(if(Q35="",G35,Q35),{0,1,10,100,1000,5000,10000},{0.0,0.099,0.01,0.003,0.002,0.002,0.001}),"")</f>
        <v>0</v>
      </c>
      <c r="S35" s="11">
        <f>iferror(if(Q35="",G35,Q35)*R35,"")</f>
        <v>0</v>
      </c>
      <c r="T35" t="s">
        <v>180</v>
      </c>
      <c r="U35" s="12" t="s">
        <v>130</v>
      </c>
    </row>
    <row r="36" spans="1:27">
      <c r="A36" t="s">
        <v>105</v>
      </c>
      <c r="B36" t="s">
        <v>106</v>
      </c>
      <c r="D36" t="s">
        <v>25</v>
      </c>
      <c r="F36" t="s">
        <v>107</v>
      </c>
      <c r="G36">
        <f>BoardQty*1</f>
        <v>0</v>
      </c>
      <c r="H36" s="11">
        <f>MINA(INDIRECT(ADDRESS(ROW(),COLUMN(newark_part_data)+2)),INDIRECT(ADDRESS(ROW(),COLUMN(digikey_part_data)+2)),INDIRECT(ADDRESS(ROW(),COLUMN(mouser_part_data)+2)))</f>
        <v>0</v>
      </c>
      <c r="I36" s="11">
        <f>iferror(G36*H36,"")</f>
        <v>0</v>
      </c>
      <c r="J36">
        <v>19648</v>
      </c>
      <c r="L36" s="11">
        <f>iferror(lookup(if(K36="",G36,K36),{0,1,10,25,50,100,250,500,1000,2500,5000,10000,25000,50000,125000},{0.0,0.74,0.616,0.528,0.4752,0.4136,0.3696,0.2992,0.242,0.23408,0.208,0.2008,0.196,0.19488,0.1936}),"")</f>
        <v>0</v>
      </c>
      <c r="M36" s="11">
        <f>iferror(if(K36="",G36,K36)*L36,"")</f>
        <v>0</v>
      </c>
      <c r="N36" t="s">
        <v>152</v>
      </c>
      <c r="O36" s="12" t="s">
        <v>130</v>
      </c>
      <c r="P36">
        <v>7446</v>
      </c>
      <c r="R36" s="11">
        <f>iferror(lookup(if(Q36="",G36,Q36),{0,1,25,100,500,1000,2000,5000,10000,25000},{0.0,0.73,0.521,0.365,0.296,0.239,0.232,0.205,0.198,0.193}),"")</f>
        <v>0</v>
      </c>
      <c r="S36" s="11">
        <f>iferror(if(Q36="",G36,Q36)*R36,"")</f>
        <v>0</v>
      </c>
      <c r="T36" t="s">
        <v>181</v>
      </c>
      <c r="U36" s="12" t="s">
        <v>130</v>
      </c>
      <c r="V36">
        <v>2739</v>
      </c>
      <c r="X36" s="11">
        <f>iferror(lookup(if(W36="",G36,W36),{0,1,25,100,500,1000,2500},{0.0,0.58,0.468,0.397,0.32,0.282,0.234}),"")</f>
        <v>0</v>
      </c>
      <c r="Y36" s="11">
        <f>iferror(if(W36="",G36,W36)*X36,"")</f>
        <v>0</v>
      </c>
      <c r="Z36" t="s">
        <v>206</v>
      </c>
      <c r="AA36" s="12" t="s">
        <v>130</v>
      </c>
    </row>
    <row r="37" spans="1:27">
      <c r="A37" t="s">
        <v>108</v>
      </c>
      <c r="B37" t="s">
        <v>109</v>
      </c>
      <c r="D37" t="s">
        <v>25</v>
      </c>
      <c r="F37" t="s">
        <v>110</v>
      </c>
      <c r="G37">
        <f>BoardQty*3</f>
        <v>0</v>
      </c>
      <c r="H37" s="11">
        <f>MINA(INDIRECT(ADDRESS(ROW(),COLUMN(newark_part_data)+2)),INDIRECT(ADDRESS(ROW(),COLUMN(digikey_part_data)+2)),INDIRECT(ADDRESS(ROW(),COLUMN(mouser_part_data)+2)))</f>
        <v>0</v>
      </c>
      <c r="I37" s="11">
        <f>iferror(G37*H37,"")</f>
        <v>0</v>
      </c>
      <c r="J37">
        <v>809385</v>
      </c>
      <c r="L37" s="11">
        <f>iferror(lookup(if(K37="",G37,K37),{0,1,10,25,100,250,500,1000,2500,5000,10000,25000,50000,125000},{0.0,0.1,0.014,0.01,0.0057,0.00436,0.00348,0.00257,0.00223,0.00167,0.00145,0.00128,0.00117,0.00115}),"")</f>
        <v>0</v>
      </c>
      <c r="M37" s="11">
        <f>iferror(if(K37="",G37,K37)*L37,"")</f>
        <v>0</v>
      </c>
      <c r="N37" t="s">
        <v>153</v>
      </c>
      <c r="O37" s="12" t="s">
        <v>130</v>
      </c>
      <c r="P37">
        <v>170681</v>
      </c>
      <c r="R37" s="11">
        <f>iferror(lookup(if(Q37="",G37,Q37),{0,1,10,100,1000,5000,10000},{0.0,0.099,0.01,0.003,0.002,0.002,0.001}),"")</f>
        <v>0</v>
      </c>
      <c r="S37" s="11">
        <f>iferror(if(Q37="",G37,Q37)*R37,"")</f>
        <v>0</v>
      </c>
      <c r="T37" t="s">
        <v>182</v>
      </c>
      <c r="U37" s="12" t="s">
        <v>130</v>
      </c>
      <c r="V37">
        <v>2421</v>
      </c>
      <c r="X37" s="11">
        <f>iferror(lookup(if(W37="",G37,W37),{0,1,10,25,100,250,1000},{0.0,0.09,0.015,0.011,0.006,0.004,0.003}),"")</f>
        <v>0</v>
      </c>
      <c r="Y37" s="11">
        <f>iferror(if(W37="",G37,W37)*X37,"")</f>
        <v>0</v>
      </c>
      <c r="Z37" t="s">
        <v>207</v>
      </c>
      <c r="AA37" s="12" t="s">
        <v>130</v>
      </c>
    </row>
    <row r="38" spans="1:27">
      <c r="A38" t="s">
        <v>111</v>
      </c>
      <c r="B38" t="s">
        <v>112</v>
      </c>
      <c r="D38" t="s">
        <v>113</v>
      </c>
      <c r="G38">
        <f>BoardQty*1</f>
        <v>0</v>
      </c>
      <c r="H38" s="11">
        <f>MINA(INDIRECT(ADDRESS(ROW(),COLUMN(newark_part_data)+2)),INDIRECT(ADDRESS(ROW(),COLUMN(digikey_part_data)+2)),INDIRECT(ADDRESS(ROW(),COLUMN(mouser_part_data)+2)))</f>
        <v>0</v>
      </c>
      <c r="I38" s="11">
        <f>iferror(G38*H38,"")</f>
        <v>0</v>
      </c>
    </row>
    <row r="39" spans="1:27">
      <c r="A39" t="s">
        <v>114</v>
      </c>
      <c r="B39" t="s">
        <v>115</v>
      </c>
      <c r="D39" t="s">
        <v>18</v>
      </c>
      <c r="F39" t="s">
        <v>116</v>
      </c>
      <c r="G39">
        <f>BoardQty*1</f>
        <v>0</v>
      </c>
      <c r="H39" s="11">
        <f>MINA(INDIRECT(ADDRESS(ROW(),COLUMN(newark_part_data)+2)),INDIRECT(ADDRESS(ROW(),COLUMN(digikey_part_data)+2)),INDIRECT(ADDRESS(ROW(),COLUMN(mouser_part_data)+2)))</f>
        <v>0</v>
      </c>
      <c r="I39" s="11">
        <f>iferror(G39*H39,"")</f>
        <v>0</v>
      </c>
      <c r="J39">
        <v>447937</v>
      </c>
      <c r="L39" s="11">
        <f>iferror(lookup(if(K39="",G39,K39),{0,1,10,50,100,250,500,1000,2500,5000,10000,20000,30000,50000},{0.0,0.1,0.048,0.026,0.022,0.018,0.0154,0.012,0.0108,0.01,0.0084,0.008,0.0076,0.0068}),"")</f>
        <v>0</v>
      </c>
      <c r="M39" s="11">
        <f>iferror(if(K39="",G39,K39)*L39,"")</f>
        <v>0</v>
      </c>
      <c r="N39" t="s">
        <v>154</v>
      </c>
      <c r="O39" s="12" t="s">
        <v>130</v>
      </c>
      <c r="P39">
        <v>14740</v>
      </c>
      <c r="R39" s="11">
        <f>iferror(lookup(if(Q39="",G39,Q39),{0,1,10,100,500,1000,2500,5000,10000},{0.0,0.099,0.026,0.017,0.016,0.012,0.011,0.01,0.008}),"")</f>
        <v>0</v>
      </c>
      <c r="S39" s="11">
        <f>iferror(if(Q39="",G39,Q39)*R39,"")</f>
        <v>0</v>
      </c>
      <c r="T39" t="s">
        <v>183</v>
      </c>
      <c r="U39" s="12" t="s">
        <v>130</v>
      </c>
      <c r="V39">
        <v>10760</v>
      </c>
      <c r="X39" s="11">
        <f>iferror(lookup(if(W39="",G39,W39),{0,1,10,50,100,250,500,1000,5000},{0.0,0.131,0.034,0.021,0.018,0.015,0.015,0.013,0.012}),"")</f>
        <v>0</v>
      </c>
      <c r="Y39" s="11">
        <f>iferror(if(W39="",G39,W39)*X39,"")</f>
        <v>0</v>
      </c>
      <c r="Z39" t="s">
        <v>208</v>
      </c>
      <c r="AA39" s="12" t="s">
        <v>130</v>
      </c>
    </row>
    <row r="40" spans="1:27">
      <c r="A40" t="s">
        <v>117</v>
      </c>
      <c r="B40" t="s">
        <v>118</v>
      </c>
      <c r="D40" t="s">
        <v>119</v>
      </c>
      <c r="F40" t="s">
        <v>120</v>
      </c>
      <c r="G40">
        <f>BoardQty*1</f>
        <v>0</v>
      </c>
      <c r="H40" s="11">
        <f>MINA(INDIRECT(ADDRESS(ROW(),COLUMN(newark_part_data)+2)),INDIRECT(ADDRESS(ROW(),COLUMN(digikey_part_data)+2)),INDIRECT(ADDRESS(ROW(),COLUMN(mouser_part_data)+2)))</f>
        <v>0</v>
      </c>
      <c r="I40" s="11">
        <f>iferror(G40*H40,"")</f>
        <v>0</v>
      </c>
      <c r="J40">
        <v>6443</v>
      </c>
      <c r="L40" s="11">
        <f>iferror(lookup(if(K40="",G40,K40),{0,1,10,25,100,250,500,1000,2000},{0.0,3.58,3.193,2.8736,2.6181,2.36264,2.11998,1.78794,1.83625}),"")</f>
        <v>0</v>
      </c>
      <c r="M40" s="11">
        <f>iferror(if(K40="",G40,K40)*L40,"")</f>
        <v>0</v>
      </c>
      <c r="N40" t="s">
        <v>155</v>
      </c>
      <c r="O40" s="12" t="s">
        <v>130</v>
      </c>
      <c r="P40">
        <v>3759</v>
      </c>
      <c r="R40" s="11">
        <f>iferror(lookup(if(Q40="",G40,Q40),{0,1,10,25,50,100,250,500,1000},{0.0,3.52,3.15,2.83,2.65,2.57,2.33,2.08,1.85}),"")</f>
        <v>0</v>
      </c>
      <c r="S40" s="11">
        <f>iferror(if(Q40="",G40,Q40)*R40,"")</f>
        <v>0</v>
      </c>
      <c r="T40" t="s">
        <v>184</v>
      </c>
      <c r="U40" s="12" t="s">
        <v>130</v>
      </c>
      <c r="V40">
        <v>1034</v>
      </c>
      <c r="X40" s="11">
        <f>iferror(lookup(if(W40="",G40,W40),{0,1,10,25,50,100,250,500,1000},{0.0,3.47,3.04,2.86,2.43,2.29,2.2,2.16,1.91}),"")</f>
        <v>0</v>
      </c>
      <c r="Y40" s="11">
        <f>iferror(if(W40="",G40,W40)*X40,"")</f>
        <v>0</v>
      </c>
      <c r="Z40" t="s">
        <v>209</v>
      </c>
      <c r="AA40" s="12" t="s">
        <v>130</v>
      </c>
    </row>
    <row r="42" spans="1:27">
      <c r="K42">
        <f t="array" ref="K42">IFERROR(CONCATENATE(TEXT(INDEX($K$7:$K$40,SMALL(IF($N$7:$N$40&lt;&gt;"",IF($K$7:$K$40&lt;&gt;"",ROW($K$7:$K$40)-MIN(ROW($K$7:$K$40))+1,""),""),ROW()-ROW(A$42)+1)),"##0"),","),"")</f>
        <v>0</v>
      </c>
      <c r="L42">
        <f t="array" ref="L42">IFERROR(CONCATENATE((INDEX($N$7:$N$40,SMALL(IF($N$7:$N$40&lt;&gt;"",IF($K$7:$K$40&lt;&gt;"",ROW($K$7:$K$40)-MIN(ROW($K$7:$K$40))+1,""),""),ROW()-ROW(A$42)+1))),","),"")</f>
        <v>0</v>
      </c>
      <c r="M42">
        <f t="array" ref="M42">IFERROR(CONCATENATE((INDEX($A$7:$A$40,SMALL(IF($N$7:$N$40&lt;&gt;"",IF($K$7:$K$40&lt;&gt;"",ROW($K$7:$K$40)-MIN(ROW($K$7:$K$40))+1,""),""),ROW()-ROW(A$42)+1))),),"")</f>
        <v>0</v>
      </c>
      <c r="Q42">
        <f t="array" ref="Q42">IFERROR(CONCATENATE((INDEX($T$7:$T$40,SMALL(IF($T$7:$T$40&lt;&gt;"",IF($Q$7:$Q$40&lt;&gt;"",ROW($Q$7:$Q$40)-MIN(ROW($Q$7:$Q$40))+1,""),""),ROW()-ROW(A$42)+1)))," "),"")</f>
        <v>0</v>
      </c>
      <c r="R42">
        <f t="array" ref="R42">IFERROR(CONCATENATE(TEXT(INDEX($Q$7:$Q$40,SMALL(IF($T$7:$T$40&lt;&gt;"",IF($Q$7:$Q$40&lt;&gt;"",ROW($Q$7:$Q$40)-MIN(ROW($Q$7:$Q$40))+1,""),""),ROW()-ROW(A$42)+1)),"##0")," "),"")</f>
        <v>0</v>
      </c>
      <c r="S42">
        <f t="array" ref="S42">IFERROR(CONCATENATE((INDEX($A$7:$A$40,SMALL(IF($T$7:$T$40&lt;&gt;"",IF($Q$7:$Q$40&lt;&gt;"",ROW($Q$7:$Q$40)-MIN(ROW($Q$7:$Q$40))+1,""),""),ROW()-ROW(A$42)+1))),),"")</f>
        <v>0</v>
      </c>
      <c r="W42">
        <f t="array" ref="W42">IFERROR(CONCATENATE((INDEX($Z$7:$Z$40,SMALL(IF($Z$7:$Z$40&lt;&gt;"",IF($W$7:$W$40&lt;&gt;"",ROW($W$7:$W$40)-MIN(ROW($W$7:$W$40))+1,""),""),ROW()-ROW(A$42)+1))),","),"")</f>
        <v>0</v>
      </c>
      <c r="X42">
        <f t="array" ref="X42">IFERROR(CONCATENATE(TEXT(INDEX($W$7:$W$40,SMALL(IF($Z$7:$Z$40&lt;&gt;"",IF($W$7:$W$40&lt;&gt;"",ROW($W$7:$W$40)-MIN(ROW($W$7:$W$40))+1,""),""),ROW()-ROW(A$42)+1)),"##0"),","),"")</f>
        <v>0</v>
      </c>
      <c r="Y42">
        <f t="array" ref="Y42">IFERROR(CONCATENATE((INDEX($A$7:$A$40,SMALL(IF($Z$7:$Z$40&lt;&gt;"",IF($W$7:$W$40&lt;&gt;"",ROW($W$7:$W$40)-MIN(ROW($W$7:$W$40))+1,""),""),ROW()-ROW(A$42)+1))),),"")</f>
        <v>0</v>
      </c>
    </row>
    <row r="43" spans="1:27">
      <c r="K43">
        <f t="array" ref="K43">IFERROR(CONCATENATE(TEXT(INDEX($K$7:$K$40,SMALL(IF($N$7:$N$40&lt;&gt;"",IF($K$7:$K$40&lt;&gt;"",ROW($K$7:$K$40)-MIN(ROW($K$7:$K$40))+1,""),""),ROW()-ROW(A$42)+1)),"##0"),","),"")</f>
        <v>0</v>
      </c>
      <c r="L43">
        <f t="array" ref="L43">IFERROR(CONCATENATE((INDEX($N$7:$N$40,SMALL(IF($N$7:$N$40&lt;&gt;"",IF($K$7:$K$40&lt;&gt;"",ROW($K$7:$K$40)-MIN(ROW($K$7:$K$40))+1,""),""),ROW()-ROW(A$42)+1))),","),"")</f>
        <v>0</v>
      </c>
      <c r="M43">
        <f t="array" ref="M43">IFERROR(CONCATENATE((INDEX($A$7:$A$40,SMALL(IF($N$7:$N$40&lt;&gt;"",IF($K$7:$K$40&lt;&gt;"",ROW($K$7:$K$40)-MIN(ROW($K$7:$K$40))+1,""),""),ROW()-ROW(A$42)+1))),),"")</f>
        <v>0</v>
      </c>
      <c r="Q43">
        <f t="array" ref="Q43">IFERROR(CONCATENATE((INDEX($T$7:$T$40,SMALL(IF($T$7:$T$40&lt;&gt;"",IF($Q$7:$Q$40&lt;&gt;"",ROW($Q$7:$Q$40)-MIN(ROW($Q$7:$Q$40))+1,""),""),ROW()-ROW(A$42)+1)))," "),"")</f>
        <v>0</v>
      </c>
      <c r="R43">
        <f t="array" ref="R43">IFERROR(CONCATENATE(TEXT(INDEX($Q$7:$Q$40,SMALL(IF($T$7:$T$40&lt;&gt;"",IF($Q$7:$Q$40&lt;&gt;"",ROW($Q$7:$Q$40)-MIN(ROW($Q$7:$Q$40))+1,""),""),ROW()-ROW(A$42)+1)),"##0")," "),"")</f>
        <v>0</v>
      </c>
      <c r="S43">
        <f t="array" ref="S43">IFERROR(CONCATENATE((INDEX($A$7:$A$40,SMALL(IF($T$7:$T$40&lt;&gt;"",IF($Q$7:$Q$40&lt;&gt;"",ROW($Q$7:$Q$40)-MIN(ROW($Q$7:$Q$40))+1,""),""),ROW()-ROW(A$42)+1))),),"")</f>
        <v>0</v>
      </c>
      <c r="W43">
        <f t="array" ref="W43">IFERROR(CONCATENATE((INDEX($Z$7:$Z$40,SMALL(IF($Z$7:$Z$40&lt;&gt;"",IF($W$7:$W$40&lt;&gt;"",ROW($W$7:$W$40)-MIN(ROW($W$7:$W$40))+1,""),""),ROW()-ROW(A$42)+1))),","),"")</f>
        <v>0</v>
      </c>
      <c r="X43">
        <f t="array" ref="X43">IFERROR(CONCATENATE(TEXT(INDEX($W$7:$W$40,SMALL(IF($Z$7:$Z$40&lt;&gt;"",IF($W$7:$W$40&lt;&gt;"",ROW($W$7:$W$40)-MIN(ROW($W$7:$W$40))+1,""),""),ROW()-ROW(A$42)+1)),"##0"),","),"")</f>
        <v>0</v>
      </c>
      <c r="Y43">
        <f t="array" ref="Y43">IFERROR(CONCATENATE((INDEX($A$7:$A$40,SMALL(IF($Z$7:$Z$40&lt;&gt;"",IF($W$7:$W$40&lt;&gt;"",ROW($W$7:$W$40)-MIN(ROW($W$7:$W$40))+1,""),""),ROW()-ROW(A$42)+1))),),"")</f>
        <v>0</v>
      </c>
    </row>
    <row r="44" spans="1:27">
      <c r="K44">
        <f t="array" ref="K44">IFERROR(CONCATENATE(TEXT(INDEX($K$7:$K$40,SMALL(IF($N$7:$N$40&lt;&gt;"",IF($K$7:$K$40&lt;&gt;"",ROW($K$7:$K$40)-MIN(ROW($K$7:$K$40))+1,""),""),ROW()-ROW(A$42)+1)),"##0"),","),"")</f>
        <v>0</v>
      </c>
      <c r="L44">
        <f t="array" ref="L44">IFERROR(CONCATENATE((INDEX($N$7:$N$40,SMALL(IF($N$7:$N$40&lt;&gt;"",IF($K$7:$K$40&lt;&gt;"",ROW($K$7:$K$40)-MIN(ROW($K$7:$K$40))+1,""),""),ROW()-ROW(A$42)+1))),","),"")</f>
        <v>0</v>
      </c>
      <c r="M44">
        <f t="array" ref="M44">IFERROR(CONCATENATE((INDEX($A$7:$A$40,SMALL(IF($N$7:$N$40&lt;&gt;"",IF($K$7:$K$40&lt;&gt;"",ROW($K$7:$K$40)-MIN(ROW($K$7:$K$40))+1,""),""),ROW()-ROW(A$42)+1))),),"")</f>
        <v>0</v>
      </c>
      <c r="Q44">
        <f t="array" ref="Q44">IFERROR(CONCATENATE((INDEX($T$7:$T$40,SMALL(IF($T$7:$T$40&lt;&gt;"",IF($Q$7:$Q$40&lt;&gt;"",ROW($Q$7:$Q$40)-MIN(ROW($Q$7:$Q$40))+1,""),""),ROW()-ROW(A$42)+1)))," "),"")</f>
        <v>0</v>
      </c>
      <c r="R44">
        <f t="array" ref="R44">IFERROR(CONCATENATE(TEXT(INDEX($Q$7:$Q$40,SMALL(IF($T$7:$T$40&lt;&gt;"",IF($Q$7:$Q$40&lt;&gt;"",ROW($Q$7:$Q$40)-MIN(ROW($Q$7:$Q$40))+1,""),""),ROW()-ROW(A$42)+1)),"##0")," "),"")</f>
        <v>0</v>
      </c>
      <c r="S44">
        <f t="array" ref="S44">IFERROR(CONCATENATE((INDEX($A$7:$A$40,SMALL(IF($T$7:$T$40&lt;&gt;"",IF($Q$7:$Q$40&lt;&gt;"",ROW($Q$7:$Q$40)-MIN(ROW($Q$7:$Q$40))+1,""),""),ROW()-ROW(A$42)+1))),),"")</f>
        <v>0</v>
      </c>
      <c r="W44">
        <f t="array" ref="W44">IFERROR(CONCATENATE((INDEX($Z$7:$Z$40,SMALL(IF($Z$7:$Z$40&lt;&gt;"",IF($W$7:$W$40&lt;&gt;"",ROW($W$7:$W$40)-MIN(ROW($W$7:$W$40))+1,""),""),ROW()-ROW(A$42)+1))),","),"")</f>
        <v>0</v>
      </c>
      <c r="X44">
        <f t="array" ref="X44">IFERROR(CONCATENATE(TEXT(INDEX($W$7:$W$40,SMALL(IF($Z$7:$Z$40&lt;&gt;"",IF($W$7:$W$40&lt;&gt;"",ROW($W$7:$W$40)-MIN(ROW($W$7:$W$40))+1,""),""),ROW()-ROW(A$42)+1)),"##0"),","),"")</f>
        <v>0</v>
      </c>
      <c r="Y44">
        <f t="array" ref="Y44">IFERROR(CONCATENATE((INDEX($A$7:$A$40,SMALL(IF($Z$7:$Z$40&lt;&gt;"",IF($W$7:$W$40&lt;&gt;"",ROW($W$7:$W$40)-MIN(ROW($W$7:$W$40))+1,""),""),ROW()-ROW(A$42)+1))),),"")</f>
        <v>0</v>
      </c>
    </row>
    <row r="45" spans="1:27">
      <c r="K45">
        <f t="array" ref="K45">IFERROR(CONCATENATE(TEXT(INDEX($K$7:$K$40,SMALL(IF($N$7:$N$40&lt;&gt;"",IF($K$7:$K$40&lt;&gt;"",ROW($K$7:$K$40)-MIN(ROW($K$7:$K$40))+1,""),""),ROW()-ROW(A$42)+1)),"##0"),","),"")</f>
        <v>0</v>
      </c>
      <c r="L45">
        <f t="array" ref="L45">IFERROR(CONCATENATE((INDEX($N$7:$N$40,SMALL(IF($N$7:$N$40&lt;&gt;"",IF($K$7:$K$40&lt;&gt;"",ROW($K$7:$K$40)-MIN(ROW($K$7:$K$40))+1,""),""),ROW()-ROW(A$42)+1))),","),"")</f>
        <v>0</v>
      </c>
      <c r="M45">
        <f t="array" ref="M45">IFERROR(CONCATENATE((INDEX($A$7:$A$40,SMALL(IF($N$7:$N$40&lt;&gt;"",IF($K$7:$K$40&lt;&gt;"",ROW($K$7:$K$40)-MIN(ROW($K$7:$K$40))+1,""),""),ROW()-ROW(A$42)+1))),),"")</f>
        <v>0</v>
      </c>
      <c r="Q45">
        <f t="array" ref="Q45">IFERROR(CONCATENATE((INDEX($T$7:$T$40,SMALL(IF($T$7:$T$40&lt;&gt;"",IF($Q$7:$Q$40&lt;&gt;"",ROW($Q$7:$Q$40)-MIN(ROW($Q$7:$Q$40))+1,""),""),ROW()-ROW(A$42)+1)))," "),"")</f>
        <v>0</v>
      </c>
      <c r="R45">
        <f t="array" ref="R45">IFERROR(CONCATENATE(TEXT(INDEX($Q$7:$Q$40,SMALL(IF($T$7:$T$40&lt;&gt;"",IF($Q$7:$Q$40&lt;&gt;"",ROW($Q$7:$Q$40)-MIN(ROW($Q$7:$Q$40))+1,""),""),ROW()-ROW(A$42)+1)),"##0")," "),"")</f>
        <v>0</v>
      </c>
      <c r="S45">
        <f t="array" ref="S45">IFERROR(CONCATENATE((INDEX($A$7:$A$40,SMALL(IF($T$7:$T$40&lt;&gt;"",IF($Q$7:$Q$40&lt;&gt;"",ROW($Q$7:$Q$40)-MIN(ROW($Q$7:$Q$40))+1,""),""),ROW()-ROW(A$42)+1))),),"")</f>
        <v>0</v>
      </c>
      <c r="W45">
        <f t="array" ref="W45">IFERROR(CONCATENATE((INDEX($Z$7:$Z$40,SMALL(IF($Z$7:$Z$40&lt;&gt;"",IF($W$7:$W$40&lt;&gt;"",ROW($W$7:$W$40)-MIN(ROW($W$7:$W$40))+1,""),""),ROW()-ROW(A$42)+1))),","),"")</f>
        <v>0</v>
      </c>
      <c r="X45">
        <f t="array" ref="X45">IFERROR(CONCATENATE(TEXT(INDEX($W$7:$W$40,SMALL(IF($Z$7:$Z$40&lt;&gt;"",IF($W$7:$W$40&lt;&gt;"",ROW($W$7:$W$40)-MIN(ROW($W$7:$W$40))+1,""),""),ROW()-ROW(A$42)+1)),"##0"),","),"")</f>
        <v>0</v>
      </c>
      <c r="Y45">
        <f t="array" ref="Y45">IFERROR(CONCATENATE((INDEX($A$7:$A$40,SMALL(IF($Z$7:$Z$40&lt;&gt;"",IF($W$7:$W$40&lt;&gt;"",ROW($W$7:$W$40)-MIN(ROW($W$7:$W$40))+1,""),""),ROW()-ROW(A$42)+1))),),"")</f>
        <v>0</v>
      </c>
    </row>
    <row r="46" spans="1:27">
      <c r="K46">
        <f t="array" ref="K46">IFERROR(CONCATENATE(TEXT(INDEX($K$7:$K$40,SMALL(IF($N$7:$N$40&lt;&gt;"",IF($K$7:$K$40&lt;&gt;"",ROW($K$7:$K$40)-MIN(ROW($K$7:$K$40))+1,""),""),ROW()-ROW(A$42)+1)),"##0"),","),"")</f>
        <v>0</v>
      </c>
      <c r="L46">
        <f t="array" ref="L46">IFERROR(CONCATENATE((INDEX($N$7:$N$40,SMALL(IF($N$7:$N$40&lt;&gt;"",IF($K$7:$K$40&lt;&gt;"",ROW($K$7:$K$40)-MIN(ROW($K$7:$K$40))+1,""),""),ROW()-ROW(A$42)+1))),","),"")</f>
        <v>0</v>
      </c>
      <c r="M46">
        <f t="array" ref="M46">IFERROR(CONCATENATE((INDEX($A$7:$A$40,SMALL(IF($N$7:$N$40&lt;&gt;"",IF($K$7:$K$40&lt;&gt;"",ROW($K$7:$K$40)-MIN(ROW($K$7:$K$40))+1,""),""),ROW()-ROW(A$42)+1))),),"")</f>
        <v>0</v>
      </c>
      <c r="Q46">
        <f t="array" ref="Q46">IFERROR(CONCATENATE((INDEX($T$7:$T$40,SMALL(IF($T$7:$T$40&lt;&gt;"",IF($Q$7:$Q$40&lt;&gt;"",ROW($Q$7:$Q$40)-MIN(ROW($Q$7:$Q$40))+1,""),""),ROW()-ROW(A$42)+1)))," "),"")</f>
        <v>0</v>
      </c>
      <c r="R46">
        <f t="array" ref="R46">IFERROR(CONCATENATE(TEXT(INDEX($Q$7:$Q$40,SMALL(IF($T$7:$T$40&lt;&gt;"",IF($Q$7:$Q$40&lt;&gt;"",ROW($Q$7:$Q$40)-MIN(ROW($Q$7:$Q$40))+1,""),""),ROW()-ROW(A$42)+1)),"##0")," "),"")</f>
        <v>0</v>
      </c>
      <c r="S46">
        <f t="array" ref="S46">IFERROR(CONCATENATE((INDEX($A$7:$A$40,SMALL(IF($T$7:$T$40&lt;&gt;"",IF($Q$7:$Q$40&lt;&gt;"",ROW($Q$7:$Q$40)-MIN(ROW($Q$7:$Q$40))+1,""),""),ROW()-ROW(A$42)+1))),),"")</f>
        <v>0</v>
      </c>
      <c r="W46">
        <f t="array" ref="W46">IFERROR(CONCATENATE((INDEX($Z$7:$Z$40,SMALL(IF($Z$7:$Z$40&lt;&gt;"",IF($W$7:$W$40&lt;&gt;"",ROW($W$7:$W$40)-MIN(ROW($W$7:$W$40))+1,""),""),ROW()-ROW(A$42)+1))),","),"")</f>
        <v>0</v>
      </c>
      <c r="X46">
        <f t="array" ref="X46">IFERROR(CONCATENATE(TEXT(INDEX($W$7:$W$40,SMALL(IF($Z$7:$Z$40&lt;&gt;"",IF($W$7:$W$40&lt;&gt;"",ROW($W$7:$W$40)-MIN(ROW($W$7:$W$40))+1,""),""),ROW()-ROW(A$42)+1)),"##0"),","),"")</f>
        <v>0</v>
      </c>
      <c r="Y46">
        <f t="array" ref="Y46">IFERROR(CONCATENATE((INDEX($A$7:$A$40,SMALL(IF($Z$7:$Z$40&lt;&gt;"",IF($W$7:$W$40&lt;&gt;"",ROW($W$7:$W$40)-MIN(ROW($W$7:$W$40))+1,""),""),ROW()-ROW(A$42)+1))),),"")</f>
        <v>0</v>
      </c>
    </row>
    <row r="47" spans="1:27">
      <c r="K47">
        <f t="array" ref="K47">IFERROR(CONCATENATE(TEXT(INDEX($K$7:$K$40,SMALL(IF($N$7:$N$40&lt;&gt;"",IF($K$7:$K$40&lt;&gt;"",ROW($K$7:$K$40)-MIN(ROW($K$7:$K$40))+1,""),""),ROW()-ROW(A$42)+1)),"##0"),","),"")</f>
        <v>0</v>
      </c>
      <c r="L47">
        <f t="array" ref="L47">IFERROR(CONCATENATE((INDEX($N$7:$N$40,SMALL(IF($N$7:$N$40&lt;&gt;"",IF($K$7:$K$40&lt;&gt;"",ROW($K$7:$K$40)-MIN(ROW($K$7:$K$40))+1,""),""),ROW()-ROW(A$42)+1))),","),"")</f>
        <v>0</v>
      </c>
      <c r="M47">
        <f t="array" ref="M47">IFERROR(CONCATENATE((INDEX($A$7:$A$40,SMALL(IF($N$7:$N$40&lt;&gt;"",IF($K$7:$K$40&lt;&gt;"",ROW($K$7:$K$40)-MIN(ROW($K$7:$K$40))+1,""),""),ROW()-ROW(A$42)+1))),),"")</f>
        <v>0</v>
      </c>
      <c r="Q47">
        <f t="array" ref="Q47">IFERROR(CONCATENATE((INDEX($T$7:$T$40,SMALL(IF($T$7:$T$40&lt;&gt;"",IF($Q$7:$Q$40&lt;&gt;"",ROW($Q$7:$Q$40)-MIN(ROW($Q$7:$Q$40))+1,""),""),ROW()-ROW(A$42)+1)))," "),"")</f>
        <v>0</v>
      </c>
      <c r="R47">
        <f t="array" ref="R47">IFERROR(CONCATENATE(TEXT(INDEX($Q$7:$Q$40,SMALL(IF($T$7:$T$40&lt;&gt;"",IF($Q$7:$Q$40&lt;&gt;"",ROW($Q$7:$Q$40)-MIN(ROW($Q$7:$Q$40))+1,""),""),ROW()-ROW(A$42)+1)),"##0")," "),"")</f>
        <v>0</v>
      </c>
      <c r="S47">
        <f t="array" ref="S47">IFERROR(CONCATENATE((INDEX($A$7:$A$40,SMALL(IF($T$7:$T$40&lt;&gt;"",IF($Q$7:$Q$40&lt;&gt;"",ROW($Q$7:$Q$40)-MIN(ROW($Q$7:$Q$40))+1,""),""),ROW()-ROW(A$42)+1))),),"")</f>
        <v>0</v>
      </c>
      <c r="W47">
        <f t="array" ref="W47">IFERROR(CONCATENATE((INDEX($Z$7:$Z$40,SMALL(IF($Z$7:$Z$40&lt;&gt;"",IF($W$7:$W$40&lt;&gt;"",ROW($W$7:$W$40)-MIN(ROW($W$7:$W$40))+1,""),""),ROW()-ROW(A$42)+1))),","),"")</f>
        <v>0</v>
      </c>
      <c r="X47">
        <f t="array" ref="X47">IFERROR(CONCATENATE(TEXT(INDEX($W$7:$W$40,SMALL(IF($Z$7:$Z$40&lt;&gt;"",IF($W$7:$W$40&lt;&gt;"",ROW($W$7:$W$40)-MIN(ROW($W$7:$W$40))+1,""),""),ROW()-ROW(A$42)+1)),"##0"),","),"")</f>
        <v>0</v>
      </c>
      <c r="Y47">
        <f t="array" ref="Y47">IFERROR(CONCATENATE((INDEX($A$7:$A$40,SMALL(IF($Z$7:$Z$40&lt;&gt;"",IF($W$7:$W$40&lt;&gt;"",ROW($W$7:$W$40)-MIN(ROW($W$7:$W$40))+1,""),""),ROW()-ROW(A$42)+1))),),"")</f>
        <v>0</v>
      </c>
    </row>
    <row r="48" spans="1:27">
      <c r="K48">
        <f t="array" ref="K48">IFERROR(CONCATENATE(TEXT(INDEX($K$7:$K$40,SMALL(IF($N$7:$N$40&lt;&gt;"",IF($K$7:$K$40&lt;&gt;"",ROW($K$7:$K$40)-MIN(ROW($K$7:$K$40))+1,""),""),ROW()-ROW(A$42)+1)),"##0"),","),"")</f>
        <v>0</v>
      </c>
      <c r="L48">
        <f t="array" ref="L48">IFERROR(CONCATENATE((INDEX($N$7:$N$40,SMALL(IF($N$7:$N$40&lt;&gt;"",IF($K$7:$K$40&lt;&gt;"",ROW($K$7:$K$40)-MIN(ROW($K$7:$K$40))+1,""),""),ROW()-ROW(A$42)+1))),","),"")</f>
        <v>0</v>
      </c>
      <c r="M48">
        <f t="array" ref="M48">IFERROR(CONCATENATE((INDEX($A$7:$A$40,SMALL(IF($N$7:$N$40&lt;&gt;"",IF($K$7:$K$40&lt;&gt;"",ROW($K$7:$K$40)-MIN(ROW($K$7:$K$40))+1,""),""),ROW()-ROW(A$42)+1))),),"")</f>
        <v>0</v>
      </c>
      <c r="Q48">
        <f t="array" ref="Q48">IFERROR(CONCATENATE((INDEX($T$7:$T$40,SMALL(IF($T$7:$T$40&lt;&gt;"",IF($Q$7:$Q$40&lt;&gt;"",ROW($Q$7:$Q$40)-MIN(ROW($Q$7:$Q$40))+1,""),""),ROW()-ROW(A$42)+1)))," "),"")</f>
        <v>0</v>
      </c>
      <c r="R48">
        <f t="array" ref="R48">IFERROR(CONCATENATE(TEXT(INDEX($Q$7:$Q$40,SMALL(IF($T$7:$T$40&lt;&gt;"",IF($Q$7:$Q$40&lt;&gt;"",ROW($Q$7:$Q$40)-MIN(ROW($Q$7:$Q$40))+1,""),""),ROW()-ROW(A$42)+1)),"##0")," "),"")</f>
        <v>0</v>
      </c>
      <c r="S48">
        <f t="array" ref="S48">IFERROR(CONCATENATE((INDEX($A$7:$A$40,SMALL(IF($T$7:$T$40&lt;&gt;"",IF($Q$7:$Q$40&lt;&gt;"",ROW($Q$7:$Q$40)-MIN(ROW($Q$7:$Q$40))+1,""),""),ROW()-ROW(A$42)+1))),),"")</f>
        <v>0</v>
      </c>
      <c r="W48">
        <f t="array" ref="W48">IFERROR(CONCATENATE((INDEX($Z$7:$Z$40,SMALL(IF($Z$7:$Z$40&lt;&gt;"",IF($W$7:$W$40&lt;&gt;"",ROW($W$7:$W$40)-MIN(ROW($W$7:$W$40))+1,""),""),ROW()-ROW(A$42)+1))),","),"")</f>
        <v>0</v>
      </c>
      <c r="X48">
        <f t="array" ref="X48">IFERROR(CONCATENATE(TEXT(INDEX($W$7:$W$40,SMALL(IF($Z$7:$Z$40&lt;&gt;"",IF($W$7:$W$40&lt;&gt;"",ROW($W$7:$W$40)-MIN(ROW($W$7:$W$40))+1,""),""),ROW()-ROW(A$42)+1)),"##0"),","),"")</f>
        <v>0</v>
      </c>
      <c r="Y48">
        <f t="array" ref="Y48">IFERROR(CONCATENATE((INDEX($A$7:$A$40,SMALL(IF($Z$7:$Z$40&lt;&gt;"",IF($W$7:$W$40&lt;&gt;"",ROW($W$7:$W$40)-MIN(ROW($W$7:$W$40))+1,""),""),ROW()-ROW(A$42)+1))),),"")</f>
        <v>0</v>
      </c>
    </row>
    <row r="49" spans="11:25">
      <c r="K49">
        <f t="array" ref="K49">IFERROR(CONCATENATE(TEXT(INDEX($K$7:$K$40,SMALL(IF($N$7:$N$40&lt;&gt;"",IF($K$7:$K$40&lt;&gt;"",ROW($K$7:$K$40)-MIN(ROW($K$7:$K$40))+1,""),""),ROW()-ROW(A$42)+1)),"##0"),","),"")</f>
        <v>0</v>
      </c>
      <c r="L49">
        <f t="array" ref="L49">IFERROR(CONCATENATE((INDEX($N$7:$N$40,SMALL(IF($N$7:$N$40&lt;&gt;"",IF($K$7:$K$40&lt;&gt;"",ROW($K$7:$K$40)-MIN(ROW($K$7:$K$40))+1,""),""),ROW()-ROW(A$42)+1))),","),"")</f>
        <v>0</v>
      </c>
      <c r="M49">
        <f t="array" ref="M49">IFERROR(CONCATENATE((INDEX($A$7:$A$40,SMALL(IF($N$7:$N$40&lt;&gt;"",IF($K$7:$K$40&lt;&gt;"",ROW($K$7:$K$40)-MIN(ROW($K$7:$K$40))+1,""),""),ROW()-ROW(A$42)+1))),),"")</f>
        <v>0</v>
      </c>
      <c r="Q49">
        <f t="array" ref="Q49">IFERROR(CONCATENATE((INDEX($T$7:$T$40,SMALL(IF($T$7:$T$40&lt;&gt;"",IF($Q$7:$Q$40&lt;&gt;"",ROW($Q$7:$Q$40)-MIN(ROW($Q$7:$Q$40))+1,""),""),ROW()-ROW(A$42)+1)))," "),"")</f>
        <v>0</v>
      </c>
      <c r="R49">
        <f t="array" ref="R49">IFERROR(CONCATENATE(TEXT(INDEX($Q$7:$Q$40,SMALL(IF($T$7:$T$40&lt;&gt;"",IF($Q$7:$Q$40&lt;&gt;"",ROW($Q$7:$Q$40)-MIN(ROW($Q$7:$Q$40))+1,""),""),ROW()-ROW(A$42)+1)),"##0")," "),"")</f>
        <v>0</v>
      </c>
      <c r="S49">
        <f t="array" ref="S49">IFERROR(CONCATENATE((INDEX($A$7:$A$40,SMALL(IF($T$7:$T$40&lt;&gt;"",IF($Q$7:$Q$40&lt;&gt;"",ROW($Q$7:$Q$40)-MIN(ROW($Q$7:$Q$40))+1,""),""),ROW()-ROW(A$42)+1))),),"")</f>
        <v>0</v>
      </c>
      <c r="W49">
        <f t="array" ref="W49">IFERROR(CONCATENATE((INDEX($Z$7:$Z$40,SMALL(IF($Z$7:$Z$40&lt;&gt;"",IF($W$7:$W$40&lt;&gt;"",ROW($W$7:$W$40)-MIN(ROW($W$7:$W$40))+1,""),""),ROW()-ROW(A$42)+1))),","),"")</f>
        <v>0</v>
      </c>
      <c r="X49">
        <f t="array" ref="X49">IFERROR(CONCATENATE(TEXT(INDEX($W$7:$W$40,SMALL(IF($Z$7:$Z$40&lt;&gt;"",IF($W$7:$W$40&lt;&gt;"",ROW($W$7:$W$40)-MIN(ROW($W$7:$W$40))+1,""),""),ROW()-ROW(A$42)+1)),"##0"),","),"")</f>
        <v>0</v>
      </c>
      <c r="Y49">
        <f t="array" ref="Y49">IFERROR(CONCATENATE((INDEX($A$7:$A$40,SMALL(IF($Z$7:$Z$40&lt;&gt;"",IF($W$7:$W$40&lt;&gt;"",ROW($W$7:$W$40)-MIN(ROW($W$7:$W$40))+1,""),""),ROW()-ROW(A$42)+1))),),"")</f>
        <v>0</v>
      </c>
    </row>
    <row r="50" spans="11:25">
      <c r="K50">
        <f t="array" ref="K50">IFERROR(CONCATENATE(TEXT(INDEX($K$7:$K$40,SMALL(IF($N$7:$N$40&lt;&gt;"",IF($K$7:$K$40&lt;&gt;"",ROW($K$7:$K$40)-MIN(ROW($K$7:$K$40))+1,""),""),ROW()-ROW(A$42)+1)),"##0"),","),"")</f>
        <v>0</v>
      </c>
      <c r="L50">
        <f t="array" ref="L50">IFERROR(CONCATENATE((INDEX($N$7:$N$40,SMALL(IF($N$7:$N$40&lt;&gt;"",IF($K$7:$K$40&lt;&gt;"",ROW($K$7:$K$40)-MIN(ROW($K$7:$K$40))+1,""),""),ROW()-ROW(A$42)+1))),","),"")</f>
        <v>0</v>
      </c>
      <c r="M50">
        <f t="array" ref="M50">IFERROR(CONCATENATE((INDEX($A$7:$A$40,SMALL(IF($N$7:$N$40&lt;&gt;"",IF($K$7:$K$40&lt;&gt;"",ROW($K$7:$K$40)-MIN(ROW($K$7:$K$40))+1,""),""),ROW()-ROW(A$42)+1))),),"")</f>
        <v>0</v>
      </c>
      <c r="Q50">
        <f t="array" ref="Q50">IFERROR(CONCATENATE((INDEX($T$7:$T$40,SMALL(IF($T$7:$T$40&lt;&gt;"",IF($Q$7:$Q$40&lt;&gt;"",ROW($Q$7:$Q$40)-MIN(ROW($Q$7:$Q$40))+1,""),""),ROW()-ROW(A$42)+1)))," "),"")</f>
        <v>0</v>
      </c>
      <c r="R50">
        <f t="array" ref="R50">IFERROR(CONCATENATE(TEXT(INDEX($Q$7:$Q$40,SMALL(IF($T$7:$T$40&lt;&gt;"",IF($Q$7:$Q$40&lt;&gt;"",ROW($Q$7:$Q$40)-MIN(ROW($Q$7:$Q$40))+1,""),""),ROW()-ROW(A$42)+1)),"##0")," "),"")</f>
        <v>0</v>
      </c>
      <c r="S50">
        <f t="array" ref="S50">IFERROR(CONCATENATE((INDEX($A$7:$A$40,SMALL(IF($T$7:$T$40&lt;&gt;"",IF($Q$7:$Q$40&lt;&gt;"",ROW($Q$7:$Q$40)-MIN(ROW($Q$7:$Q$40))+1,""),""),ROW()-ROW(A$42)+1))),),"")</f>
        <v>0</v>
      </c>
      <c r="W50">
        <f t="array" ref="W50">IFERROR(CONCATENATE((INDEX($Z$7:$Z$40,SMALL(IF($Z$7:$Z$40&lt;&gt;"",IF($W$7:$W$40&lt;&gt;"",ROW($W$7:$W$40)-MIN(ROW($W$7:$W$40))+1,""),""),ROW()-ROW(A$42)+1))),","),"")</f>
        <v>0</v>
      </c>
      <c r="X50">
        <f t="array" ref="X50">IFERROR(CONCATENATE(TEXT(INDEX($W$7:$W$40,SMALL(IF($Z$7:$Z$40&lt;&gt;"",IF($W$7:$W$40&lt;&gt;"",ROW($W$7:$W$40)-MIN(ROW($W$7:$W$40))+1,""),""),ROW()-ROW(A$42)+1)),"##0"),","),"")</f>
        <v>0</v>
      </c>
      <c r="Y50">
        <f t="array" ref="Y50">IFERROR(CONCATENATE((INDEX($A$7:$A$40,SMALL(IF($Z$7:$Z$40&lt;&gt;"",IF($W$7:$W$40&lt;&gt;"",ROW($W$7:$W$40)-MIN(ROW($W$7:$W$40))+1,""),""),ROW()-ROW(A$42)+1))),),"")</f>
        <v>0</v>
      </c>
    </row>
    <row r="51" spans="11:25">
      <c r="K51">
        <f t="array" ref="K51">IFERROR(CONCATENATE(TEXT(INDEX($K$7:$K$40,SMALL(IF($N$7:$N$40&lt;&gt;"",IF($K$7:$K$40&lt;&gt;"",ROW($K$7:$K$40)-MIN(ROW($K$7:$K$40))+1,""),""),ROW()-ROW(A$42)+1)),"##0"),","),"")</f>
        <v>0</v>
      </c>
      <c r="L51">
        <f t="array" ref="L51">IFERROR(CONCATENATE((INDEX($N$7:$N$40,SMALL(IF($N$7:$N$40&lt;&gt;"",IF($K$7:$K$40&lt;&gt;"",ROW($K$7:$K$40)-MIN(ROW($K$7:$K$40))+1,""),""),ROW()-ROW(A$42)+1))),","),"")</f>
        <v>0</v>
      </c>
      <c r="M51">
        <f t="array" ref="M51">IFERROR(CONCATENATE((INDEX($A$7:$A$40,SMALL(IF($N$7:$N$40&lt;&gt;"",IF($K$7:$K$40&lt;&gt;"",ROW($K$7:$K$40)-MIN(ROW($K$7:$K$40))+1,""),""),ROW()-ROW(A$42)+1))),),"")</f>
        <v>0</v>
      </c>
      <c r="Q51">
        <f t="array" ref="Q51">IFERROR(CONCATENATE((INDEX($T$7:$T$40,SMALL(IF($T$7:$T$40&lt;&gt;"",IF($Q$7:$Q$40&lt;&gt;"",ROW($Q$7:$Q$40)-MIN(ROW($Q$7:$Q$40))+1,""),""),ROW()-ROW(A$42)+1)))," "),"")</f>
        <v>0</v>
      </c>
      <c r="R51">
        <f t="array" ref="R51">IFERROR(CONCATENATE(TEXT(INDEX($Q$7:$Q$40,SMALL(IF($T$7:$T$40&lt;&gt;"",IF($Q$7:$Q$40&lt;&gt;"",ROW($Q$7:$Q$40)-MIN(ROW($Q$7:$Q$40))+1,""),""),ROW()-ROW(A$42)+1)),"##0")," "),"")</f>
        <v>0</v>
      </c>
      <c r="S51">
        <f t="array" ref="S51">IFERROR(CONCATENATE((INDEX($A$7:$A$40,SMALL(IF($T$7:$T$40&lt;&gt;"",IF($Q$7:$Q$40&lt;&gt;"",ROW($Q$7:$Q$40)-MIN(ROW($Q$7:$Q$40))+1,""),""),ROW()-ROW(A$42)+1))),),"")</f>
        <v>0</v>
      </c>
      <c r="W51">
        <f t="array" ref="W51">IFERROR(CONCATENATE((INDEX($Z$7:$Z$40,SMALL(IF($Z$7:$Z$40&lt;&gt;"",IF($W$7:$W$40&lt;&gt;"",ROW($W$7:$W$40)-MIN(ROW($W$7:$W$40))+1,""),""),ROW()-ROW(A$42)+1))),","),"")</f>
        <v>0</v>
      </c>
      <c r="X51">
        <f t="array" ref="X51">IFERROR(CONCATENATE(TEXT(INDEX($W$7:$W$40,SMALL(IF($Z$7:$Z$40&lt;&gt;"",IF($W$7:$W$40&lt;&gt;"",ROW($W$7:$W$40)-MIN(ROW($W$7:$W$40))+1,""),""),ROW()-ROW(A$42)+1)),"##0"),","),"")</f>
        <v>0</v>
      </c>
      <c r="Y51">
        <f t="array" ref="Y51">IFERROR(CONCATENATE((INDEX($A$7:$A$40,SMALL(IF($Z$7:$Z$40&lt;&gt;"",IF($W$7:$W$40&lt;&gt;"",ROW($W$7:$W$40)-MIN(ROW($W$7:$W$40))+1,""),""),ROW()-ROW(A$42)+1))),),"")</f>
        <v>0</v>
      </c>
    </row>
    <row r="52" spans="11:25">
      <c r="K52">
        <f t="array" ref="K52">IFERROR(CONCATENATE(TEXT(INDEX($K$7:$K$40,SMALL(IF($N$7:$N$40&lt;&gt;"",IF($K$7:$K$40&lt;&gt;"",ROW($K$7:$K$40)-MIN(ROW($K$7:$K$40))+1,""),""),ROW()-ROW(A$42)+1)),"##0"),","),"")</f>
        <v>0</v>
      </c>
      <c r="L52">
        <f t="array" ref="L52">IFERROR(CONCATENATE((INDEX($N$7:$N$40,SMALL(IF($N$7:$N$40&lt;&gt;"",IF($K$7:$K$40&lt;&gt;"",ROW($K$7:$K$40)-MIN(ROW($K$7:$K$40))+1,""),""),ROW()-ROW(A$42)+1))),","),"")</f>
        <v>0</v>
      </c>
      <c r="M52">
        <f t="array" ref="M52">IFERROR(CONCATENATE((INDEX($A$7:$A$40,SMALL(IF($N$7:$N$40&lt;&gt;"",IF($K$7:$K$40&lt;&gt;"",ROW($K$7:$K$40)-MIN(ROW($K$7:$K$40))+1,""),""),ROW()-ROW(A$42)+1))),),"")</f>
        <v>0</v>
      </c>
      <c r="Q52">
        <f t="array" ref="Q52">IFERROR(CONCATENATE((INDEX($T$7:$T$40,SMALL(IF($T$7:$T$40&lt;&gt;"",IF($Q$7:$Q$40&lt;&gt;"",ROW($Q$7:$Q$40)-MIN(ROW($Q$7:$Q$40))+1,""),""),ROW()-ROW(A$42)+1)))," "),"")</f>
        <v>0</v>
      </c>
      <c r="R52">
        <f t="array" ref="R52">IFERROR(CONCATENATE(TEXT(INDEX($Q$7:$Q$40,SMALL(IF($T$7:$T$40&lt;&gt;"",IF($Q$7:$Q$40&lt;&gt;"",ROW($Q$7:$Q$40)-MIN(ROW($Q$7:$Q$40))+1,""),""),ROW()-ROW(A$42)+1)),"##0")," "),"")</f>
        <v>0</v>
      </c>
      <c r="S52">
        <f t="array" ref="S52">IFERROR(CONCATENATE((INDEX($A$7:$A$40,SMALL(IF($T$7:$T$40&lt;&gt;"",IF($Q$7:$Q$40&lt;&gt;"",ROW($Q$7:$Q$40)-MIN(ROW($Q$7:$Q$40))+1,""),""),ROW()-ROW(A$42)+1))),),"")</f>
        <v>0</v>
      </c>
      <c r="W52">
        <f t="array" ref="W52">IFERROR(CONCATENATE((INDEX($Z$7:$Z$40,SMALL(IF($Z$7:$Z$40&lt;&gt;"",IF($W$7:$W$40&lt;&gt;"",ROW($W$7:$W$40)-MIN(ROW($W$7:$W$40))+1,""),""),ROW()-ROW(A$42)+1))),","),"")</f>
        <v>0</v>
      </c>
      <c r="X52">
        <f t="array" ref="X52">IFERROR(CONCATENATE(TEXT(INDEX($W$7:$W$40,SMALL(IF($Z$7:$Z$40&lt;&gt;"",IF($W$7:$W$40&lt;&gt;"",ROW($W$7:$W$40)-MIN(ROW($W$7:$W$40))+1,""),""),ROW()-ROW(A$42)+1)),"##0"),","),"")</f>
        <v>0</v>
      </c>
      <c r="Y52">
        <f t="array" ref="Y52">IFERROR(CONCATENATE((INDEX($A$7:$A$40,SMALL(IF($Z$7:$Z$40&lt;&gt;"",IF($W$7:$W$40&lt;&gt;"",ROW($W$7:$W$40)-MIN(ROW($W$7:$W$40))+1,""),""),ROW()-ROW(A$42)+1))),),"")</f>
        <v>0</v>
      </c>
    </row>
    <row r="53" spans="11:25">
      <c r="K53">
        <f t="array" ref="K53">IFERROR(CONCATENATE(TEXT(INDEX($K$7:$K$40,SMALL(IF($N$7:$N$40&lt;&gt;"",IF($K$7:$K$40&lt;&gt;"",ROW($K$7:$K$40)-MIN(ROW($K$7:$K$40))+1,""),""),ROW()-ROW(A$42)+1)),"##0"),","),"")</f>
        <v>0</v>
      </c>
      <c r="L53">
        <f t="array" ref="L53">IFERROR(CONCATENATE((INDEX($N$7:$N$40,SMALL(IF($N$7:$N$40&lt;&gt;"",IF($K$7:$K$40&lt;&gt;"",ROW($K$7:$K$40)-MIN(ROW($K$7:$K$40))+1,""),""),ROW()-ROW(A$42)+1))),","),"")</f>
        <v>0</v>
      </c>
      <c r="M53">
        <f t="array" ref="M53">IFERROR(CONCATENATE((INDEX($A$7:$A$40,SMALL(IF($N$7:$N$40&lt;&gt;"",IF($K$7:$K$40&lt;&gt;"",ROW($K$7:$K$40)-MIN(ROW($K$7:$K$40))+1,""),""),ROW()-ROW(A$42)+1))),),"")</f>
        <v>0</v>
      </c>
      <c r="Q53">
        <f t="array" ref="Q53">IFERROR(CONCATENATE((INDEX($T$7:$T$40,SMALL(IF($T$7:$T$40&lt;&gt;"",IF($Q$7:$Q$40&lt;&gt;"",ROW($Q$7:$Q$40)-MIN(ROW($Q$7:$Q$40))+1,""),""),ROW()-ROW(A$42)+1)))," "),"")</f>
        <v>0</v>
      </c>
      <c r="R53">
        <f t="array" ref="R53">IFERROR(CONCATENATE(TEXT(INDEX($Q$7:$Q$40,SMALL(IF($T$7:$T$40&lt;&gt;"",IF($Q$7:$Q$40&lt;&gt;"",ROW($Q$7:$Q$40)-MIN(ROW($Q$7:$Q$40))+1,""),""),ROW()-ROW(A$42)+1)),"##0")," "),"")</f>
        <v>0</v>
      </c>
      <c r="S53">
        <f t="array" ref="S53">IFERROR(CONCATENATE((INDEX($A$7:$A$40,SMALL(IF($T$7:$T$40&lt;&gt;"",IF($Q$7:$Q$40&lt;&gt;"",ROW($Q$7:$Q$40)-MIN(ROW($Q$7:$Q$40))+1,""),""),ROW()-ROW(A$42)+1))),),"")</f>
        <v>0</v>
      </c>
      <c r="W53">
        <f t="array" ref="W53">IFERROR(CONCATENATE((INDEX($Z$7:$Z$40,SMALL(IF($Z$7:$Z$40&lt;&gt;"",IF($W$7:$W$40&lt;&gt;"",ROW($W$7:$W$40)-MIN(ROW($W$7:$W$40))+1,""),""),ROW()-ROW(A$42)+1))),","),"")</f>
        <v>0</v>
      </c>
      <c r="X53">
        <f t="array" ref="X53">IFERROR(CONCATENATE(TEXT(INDEX($W$7:$W$40,SMALL(IF($Z$7:$Z$40&lt;&gt;"",IF($W$7:$W$40&lt;&gt;"",ROW($W$7:$W$40)-MIN(ROW($W$7:$W$40))+1,""),""),ROW()-ROW(A$42)+1)),"##0"),","),"")</f>
        <v>0</v>
      </c>
      <c r="Y53">
        <f t="array" ref="Y53">IFERROR(CONCATENATE((INDEX($A$7:$A$40,SMALL(IF($Z$7:$Z$40&lt;&gt;"",IF($W$7:$W$40&lt;&gt;"",ROW($W$7:$W$40)-MIN(ROW($W$7:$W$40))+1,""),""),ROW()-ROW(A$42)+1))),),"")</f>
        <v>0</v>
      </c>
    </row>
    <row r="54" spans="11:25">
      <c r="K54">
        <f t="array" ref="K54">IFERROR(CONCATENATE(TEXT(INDEX($K$7:$K$40,SMALL(IF($N$7:$N$40&lt;&gt;"",IF($K$7:$K$40&lt;&gt;"",ROW($K$7:$K$40)-MIN(ROW($K$7:$K$40))+1,""),""),ROW()-ROW(A$42)+1)),"##0"),","),"")</f>
        <v>0</v>
      </c>
      <c r="L54">
        <f t="array" ref="L54">IFERROR(CONCATENATE((INDEX($N$7:$N$40,SMALL(IF($N$7:$N$40&lt;&gt;"",IF($K$7:$K$40&lt;&gt;"",ROW($K$7:$K$40)-MIN(ROW($K$7:$K$40))+1,""),""),ROW()-ROW(A$42)+1))),","),"")</f>
        <v>0</v>
      </c>
      <c r="M54">
        <f t="array" ref="M54">IFERROR(CONCATENATE((INDEX($A$7:$A$40,SMALL(IF($N$7:$N$40&lt;&gt;"",IF($K$7:$K$40&lt;&gt;"",ROW($K$7:$K$40)-MIN(ROW($K$7:$K$40))+1,""),""),ROW()-ROW(A$42)+1))),),"")</f>
        <v>0</v>
      </c>
      <c r="Q54">
        <f t="array" ref="Q54">IFERROR(CONCATENATE((INDEX($T$7:$T$40,SMALL(IF($T$7:$T$40&lt;&gt;"",IF($Q$7:$Q$40&lt;&gt;"",ROW($Q$7:$Q$40)-MIN(ROW($Q$7:$Q$40))+1,""),""),ROW()-ROW(A$42)+1)))," "),"")</f>
        <v>0</v>
      </c>
      <c r="R54">
        <f t="array" ref="R54">IFERROR(CONCATENATE(TEXT(INDEX($Q$7:$Q$40,SMALL(IF($T$7:$T$40&lt;&gt;"",IF($Q$7:$Q$40&lt;&gt;"",ROW($Q$7:$Q$40)-MIN(ROW($Q$7:$Q$40))+1,""),""),ROW()-ROW(A$42)+1)),"##0")," "),"")</f>
        <v>0</v>
      </c>
      <c r="S54">
        <f t="array" ref="S54">IFERROR(CONCATENATE((INDEX($A$7:$A$40,SMALL(IF($T$7:$T$40&lt;&gt;"",IF($Q$7:$Q$40&lt;&gt;"",ROW($Q$7:$Q$40)-MIN(ROW($Q$7:$Q$40))+1,""),""),ROW()-ROW(A$42)+1))),),"")</f>
        <v>0</v>
      </c>
      <c r="W54">
        <f t="array" ref="W54">IFERROR(CONCATENATE((INDEX($Z$7:$Z$40,SMALL(IF($Z$7:$Z$40&lt;&gt;"",IF($W$7:$W$40&lt;&gt;"",ROW($W$7:$W$40)-MIN(ROW($W$7:$W$40))+1,""),""),ROW()-ROW(A$42)+1))),","),"")</f>
        <v>0</v>
      </c>
      <c r="X54">
        <f t="array" ref="X54">IFERROR(CONCATENATE(TEXT(INDEX($W$7:$W$40,SMALL(IF($Z$7:$Z$40&lt;&gt;"",IF($W$7:$W$40&lt;&gt;"",ROW($W$7:$W$40)-MIN(ROW($W$7:$W$40))+1,""),""),ROW()-ROW(A$42)+1)),"##0"),","),"")</f>
        <v>0</v>
      </c>
      <c r="Y54">
        <f t="array" ref="Y54">IFERROR(CONCATENATE((INDEX($A$7:$A$40,SMALL(IF($Z$7:$Z$40&lt;&gt;"",IF($W$7:$W$40&lt;&gt;"",ROW($W$7:$W$40)-MIN(ROW($W$7:$W$40))+1,""),""),ROW()-ROW(A$42)+1))),),"")</f>
        <v>0</v>
      </c>
    </row>
    <row r="55" spans="11:25">
      <c r="K55">
        <f t="array" ref="K55">IFERROR(CONCATENATE(TEXT(INDEX($K$7:$K$40,SMALL(IF($N$7:$N$40&lt;&gt;"",IF($K$7:$K$40&lt;&gt;"",ROW($K$7:$K$40)-MIN(ROW($K$7:$K$40))+1,""),""),ROW()-ROW(A$42)+1)),"##0"),","),"")</f>
        <v>0</v>
      </c>
      <c r="L55">
        <f t="array" ref="L55">IFERROR(CONCATENATE((INDEX($N$7:$N$40,SMALL(IF($N$7:$N$40&lt;&gt;"",IF($K$7:$K$40&lt;&gt;"",ROW($K$7:$K$40)-MIN(ROW($K$7:$K$40))+1,""),""),ROW()-ROW(A$42)+1))),","),"")</f>
        <v>0</v>
      </c>
      <c r="M55">
        <f t="array" ref="M55">IFERROR(CONCATENATE((INDEX($A$7:$A$40,SMALL(IF($N$7:$N$40&lt;&gt;"",IF($K$7:$K$40&lt;&gt;"",ROW($K$7:$K$40)-MIN(ROW($K$7:$K$40))+1,""),""),ROW()-ROW(A$42)+1))),),"")</f>
        <v>0</v>
      </c>
      <c r="Q55">
        <f t="array" ref="Q55">IFERROR(CONCATENATE((INDEX($T$7:$T$40,SMALL(IF($T$7:$T$40&lt;&gt;"",IF($Q$7:$Q$40&lt;&gt;"",ROW($Q$7:$Q$40)-MIN(ROW($Q$7:$Q$40))+1,""),""),ROW()-ROW(A$42)+1)))," "),"")</f>
        <v>0</v>
      </c>
      <c r="R55">
        <f t="array" ref="R55">IFERROR(CONCATENATE(TEXT(INDEX($Q$7:$Q$40,SMALL(IF($T$7:$T$40&lt;&gt;"",IF($Q$7:$Q$40&lt;&gt;"",ROW($Q$7:$Q$40)-MIN(ROW($Q$7:$Q$40))+1,""),""),ROW()-ROW(A$42)+1)),"##0")," "),"")</f>
        <v>0</v>
      </c>
      <c r="S55">
        <f t="array" ref="S55">IFERROR(CONCATENATE((INDEX($A$7:$A$40,SMALL(IF($T$7:$T$40&lt;&gt;"",IF($Q$7:$Q$40&lt;&gt;"",ROW($Q$7:$Q$40)-MIN(ROW($Q$7:$Q$40))+1,""),""),ROW()-ROW(A$42)+1))),),"")</f>
        <v>0</v>
      </c>
      <c r="W55">
        <f t="array" ref="W55">IFERROR(CONCATENATE((INDEX($Z$7:$Z$40,SMALL(IF($Z$7:$Z$40&lt;&gt;"",IF($W$7:$W$40&lt;&gt;"",ROW($W$7:$W$40)-MIN(ROW($W$7:$W$40))+1,""),""),ROW()-ROW(A$42)+1))),","),"")</f>
        <v>0</v>
      </c>
      <c r="X55">
        <f t="array" ref="X55">IFERROR(CONCATENATE(TEXT(INDEX($W$7:$W$40,SMALL(IF($Z$7:$Z$40&lt;&gt;"",IF($W$7:$W$40&lt;&gt;"",ROW($W$7:$W$40)-MIN(ROW($W$7:$W$40))+1,""),""),ROW()-ROW(A$42)+1)),"##0"),","),"")</f>
        <v>0</v>
      </c>
      <c r="Y55">
        <f t="array" ref="Y55">IFERROR(CONCATENATE((INDEX($A$7:$A$40,SMALL(IF($Z$7:$Z$40&lt;&gt;"",IF($W$7:$W$40&lt;&gt;"",ROW($W$7:$W$40)-MIN(ROW($W$7:$W$40))+1,""),""),ROW()-ROW(A$42)+1))),),"")</f>
        <v>0</v>
      </c>
    </row>
    <row r="56" spans="11:25">
      <c r="K56">
        <f t="array" ref="K56">IFERROR(CONCATENATE(TEXT(INDEX($K$7:$K$40,SMALL(IF($N$7:$N$40&lt;&gt;"",IF($K$7:$K$40&lt;&gt;"",ROW($K$7:$K$40)-MIN(ROW($K$7:$K$40))+1,""),""),ROW()-ROW(A$42)+1)),"##0"),","),"")</f>
        <v>0</v>
      </c>
      <c r="L56">
        <f t="array" ref="L56">IFERROR(CONCATENATE((INDEX($N$7:$N$40,SMALL(IF($N$7:$N$40&lt;&gt;"",IF($K$7:$K$40&lt;&gt;"",ROW($K$7:$K$40)-MIN(ROW($K$7:$K$40))+1,""),""),ROW()-ROW(A$42)+1))),","),"")</f>
        <v>0</v>
      </c>
      <c r="M56">
        <f t="array" ref="M56">IFERROR(CONCATENATE((INDEX($A$7:$A$40,SMALL(IF($N$7:$N$40&lt;&gt;"",IF($K$7:$K$40&lt;&gt;"",ROW($K$7:$K$40)-MIN(ROW($K$7:$K$40))+1,""),""),ROW()-ROW(A$42)+1))),),"")</f>
        <v>0</v>
      </c>
      <c r="Q56">
        <f t="array" ref="Q56">IFERROR(CONCATENATE((INDEX($T$7:$T$40,SMALL(IF($T$7:$T$40&lt;&gt;"",IF($Q$7:$Q$40&lt;&gt;"",ROW($Q$7:$Q$40)-MIN(ROW($Q$7:$Q$40))+1,""),""),ROW()-ROW(A$42)+1)))," "),"")</f>
        <v>0</v>
      </c>
      <c r="R56">
        <f t="array" ref="R56">IFERROR(CONCATENATE(TEXT(INDEX($Q$7:$Q$40,SMALL(IF($T$7:$T$40&lt;&gt;"",IF($Q$7:$Q$40&lt;&gt;"",ROW($Q$7:$Q$40)-MIN(ROW($Q$7:$Q$40))+1,""),""),ROW()-ROW(A$42)+1)),"##0")," "),"")</f>
        <v>0</v>
      </c>
      <c r="S56">
        <f t="array" ref="S56">IFERROR(CONCATENATE((INDEX($A$7:$A$40,SMALL(IF($T$7:$T$40&lt;&gt;"",IF($Q$7:$Q$40&lt;&gt;"",ROW($Q$7:$Q$40)-MIN(ROW($Q$7:$Q$40))+1,""),""),ROW()-ROW(A$42)+1))),),"")</f>
        <v>0</v>
      </c>
      <c r="W56">
        <f t="array" ref="W56">IFERROR(CONCATENATE((INDEX($Z$7:$Z$40,SMALL(IF($Z$7:$Z$40&lt;&gt;"",IF($W$7:$W$40&lt;&gt;"",ROW($W$7:$W$40)-MIN(ROW($W$7:$W$40))+1,""),""),ROW()-ROW(A$42)+1))),","),"")</f>
        <v>0</v>
      </c>
      <c r="X56">
        <f t="array" ref="X56">IFERROR(CONCATENATE(TEXT(INDEX($W$7:$W$40,SMALL(IF($Z$7:$Z$40&lt;&gt;"",IF($W$7:$W$40&lt;&gt;"",ROW($W$7:$W$40)-MIN(ROW($W$7:$W$40))+1,""),""),ROW()-ROW(A$42)+1)),"##0"),","),"")</f>
        <v>0</v>
      </c>
      <c r="Y56">
        <f t="array" ref="Y56">IFERROR(CONCATENATE((INDEX($A$7:$A$40,SMALL(IF($Z$7:$Z$40&lt;&gt;"",IF($W$7:$W$40&lt;&gt;"",ROW($W$7:$W$40)-MIN(ROW($W$7:$W$40))+1,""),""),ROW()-ROW(A$42)+1))),),"")</f>
        <v>0</v>
      </c>
    </row>
    <row r="57" spans="11:25">
      <c r="K57">
        <f t="array" ref="K57">IFERROR(CONCATENATE(TEXT(INDEX($K$7:$K$40,SMALL(IF($N$7:$N$40&lt;&gt;"",IF($K$7:$K$40&lt;&gt;"",ROW($K$7:$K$40)-MIN(ROW($K$7:$K$40))+1,""),""),ROW()-ROW(A$42)+1)),"##0"),","),"")</f>
        <v>0</v>
      </c>
      <c r="L57">
        <f t="array" ref="L57">IFERROR(CONCATENATE((INDEX($N$7:$N$40,SMALL(IF($N$7:$N$40&lt;&gt;"",IF($K$7:$K$40&lt;&gt;"",ROW($K$7:$K$40)-MIN(ROW($K$7:$K$40))+1,""),""),ROW()-ROW(A$42)+1))),","),"")</f>
        <v>0</v>
      </c>
      <c r="M57">
        <f t="array" ref="M57">IFERROR(CONCATENATE((INDEX($A$7:$A$40,SMALL(IF($N$7:$N$40&lt;&gt;"",IF($K$7:$K$40&lt;&gt;"",ROW($K$7:$K$40)-MIN(ROW($K$7:$K$40))+1,""),""),ROW()-ROW(A$42)+1))),),"")</f>
        <v>0</v>
      </c>
      <c r="Q57">
        <f t="array" ref="Q57">IFERROR(CONCATENATE((INDEX($T$7:$T$40,SMALL(IF($T$7:$T$40&lt;&gt;"",IF($Q$7:$Q$40&lt;&gt;"",ROW($Q$7:$Q$40)-MIN(ROW($Q$7:$Q$40))+1,""),""),ROW()-ROW(A$42)+1)))," "),"")</f>
        <v>0</v>
      </c>
      <c r="R57">
        <f t="array" ref="R57">IFERROR(CONCATENATE(TEXT(INDEX($Q$7:$Q$40,SMALL(IF($T$7:$T$40&lt;&gt;"",IF($Q$7:$Q$40&lt;&gt;"",ROW($Q$7:$Q$40)-MIN(ROW($Q$7:$Q$40))+1,""),""),ROW()-ROW(A$42)+1)),"##0")," "),"")</f>
        <v>0</v>
      </c>
      <c r="S57">
        <f t="array" ref="S57">IFERROR(CONCATENATE((INDEX($A$7:$A$40,SMALL(IF($T$7:$T$40&lt;&gt;"",IF($Q$7:$Q$40&lt;&gt;"",ROW($Q$7:$Q$40)-MIN(ROW($Q$7:$Q$40))+1,""),""),ROW()-ROW(A$42)+1))),),"")</f>
        <v>0</v>
      </c>
      <c r="W57">
        <f t="array" ref="W57">IFERROR(CONCATENATE((INDEX($Z$7:$Z$40,SMALL(IF($Z$7:$Z$40&lt;&gt;"",IF($W$7:$W$40&lt;&gt;"",ROW($W$7:$W$40)-MIN(ROW($W$7:$W$40))+1,""),""),ROW()-ROW(A$42)+1))),","),"")</f>
        <v>0</v>
      </c>
      <c r="X57">
        <f t="array" ref="X57">IFERROR(CONCATENATE(TEXT(INDEX($W$7:$W$40,SMALL(IF($Z$7:$Z$40&lt;&gt;"",IF($W$7:$W$40&lt;&gt;"",ROW($W$7:$W$40)-MIN(ROW($W$7:$W$40))+1,""),""),ROW()-ROW(A$42)+1)),"##0"),","),"")</f>
        <v>0</v>
      </c>
      <c r="Y57">
        <f t="array" ref="Y57">IFERROR(CONCATENATE((INDEX($A$7:$A$40,SMALL(IF($Z$7:$Z$40&lt;&gt;"",IF($W$7:$W$40&lt;&gt;"",ROW($W$7:$W$40)-MIN(ROW($W$7:$W$40))+1,""),""),ROW()-ROW(A$42)+1))),),"")</f>
        <v>0</v>
      </c>
    </row>
    <row r="58" spans="11:25">
      <c r="K58">
        <f t="array" ref="K58">IFERROR(CONCATENATE(TEXT(INDEX($K$7:$K$40,SMALL(IF($N$7:$N$40&lt;&gt;"",IF($K$7:$K$40&lt;&gt;"",ROW($K$7:$K$40)-MIN(ROW($K$7:$K$40))+1,""),""),ROW()-ROW(A$42)+1)),"##0"),","),"")</f>
        <v>0</v>
      </c>
      <c r="L58">
        <f t="array" ref="L58">IFERROR(CONCATENATE((INDEX($N$7:$N$40,SMALL(IF($N$7:$N$40&lt;&gt;"",IF($K$7:$K$40&lt;&gt;"",ROW($K$7:$K$40)-MIN(ROW($K$7:$K$40))+1,""),""),ROW()-ROW(A$42)+1))),","),"")</f>
        <v>0</v>
      </c>
      <c r="M58">
        <f t="array" ref="M58">IFERROR(CONCATENATE((INDEX($A$7:$A$40,SMALL(IF($N$7:$N$40&lt;&gt;"",IF($K$7:$K$40&lt;&gt;"",ROW($K$7:$K$40)-MIN(ROW($K$7:$K$40))+1,""),""),ROW()-ROW(A$42)+1))),),"")</f>
        <v>0</v>
      </c>
      <c r="Q58">
        <f t="array" ref="Q58">IFERROR(CONCATENATE((INDEX($T$7:$T$40,SMALL(IF($T$7:$T$40&lt;&gt;"",IF($Q$7:$Q$40&lt;&gt;"",ROW($Q$7:$Q$40)-MIN(ROW($Q$7:$Q$40))+1,""),""),ROW()-ROW(A$42)+1)))," "),"")</f>
        <v>0</v>
      </c>
      <c r="R58">
        <f t="array" ref="R58">IFERROR(CONCATENATE(TEXT(INDEX($Q$7:$Q$40,SMALL(IF($T$7:$T$40&lt;&gt;"",IF($Q$7:$Q$40&lt;&gt;"",ROW($Q$7:$Q$40)-MIN(ROW($Q$7:$Q$40))+1,""),""),ROW()-ROW(A$42)+1)),"##0")," "),"")</f>
        <v>0</v>
      </c>
      <c r="S58">
        <f t="array" ref="S58">IFERROR(CONCATENATE((INDEX($A$7:$A$40,SMALL(IF($T$7:$T$40&lt;&gt;"",IF($Q$7:$Q$40&lt;&gt;"",ROW($Q$7:$Q$40)-MIN(ROW($Q$7:$Q$40))+1,""),""),ROW()-ROW(A$42)+1))),),"")</f>
        <v>0</v>
      </c>
      <c r="W58">
        <f t="array" ref="W58">IFERROR(CONCATENATE((INDEX($Z$7:$Z$40,SMALL(IF($Z$7:$Z$40&lt;&gt;"",IF($W$7:$W$40&lt;&gt;"",ROW($W$7:$W$40)-MIN(ROW($W$7:$W$40))+1,""),""),ROW()-ROW(A$42)+1))),","),"")</f>
        <v>0</v>
      </c>
      <c r="X58">
        <f t="array" ref="X58">IFERROR(CONCATENATE(TEXT(INDEX($W$7:$W$40,SMALL(IF($Z$7:$Z$40&lt;&gt;"",IF($W$7:$W$40&lt;&gt;"",ROW($W$7:$W$40)-MIN(ROW($W$7:$W$40))+1,""),""),ROW()-ROW(A$42)+1)),"##0"),","),"")</f>
        <v>0</v>
      </c>
      <c r="Y58">
        <f t="array" ref="Y58">IFERROR(CONCATENATE((INDEX($A$7:$A$40,SMALL(IF($Z$7:$Z$40&lt;&gt;"",IF($W$7:$W$40&lt;&gt;"",ROW($W$7:$W$40)-MIN(ROW($W$7:$W$40))+1,""),""),ROW()-ROW(A$42)+1))),),"")</f>
        <v>0</v>
      </c>
    </row>
    <row r="59" spans="11:25">
      <c r="K59">
        <f t="array" ref="K59">IFERROR(CONCATENATE(TEXT(INDEX($K$7:$K$40,SMALL(IF($N$7:$N$40&lt;&gt;"",IF($K$7:$K$40&lt;&gt;"",ROW($K$7:$K$40)-MIN(ROW($K$7:$K$40))+1,""),""),ROW()-ROW(A$42)+1)),"##0"),","),"")</f>
        <v>0</v>
      </c>
      <c r="L59">
        <f t="array" ref="L59">IFERROR(CONCATENATE((INDEX($N$7:$N$40,SMALL(IF($N$7:$N$40&lt;&gt;"",IF($K$7:$K$40&lt;&gt;"",ROW($K$7:$K$40)-MIN(ROW($K$7:$K$40))+1,""),""),ROW()-ROW(A$42)+1))),","),"")</f>
        <v>0</v>
      </c>
      <c r="M59">
        <f t="array" ref="M59">IFERROR(CONCATENATE((INDEX($A$7:$A$40,SMALL(IF($N$7:$N$40&lt;&gt;"",IF($K$7:$K$40&lt;&gt;"",ROW($K$7:$K$40)-MIN(ROW($K$7:$K$40))+1,""),""),ROW()-ROW(A$42)+1))),),"")</f>
        <v>0</v>
      </c>
      <c r="Q59">
        <f t="array" ref="Q59">IFERROR(CONCATENATE((INDEX($T$7:$T$40,SMALL(IF($T$7:$T$40&lt;&gt;"",IF($Q$7:$Q$40&lt;&gt;"",ROW($Q$7:$Q$40)-MIN(ROW($Q$7:$Q$40))+1,""),""),ROW()-ROW(A$42)+1)))," "),"")</f>
        <v>0</v>
      </c>
      <c r="R59">
        <f t="array" ref="R59">IFERROR(CONCATENATE(TEXT(INDEX($Q$7:$Q$40,SMALL(IF($T$7:$T$40&lt;&gt;"",IF($Q$7:$Q$40&lt;&gt;"",ROW($Q$7:$Q$40)-MIN(ROW($Q$7:$Q$40))+1,""),""),ROW()-ROW(A$42)+1)),"##0")," "),"")</f>
        <v>0</v>
      </c>
      <c r="S59">
        <f t="array" ref="S59">IFERROR(CONCATENATE((INDEX($A$7:$A$40,SMALL(IF($T$7:$T$40&lt;&gt;"",IF($Q$7:$Q$40&lt;&gt;"",ROW($Q$7:$Q$40)-MIN(ROW($Q$7:$Q$40))+1,""),""),ROW()-ROW(A$42)+1))),),"")</f>
        <v>0</v>
      </c>
      <c r="W59">
        <f t="array" ref="W59">IFERROR(CONCATENATE((INDEX($Z$7:$Z$40,SMALL(IF($Z$7:$Z$40&lt;&gt;"",IF($W$7:$W$40&lt;&gt;"",ROW($W$7:$W$40)-MIN(ROW($W$7:$W$40))+1,""),""),ROW()-ROW(A$42)+1))),","),"")</f>
        <v>0</v>
      </c>
      <c r="X59">
        <f t="array" ref="X59">IFERROR(CONCATENATE(TEXT(INDEX($W$7:$W$40,SMALL(IF($Z$7:$Z$40&lt;&gt;"",IF($W$7:$W$40&lt;&gt;"",ROW($W$7:$W$40)-MIN(ROW($W$7:$W$40))+1,""),""),ROW()-ROW(A$42)+1)),"##0"),","),"")</f>
        <v>0</v>
      </c>
      <c r="Y59">
        <f t="array" ref="Y59">IFERROR(CONCATENATE((INDEX($A$7:$A$40,SMALL(IF($Z$7:$Z$40&lt;&gt;"",IF($W$7:$W$40&lt;&gt;"",ROW($W$7:$W$40)-MIN(ROW($W$7:$W$40))+1,""),""),ROW()-ROW(A$42)+1))),),"")</f>
        <v>0</v>
      </c>
    </row>
    <row r="60" spans="11:25">
      <c r="K60">
        <f t="array" ref="K60">IFERROR(CONCATENATE(TEXT(INDEX($K$7:$K$40,SMALL(IF($N$7:$N$40&lt;&gt;"",IF($K$7:$K$40&lt;&gt;"",ROW($K$7:$K$40)-MIN(ROW($K$7:$K$40))+1,""),""),ROW()-ROW(A$42)+1)),"##0"),","),"")</f>
        <v>0</v>
      </c>
      <c r="L60">
        <f t="array" ref="L60">IFERROR(CONCATENATE((INDEX($N$7:$N$40,SMALL(IF($N$7:$N$40&lt;&gt;"",IF($K$7:$K$40&lt;&gt;"",ROW($K$7:$K$40)-MIN(ROW($K$7:$K$40))+1,""),""),ROW()-ROW(A$42)+1))),","),"")</f>
        <v>0</v>
      </c>
      <c r="M60">
        <f t="array" ref="M60">IFERROR(CONCATENATE((INDEX($A$7:$A$40,SMALL(IF($N$7:$N$40&lt;&gt;"",IF($K$7:$K$40&lt;&gt;"",ROW($K$7:$K$40)-MIN(ROW($K$7:$K$40))+1,""),""),ROW()-ROW(A$42)+1))),),"")</f>
        <v>0</v>
      </c>
      <c r="Q60">
        <f t="array" ref="Q60">IFERROR(CONCATENATE((INDEX($T$7:$T$40,SMALL(IF($T$7:$T$40&lt;&gt;"",IF($Q$7:$Q$40&lt;&gt;"",ROW($Q$7:$Q$40)-MIN(ROW($Q$7:$Q$40))+1,""),""),ROW()-ROW(A$42)+1)))," "),"")</f>
        <v>0</v>
      </c>
      <c r="R60">
        <f t="array" ref="R60">IFERROR(CONCATENATE(TEXT(INDEX($Q$7:$Q$40,SMALL(IF($T$7:$T$40&lt;&gt;"",IF($Q$7:$Q$40&lt;&gt;"",ROW($Q$7:$Q$40)-MIN(ROW($Q$7:$Q$40))+1,""),""),ROW()-ROW(A$42)+1)),"##0")," "),"")</f>
        <v>0</v>
      </c>
      <c r="S60">
        <f t="array" ref="S60">IFERROR(CONCATENATE((INDEX($A$7:$A$40,SMALL(IF($T$7:$T$40&lt;&gt;"",IF($Q$7:$Q$40&lt;&gt;"",ROW($Q$7:$Q$40)-MIN(ROW($Q$7:$Q$40))+1,""),""),ROW()-ROW(A$42)+1))),),"")</f>
        <v>0</v>
      </c>
      <c r="W60">
        <f t="array" ref="W60">IFERROR(CONCATENATE((INDEX($Z$7:$Z$40,SMALL(IF($Z$7:$Z$40&lt;&gt;"",IF($W$7:$W$40&lt;&gt;"",ROW($W$7:$W$40)-MIN(ROW($W$7:$W$40))+1,""),""),ROW()-ROW(A$42)+1))),","),"")</f>
        <v>0</v>
      </c>
      <c r="X60">
        <f t="array" ref="X60">IFERROR(CONCATENATE(TEXT(INDEX($W$7:$W$40,SMALL(IF($Z$7:$Z$40&lt;&gt;"",IF($W$7:$W$40&lt;&gt;"",ROW($W$7:$W$40)-MIN(ROW($W$7:$W$40))+1,""),""),ROW()-ROW(A$42)+1)),"##0"),","),"")</f>
        <v>0</v>
      </c>
      <c r="Y60">
        <f t="array" ref="Y60">IFERROR(CONCATENATE((INDEX($A$7:$A$40,SMALL(IF($Z$7:$Z$40&lt;&gt;"",IF($W$7:$W$40&lt;&gt;"",ROW($W$7:$W$40)-MIN(ROW($W$7:$W$40))+1,""),""),ROW()-ROW(A$42)+1))),),"")</f>
        <v>0</v>
      </c>
    </row>
    <row r="61" spans="11:25">
      <c r="K61">
        <f t="array" ref="K61">IFERROR(CONCATENATE(TEXT(INDEX($K$7:$K$40,SMALL(IF($N$7:$N$40&lt;&gt;"",IF($K$7:$K$40&lt;&gt;"",ROW($K$7:$K$40)-MIN(ROW($K$7:$K$40))+1,""),""),ROW()-ROW(A$42)+1)),"##0"),","),"")</f>
        <v>0</v>
      </c>
      <c r="L61">
        <f t="array" ref="L61">IFERROR(CONCATENATE((INDEX($N$7:$N$40,SMALL(IF($N$7:$N$40&lt;&gt;"",IF($K$7:$K$40&lt;&gt;"",ROW($K$7:$K$40)-MIN(ROW($K$7:$K$40))+1,""),""),ROW()-ROW(A$42)+1))),","),"")</f>
        <v>0</v>
      </c>
      <c r="M61">
        <f t="array" ref="M61">IFERROR(CONCATENATE((INDEX($A$7:$A$40,SMALL(IF($N$7:$N$40&lt;&gt;"",IF($K$7:$K$40&lt;&gt;"",ROW($K$7:$K$40)-MIN(ROW($K$7:$K$40))+1,""),""),ROW()-ROW(A$42)+1))),),"")</f>
        <v>0</v>
      </c>
      <c r="Q61">
        <f t="array" ref="Q61">IFERROR(CONCATENATE((INDEX($T$7:$T$40,SMALL(IF($T$7:$T$40&lt;&gt;"",IF($Q$7:$Q$40&lt;&gt;"",ROW($Q$7:$Q$40)-MIN(ROW($Q$7:$Q$40))+1,""),""),ROW()-ROW(A$42)+1)))," "),"")</f>
        <v>0</v>
      </c>
      <c r="R61">
        <f t="array" ref="R61">IFERROR(CONCATENATE(TEXT(INDEX($Q$7:$Q$40,SMALL(IF($T$7:$T$40&lt;&gt;"",IF($Q$7:$Q$40&lt;&gt;"",ROW($Q$7:$Q$40)-MIN(ROW($Q$7:$Q$40))+1,""),""),ROW()-ROW(A$42)+1)),"##0")," "),"")</f>
        <v>0</v>
      </c>
      <c r="S61">
        <f t="array" ref="S61">IFERROR(CONCATENATE((INDEX($A$7:$A$40,SMALL(IF($T$7:$T$40&lt;&gt;"",IF($Q$7:$Q$40&lt;&gt;"",ROW($Q$7:$Q$40)-MIN(ROW($Q$7:$Q$40))+1,""),""),ROW()-ROW(A$42)+1))),),"")</f>
        <v>0</v>
      </c>
      <c r="W61">
        <f t="array" ref="W61">IFERROR(CONCATENATE((INDEX($Z$7:$Z$40,SMALL(IF($Z$7:$Z$40&lt;&gt;"",IF($W$7:$W$40&lt;&gt;"",ROW($W$7:$W$40)-MIN(ROW($W$7:$W$40))+1,""),""),ROW()-ROW(A$42)+1))),","),"")</f>
        <v>0</v>
      </c>
      <c r="X61">
        <f t="array" ref="X61">IFERROR(CONCATENATE(TEXT(INDEX($W$7:$W$40,SMALL(IF($Z$7:$Z$40&lt;&gt;"",IF($W$7:$W$40&lt;&gt;"",ROW($W$7:$W$40)-MIN(ROW($W$7:$W$40))+1,""),""),ROW()-ROW(A$42)+1)),"##0"),","),"")</f>
        <v>0</v>
      </c>
      <c r="Y61">
        <f t="array" ref="Y61">IFERROR(CONCATENATE((INDEX($A$7:$A$40,SMALL(IF($Z$7:$Z$40&lt;&gt;"",IF($W$7:$W$40&lt;&gt;"",ROW($W$7:$W$40)-MIN(ROW($W$7:$W$40))+1,""),""),ROW()-ROW(A$42)+1))),),"")</f>
        <v>0</v>
      </c>
    </row>
    <row r="62" spans="11:25">
      <c r="K62">
        <f t="array" ref="K62">IFERROR(CONCATENATE(TEXT(INDEX($K$7:$K$40,SMALL(IF($N$7:$N$40&lt;&gt;"",IF($K$7:$K$40&lt;&gt;"",ROW($K$7:$K$40)-MIN(ROW($K$7:$K$40))+1,""),""),ROW()-ROW(A$42)+1)),"##0"),","),"")</f>
        <v>0</v>
      </c>
      <c r="L62">
        <f t="array" ref="L62">IFERROR(CONCATENATE((INDEX($N$7:$N$40,SMALL(IF($N$7:$N$40&lt;&gt;"",IF($K$7:$K$40&lt;&gt;"",ROW($K$7:$K$40)-MIN(ROW($K$7:$K$40))+1,""),""),ROW()-ROW(A$42)+1))),","),"")</f>
        <v>0</v>
      </c>
      <c r="M62">
        <f t="array" ref="M62">IFERROR(CONCATENATE((INDEX($A$7:$A$40,SMALL(IF($N$7:$N$40&lt;&gt;"",IF($K$7:$K$40&lt;&gt;"",ROW($K$7:$K$40)-MIN(ROW($K$7:$K$40))+1,""),""),ROW()-ROW(A$42)+1))),),"")</f>
        <v>0</v>
      </c>
      <c r="Q62">
        <f t="array" ref="Q62">IFERROR(CONCATENATE((INDEX($T$7:$T$40,SMALL(IF($T$7:$T$40&lt;&gt;"",IF($Q$7:$Q$40&lt;&gt;"",ROW($Q$7:$Q$40)-MIN(ROW($Q$7:$Q$40))+1,""),""),ROW()-ROW(A$42)+1)))," "),"")</f>
        <v>0</v>
      </c>
      <c r="R62">
        <f t="array" ref="R62">IFERROR(CONCATENATE(TEXT(INDEX($Q$7:$Q$40,SMALL(IF($T$7:$T$40&lt;&gt;"",IF($Q$7:$Q$40&lt;&gt;"",ROW($Q$7:$Q$40)-MIN(ROW($Q$7:$Q$40))+1,""),""),ROW()-ROW(A$42)+1)),"##0")," "),"")</f>
        <v>0</v>
      </c>
      <c r="S62">
        <f t="array" ref="S62">IFERROR(CONCATENATE((INDEX($A$7:$A$40,SMALL(IF($T$7:$T$40&lt;&gt;"",IF($Q$7:$Q$40&lt;&gt;"",ROW($Q$7:$Q$40)-MIN(ROW($Q$7:$Q$40))+1,""),""),ROW()-ROW(A$42)+1))),),"")</f>
        <v>0</v>
      </c>
      <c r="W62">
        <f t="array" ref="W62">IFERROR(CONCATENATE((INDEX($Z$7:$Z$40,SMALL(IF($Z$7:$Z$40&lt;&gt;"",IF($W$7:$W$40&lt;&gt;"",ROW($W$7:$W$40)-MIN(ROW($W$7:$W$40))+1,""),""),ROW()-ROW(A$42)+1))),","),"")</f>
        <v>0</v>
      </c>
      <c r="X62">
        <f t="array" ref="X62">IFERROR(CONCATENATE(TEXT(INDEX($W$7:$W$40,SMALL(IF($Z$7:$Z$40&lt;&gt;"",IF($W$7:$W$40&lt;&gt;"",ROW($W$7:$W$40)-MIN(ROW($W$7:$W$40))+1,""),""),ROW()-ROW(A$42)+1)),"##0"),","),"")</f>
        <v>0</v>
      </c>
      <c r="Y62">
        <f t="array" ref="Y62">IFERROR(CONCATENATE((INDEX($A$7:$A$40,SMALL(IF($Z$7:$Z$40&lt;&gt;"",IF($W$7:$W$40&lt;&gt;"",ROW($W$7:$W$40)-MIN(ROW($W$7:$W$40))+1,""),""),ROW()-ROW(A$42)+1))),),"")</f>
        <v>0</v>
      </c>
    </row>
    <row r="63" spans="11:25">
      <c r="K63">
        <f t="array" ref="K63">IFERROR(CONCATENATE(TEXT(INDEX($K$7:$K$40,SMALL(IF($N$7:$N$40&lt;&gt;"",IF($K$7:$K$40&lt;&gt;"",ROW($K$7:$K$40)-MIN(ROW($K$7:$K$40))+1,""),""),ROW()-ROW(A$42)+1)),"##0"),","),"")</f>
        <v>0</v>
      </c>
      <c r="L63">
        <f t="array" ref="L63">IFERROR(CONCATENATE((INDEX($N$7:$N$40,SMALL(IF($N$7:$N$40&lt;&gt;"",IF($K$7:$K$40&lt;&gt;"",ROW($K$7:$K$40)-MIN(ROW($K$7:$K$40))+1,""),""),ROW()-ROW(A$42)+1))),","),"")</f>
        <v>0</v>
      </c>
      <c r="M63">
        <f t="array" ref="M63">IFERROR(CONCATENATE((INDEX($A$7:$A$40,SMALL(IF($N$7:$N$40&lt;&gt;"",IF($K$7:$K$40&lt;&gt;"",ROW($K$7:$K$40)-MIN(ROW($K$7:$K$40))+1,""),""),ROW()-ROW(A$42)+1))),),"")</f>
        <v>0</v>
      </c>
      <c r="Q63">
        <f t="array" ref="Q63">IFERROR(CONCATENATE((INDEX($T$7:$T$40,SMALL(IF($T$7:$T$40&lt;&gt;"",IF($Q$7:$Q$40&lt;&gt;"",ROW($Q$7:$Q$40)-MIN(ROW($Q$7:$Q$40))+1,""),""),ROW()-ROW(A$42)+1)))," "),"")</f>
        <v>0</v>
      </c>
      <c r="R63">
        <f t="array" ref="R63">IFERROR(CONCATENATE(TEXT(INDEX($Q$7:$Q$40,SMALL(IF($T$7:$T$40&lt;&gt;"",IF($Q$7:$Q$40&lt;&gt;"",ROW($Q$7:$Q$40)-MIN(ROW($Q$7:$Q$40))+1,""),""),ROW()-ROW(A$42)+1)),"##0")," "),"")</f>
        <v>0</v>
      </c>
      <c r="S63">
        <f t="array" ref="S63">IFERROR(CONCATENATE((INDEX($A$7:$A$40,SMALL(IF($T$7:$T$40&lt;&gt;"",IF($Q$7:$Q$40&lt;&gt;"",ROW($Q$7:$Q$40)-MIN(ROW($Q$7:$Q$40))+1,""),""),ROW()-ROW(A$42)+1))),),"")</f>
        <v>0</v>
      </c>
      <c r="W63">
        <f t="array" ref="W63">IFERROR(CONCATENATE((INDEX($Z$7:$Z$40,SMALL(IF($Z$7:$Z$40&lt;&gt;"",IF($W$7:$W$40&lt;&gt;"",ROW($W$7:$W$40)-MIN(ROW($W$7:$W$40))+1,""),""),ROW()-ROW(A$42)+1))),","),"")</f>
        <v>0</v>
      </c>
      <c r="X63">
        <f t="array" ref="X63">IFERROR(CONCATENATE(TEXT(INDEX($W$7:$W$40,SMALL(IF($Z$7:$Z$40&lt;&gt;"",IF($W$7:$W$40&lt;&gt;"",ROW($W$7:$W$40)-MIN(ROW($W$7:$W$40))+1,""),""),ROW()-ROW(A$42)+1)),"##0"),","),"")</f>
        <v>0</v>
      </c>
      <c r="Y63">
        <f t="array" ref="Y63">IFERROR(CONCATENATE((INDEX($A$7:$A$40,SMALL(IF($Z$7:$Z$40&lt;&gt;"",IF($W$7:$W$40&lt;&gt;"",ROW($W$7:$W$40)-MIN(ROW($W$7:$W$40))+1,""),""),ROW()-ROW(A$42)+1))),),"")</f>
        <v>0</v>
      </c>
    </row>
    <row r="64" spans="11:25">
      <c r="K64">
        <f t="array" ref="K64">IFERROR(CONCATENATE(TEXT(INDEX($K$7:$K$40,SMALL(IF($N$7:$N$40&lt;&gt;"",IF($K$7:$K$40&lt;&gt;"",ROW($K$7:$K$40)-MIN(ROW($K$7:$K$40))+1,""),""),ROW()-ROW(A$42)+1)),"##0"),","),"")</f>
        <v>0</v>
      </c>
      <c r="L64">
        <f t="array" ref="L64">IFERROR(CONCATENATE((INDEX($N$7:$N$40,SMALL(IF($N$7:$N$40&lt;&gt;"",IF($K$7:$K$40&lt;&gt;"",ROW($K$7:$K$40)-MIN(ROW($K$7:$K$40))+1,""),""),ROW()-ROW(A$42)+1))),","),"")</f>
        <v>0</v>
      </c>
      <c r="M64">
        <f t="array" ref="M64">IFERROR(CONCATENATE((INDEX($A$7:$A$40,SMALL(IF($N$7:$N$40&lt;&gt;"",IF($K$7:$K$40&lt;&gt;"",ROW($K$7:$K$40)-MIN(ROW($K$7:$K$40))+1,""),""),ROW()-ROW(A$42)+1))),),"")</f>
        <v>0</v>
      </c>
      <c r="Q64">
        <f t="array" ref="Q64">IFERROR(CONCATENATE((INDEX($T$7:$T$40,SMALL(IF($T$7:$T$40&lt;&gt;"",IF($Q$7:$Q$40&lt;&gt;"",ROW($Q$7:$Q$40)-MIN(ROW($Q$7:$Q$40))+1,""),""),ROW()-ROW(A$42)+1)))," "),"")</f>
        <v>0</v>
      </c>
      <c r="R64">
        <f t="array" ref="R64">IFERROR(CONCATENATE(TEXT(INDEX($Q$7:$Q$40,SMALL(IF($T$7:$T$40&lt;&gt;"",IF($Q$7:$Q$40&lt;&gt;"",ROW($Q$7:$Q$40)-MIN(ROW($Q$7:$Q$40))+1,""),""),ROW()-ROW(A$42)+1)),"##0")," "),"")</f>
        <v>0</v>
      </c>
      <c r="S64">
        <f t="array" ref="S64">IFERROR(CONCATENATE((INDEX($A$7:$A$40,SMALL(IF($T$7:$T$40&lt;&gt;"",IF($Q$7:$Q$40&lt;&gt;"",ROW($Q$7:$Q$40)-MIN(ROW($Q$7:$Q$40))+1,""),""),ROW()-ROW(A$42)+1))),),"")</f>
        <v>0</v>
      </c>
      <c r="W64">
        <f t="array" ref="W64">IFERROR(CONCATENATE((INDEX($Z$7:$Z$40,SMALL(IF($Z$7:$Z$40&lt;&gt;"",IF($W$7:$W$40&lt;&gt;"",ROW($W$7:$W$40)-MIN(ROW($W$7:$W$40))+1,""),""),ROW()-ROW(A$42)+1))),","),"")</f>
        <v>0</v>
      </c>
      <c r="X64">
        <f t="array" ref="X64">IFERROR(CONCATENATE(TEXT(INDEX($W$7:$W$40,SMALL(IF($Z$7:$Z$40&lt;&gt;"",IF($W$7:$W$40&lt;&gt;"",ROW($W$7:$W$40)-MIN(ROW($W$7:$W$40))+1,""),""),ROW()-ROW(A$42)+1)),"##0"),","),"")</f>
        <v>0</v>
      </c>
      <c r="Y64">
        <f t="array" ref="Y64">IFERROR(CONCATENATE((INDEX($A$7:$A$40,SMALL(IF($Z$7:$Z$40&lt;&gt;"",IF($W$7:$W$40&lt;&gt;"",ROW($W$7:$W$40)-MIN(ROW($W$7:$W$40))+1,""),""),ROW()-ROW(A$42)+1))),),"")</f>
        <v>0</v>
      </c>
    </row>
    <row r="65" spans="11:25">
      <c r="K65">
        <f t="array" ref="K65">IFERROR(CONCATENATE(TEXT(INDEX($K$7:$K$40,SMALL(IF($N$7:$N$40&lt;&gt;"",IF($K$7:$K$40&lt;&gt;"",ROW($K$7:$K$40)-MIN(ROW($K$7:$K$40))+1,""),""),ROW()-ROW(A$42)+1)),"##0"),","),"")</f>
        <v>0</v>
      </c>
      <c r="L65">
        <f t="array" ref="L65">IFERROR(CONCATENATE((INDEX($N$7:$N$40,SMALL(IF($N$7:$N$40&lt;&gt;"",IF($K$7:$K$40&lt;&gt;"",ROW($K$7:$K$40)-MIN(ROW($K$7:$K$40))+1,""),""),ROW()-ROW(A$42)+1))),","),"")</f>
        <v>0</v>
      </c>
      <c r="M65">
        <f t="array" ref="M65">IFERROR(CONCATENATE((INDEX($A$7:$A$40,SMALL(IF($N$7:$N$40&lt;&gt;"",IF($K$7:$K$40&lt;&gt;"",ROW($K$7:$K$40)-MIN(ROW($K$7:$K$40))+1,""),""),ROW()-ROW(A$42)+1))),),"")</f>
        <v>0</v>
      </c>
      <c r="Q65">
        <f t="array" ref="Q65">IFERROR(CONCATENATE((INDEX($T$7:$T$40,SMALL(IF($T$7:$T$40&lt;&gt;"",IF($Q$7:$Q$40&lt;&gt;"",ROW($Q$7:$Q$40)-MIN(ROW($Q$7:$Q$40))+1,""),""),ROW()-ROW(A$42)+1)))," "),"")</f>
        <v>0</v>
      </c>
      <c r="R65">
        <f t="array" ref="R65">IFERROR(CONCATENATE(TEXT(INDEX($Q$7:$Q$40,SMALL(IF($T$7:$T$40&lt;&gt;"",IF($Q$7:$Q$40&lt;&gt;"",ROW($Q$7:$Q$40)-MIN(ROW($Q$7:$Q$40))+1,""),""),ROW()-ROW(A$42)+1)),"##0")," "),"")</f>
        <v>0</v>
      </c>
      <c r="S65">
        <f t="array" ref="S65">IFERROR(CONCATENATE((INDEX($A$7:$A$40,SMALL(IF($T$7:$T$40&lt;&gt;"",IF($Q$7:$Q$40&lt;&gt;"",ROW($Q$7:$Q$40)-MIN(ROW($Q$7:$Q$40))+1,""),""),ROW()-ROW(A$42)+1))),),"")</f>
        <v>0</v>
      </c>
      <c r="W65">
        <f t="array" ref="W65">IFERROR(CONCATENATE((INDEX($Z$7:$Z$40,SMALL(IF($Z$7:$Z$40&lt;&gt;"",IF($W$7:$W$40&lt;&gt;"",ROW($W$7:$W$40)-MIN(ROW($W$7:$W$40))+1,""),""),ROW()-ROW(A$42)+1))),","),"")</f>
        <v>0</v>
      </c>
      <c r="X65">
        <f t="array" ref="X65">IFERROR(CONCATENATE(TEXT(INDEX($W$7:$W$40,SMALL(IF($Z$7:$Z$40&lt;&gt;"",IF($W$7:$W$40&lt;&gt;"",ROW($W$7:$W$40)-MIN(ROW($W$7:$W$40))+1,""),""),ROW()-ROW(A$42)+1)),"##0"),","),"")</f>
        <v>0</v>
      </c>
      <c r="Y65">
        <f t="array" ref="Y65">IFERROR(CONCATENATE((INDEX($A$7:$A$40,SMALL(IF($Z$7:$Z$40&lt;&gt;"",IF($W$7:$W$40&lt;&gt;"",ROW($W$7:$W$40)-MIN(ROW($W$7:$W$40))+1,""),""),ROW()-ROW(A$42)+1))),),"")</f>
        <v>0</v>
      </c>
    </row>
    <row r="66" spans="11:25">
      <c r="K66">
        <f t="array" ref="K66">IFERROR(CONCATENATE(TEXT(INDEX($K$7:$K$40,SMALL(IF($N$7:$N$40&lt;&gt;"",IF($K$7:$K$40&lt;&gt;"",ROW($K$7:$K$40)-MIN(ROW($K$7:$K$40))+1,""),""),ROW()-ROW(A$42)+1)),"##0"),","),"")</f>
        <v>0</v>
      </c>
      <c r="L66">
        <f t="array" ref="L66">IFERROR(CONCATENATE((INDEX($N$7:$N$40,SMALL(IF($N$7:$N$40&lt;&gt;"",IF($K$7:$K$40&lt;&gt;"",ROW($K$7:$K$40)-MIN(ROW($K$7:$K$40))+1,""),""),ROW()-ROW(A$42)+1))),","),"")</f>
        <v>0</v>
      </c>
      <c r="M66">
        <f t="array" ref="M66">IFERROR(CONCATENATE((INDEX($A$7:$A$40,SMALL(IF($N$7:$N$40&lt;&gt;"",IF($K$7:$K$40&lt;&gt;"",ROW($K$7:$K$40)-MIN(ROW($K$7:$K$40))+1,""),""),ROW()-ROW(A$42)+1))),),"")</f>
        <v>0</v>
      </c>
      <c r="Q66">
        <f t="array" ref="Q66">IFERROR(CONCATENATE((INDEX($T$7:$T$40,SMALL(IF($T$7:$T$40&lt;&gt;"",IF($Q$7:$Q$40&lt;&gt;"",ROW($Q$7:$Q$40)-MIN(ROW($Q$7:$Q$40))+1,""),""),ROW()-ROW(A$42)+1)))," "),"")</f>
        <v>0</v>
      </c>
      <c r="R66">
        <f t="array" ref="R66">IFERROR(CONCATENATE(TEXT(INDEX($Q$7:$Q$40,SMALL(IF($T$7:$T$40&lt;&gt;"",IF($Q$7:$Q$40&lt;&gt;"",ROW($Q$7:$Q$40)-MIN(ROW($Q$7:$Q$40))+1,""),""),ROW()-ROW(A$42)+1)),"##0")," "),"")</f>
        <v>0</v>
      </c>
      <c r="S66">
        <f t="array" ref="S66">IFERROR(CONCATENATE((INDEX($A$7:$A$40,SMALL(IF($T$7:$T$40&lt;&gt;"",IF($Q$7:$Q$40&lt;&gt;"",ROW($Q$7:$Q$40)-MIN(ROW($Q$7:$Q$40))+1,""),""),ROW()-ROW(A$42)+1))),),"")</f>
        <v>0</v>
      </c>
      <c r="W66">
        <f t="array" ref="W66">IFERROR(CONCATENATE((INDEX($Z$7:$Z$40,SMALL(IF($Z$7:$Z$40&lt;&gt;"",IF($W$7:$W$40&lt;&gt;"",ROW($W$7:$W$40)-MIN(ROW($W$7:$W$40))+1,""),""),ROW()-ROW(A$42)+1))),","),"")</f>
        <v>0</v>
      </c>
      <c r="X66">
        <f t="array" ref="X66">IFERROR(CONCATENATE(TEXT(INDEX($W$7:$W$40,SMALL(IF($Z$7:$Z$40&lt;&gt;"",IF($W$7:$W$40&lt;&gt;"",ROW($W$7:$W$40)-MIN(ROW($W$7:$W$40))+1,""),""),ROW()-ROW(A$42)+1)),"##0"),","),"")</f>
        <v>0</v>
      </c>
      <c r="Y66">
        <f t="array" ref="Y66">IFERROR(CONCATENATE((INDEX($A$7:$A$40,SMALL(IF($Z$7:$Z$40&lt;&gt;"",IF($W$7:$W$40&lt;&gt;"",ROW($W$7:$W$40)-MIN(ROW($W$7:$W$40))+1,""),""),ROW()-ROW(A$42)+1))),),"")</f>
        <v>0</v>
      </c>
    </row>
    <row r="67" spans="11:25">
      <c r="K67">
        <f t="array" ref="K67">IFERROR(CONCATENATE(TEXT(INDEX($K$7:$K$40,SMALL(IF($N$7:$N$40&lt;&gt;"",IF($K$7:$K$40&lt;&gt;"",ROW($K$7:$K$40)-MIN(ROW($K$7:$K$40))+1,""),""),ROW()-ROW(A$42)+1)),"##0"),","),"")</f>
        <v>0</v>
      </c>
      <c r="L67">
        <f t="array" ref="L67">IFERROR(CONCATENATE((INDEX($N$7:$N$40,SMALL(IF($N$7:$N$40&lt;&gt;"",IF($K$7:$K$40&lt;&gt;"",ROW($K$7:$K$40)-MIN(ROW($K$7:$K$40))+1,""),""),ROW()-ROW(A$42)+1))),","),"")</f>
        <v>0</v>
      </c>
      <c r="M67">
        <f t="array" ref="M67">IFERROR(CONCATENATE((INDEX($A$7:$A$40,SMALL(IF($N$7:$N$40&lt;&gt;"",IF($K$7:$K$40&lt;&gt;"",ROW($K$7:$K$40)-MIN(ROW($K$7:$K$40))+1,""),""),ROW()-ROW(A$42)+1))),),"")</f>
        <v>0</v>
      </c>
      <c r="Q67">
        <f t="array" ref="Q67">IFERROR(CONCATENATE((INDEX($T$7:$T$40,SMALL(IF($T$7:$T$40&lt;&gt;"",IF($Q$7:$Q$40&lt;&gt;"",ROW($Q$7:$Q$40)-MIN(ROW($Q$7:$Q$40))+1,""),""),ROW()-ROW(A$42)+1)))," "),"")</f>
        <v>0</v>
      </c>
      <c r="R67">
        <f t="array" ref="R67">IFERROR(CONCATENATE(TEXT(INDEX($Q$7:$Q$40,SMALL(IF($T$7:$T$40&lt;&gt;"",IF($Q$7:$Q$40&lt;&gt;"",ROW($Q$7:$Q$40)-MIN(ROW($Q$7:$Q$40))+1,""),""),ROW()-ROW(A$42)+1)),"##0")," "),"")</f>
        <v>0</v>
      </c>
      <c r="S67">
        <f t="array" ref="S67">IFERROR(CONCATENATE((INDEX($A$7:$A$40,SMALL(IF($T$7:$T$40&lt;&gt;"",IF($Q$7:$Q$40&lt;&gt;"",ROW($Q$7:$Q$40)-MIN(ROW($Q$7:$Q$40))+1,""),""),ROW()-ROW(A$42)+1))),),"")</f>
        <v>0</v>
      </c>
      <c r="W67">
        <f t="array" ref="W67">IFERROR(CONCATENATE((INDEX($Z$7:$Z$40,SMALL(IF($Z$7:$Z$40&lt;&gt;"",IF($W$7:$W$40&lt;&gt;"",ROW($W$7:$W$40)-MIN(ROW($W$7:$W$40))+1,""),""),ROW()-ROW(A$42)+1))),","),"")</f>
        <v>0</v>
      </c>
      <c r="X67">
        <f t="array" ref="X67">IFERROR(CONCATENATE(TEXT(INDEX($W$7:$W$40,SMALL(IF($Z$7:$Z$40&lt;&gt;"",IF($W$7:$W$40&lt;&gt;"",ROW($W$7:$W$40)-MIN(ROW($W$7:$W$40))+1,""),""),ROW()-ROW(A$42)+1)),"##0"),","),"")</f>
        <v>0</v>
      </c>
      <c r="Y67">
        <f t="array" ref="Y67">IFERROR(CONCATENATE((INDEX($A$7:$A$40,SMALL(IF($Z$7:$Z$40&lt;&gt;"",IF($W$7:$W$40&lt;&gt;"",ROW($W$7:$W$40)-MIN(ROW($W$7:$W$40))+1,""),""),ROW()-ROW(A$42)+1))),),"")</f>
        <v>0</v>
      </c>
    </row>
    <row r="68" spans="11:25">
      <c r="K68">
        <f t="array" ref="K68">IFERROR(CONCATENATE(TEXT(INDEX($K$7:$K$40,SMALL(IF($N$7:$N$40&lt;&gt;"",IF($K$7:$K$40&lt;&gt;"",ROW($K$7:$K$40)-MIN(ROW($K$7:$K$40))+1,""),""),ROW()-ROW(A$42)+1)),"##0"),","),"")</f>
        <v>0</v>
      </c>
      <c r="L68">
        <f t="array" ref="L68">IFERROR(CONCATENATE((INDEX($N$7:$N$40,SMALL(IF($N$7:$N$40&lt;&gt;"",IF($K$7:$K$40&lt;&gt;"",ROW($K$7:$K$40)-MIN(ROW($K$7:$K$40))+1,""),""),ROW()-ROW(A$42)+1))),","),"")</f>
        <v>0</v>
      </c>
      <c r="M68">
        <f t="array" ref="M68">IFERROR(CONCATENATE((INDEX($A$7:$A$40,SMALL(IF($N$7:$N$40&lt;&gt;"",IF($K$7:$K$40&lt;&gt;"",ROW($K$7:$K$40)-MIN(ROW($K$7:$K$40))+1,""),""),ROW()-ROW(A$42)+1))),),"")</f>
        <v>0</v>
      </c>
      <c r="Q68">
        <f t="array" ref="Q68">IFERROR(CONCATENATE((INDEX($T$7:$T$40,SMALL(IF($T$7:$T$40&lt;&gt;"",IF($Q$7:$Q$40&lt;&gt;"",ROW($Q$7:$Q$40)-MIN(ROW($Q$7:$Q$40))+1,""),""),ROW()-ROW(A$42)+1)))," "),"")</f>
        <v>0</v>
      </c>
      <c r="R68">
        <f t="array" ref="R68">IFERROR(CONCATENATE(TEXT(INDEX($Q$7:$Q$40,SMALL(IF($T$7:$T$40&lt;&gt;"",IF($Q$7:$Q$40&lt;&gt;"",ROW($Q$7:$Q$40)-MIN(ROW($Q$7:$Q$40))+1,""),""),ROW()-ROW(A$42)+1)),"##0")," "),"")</f>
        <v>0</v>
      </c>
      <c r="S68">
        <f t="array" ref="S68">IFERROR(CONCATENATE((INDEX($A$7:$A$40,SMALL(IF($T$7:$T$40&lt;&gt;"",IF($Q$7:$Q$40&lt;&gt;"",ROW($Q$7:$Q$40)-MIN(ROW($Q$7:$Q$40))+1,""),""),ROW()-ROW(A$42)+1))),),"")</f>
        <v>0</v>
      </c>
      <c r="W68">
        <f t="array" ref="W68">IFERROR(CONCATENATE((INDEX($Z$7:$Z$40,SMALL(IF($Z$7:$Z$40&lt;&gt;"",IF($W$7:$W$40&lt;&gt;"",ROW($W$7:$W$40)-MIN(ROW($W$7:$W$40))+1,""),""),ROW()-ROW(A$42)+1))),","),"")</f>
        <v>0</v>
      </c>
      <c r="X68">
        <f t="array" ref="X68">IFERROR(CONCATENATE(TEXT(INDEX($W$7:$W$40,SMALL(IF($Z$7:$Z$40&lt;&gt;"",IF($W$7:$W$40&lt;&gt;"",ROW($W$7:$W$40)-MIN(ROW($W$7:$W$40))+1,""),""),ROW()-ROW(A$42)+1)),"##0"),","),"")</f>
        <v>0</v>
      </c>
      <c r="Y68">
        <f t="array" ref="Y68">IFERROR(CONCATENATE((INDEX($A$7:$A$40,SMALL(IF($Z$7:$Z$40&lt;&gt;"",IF($W$7:$W$40&lt;&gt;"",ROW($W$7:$W$40)-MIN(ROW($W$7:$W$40))+1,""),""),ROW()-ROW(A$42)+1))),),"")</f>
        <v>0</v>
      </c>
    </row>
    <row r="69" spans="11:25">
      <c r="K69">
        <f t="array" ref="K69">IFERROR(CONCATENATE(TEXT(INDEX($K$7:$K$40,SMALL(IF($N$7:$N$40&lt;&gt;"",IF($K$7:$K$40&lt;&gt;"",ROW($K$7:$K$40)-MIN(ROW($K$7:$K$40))+1,""),""),ROW()-ROW(A$42)+1)),"##0"),","),"")</f>
        <v>0</v>
      </c>
      <c r="L69">
        <f t="array" ref="L69">IFERROR(CONCATENATE((INDEX($N$7:$N$40,SMALL(IF($N$7:$N$40&lt;&gt;"",IF($K$7:$K$40&lt;&gt;"",ROW($K$7:$K$40)-MIN(ROW($K$7:$K$40))+1,""),""),ROW()-ROW(A$42)+1))),","),"")</f>
        <v>0</v>
      </c>
      <c r="M69">
        <f t="array" ref="M69">IFERROR(CONCATENATE((INDEX($A$7:$A$40,SMALL(IF($N$7:$N$40&lt;&gt;"",IF($K$7:$K$40&lt;&gt;"",ROW($K$7:$K$40)-MIN(ROW($K$7:$K$40))+1,""),""),ROW()-ROW(A$42)+1))),),"")</f>
        <v>0</v>
      </c>
      <c r="Q69">
        <f t="array" ref="Q69">IFERROR(CONCATENATE((INDEX($T$7:$T$40,SMALL(IF($T$7:$T$40&lt;&gt;"",IF($Q$7:$Q$40&lt;&gt;"",ROW($Q$7:$Q$40)-MIN(ROW($Q$7:$Q$40))+1,""),""),ROW()-ROW(A$42)+1)))," "),"")</f>
        <v>0</v>
      </c>
      <c r="R69">
        <f t="array" ref="R69">IFERROR(CONCATENATE(TEXT(INDEX($Q$7:$Q$40,SMALL(IF($T$7:$T$40&lt;&gt;"",IF($Q$7:$Q$40&lt;&gt;"",ROW($Q$7:$Q$40)-MIN(ROW($Q$7:$Q$40))+1,""),""),ROW()-ROW(A$42)+1)),"##0")," "),"")</f>
        <v>0</v>
      </c>
      <c r="S69">
        <f t="array" ref="S69">IFERROR(CONCATENATE((INDEX($A$7:$A$40,SMALL(IF($T$7:$T$40&lt;&gt;"",IF($Q$7:$Q$40&lt;&gt;"",ROW($Q$7:$Q$40)-MIN(ROW($Q$7:$Q$40))+1,""),""),ROW()-ROW(A$42)+1))),),"")</f>
        <v>0</v>
      </c>
      <c r="W69">
        <f t="array" ref="W69">IFERROR(CONCATENATE((INDEX($Z$7:$Z$40,SMALL(IF($Z$7:$Z$40&lt;&gt;"",IF($W$7:$W$40&lt;&gt;"",ROW($W$7:$W$40)-MIN(ROW($W$7:$W$40))+1,""),""),ROW()-ROW(A$42)+1))),","),"")</f>
        <v>0</v>
      </c>
      <c r="X69">
        <f t="array" ref="X69">IFERROR(CONCATENATE(TEXT(INDEX($W$7:$W$40,SMALL(IF($Z$7:$Z$40&lt;&gt;"",IF($W$7:$W$40&lt;&gt;"",ROW($W$7:$W$40)-MIN(ROW($W$7:$W$40))+1,""),""),ROW()-ROW(A$42)+1)),"##0"),","),"")</f>
        <v>0</v>
      </c>
      <c r="Y69">
        <f t="array" ref="Y69">IFERROR(CONCATENATE((INDEX($A$7:$A$40,SMALL(IF($Z$7:$Z$40&lt;&gt;"",IF($W$7:$W$40&lt;&gt;"",ROW($W$7:$W$40)-MIN(ROW($W$7:$W$40))+1,""),""),ROW()-ROW(A$42)+1))),),"")</f>
        <v>0</v>
      </c>
    </row>
    <row r="70" spans="11:25">
      <c r="K70">
        <f t="array" ref="K70">IFERROR(CONCATENATE(TEXT(INDEX($K$7:$K$40,SMALL(IF($N$7:$N$40&lt;&gt;"",IF($K$7:$K$40&lt;&gt;"",ROW($K$7:$K$40)-MIN(ROW($K$7:$K$40))+1,""),""),ROW()-ROW(A$42)+1)),"##0"),","),"")</f>
        <v>0</v>
      </c>
      <c r="L70">
        <f t="array" ref="L70">IFERROR(CONCATENATE((INDEX($N$7:$N$40,SMALL(IF($N$7:$N$40&lt;&gt;"",IF($K$7:$K$40&lt;&gt;"",ROW($K$7:$K$40)-MIN(ROW($K$7:$K$40))+1,""),""),ROW()-ROW(A$42)+1))),","),"")</f>
        <v>0</v>
      </c>
      <c r="M70">
        <f t="array" ref="M70">IFERROR(CONCATENATE((INDEX($A$7:$A$40,SMALL(IF($N$7:$N$40&lt;&gt;"",IF($K$7:$K$40&lt;&gt;"",ROW($K$7:$K$40)-MIN(ROW($K$7:$K$40))+1,""),""),ROW()-ROW(A$42)+1))),),"")</f>
        <v>0</v>
      </c>
      <c r="Q70">
        <f t="array" ref="Q70">IFERROR(CONCATENATE((INDEX($T$7:$T$40,SMALL(IF($T$7:$T$40&lt;&gt;"",IF($Q$7:$Q$40&lt;&gt;"",ROW($Q$7:$Q$40)-MIN(ROW($Q$7:$Q$40))+1,""),""),ROW()-ROW(A$42)+1)))," "),"")</f>
        <v>0</v>
      </c>
      <c r="R70">
        <f t="array" ref="R70">IFERROR(CONCATENATE(TEXT(INDEX($Q$7:$Q$40,SMALL(IF($T$7:$T$40&lt;&gt;"",IF($Q$7:$Q$40&lt;&gt;"",ROW($Q$7:$Q$40)-MIN(ROW($Q$7:$Q$40))+1,""),""),ROW()-ROW(A$42)+1)),"##0")," "),"")</f>
        <v>0</v>
      </c>
      <c r="S70">
        <f t="array" ref="S70">IFERROR(CONCATENATE((INDEX($A$7:$A$40,SMALL(IF($T$7:$T$40&lt;&gt;"",IF($Q$7:$Q$40&lt;&gt;"",ROW($Q$7:$Q$40)-MIN(ROW($Q$7:$Q$40))+1,""),""),ROW()-ROW(A$42)+1))),),"")</f>
        <v>0</v>
      </c>
      <c r="W70">
        <f t="array" ref="W70">IFERROR(CONCATENATE((INDEX($Z$7:$Z$40,SMALL(IF($Z$7:$Z$40&lt;&gt;"",IF($W$7:$W$40&lt;&gt;"",ROW($W$7:$W$40)-MIN(ROW($W$7:$W$40))+1,""),""),ROW()-ROW(A$42)+1))),","),"")</f>
        <v>0</v>
      </c>
      <c r="X70">
        <f t="array" ref="X70">IFERROR(CONCATENATE(TEXT(INDEX($W$7:$W$40,SMALL(IF($Z$7:$Z$40&lt;&gt;"",IF($W$7:$W$40&lt;&gt;"",ROW($W$7:$W$40)-MIN(ROW($W$7:$W$40))+1,""),""),ROW()-ROW(A$42)+1)),"##0"),","),"")</f>
        <v>0</v>
      </c>
      <c r="Y70">
        <f t="array" ref="Y70">IFERROR(CONCATENATE((INDEX($A$7:$A$40,SMALL(IF($Z$7:$Z$40&lt;&gt;"",IF($W$7:$W$40&lt;&gt;"",ROW($W$7:$W$40)-MIN(ROW($W$7:$W$40))+1,""),""),ROW()-ROW(A$42)+1))),),"")</f>
        <v>0</v>
      </c>
    </row>
    <row r="71" spans="11:25">
      <c r="K71">
        <f t="array" ref="K71">IFERROR(CONCATENATE(TEXT(INDEX($K$7:$K$40,SMALL(IF($N$7:$N$40&lt;&gt;"",IF($K$7:$K$40&lt;&gt;"",ROW($K$7:$K$40)-MIN(ROW($K$7:$K$40))+1,""),""),ROW()-ROW(A$42)+1)),"##0"),","),"")</f>
        <v>0</v>
      </c>
      <c r="L71">
        <f t="array" ref="L71">IFERROR(CONCATENATE((INDEX($N$7:$N$40,SMALL(IF($N$7:$N$40&lt;&gt;"",IF($K$7:$K$40&lt;&gt;"",ROW($K$7:$K$40)-MIN(ROW($K$7:$K$40))+1,""),""),ROW()-ROW(A$42)+1))),","),"")</f>
        <v>0</v>
      </c>
      <c r="M71">
        <f t="array" ref="M71">IFERROR(CONCATENATE((INDEX($A$7:$A$40,SMALL(IF($N$7:$N$40&lt;&gt;"",IF($K$7:$K$40&lt;&gt;"",ROW($K$7:$K$40)-MIN(ROW($K$7:$K$40))+1,""),""),ROW()-ROW(A$42)+1))),),"")</f>
        <v>0</v>
      </c>
      <c r="Q71">
        <f t="array" ref="Q71">IFERROR(CONCATENATE((INDEX($T$7:$T$40,SMALL(IF($T$7:$T$40&lt;&gt;"",IF($Q$7:$Q$40&lt;&gt;"",ROW($Q$7:$Q$40)-MIN(ROW($Q$7:$Q$40))+1,""),""),ROW()-ROW(A$42)+1)))," "),"")</f>
        <v>0</v>
      </c>
      <c r="R71">
        <f t="array" ref="R71">IFERROR(CONCATENATE(TEXT(INDEX($Q$7:$Q$40,SMALL(IF($T$7:$T$40&lt;&gt;"",IF($Q$7:$Q$40&lt;&gt;"",ROW($Q$7:$Q$40)-MIN(ROW($Q$7:$Q$40))+1,""),""),ROW()-ROW(A$42)+1)),"##0")," "),"")</f>
        <v>0</v>
      </c>
      <c r="S71">
        <f t="array" ref="S71">IFERROR(CONCATENATE((INDEX($A$7:$A$40,SMALL(IF($T$7:$T$40&lt;&gt;"",IF($Q$7:$Q$40&lt;&gt;"",ROW($Q$7:$Q$40)-MIN(ROW($Q$7:$Q$40))+1,""),""),ROW()-ROW(A$42)+1))),),"")</f>
        <v>0</v>
      </c>
      <c r="W71">
        <f t="array" ref="W71">IFERROR(CONCATENATE((INDEX($Z$7:$Z$40,SMALL(IF($Z$7:$Z$40&lt;&gt;"",IF($W$7:$W$40&lt;&gt;"",ROW($W$7:$W$40)-MIN(ROW($W$7:$W$40))+1,""),""),ROW()-ROW(A$42)+1))),","),"")</f>
        <v>0</v>
      </c>
      <c r="X71">
        <f t="array" ref="X71">IFERROR(CONCATENATE(TEXT(INDEX($W$7:$W$40,SMALL(IF($Z$7:$Z$40&lt;&gt;"",IF($W$7:$W$40&lt;&gt;"",ROW($W$7:$W$40)-MIN(ROW($W$7:$W$40))+1,""),""),ROW()-ROW(A$42)+1)),"##0"),","),"")</f>
        <v>0</v>
      </c>
      <c r="Y71">
        <f t="array" ref="Y71">IFERROR(CONCATENATE((INDEX($A$7:$A$40,SMALL(IF($Z$7:$Z$40&lt;&gt;"",IF($W$7:$W$40&lt;&gt;"",ROW($W$7:$W$40)-MIN(ROW($W$7:$W$40))+1,""),""),ROW()-ROW(A$42)+1))),),"")</f>
        <v>0</v>
      </c>
    </row>
    <row r="72" spans="11:25">
      <c r="K72">
        <f t="array" ref="K72">IFERROR(CONCATENATE(TEXT(INDEX($K$7:$K$40,SMALL(IF($N$7:$N$40&lt;&gt;"",IF($K$7:$K$40&lt;&gt;"",ROW($K$7:$K$40)-MIN(ROW($K$7:$K$40))+1,""),""),ROW()-ROW(A$42)+1)),"##0"),","),"")</f>
        <v>0</v>
      </c>
      <c r="L72">
        <f t="array" ref="L72">IFERROR(CONCATENATE((INDEX($N$7:$N$40,SMALL(IF($N$7:$N$40&lt;&gt;"",IF($K$7:$K$40&lt;&gt;"",ROW($K$7:$K$40)-MIN(ROW($K$7:$K$40))+1,""),""),ROW()-ROW(A$42)+1))),","),"")</f>
        <v>0</v>
      </c>
      <c r="M72">
        <f t="array" ref="M72">IFERROR(CONCATENATE((INDEX($A$7:$A$40,SMALL(IF($N$7:$N$40&lt;&gt;"",IF($K$7:$K$40&lt;&gt;"",ROW($K$7:$K$40)-MIN(ROW($K$7:$K$40))+1,""),""),ROW()-ROW(A$42)+1))),),"")</f>
        <v>0</v>
      </c>
      <c r="Q72">
        <f t="array" ref="Q72">IFERROR(CONCATENATE((INDEX($T$7:$T$40,SMALL(IF($T$7:$T$40&lt;&gt;"",IF($Q$7:$Q$40&lt;&gt;"",ROW($Q$7:$Q$40)-MIN(ROW($Q$7:$Q$40))+1,""),""),ROW()-ROW(A$42)+1)))," "),"")</f>
        <v>0</v>
      </c>
      <c r="R72">
        <f t="array" ref="R72">IFERROR(CONCATENATE(TEXT(INDEX($Q$7:$Q$40,SMALL(IF($T$7:$T$40&lt;&gt;"",IF($Q$7:$Q$40&lt;&gt;"",ROW($Q$7:$Q$40)-MIN(ROW($Q$7:$Q$40))+1,""),""),ROW()-ROW(A$42)+1)),"##0")," "),"")</f>
        <v>0</v>
      </c>
      <c r="S72">
        <f t="array" ref="S72">IFERROR(CONCATENATE((INDEX($A$7:$A$40,SMALL(IF($T$7:$T$40&lt;&gt;"",IF($Q$7:$Q$40&lt;&gt;"",ROW($Q$7:$Q$40)-MIN(ROW($Q$7:$Q$40))+1,""),""),ROW()-ROW(A$42)+1))),),"")</f>
        <v>0</v>
      </c>
      <c r="W72">
        <f t="array" ref="W72">IFERROR(CONCATENATE((INDEX($Z$7:$Z$40,SMALL(IF($Z$7:$Z$40&lt;&gt;"",IF($W$7:$W$40&lt;&gt;"",ROW($W$7:$W$40)-MIN(ROW($W$7:$W$40))+1,""),""),ROW()-ROW(A$42)+1))),","),"")</f>
        <v>0</v>
      </c>
      <c r="X72">
        <f t="array" ref="X72">IFERROR(CONCATENATE(TEXT(INDEX($W$7:$W$40,SMALL(IF($Z$7:$Z$40&lt;&gt;"",IF($W$7:$W$40&lt;&gt;"",ROW($W$7:$W$40)-MIN(ROW($W$7:$W$40))+1,""),""),ROW()-ROW(A$42)+1)),"##0"),","),"")</f>
        <v>0</v>
      </c>
      <c r="Y72">
        <f t="array" ref="Y72">IFERROR(CONCATENATE((INDEX($A$7:$A$40,SMALL(IF($Z$7:$Z$40&lt;&gt;"",IF($W$7:$W$40&lt;&gt;"",ROW($W$7:$W$40)-MIN(ROW($W$7:$W$40))+1,""),""),ROW()-ROW(A$42)+1))),),"")</f>
        <v>0</v>
      </c>
    </row>
    <row r="73" spans="11:25">
      <c r="K73">
        <f t="array" ref="K73">IFERROR(CONCATENATE(TEXT(INDEX($K$7:$K$40,SMALL(IF($N$7:$N$40&lt;&gt;"",IF($K$7:$K$40&lt;&gt;"",ROW($K$7:$K$40)-MIN(ROW($K$7:$K$40))+1,""),""),ROW()-ROW(A$42)+1)),"##0"),","),"")</f>
        <v>0</v>
      </c>
      <c r="L73">
        <f t="array" ref="L73">IFERROR(CONCATENATE((INDEX($N$7:$N$40,SMALL(IF($N$7:$N$40&lt;&gt;"",IF($K$7:$K$40&lt;&gt;"",ROW($K$7:$K$40)-MIN(ROW($K$7:$K$40))+1,""),""),ROW()-ROW(A$42)+1))),","),"")</f>
        <v>0</v>
      </c>
      <c r="M73">
        <f t="array" ref="M73">IFERROR(CONCATENATE((INDEX($A$7:$A$40,SMALL(IF($N$7:$N$40&lt;&gt;"",IF($K$7:$K$40&lt;&gt;"",ROW($K$7:$K$40)-MIN(ROW($K$7:$K$40))+1,""),""),ROW()-ROW(A$42)+1))),),"")</f>
        <v>0</v>
      </c>
      <c r="Q73">
        <f t="array" ref="Q73">IFERROR(CONCATENATE((INDEX($T$7:$T$40,SMALL(IF($T$7:$T$40&lt;&gt;"",IF($Q$7:$Q$40&lt;&gt;"",ROW($Q$7:$Q$40)-MIN(ROW($Q$7:$Q$40))+1,""),""),ROW()-ROW(A$42)+1)))," "),"")</f>
        <v>0</v>
      </c>
      <c r="R73">
        <f t="array" ref="R73">IFERROR(CONCATENATE(TEXT(INDEX($Q$7:$Q$40,SMALL(IF($T$7:$T$40&lt;&gt;"",IF($Q$7:$Q$40&lt;&gt;"",ROW($Q$7:$Q$40)-MIN(ROW($Q$7:$Q$40))+1,""),""),ROW()-ROW(A$42)+1)),"##0")," "),"")</f>
        <v>0</v>
      </c>
      <c r="S73">
        <f t="array" ref="S73">IFERROR(CONCATENATE((INDEX($A$7:$A$40,SMALL(IF($T$7:$T$40&lt;&gt;"",IF($Q$7:$Q$40&lt;&gt;"",ROW($Q$7:$Q$40)-MIN(ROW($Q$7:$Q$40))+1,""),""),ROW()-ROW(A$42)+1))),),"")</f>
        <v>0</v>
      </c>
      <c r="W73">
        <f t="array" ref="W73">IFERROR(CONCATENATE((INDEX($Z$7:$Z$40,SMALL(IF($Z$7:$Z$40&lt;&gt;"",IF($W$7:$W$40&lt;&gt;"",ROW($W$7:$W$40)-MIN(ROW($W$7:$W$40))+1,""),""),ROW()-ROW(A$42)+1))),","),"")</f>
        <v>0</v>
      </c>
      <c r="X73">
        <f t="array" ref="X73">IFERROR(CONCATENATE(TEXT(INDEX($W$7:$W$40,SMALL(IF($Z$7:$Z$40&lt;&gt;"",IF($W$7:$W$40&lt;&gt;"",ROW($W$7:$W$40)-MIN(ROW($W$7:$W$40))+1,""),""),ROW()-ROW(A$42)+1)),"##0"),","),"")</f>
        <v>0</v>
      </c>
      <c r="Y73">
        <f t="array" ref="Y73">IFERROR(CONCATENATE((INDEX($A$7:$A$40,SMALL(IF($Z$7:$Z$40&lt;&gt;"",IF($W$7:$W$40&lt;&gt;"",ROW($W$7:$W$40)-MIN(ROW($W$7:$W$40))+1,""),""),ROW()-ROW(A$42)+1))),),"")</f>
        <v>0</v>
      </c>
    </row>
    <row r="74" spans="11:25">
      <c r="K74">
        <f t="array" ref="K74">IFERROR(CONCATENATE(TEXT(INDEX($K$7:$K$40,SMALL(IF($N$7:$N$40&lt;&gt;"",IF($K$7:$K$40&lt;&gt;"",ROW($K$7:$K$40)-MIN(ROW($K$7:$K$40))+1,""),""),ROW()-ROW(A$42)+1)),"##0"),","),"")</f>
        <v>0</v>
      </c>
      <c r="L74">
        <f t="array" ref="L74">IFERROR(CONCATENATE((INDEX($N$7:$N$40,SMALL(IF($N$7:$N$40&lt;&gt;"",IF($K$7:$K$40&lt;&gt;"",ROW($K$7:$K$40)-MIN(ROW($K$7:$K$40))+1,""),""),ROW()-ROW(A$42)+1))),","),"")</f>
        <v>0</v>
      </c>
      <c r="M74">
        <f t="array" ref="M74">IFERROR(CONCATENATE((INDEX($A$7:$A$40,SMALL(IF($N$7:$N$40&lt;&gt;"",IF($K$7:$K$40&lt;&gt;"",ROW($K$7:$K$40)-MIN(ROW($K$7:$K$40))+1,""),""),ROW()-ROW(A$42)+1))),),"")</f>
        <v>0</v>
      </c>
      <c r="Q74">
        <f t="array" ref="Q74">IFERROR(CONCATENATE((INDEX($T$7:$T$40,SMALL(IF($T$7:$T$40&lt;&gt;"",IF($Q$7:$Q$40&lt;&gt;"",ROW($Q$7:$Q$40)-MIN(ROW($Q$7:$Q$40))+1,""),""),ROW()-ROW(A$42)+1)))," "),"")</f>
        <v>0</v>
      </c>
      <c r="R74">
        <f t="array" ref="R74">IFERROR(CONCATENATE(TEXT(INDEX($Q$7:$Q$40,SMALL(IF($T$7:$T$40&lt;&gt;"",IF($Q$7:$Q$40&lt;&gt;"",ROW($Q$7:$Q$40)-MIN(ROW($Q$7:$Q$40))+1,""),""),ROW()-ROW(A$42)+1)),"##0")," "),"")</f>
        <v>0</v>
      </c>
      <c r="S74">
        <f t="array" ref="S74">IFERROR(CONCATENATE((INDEX($A$7:$A$40,SMALL(IF($T$7:$T$40&lt;&gt;"",IF($Q$7:$Q$40&lt;&gt;"",ROW($Q$7:$Q$40)-MIN(ROW($Q$7:$Q$40))+1,""),""),ROW()-ROW(A$42)+1))),),"")</f>
        <v>0</v>
      </c>
      <c r="W74">
        <f t="array" ref="W74">IFERROR(CONCATENATE((INDEX($Z$7:$Z$40,SMALL(IF($Z$7:$Z$40&lt;&gt;"",IF($W$7:$W$40&lt;&gt;"",ROW($W$7:$W$40)-MIN(ROW($W$7:$W$40))+1,""),""),ROW()-ROW(A$42)+1))),","),"")</f>
        <v>0</v>
      </c>
      <c r="X74">
        <f t="array" ref="X74">IFERROR(CONCATENATE(TEXT(INDEX($W$7:$W$40,SMALL(IF($Z$7:$Z$40&lt;&gt;"",IF($W$7:$W$40&lt;&gt;"",ROW($W$7:$W$40)-MIN(ROW($W$7:$W$40))+1,""),""),ROW()-ROW(A$42)+1)),"##0"),","),"")</f>
        <v>0</v>
      </c>
      <c r="Y74">
        <f t="array" ref="Y74">IFERROR(CONCATENATE((INDEX($A$7:$A$40,SMALL(IF($Z$7:$Z$40&lt;&gt;"",IF($W$7:$W$40&lt;&gt;"",ROW($W$7:$W$40)-MIN(ROW($W$7:$W$40))+1,""),""),ROW()-ROW(A$42)+1))),),"")</f>
        <v>0</v>
      </c>
    </row>
    <row r="75" spans="11:25">
      <c r="K75">
        <f t="array" ref="K75">IFERROR(CONCATENATE(TEXT(INDEX($K$7:$K$40,SMALL(IF($N$7:$N$40&lt;&gt;"",IF($K$7:$K$40&lt;&gt;"",ROW($K$7:$K$40)-MIN(ROW($K$7:$K$40))+1,""),""),ROW()-ROW(A$42)+1)),"##0"),","),"")</f>
        <v>0</v>
      </c>
      <c r="L75">
        <f t="array" ref="L75">IFERROR(CONCATENATE((INDEX($N$7:$N$40,SMALL(IF($N$7:$N$40&lt;&gt;"",IF($K$7:$K$40&lt;&gt;"",ROW($K$7:$K$40)-MIN(ROW($K$7:$K$40))+1,""),""),ROW()-ROW(A$42)+1))),","),"")</f>
        <v>0</v>
      </c>
      <c r="M75">
        <f t="array" ref="M75">IFERROR(CONCATENATE((INDEX($A$7:$A$40,SMALL(IF($N$7:$N$40&lt;&gt;"",IF($K$7:$K$40&lt;&gt;"",ROW($K$7:$K$40)-MIN(ROW($K$7:$K$40))+1,""),""),ROW()-ROW(A$42)+1))),),"")</f>
        <v>0</v>
      </c>
      <c r="Q75">
        <f t="array" ref="Q75">IFERROR(CONCATENATE((INDEX($T$7:$T$40,SMALL(IF($T$7:$T$40&lt;&gt;"",IF($Q$7:$Q$40&lt;&gt;"",ROW($Q$7:$Q$40)-MIN(ROW($Q$7:$Q$40))+1,""),""),ROW()-ROW(A$42)+1)))," "),"")</f>
        <v>0</v>
      </c>
      <c r="R75">
        <f t="array" ref="R75">IFERROR(CONCATENATE(TEXT(INDEX($Q$7:$Q$40,SMALL(IF($T$7:$T$40&lt;&gt;"",IF($Q$7:$Q$40&lt;&gt;"",ROW($Q$7:$Q$40)-MIN(ROW($Q$7:$Q$40))+1,""),""),ROW()-ROW(A$42)+1)),"##0")," "),"")</f>
        <v>0</v>
      </c>
      <c r="S75">
        <f t="array" ref="S75">IFERROR(CONCATENATE((INDEX($A$7:$A$40,SMALL(IF($T$7:$T$40&lt;&gt;"",IF($Q$7:$Q$40&lt;&gt;"",ROW($Q$7:$Q$40)-MIN(ROW($Q$7:$Q$40))+1,""),""),ROW()-ROW(A$42)+1))),),"")</f>
        <v>0</v>
      </c>
      <c r="W75">
        <f t="array" ref="W75">IFERROR(CONCATENATE((INDEX($Z$7:$Z$40,SMALL(IF($Z$7:$Z$40&lt;&gt;"",IF($W$7:$W$40&lt;&gt;"",ROW($W$7:$W$40)-MIN(ROW($W$7:$W$40))+1,""),""),ROW()-ROW(A$42)+1))),","),"")</f>
        <v>0</v>
      </c>
      <c r="X75">
        <f t="array" ref="X75">IFERROR(CONCATENATE(TEXT(INDEX($W$7:$W$40,SMALL(IF($Z$7:$Z$40&lt;&gt;"",IF($W$7:$W$40&lt;&gt;"",ROW($W$7:$W$40)-MIN(ROW($W$7:$W$40))+1,""),""),ROW()-ROW(A$42)+1)),"##0"),","),"")</f>
        <v>0</v>
      </c>
      <c r="Y75">
        <f t="array" ref="Y75">IFERROR(CONCATENATE((INDEX($A$7:$A$40,SMALL(IF($Z$7:$Z$40&lt;&gt;"",IF($W$7:$W$40&lt;&gt;"",ROW($W$7:$W$40)-MIN(ROW($W$7:$W$40))+1,""),""),ROW()-ROW(A$42)+1))),),"")</f>
        <v>0</v>
      </c>
    </row>
  </sheetData>
  <mergeCells count="4">
    <mergeCell ref="A5:I5"/>
    <mergeCell ref="J5:O5"/>
    <mergeCell ref="P5:U5"/>
    <mergeCell ref="V5:AA5"/>
  </mergeCells>
  <conditionalFormatting sqref="L12">
    <cfRule type="cellIs" dxfId="0" priority="3" operator="lessThanOrEqual">
      <formula>H12</formula>
    </cfRule>
  </conditionalFormatting>
  <conditionalFormatting sqref="L14">
    <cfRule type="cellIs" dxfId="0" priority="5" operator="lessThanOrEqual">
      <formula>H14</formula>
    </cfRule>
  </conditionalFormatting>
  <conditionalFormatting sqref="L15">
    <cfRule type="cellIs" dxfId="0" priority="7" operator="lessThanOrEqual">
      <formula>H15</formula>
    </cfRule>
  </conditionalFormatting>
  <conditionalFormatting sqref="L16">
    <cfRule type="cellIs" dxfId="0" priority="9" operator="lessThanOrEqual">
      <formula>H16</formula>
    </cfRule>
  </conditionalFormatting>
  <conditionalFormatting sqref="L17">
    <cfRule type="cellIs" dxfId="0" priority="11" operator="lessThanOrEqual">
      <formula>H17</formula>
    </cfRule>
  </conditionalFormatting>
  <conditionalFormatting sqref="L18">
    <cfRule type="cellIs" dxfId="0" priority="13" operator="lessThanOrEqual">
      <formula>H18</formula>
    </cfRule>
  </conditionalFormatting>
  <conditionalFormatting sqref="L19">
    <cfRule type="cellIs" dxfId="0" priority="15" operator="lessThanOrEqual">
      <formula>H19</formula>
    </cfRule>
  </conditionalFormatting>
  <conditionalFormatting sqref="L21">
    <cfRule type="cellIs" dxfId="0" priority="17" operator="lessThanOrEqual">
      <formula>H21</formula>
    </cfRule>
  </conditionalFormatting>
  <conditionalFormatting sqref="L22">
    <cfRule type="cellIs" dxfId="0" priority="19" operator="lessThanOrEqual">
      <formula>H22</formula>
    </cfRule>
  </conditionalFormatting>
  <conditionalFormatting sqref="L23">
    <cfRule type="cellIs" dxfId="0" priority="21" operator="lessThanOrEqual">
      <formula>H23</formula>
    </cfRule>
  </conditionalFormatting>
  <conditionalFormatting sqref="L24">
    <cfRule type="cellIs" dxfId="0" priority="23" operator="lessThanOrEqual">
      <formula>H24</formula>
    </cfRule>
  </conditionalFormatting>
  <conditionalFormatting sqref="L25">
    <cfRule type="cellIs" dxfId="0" priority="25" operator="lessThanOrEqual">
      <formula>H25</formula>
    </cfRule>
  </conditionalFormatting>
  <conditionalFormatting sqref="L26">
    <cfRule type="cellIs" dxfId="0" priority="27" operator="lessThanOrEqual">
      <formula>H26</formula>
    </cfRule>
  </conditionalFormatting>
  <conditionalFormatting sqref="L27">
    <cfRule type="cellIs" dxfId="0" priority="29" operator="lessThanOrEqual">
      <formula>H27</formula>
    </cfRule>
  </conditionalFormatting>
  <conditionalFormatting sqref="L28">
    <cfRule type="cellIs" dxfId="0" priority="31" operator="lessThanOrEqual">
      <formula>H28</formula>
    </cfRule>
  </conditionalFormatting>
  <conditionalFormatting sqref="L29">
    <cfRule type="cellIs" dxfId="0" priority="33" operator="lessThanOrEqual">
      <formula>H29</formula>
    </cfRule>
  </conditionalFormatting>
  <conditionalFormatting sqref="L30">
    <cfRule type="cellIs" dxfId="0" priority="35" operator="lessThanOrEqual">
      <formula>H30</formula>
    </cfRule>
  </conditionalFormatting>
  <conditionalFormatting sqref="L31">
    <cfRule type="cellIs" dxfId="0" priority="37" operator="lessThanOrEqual">
      <formula>H31</formula>
    </cfRule>
  </conditionalFormatting>
  <conditionalFormatting sqref="L32">
    <cfRule type="cellIs" dxfId="0" priority="39" operator="lessThanOrEqual">
      <formula>H32</formula>
    </cfRule>
  </conditionalFormatting>
  <conditionalFormatting sqref="L33">
    <cfRule type="cellIs" dxfId="0" priority="41" operator="lessThanOrEqual">
      <formula>H33</formula>
    </cfRule>
  </conditionalFormatting>
  <conditionalFormatting sqref="L35">
    <cfRule type="cellIs" dxfId="0" priority="43" operator="lessThanOrEqual">
      <formula>H35</formula>
    </cfRule>
  </conditionalFormatting>
  <conditionalFormatting sqref="L36">
    <cfRule type="cellIs" dxfId="0" priority="45" operator="lessThanOrEqual">
      <formula>H36</formula>
    </cfRule>
  </conditionalFormatting>
  <conditionalFormatting sqref="L37">
    <cfRule type="cellIs" dxfId="0" priority="47" operator="lessThanOrEqual">
      <formula>H37</formula>
    </cfRule>
  </conditionalFormatting>
  <conditionalFormatting sqref="L39">
    <cfRule type="cellIs" dxfId="0" priority="49" operator="lessThanOrEqual">
      <formula>H39</formula>
    </cfRule>
  </conditionalFormatting>
  <conditionalFormatting sqref="L40">
    <cfRule type="cellIs" dxfId="0" priority="51" operator="lessThanOrEqual">
      <formula>H40</formula>
    </cfRule>
  </conditionalFormatting>
  <conditionalFormatting sqref="L9">
    <cfRule type="cellIs" dxfId="0" priority="1" operator="lessThanOrEqual">
      <formula>H9</formula>
    </cfRule>
  </conditionalFormatting>
  <conditionalFormatting sqref="M12">
    <cfRule type="cellIs" dxfId="0" priority="4" operator="lessThanOrEqual">
      <formula>I12</formula>
    </cfRule>
  </conditionalFormatting>
  <conditionalFormatting sqref="M14">
    <cfRule type="cellIs" dxfId="0" priority="6" operator="lessThanOrEqual">
      <formula>I14</formula>
    </cfRule>
  </conditionalFormatting>
  <conditionalFormatting sqref="M15">
    <cfRule type="cellIs" dxfId="0" priority="8" operator="lessThanOrEqual">
      <formula>I15</formula>
    </cfRule>
  </conditionalFormatting>
  <conditionalFormatting sqref="M16">
    <cfRule type="cellIs" dxfId="0" priority="10" operator="lessThanOrEqual">
      <formula>I16</formula>
    </cfRule>
  </conditionalFormatting>
  <conditionalFormatting sqref="M17">
    <cfRule type="cellIs" dxfId="0" priority="12" operator="lessThanOrEqual">
      <formula>I17</formula>
    </cfRule>
  </conditionalFormatting>
  <conditionalFormatting sqref="M18">
    <cfRule type="cellIs" dxfId="0" priority="14" operator="lessThanOrEqual">
      <formula>I18</formula>
    </cfRule>
  </conditionalFormatting>
  <conditionalFormatting sqref="M19">
    <cfRule type="cellIs" dxfId="0" priority="16" operator="lessThanOrEqual">
      <formula>I19</formula>
    </cfRule>
  </conditionalFormatting>
  <conditionalFormatting sqref="M21">
    <cfRule type="cellIs" dxfId="0" priority="18" operator="lessThanOrEqual">
      <formula>I21</formula>
    </cfRule>
  </conditionalFormatting>
  <conditionalFormatting sqref="M22">
    <cfRule type="cellIs" dxfId="0" priority="20" operator="lessThanOrEqual">
      <formula>I22</formula>
    </cfRule>
  </conditionalFormatting>
  <conditionalFormatting sqref="M23">
    <cfRule type="cellIs" dxfId="0" priority="22" operator="lessThanOrEqual">
      <formula>I23</formula>
    </cfRule>
  </conditionalFormatting>
  <conditionalFormatting sqref="M24">
    <cfRule type="cellIs" dxfId="0" priority="24" operator="lessThanOrEqual">
      <formula>I24</formula>
    </cfRule>
  </conditionalFormatting>
  <conditionalFormatting sqref="M25">
    <cfRule type="cellIs" dxfId="0" priority="26" operator="lessThanOrEqual">
      <formula>I25</formula>
    </cfRule>
  </conditionalFormatting>
  <conditionalFormatting sqref="M26">
    <cfRule type="cellIs" dxfId="0" priority="28" operator="lessThanOrEqual">
      <formula>I26</formula>
    </cfRule>
  </conditionalFormatting>
  <conditionalFormatting sqref="M27">
    <cfRule type="cellIs" dxfId="0" priority="30" operator="lessThanOrEqual">
      <formula>I27</formula>
    </cfRule>
  </conditionalFormatting>
  <conditionalFormatting sqref="M28">
    <cfRule type="cellIs" dxfId="0" priority="32" operator="lessThanOrEqual">
      <formula>I28</formula>
    </cfRule>
  </conditionalFormatting>
  <conditionalFormatting sqref="M29">
    <cfRule type="cellIs" dxfId="0" priority="34" operator="lessThanOrEqual">
      <formula>I29</formula>
    </cfRule>
  </conditionalFormatting>
  <conditionalFormatting sqref="M30">
    <cfRule type="cellIs" dxfId="0" priority="36" operator="lessThanOrEqual">
      <formula>I30</formula>
    </cfRule>
  </conditionalFormatting>
  <conditionalFormatting sqref="M31">
    <cfRule type="cellIs" dxfId="0" priority="38" operator="lessThanOrEqual">
      <formula>I31</formula>
    </cfRule>
  </conditionalFormatting>
  <conditionalFormatting sqref="M32">
    <cfRule type="cellIs" dxfId="0" priority="40" operator="lessThanOrEqual">
      <formula>I32</formula>
    </cfRule>
  </conditionalFormatting>
  <conditionalFormatting sqref="M33">
    <cfRule type="cellIs" dxfId="0" priority="42" operator="lessThanOrEqual">
      <formula>I33</formula>
    </cfRule>
  </conditionalFormatting>
  <conditionalFormatting sqref="M35">
    <cfRule type="cellIs" dxfId="0" priority="44" operator="lessThanOrEqual">
      <formula>I35</formula>
    </cfRule>
  </conditionalFormatting>
  <conditionalFormatting sqref="M36">
    <cfRule type="cellIs" dxfId="0" priority="46" operator="lessThanOrEqual">
      <formula>I36</formula>
    </cfRule>
  </conditionalFormatting>
  <conditionalFormatting sqref="M37">
    <cfRule type="cellIs" dxfId="0" priority="48" operator="lessThanOrEqual">
      <formula>I37</formula>
    </cfRule>
  </conditionalFormatting>
  <conditionalFormatting sqref="M39">
    <cfRule type="cellIs" dxfId="0" priority="50" operator="lessThanOrEqual">
      <formula>I39</formula>
    </cfRule>
  </conditionalFormatting>
  <conditionalFormatting sqref="M40">
    <cfRule type="cellIs" dxfId="0" priority="52" operator="lessThanOrEqual">
      <formula>I40</formula>
    </cfRule>
  </conditionalFormatting>
  <conditionalFormatting sqref="M9">
    <cfRule type="cellIs" dxfId="0" priority="2" operator="lessThanOrEqual">
      <formula>I9</formula>
    </cfRule>
  </conditionalFormatting>
  <conditionalFormatting sqref="R10">
    <cfRule type="cellIs" dxfId="0" priority="57" operator="lessThanOrEqual">
      <formula>H10</formula>
    </cfRule>
  </conditionalFormatting>
  <conditionalFormatting sqref="R11">
    <cfRule type="cellIs" dxfId="0" priority="59" operator="lessThanOrEqual">
      <formula>H11</formula>
    </cfRule>
  </conditionalFormatting>
  <conditionalFormatting sqref="R12">
    <cfRule type="cellIs" dxfId="0" priority="61" operator="lessThanOrEqual">
      <formula>H12</formula>
    </cfRule>
  </conditionalFormatting>
  <conditionalFormatting sqref="R14">
    <cfRule type="cellIs" dxfId="0" priority="63" operator="lessThanOrEqual">
      <formula>H14</formula>
    </cfRule>
  </conditionalFormatting>
  <conditionalFormatting sqref="R15">
    <cfRule type="cellIs" dxfId="0" priority="65" operator="lessThanOrEqual">
      <formula>H15</formula>
    </cfRule>
  </conditionalFormatting>
  <conditionalFormatting sqref="R16">
    <cfRule type="cellIs" dxfId="0" priority="67" operator="lessThanOrEqual">
      <formula>H16</formula>
    </cfRule>
  </conditionalFormatting>
  <conditionalFormatting sqref="R17">
    <cfRule type="cellIs" dxfId="0" priority="69" operator="lessThanOrEqual">
      <formula>H17</formula>
    </cfRule>
  </conditionalFormatting>
  <conditionalFormatting sqref="R18">
    <cfRule type="cellIs" dxfId="0" priority="71" operator="lessThanOrEqual">
      <formula>H18</formula>
    </cfRule>
  </conditionalFormatting>
  <conditionalFormatting sqref="R19">
    <cfRule type="cellIs" dxfId="0" priority="73" operator="lessThanOrEqual">
      <formula>H19</formula>
    </cfRule>
  </conditionalFormatting>
  <conditionalFormatting sqref="R21">
    <cfRule type="cellIs" dxfId="0" priority="75" operator="lessThanOrEqual">
      <formula>H21</formula>
    </cfRule>
  </conditionalFormatting>
  <conditionalFormatting sqref="R23">
    <cfRule type="cellIs" dxfId="0" priority="77" operator="lessThanOrEqual">
      <formula>H23</formula>
    </cfRule>
  </conditionalFormatting>
  <conditionalFormatting sqref="R24">
    <cfRule type="cellIs" dxfId="0" priority="79" operator="lessThanOrEqual">
      <formula>H24</formula>
    </cfRule>
  </conditionalFormatting>
  <conditionalFormatting sqref="R25">
    <cfRule type="cellIs" dxfId="0" priority="81" operator="lessThanOrEqual">
      <formula>H25</formula>
    </cfRule>
  </conditionalFormatting>
  <conditionalFormatting sqref="R26">
    <cfRule type="cellIs" dxfId="0" priority="83" operator="lessThanOrEqual">
      <formula>H26</formula>
    </cfRule>
  </conditionalFormatting>
  <conditionalFormatting sqref="R27">
    <cfRule type="cellIs" dxfId="0" priority="85" operator="lessThanOrEqual">
      <formula>H27</formula>
    </cfRule>
  </conditionalFormatting>
  <conditionalFormatting sqref="R28">
    <cfRule type="cellIs" dxfId="0" priority="87" operator="lessThanOrEqual">
      <formula>H28</formula>
    </cfRule>
  </conditionalFormatting>
  <conditionalFormatting sqref="R29">
    <cfRule type="cellIs" dxfId="0" priority="89" operator="lessThanOrEqual">
      <formula>H29</formula>
    </cfRule>
  </conditionalFormatting>
  <conditionalFormatting sqref="R30">
    <cfRule type="cellIs" dxfId="0" priority="91" operator="lessThanOrEqual">
      <formula>H30</formula>
    </cfRule>
  </conditionalFormatting>
  <conditionalFormatting sqref="R31">
    <cfRule type="cellIs" dxfId="0" priority="93" operator="lessThanOrEqual">
      <formula>H31</formula>
    </cfRule>
  </conditionalFormatting>
  <conditionalFormatting sqref="R32">
    <cfRule type="cellIs" dxfId="0" priority="95" operator="lessThanOrEqual">
      <formula>H32</formula>
    </cfRule>
  </conditionalFormatting>
  <conditionalFormatting sqref="R33">
    <cfRule type="cellIs" dxfId="0" priority="97" operator="lessThanOrEqual">
      <formula>H33</formula>
    </cfRule>
  </conditionalFormatting>
  <conditionalFormatting sqref="R35">
    <cfRule type="cellIs" dxfId="0" priority="99" operator="lessThanOrEqual">
      <formula>H35</formula>
    </cfRule>
  </conditionalFormatting>
  <conditionalFormatting sqref="R36">
    <cfRule type="cellIs" dxfId="0" priority="101" operator="lessThanOrEqual">
      <formula>H36</formula>
    </cfRule>
  </conditionalFormatting>
  <conditionalFormatting sqref="R37">
    <cfRule type="cellIs" dxfId="0" priority="103" operator="lessThanOrEqual">
      <formula>H37</formula>
    </cfRule>
  </conditionalFormatting>
  <conditionalFormatting sqref="R39">
    <cfRule type="cellIs" dxfId="0" priority="105" operator="lessThanOrEqual">
      <formula>H39</formula>
    </cfRule>
  </conditionalFormatting>
  <conditionalFormatting sqref="R40">
    <cfRule type="cellIs" dxfId="0" priority="107" operator="lessThanOrEqual">
      <formula>H40</formula>
    </cfRule>
  </conditionalFormatting>
  <conditionalFormatting sqref="R7">
    <cfRule type="cellIs" dxfId="0" priority="53" operator="lessThanOrEqual">
      <formula>H7</formula>
    </cfRule>
  </conditionalFormatting>
  <conditionalFormatting sqref="R9">
    <cfRule type="cellIs" dxfId="0" priority="55" operator="lessThanOrEqual">
      <formula>H9</formula>
    </cfRule>
  </conditionalFormatting>
  <conditionalFormatting sqref="S10">
    <cfRule type="cellIs" dxfId="0" priority="58" operator="lessThanOrEqual">
      <formula>I10</formula>
    </cfRule>
  </conditionalFormatting>
  <conditionalFormatting sqref="S11">
    <cfRule type="cellIs" dxfId="0" priority="60" operator="lessThanOrEqual">
      <formula>I11</formula>
    </cfRule>
  </conditionalFormatting>
  <conditionalFormatting sqref="S12">
    <cfRule type="cellIs" dxfId="0" priority="62" operator="lessThanOrEqual">
      <formula>I12</formula>
    </cfRule>
  </conditionalFormatting>
  <conditionalFormatting sqref="S14">
    <cfRule type="cellIs" dxfId="0" priority="64" operator="lessThanOrEqual">
      <formula>I14</formula>
    </cfRule>
  </conditionalFormatting>
  <conditionalFormatting sqref="S15">
    <cfRule type="cellIs" dxfId="0" priority="66" operator="lessThanOrEqual">
      <formula>I15</formula>
    </cfRule>
  </conditionalFormatting>
  <conditionalFormatting sqref="S16">
    <cfRule type="cellIs" dxfId="0" priority="68" operator="lessThanOrEqual">
      <formula>I16</formula>
    </cfRule>
  </conditionalFormatting>
  <conditionalFormatting sqref="S17">
    <cfRule type="cellIs" dxfId="0" priority="70" operator="lessThanOrEqual">
      <formula>I17</formula>
    </cfRule>
  </conditionalFormatting>
  <conditionalFormatting sqref="S18">
    <cfRule type="cellIs" dxfId="0" priority="72" operator="lessThanOrEqual">
      <formula>I18</formula>
    </cfRule>
  </conditionalFormatting>
  <conditionalFormatting sqref="S19">
    <cfRule type="cellIs" dxfId="0" priority="74" operator="lessThanOrEqual">
      <formula>I19</formula>
    </cfRule>
  </conditionalFormatting>
  <conditionalFormatting sqref="S21">
    <cfRule type="cellIs" dxfId="0" priority="76" operator="lessThanOrEqual">
      <formula>I21</formula>
    </cfRule>
  </conditionalFormatting>
  <conditionalFormatting sqref="S23">
    <cfRule type="cellIs" dxfId="0" priority="78" operator="lessThanOrEqual">
      <formula>I23</formula>
    </cfRule>
  </conditionalFormatting>
  <conditionalFormatting sqref="S24">
    <cfRule type="cellIs" dxfId="0" priority="80" operator="lessThanOrEqual">
      <formula>I24</formula>
    </cfRule>
  </conditionalFormatting>
  <conditionalFormatting sqref="S25">
    <cfRule type="cellIs" dxfId="0" priority="82" operator="lessThanOrEqual">
      <formula>I25</formula>
    </cfRule>
  </conditionalFormatting>
  <conditionalFormatting sqref="S26">
    <cfRule type="cellIs" dxfId="0" priority="84" operator="lessThanOrEqual">
      <formula>I26</formula>
    </cfRule>
  </conditionalFormatting>
  <conditionalFormatting sqref="S27">
    <cfRule type="cellIs" dxfId="0" priority="86" operator="lessThanOrEqual">
      <formula>I27</formula>
    </cfRule>
  </conditionalFormatting>
  <conditionalFormatting sqref="S28">
    <cfRule type="cellIs" dxfId="0" priority="88" operator="lessThanOrEqual">
      <formula>I28</formula>
    </cfRule>
  </conditionalFormatting>
  <conditionalFormatting sqref="S29">
    <cfRule type="cellIs" dxfId="0" priority="90" operator="lessThanOrEqual">
      <formula>I29</formula>
    </cfRule>
  </conditionalFormatting>
  <conditionalFormatting sqref="S30">
    <cfRule type="cellIs" dxfId="0" priority="92" operator="lessThanOrEqual">
      <formula>I30</formula>
    </cfRule>
  </conditionalFormatting>
  <conditionalFormatting sqref="S31">
    <cfRule type="cellIs" dxfId="0" priority="94" operator="lessThanOrEqual">
      <formula>I31</formula>
    </cfRule>
  </conditionalFormatting>
  <conditionalFormatting sqref="S32">
    <cfRule type="cellIs" dxfId="0" priority="96" operator="lessThanOrEqual">
      <formula>I32</formula>
    </cfRule>
  </conditionalFormatting>
  <conditionalFormatting sqref="S33">
    <cfRule type="cellIs" dxfId="0" priority="98" operator="lessThanOrEqual">
      <formula>I33</formula>
    </cfRule>
  </conditionalFormatting>
  <conditionalFormatting sqref="S35">
    <cfRule type="cellIs" dxfId="0" priority="100" operator="lessThanOrEqual">
      <formula>I35</formula>
    </cfRule>
  </conditionalFormatting>
  <conditionalFormatting sqref="S36">
    <cfRule type="cellIs" dxfId="0" priority="102" operator="lessThanOrEqual">
      <formula>I36</formula>
    </cfRule>
  </conditionalFormatting>
  <conditionalFormatting sqref="S37">
    <cfRule type="cellIs" dxfId="0" priority="104" operator="lessThanOrEqual">
      <formula>I37</formula>
    </cfRule>
  </conditionalFormatting>
  <conditionalFormatting sqref="S39">
    <cfRule type="cellIs" dxfId="0" priority="106" operator="lessThanOrEqual">
      <formula>I39</formula>
    </cfRule>
  </conditionalFormatting>
  <conditionalFormatting sqref="S40">
    <cfRule type="cellIs" dxfId="0" priority="108" operator="lessThanOrEqual">
      <formula>I40</formula>
    </cfRule>
  </conditionalFormatting>
  <conditionalFormatting sqref="S7">
    <cfRule type="cellIs" dxfId="0" priority="54" operator="lessThanOrEqual">
      <formula>I7</formula>
    </cfRule>
  </conditionalFormatting>
  <conditionalFormatting sqref="S9">
    <cfRule type="cellIs" dxfId="0" priority="56" operator="lessThanOrEqual">
      <formula>I9</formula>
    </cfRule>
  </conditionalFormatting>
  <conditionalFormatting sqref="X11">
    <cfRule type="cellIs" dxfId="0" priority="113" operator="lessThanOrEqual">
      <formula>H11</formula>
    </cfRule>
  </conditionalFormatting>
  <conditionalFormatting sqref="X12">
    <cfRule type="cellIs" dxfId="0" priority="115" operator="lessThanOrEqual">
      <formula>H12</formula>
    </cfRule>
  </conditionalFormatting>
  <conditionalFormatting sqref="X14">
    <cfRule type="cellIs" dxfId="0" priority="117" operator="lessThanOrEqual">
      <formula>H14</formula>
    </cfRule>
  </conditionalFormatting>
  <conditionalFormatting sqref="X15">
    <cfRule type="cellIs" dxfId="0" priority="119" operator="lessThanOrEqual">
      <formula>H15</formula>
    </cfRule>
  </conditionalFormatting>
  <conditionalFormatting sqref="X16">
    <cfRule type="cellIs" dxfId="0" priority="121" operator="lessThanOrEqual">
      <formula>H16</formula>
    </cfRule>
  </conditionalFormatting>
  <conditionalFormatting sqref="X17">
    <cfRule type="cellIs" dxfId="0" priority="123" operator="lessThanOrEqual">
      <formula>H17</formula>
    </cfRule>
  </conditionalFormatting>
  <conditionalFormatting sqref="X18">
    <cfRule type="cellIs" dxfId="0" priority="125" operator="lessThanOrEqual">
      <formula>H18</formula>
    </cfRule>
  </conditionalFormatting>
  <conditionalFormatting sqref="X19">
    <cfRule type="cellIs" dxfId="0" priority="127" operator="lessThanOrEqual">
      <formula>H19</formula>
    </cfRule>
  </conditionalFormatting>
  <conditionalFormatting sqref="X20">
    <cfRule type="cellIs" dxfId="0" priority="129" operator="lessThanOrEqual">
      <formula>H20</formula>
    </cfRule>
  </conditionalFormatting>
  <conditionalFormatting sqref="X22">
    <cfRule type="cellIs" dxfId="0" priority="131" operator="lessThanOrEqual">
      <formula>H22</formula>
    </cfRule>
  </conditionalFormatting>
  <conditionalFormatting sqref="X23">
    <cfRule type="cellIs" dxfId="0" priority="133" operator="lessThanOrEqual">
      <formula>H23</formula>
    </cfRule>
  </conditionalFormatting>
  <conditionalFormatting sqref="X25">
    <cfRule type="cellIs" dxfId="0" priority="135" operator="lessThanOrEqual">
      <formula>H25</formula>
    </cfRule>
  </conditionalFormatting>
  <conditionalFormatting sqref="X27">
    <cfRule type="cellIs" dxfId="0" priority="137" operator="lessThanOrEqual">
      <formula>H27</formula>
    </cfRule>
  </conditionalFormatting>
  <conditionalFormatting sqref="X28">
    <cfRule type="cellIs" dxfId="0" priority="139" operator="lessThanOrEqual">
      <formula>H28</formula>
    </cfRule>
  </conditionalFormatting>
  <conditionalFormatting sqref="X29">
    <cfRule type="cellIs" dxfId="0" priority="141" operator="lessThanOrEqual">
      <formula>H29</formula>
    </cfRule>
  </conditionalFormatting>
  <conditionalFormatting sqref="X30">
    <cfRule type="cellIs" dxfId="0" priority="143" operator="lessThanOrEqual">
      <formula>H30</formula>
    </cfRule>
  </conditionalFormatting>
  <conditionalFormatting sqref="X31">
    <cfRule type="cellIs" dxfId="0" priority="145" operator="lessThanOrEqual">
      <formula>H31</formula>
    </cfRule>
  </conditionalFormatting>
  <conditionalFormatting sqref="X33">
    <cfRule type="cellIs" dxfId="0" priority="147" operator="lessThanOrEqual">
      <formula>H33</formula>
    </cfRule>
  </conditionalFormatting>
  <conditionalFormatting sqref="X36">
    <cfRule type="cellIs" dxfId="0" priority="149" operator="lessThanOrEqual">
      <formula>H36</formula>
    </cfRule>
  </conditionalFormatting>
  <conditionalFormatting sqref="X37">
    <cfRule type="cellIs" dxfId="0" priority="151" operator="lessThanOrEqual">
      <formula>H37</formula>
    </cfRule>
  </conditionalFormatting>
  <conditionalFormatting sqref="X39">
    <cfRule type="cellIs" dxfId="0" priority="153" operator="lessThanOrEqual">
      <formula>H39</formula>
    </cfRule>
  </conditionalFormatting>
  <conditionalFormatting sqref="X40">
    <cfRule type="cellIs" dxfId="0" priority="155" operator="lessThanOrEqual">
      <formula>H40</formula>
    </cfRule>
  </conditionalFormatting>
  <conditionalFormatting sqref="X7">
    <cfRule type="cellIs" dxfId="0" priority="109" operator="lessThanOrEqual">
      <formula>H7</formula>
    </cfRule>
  </conditionalFormatting>
  <conditionalFormatting sqref="X9">
    <cfRule type="cellIs" dxfId="0" priority="111" operator="lessThanOrEqual">
      <formula>H9</formula>
    </cfRule>
  </conditionalFormatting>
  <conditionalFormatting sqref="Y11">
    <cfRule type="cellIs" dxfId="0" priority="114" operator="lessThanOrEqual">
      <formula>I11</formula>
    </cfRule>
  </conditionalFormatting>
  <conditionalFormatting sqref="Y12">
    <cfRule type="cellIs" dxfId="0" priority="116" operator="lessThanOrEqual">
      <formula>I12</formula>
    </cfRule>
  </conditionalFormatting>
  <conditionalFormatting sqref="Y14">
    <cfRule type="cellIs" dxfId="0" priority="118" operator="lessThanOrEqual">
      <formula>I14</formula>
    </cfRule>
  </conditionalFormatting>
  <conditionalFormatting sqref="Y15">
    <cfRule type="cellIs" dxfId="0" priority="120" operator="lessThanOrEqual">
      <formula>I15</formula>
    </cfRule>
  </conditionalFormatting>
  <conditionalFormatting sqref="Y16">
    <cfRule type="cellIs" dxfId="0" priority="122" operator="lessThanOrEqual">
      <formula>I16</formula>
    </cfRule>
  </conditionalFormatting>
  <conditionalFormatting sqref="Y17">
    <cfRule type="cellIs" dxfId="0" priority="124" operator="lessThanOrEqual">
      <formula>I17</formula>
    </cfRule>
  </conditionalFormatting>
  <conditionalFormatting sqref="Y18">
    <cfRule type="cellIs" dxfId="0" priority="126" operator="lessThanOrEqual">
      <formula>I18</formula>
    </cfRule>
  </conditionalFormatting>
  <conditionalFormatting sqref="Y19">
    <cfRule type="cellIs" dxfId="0" priority="128" operator="lessThanOrEqual">
      <formula>I19</formula>
    </cfRule>
  </conditionalFormatting>
  <conditionalFormatting sqref="Y20">
    <cfRule type="cellIs" dxfId="0" priority="130" operator="lessThanOrEqual">
      <formula>I20</formula>
    </cfRule>
  </conditionalFormatting>
  <conditionalFormatting sqref="Y22">
    <cfRule type="cellIs" dxfId="0" priority="132" operator="lessThanOrEqual">
      <formula>I22</formula>
    </cfRule>
  </conditionalFormatting>
  <conditionalFormatting sqref="Y23">
    <cfRule type="cellIs" dxfId="0" priority="134" operator="lessThanOrEqual">
      <formula>I23</formula>
    </cfRule>
  </conditionalFormatting>
  <conditionalFormatting sqref="Y25">
    <cfRule type="cellIs" dxfId="0" priority="136" operator="lessThanOrEqual">
      <formula>I25</formula>
    </cfRule>
  </conditionalFormatting>
  <conditionalFormatting sqref="Y27">
    <cfRule type="cellIs" dxfId="0" priority="138" operator="lessThanOrEqual">
      <formula>I27</formula>
    </cfRule>
  </conditionalFormatting>
  <conditionalFormatting sqref="Y28">
    <cfRule type="cellIs" dxfId="0" priority="140" operator="lessThanOrEqual">
      <formula>I28</formula>
    </cfRule>
  </conditionalFormatting>
  <conditionalFormatting sqref="Y29">
    <cfRule type="cellIs" dxfId="0" priority="142" operator="lessThanOrEqual">
      <formula>I29</formula>
    </cfRule>
  </conditionalFormatting>
  <conditionalFormatting sqref="Y30">
    <cfRule type="cellIs" dxfId="0" priority="144" operator="lessThanOrEqual">
      <formula>I30</formula>
    </cfRule>
  </conditionalFormatting>
  <conditionalFormatting sqref="Y31">
    <cfRule type="cellIs" dxfId="0" priority="146" operator="lessThanOrEqual">
      <formula>I31</formula>
    </cfRule>
  </conditionalFormatting>
  <conditionalFormatting sqref="Y33">
    <cfRule type="cellIs" dxfId="0" priority="148" operator="lessThanOrEqual">
      <formula>I33</formula>
    </cfRule>
  </conditionalFormatting>
  <conditionalFormatting sqref="Y36">
    <cfRule type="cellIs" dxfId="0" priority="150" operator="lessThanOrEqual">
      <formula>I36</formula>
    </cfRule>
  </conditionalFormatting>
  <conditionalFormatting sqref="Y37">
    <cfRule type="cellIs" dxfId="0" priority="152" operator="lessThanOrEqual">
      <formula>I37</formula>
    </cfRule>
  </conditionalFormatting>
  <conditionalFormatting sqref="Y39">
    <cfRule type="cellIs" dxfId="0" priority="154" operator="lessThanOrEqual">
      <formula>I39</formula>
    </cfRule>
  </conditionalFormatting>
  <conditionalFormatting sqref="Y40">
    <cfRule type="cellIs" dxfId="0" priority="156" operator="lessThanOrEqual">
      <formula>I40</formula>
    </cfRule>
  </conditionalFormatting>
  <conditionalFormatting sqref="Y7">
    <cfRule type="cellIs" dxfId="0" priority="110" operator="lessThanOrEqual">
      <formula>I7</formula>
    </cfRule>
  </conditionalFormatting>
  <conditionalFormatting sqref="Y9">
    <cfRule type="cellIs" dxfId="0" priority="112" operator="lessThanOrEqual">
      <formula>I9</formula>
    </cfRule>
  </conditionalFormatting>
  <hyperlinks>
    <hyperlink ref="U7" r:id="rId1"/>
    <hyperlink ref="AA7" r:id="rId2"/>
    <hyperlink ref="O9" r:id="rId3"/>
    <hyperlink ref="U9" r:id="rId4"/>
    <hyperlink ref="AA9" r:id="rId5"/>
    <hyperlink ref="U10" r:id="rId6"/>
    <hyperlink ref="U11" r:id="rId7"/>
    <hyperlink ref="AA11" r:id="rId8"/>
    <hyperlink ref="O12" r:id="rId9"/>
    <hyperlink ref="U12" r:id="rId10"/>
    <hyperlink ref="AA12" r:id="rId11"/>
    <hyperlink ref="O14" r:id="rId12"/>
    <hyperlink ref="U14" r:id="rId13"/>
    <hyperlink ref="AA14" r:id="rId14"/>
    <hyperlink ref="O15" r:id="rId15"/>
    <hyperlink ref="U15" r:id="rId16"/>
    <hyperlink ref="AA15" r:id="rId17"/>
    <hyperlink ref="O16" r:id="rId18"/>
    <hyperlink ref="U16" r:id="rId19"/>
    <hyperlink ref="AA16" r:id="rId20"/>
    <hyperlink ref="O17" r:id="rId21"/>
    <hyperlink ref="U17" r:id="rId22"/>
    <hyperlink ref="AA17" r:id="rId23"/>
    <hyperlink ref="O18" r:id="rId24"/>
    <hyperlink ref="U18" r:id="rId25"/>
    <hyperlink ref="AA18" r:id="rId26"/>
    <hyperlink ref="O19" r:id="rId27"/>
    <hyperlink ref="U19" r:id="rId28"/>
    <hyperlink ref="AA19" r:id="rId29"/>
    <hyperlink ref="AA20" r:id="rId30"/>
    <hyperlink ref="O21" r:id="rId31"/>
    <hyperlink ref="U21" r:id="rId32"/>
    <hyperlink ref="O22" r:id="rId33"/>
    <hyperlink ref="AA22" r:id="rId34"/>
    <hyperlink ref="O23" r:id="rId35"/>
    <hyperlink ref="U23" r:id="rId36"/>
    <hyperlink ref="AA23" r:id="rId37"/>
    <hyperlink ref="O24" r:id="rId38"/>
    <hyperlink ref="U24" r:id="rId39"/>
    <hyperlink ref="O25" r:id="rId40"/>
    <hyperlink ref="U25" r:id="rId41"/>
    <hyperlink ref="AA25" r:id="rId42"/>
    <hyperlink ref="O26" r:id="rId43"/>
    <hyperlink ref="U26" r:id="rId44"/>
    <hyperlink ref="O27" r:id="rId45"/>
    <hyperlink ref="U27" r:id="rId46"/>
    <hyperlink ref="AA27" r:id="rId47"/>
    <hyperlink ref="O28" r:id="rId48"/>
    <hyperlink ref="U28" r:id="rId49"/>
    <hyperlink ref="AA28" r:id="rId50"/>
    <hyperlink ref="O29" r:id="rId51"/>
    <hyperlink ref="U29" r:id="rId52"/>
    <hyperlink ref="AA29" r:id="rId53"/>
    <hyperlink ref="O30" r:id="rId54"/>
    <hyperlink ref="U30" r:id="rId55"/>
    <hyperlink ref="AA30" r:id="rId56"/>
    <hyperlink ref="O31" r:id="rId57"/>
    <hyperlink ref="U31" r:id="rId58"/>
    <hyperlink ref="AA31" r:id="rId59"/>
    <hyperlink ref="O32" r:id="rId60"/>
    <hyperlink ref="U32" r:id="rId61"/>
    <hyperlink ref="O33" r:id="rId62"/>
    <hyperlink ref="U33" r:id="rId63"/>
    <hyperlink ref="AA33" r:id="rId64"/>
    <hyperlink ref="O35" r:id="rId65"/>
    <hyperlink ref="U35" r:id="rId66"/>
    <hyperlink ref="O36" r:id="rId67"/>
    <hyperlink ref="U36" r:id="rId68"/>
    <hyperlink ref="AA36" r:id="rId69"/>
    <hyperlink ref="O37" r:id="rId70"/>
    <hyperlink ref="U37" r:id="rId71"/>
    <hyperlink ref="AA37" r:id="rId72"/>
    <hyperlink ref="O39" r:id="rId73"/>
    <hyperlink ref="U39" r:id="rId74"/>
    <hyperlink ref="AA39" r:id="rId75"/>
    <hyperlink ref="O40" r:id="rId76"/>
    <hyperlink ref="U40" r:id="rId77"/>
    <hyperlink ref="AA40" r:id="rId78"/>
  </hyperlinks>
  <pageMargins left="0.7" right="0.7" top="0.75" bottom="0.75" header="0.3" footer="0.3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2016-02-20T10:09:02Z</dcterms:created>
  <dcterms:modified xsi:type="dcterms:W3CDTF">2016-02-20T10:09:02Z</dcterms:modified>
</cp:coreProperties>
</file>