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M:\Documents\_phd\_data_analysis_and_documentation\Paper3_Scale-down_design\cm_application\"/>
    </mc:Choice>
  </mc:AlternateContent>
  <xr:revisionPtr revIDLastSave="0" documentId="13_ncr:1_{30435F02-2110-4F81-82C2-86839AB4DE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R 4 compartment model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" i="7" l="1"/>
  <c r="C77" i="7"/>
  <c r="C93" i="7"/>
  <c r="C4" i="7"/>
  <c r="C42" i="7"/>
  <c r="C46" i="7"/>
  <c r="C62" i="7" s="1"/>
  <c r="C45" i="7"/>
  <c r="C44" i="7"/>
  <c r="C48" i="7" s="1"/>
  <c r="C24" i="7"/>
  <c r="C22" i="7"/>
  <c r="C20" i="7"/>
  <c r="C25" i="7" s="1"/>
  <c r="C32" i="7"/>
  <c r="C13" i="7"/>
  <c r="C26" i="7" l="1"/>
  <c r="C23" i="7"/>
  <c r="C66" i="7"/>
  <c r="C99" i="7"/>
  <c r="C71" i="7"/>
  <c r="C75" i="7" s="1"/>
  <c r="C50" i="7" l="1"/>
  <c r="C38" i="7" s="1"/>
  <c r="C91" i="7" s="1"/>
  <c r="F91" i="7" s="1"/>
  <c r="C83" i="7"/>
  <c r="C95" i="7"/>
  <c r="C43" i="7"/>
  <c r="C101" i="7"/>
  <c r="C102" i="7"/>
  <c r="C54" i="7"/>
  <c r="C58" i="7" s="1"/>
  <c r="C100" i="7" l="1"/>
  <c r="C47" i="7"/>
  <c r="C63" i="7" s="1"/>
  <c r="C103" i="7"/>
  <c r="C107" i="7" s="1"/>
  <c r="C49" i="7"/>
  <c r="C65" i="7" s="1"/>
  <c r="C69" i="7" s="1"/>
  <c r="C57" i="7" s="1"/>
  <c r="C61" i="7" s="1"/>
  <c r="C64" i="7"/>
  <c r="C68" i="7" s="1"/>
  <c r="C56" i="7" s="1"/>
  <c r="C60" i="7" s="1"/>
  <c r="C106" i="7" l="1"/>
  <c r="C105" i="7"/>
  <c r="C74" i="7"/>
  <c r="C73" i="7"/>
  <c r="C97" i="7" s="1"/>
  <c r="C67" i="7"/>
  <c r="C72" i="7"/>
  <c r="C76" i="7" s="1"/>
  <c r="C96" i="7" s="1"/>
  <c r="C78" i="7" l="1"/>
  <c r="C98" i="7" s="1"/>
  <c r="C55" i="7"/>
  <c r="C59" i="7" s="1"/>
  <c r="C51" i="7"/>
  <c r="C39" i="7" s="1"/>
  <c r="C86" i="7"/>
  <c r="C85" i="7"/>
  <c r="C84" i="7"/>
  <c r="C104" i="7" l="1"/>
  <c r="C108" i="7" s="1"/>
  <c r="C80" i="7"/>
  <c r="C79" i="7"/>
  <c r="C52" i="7"/>
  <c r="C53" i="7"/>
  <c r="C41" i="7" l="1"/>
  <c r="C94" i="7" s="1"/>
  <c r="F94" i="7" s="1"/>
  <c r="C40" i="7"/>
  <c r="C89" i="7" s="1"/>
  <c r="C110" i="7"/>
  <c r="C87" i="7"/>
  <c r="F92" i="7"/>
  <c r="C88" i="7"/>
  <c r="C109" i="7"/>
  <c r="C81" i="7" l="1"/>
  <c r="F93" i="7"/>
  <c r="C82" i="7"/>
  <c r="C9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Jonas Bafna-Rührer</author>
  </authors>
  <commentList>
    <comment ref="A8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Jonas Bafna-Rührer:</t>
        </r>
        <r>
          <rPr>
            <sz val="9"/>
            <color indexed="81"/>
            <rFont val="Tahoma"/>
            <family val="2"/>
          </rPr>
          <t xml:space="preserve">
Equations are for single stirrer. See Ch05 Noorman, Bioprocess Design, p.71</t>
        </r>
      </text>
    </comment>
    <comment ref="B9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Jonas Bafna-Rührer:</t>
        </r>
        <r>
          <rPr>
            <sz val="9"/>
            <color indexed="81"/>
            <rFont val="Tahoma"/>
            <family val="2"/>
          </rPr>
          <t xml:space="preserve">
these are too high in my calcs. This was the case initially. Corrected impact of energy dissipation with the help of equation 9 from Ochoa-Garcia</t>
        </r>
      </text>
    </comment>
  </commentList>
</comments>
</file>

<file path=xl/sharedStrings.xml><?xml version="1.0" encoding="utf-8"?>
<sst xmlns="http://schemas.openxmlformats.org/spreadsheetml/2006/main" count="394" uniqueCount="216">
  <si>
    <t>Unit</t>
  </si>
  <si>
    <t>Symbols</t>
  </si>
  <si>
    <t>N</t>
  </si>
  <si>
    <t>n</t>
  </si>
  <si>
    <t>T</t>
  </si>
  <si>
    <t>D</t>
  </si>
  <si>
    <t>m</t>
  </si>
  <si>
    <t>value</t>
  </si>
  <si>
    <t>Broth density</t>
  </si>
  <si>
    <t>W</t>
  </si>
  <si>
    <t>rpm</t>
  </si>
  <si>
    <t>rps</t>
  </si>
  <si>
    <t>H</t>
  </si>
  <si>
    <t>kLa</t>
  </si>
  <si>
    <t>Description</t>
  </si>
  <si>
    <t>Literature reference</t>
  </si>
  <si>
    <t>Power number for a Rushton turbine, unaerated</t>
  </si>
  <si>
    <t>[-]</t>
  </si>
  <si>
    <r>
      <t>N</t>
    </r>
    <r>
      <rPr>
        <vertAlign val="subscript"/>
        <sz val="11"/>
        <color theme="1"/>
        <rFont val="Calibri"/>
        <family val="2"/>
        <scheme val="minor"/>
      </rPr>
      <t>P</t>
    </r>
  </si>
  <si>
    <t>Noorman et al. "Intensified Fermentation Processes and Equipment", 2018, p. 14</t>
  </si>
  <si>
    <t>Impeller Diameter</t>
  </si>
  <si>
    <t>Gas mass flow, inlet</t>
  </si>
  <si>
    <t>Stirring speed</t>
  </si>
  <si>
    <t>head pressure</t>
  </si>
  <si>
    <t>Impeller Spacing</t>
  </si>
  <si>
    <t xml:space="preserve">Bottom Impeller clearing </t>
  </si>
  <si>
    <t>Reactor and bioprocess parameterts</t>
  </si>
  <si>
    <t>R</t>
  </si>
  <si>
    <t>Nadal Rey "Modelling of gradients in industrial aerobic fed-batch fermentation processes", 2020, Table 4.1</t>
  </si>
  <si>
    <t>Nadal Rey "Modelling of gradients in industrial aerobic fed-batch fermentation processes", 2020, Table 4.4</t>
  </si>
  <si>
    <t>Tank diameter</t>
  </si>
  <si>
    <t>Height of the liquid @ 90 m3</t>
  </si>
  <si>
    <t>Height of the liquid @ 60 m3</t>
  </si>
  <si>
    <t>Height of the liquid @ 40 m3</t>
  </si>
  <si>
    <t>Number of impellers @ 40 m3</t>
  </si>
  <si>
    <t>Number of impellers @ 60 m3</t>
  </si>
  <si>
    <t>Number of impellers @ 90 m3</t>
  </si>
  <si>
    <t>Nadal Rey "Modelling of gradients in industrial aerobic fed-batch fermentation processes", 2020, Table 4.2</t>
  </si>
  <si>
    <t>L1</t>
  </si>
  <si>
    <t>L</t>
  </si>
  <si>
    <t>bar</t>
  </si>
  <si>
    <t>V1</t>
  </si>
  <si>
    <t>V2</t>
  </si>
  <si>
    <t>V3</t>
  </si>
  <si>
    <t>V4</t>
  </si>
  <si>
    <r>
      <t>kg 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</si>
  <si>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</si>
  <si>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Nadal Rey "Modelling of gradients in industrial aerobic fed-batch fermentation processes", 2020, p. 109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</si>
  <si>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</si>
  <si>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r>
      <t>kg s</t>
    </r>
    <r>
      <rPr>
        <vertAlign val="superscript"/>
        <sz val="11"/>
        <color theme="1"/>
        <rFont val="Calibri"/>
        <family val="2"/>
        <scheme val="minor"/>
      </rPr>
      <t>-1</t>
    </r>
  </si>
  <si>
    <t>Nadal Rey "Modelling of gradients in industrial aerobic fed-batch fermentation processes", 2020, Table 4.3</t>
  </si>
  <si>
    <t>Nadal Rey "Modelling of gradients in industrial aerobic fed-batch fermentation processes", 2020, Table 4.5</t>
  </si>
  <si>
    <t>Height of the liquid @ process point</t>
  </si>
  <si>
    <t>Compartment volume 1</t>
  </si>
  <si>
    <t>Compartment volume 2</t>
  </si>
  <si>
    <t>Compartment volume 3</t>
  </si>
  <si>
    <t>Compartment volume 4</t>
  </si>
  <si>
    <r>
      <t>p</t>
    </r>
    <r>
      <rPr>
        <vertAlign val="subscript"/>
        <sz val="11"/>
        <color theme="1"/>
        <rFont val="Calibri"/>
        <family val="2"/>
        <scheme val="minor"/>
      </rPr>
      <t>abs,1</t>
    </r>
  </si>
  <si>
    <r>
      <t>p</t>
    </r>
    <r>
      <rPr>
        <vertAlign val="subscript"/>
        <sz val="11"/>
        <color theme="1"/>
        <rFont val="Calibri"/>
        <family val="2"/>
        <scheme val="minor"/>
      </rPr>
      <t>abs,2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</si>
  <si>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1"/>
        <color theme="1"/>
        <rFont val="Calibri"/>
        <family val="2"/>
        <scheme val="minor"/>
      </rPr>
      <t>abs,3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</si>
  <si>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1"/>
        <color theme="1"/>
        <rFont val="Calibri"/>
        <family val="2"/>
        <scheme val="minor"/>
      </rPr>
      <t>abs,4</t>
    </r>
    <r>
      <rPr>
        <sz val="11"/>
        <color theme="1"/>
        <rFont val="Calibri"/>
        <family val="2"/>
        <scheme val="minor"/>
      </rPr>
      <t/>
    </r>
  </si>
  <si>
    <t>Gas density compartment 1 @ process point</t>
  </si>
  <si>
    <t>Gas density compartment 2 @ process point</t>
  </si>
  <si>
    <t>Gas density compartment 3 @ process point</t>
  </si>
  <si>
    <t>Gas density compartment 4 @ process point</t>
  </si>
  <si>
    <t>Gas hold-up compartment 1 @ process point</t>
  </si>
  <si>
    <t>Gas hold-up compartment 2 @ process point</t>
  </si>
  <si>
    <t>Gas hold-up compartment 3 @ process point</t>
  </si>
  <si>
    <t>Gas hold-up compartment 4 @ process point</t>
  </si>
  <si>
    <r>
      <t>(1-</t>
    </r>
    <r>
      <rPr>
        <sz val="11"/>
        <color theme="1"/>
        <rFont val="Calibri"/>
        <family val="2"/>
      </rPr>
      <t>ε)</t>
    </r>
    <r>
      <rPr>
        <vertAlign val="subscript"/>
        <sz val="11"/>
        <color theme="1"/>
        <rFont val="Calibri"/>
        <family val="2"/>
      </rPr>
      <t>1</t>
    </r>
  </si>
  <si>
    <r>
      <t>(1-</t>
    </r>
    <r>
      <rPr>
        <sz val="11"/>
        <color theme="1"/>
        <rFont val="Calibri"/>
        <family val="2"/>
      </rPr>
      <t>ε)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</si>
  <si>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(1-</t>
    </r>
    <r>
      <rPr>
        <sz val="11"/>
        <color theme="1"/>
        <rFont val="Calibri"/>
        <family val="2"/>
      </rPr>
      <t>ε)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</si>
  <si>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(1-</t>
    </r>
    <r>
      <rPr>
        <sz val="11"/>
        <color theme="1"/>
        <rFont val="Calibri"/>
        <family val="2"/>
      </rPr>
      <t>ε)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</si>
  <si>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g,1</t>
    </r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</si>
  <si>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g,2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</si>
  <si>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g,3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</si>
  <si>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g,4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</si>
  <si>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L</t>
    </r>
  </si>
  <si>
    <t>Absolute pressure compartment 1, height of the impeller @ process point</t>
  </si>
  <si>
    <t>Absolute pressure compartment 2, height of the impeller @ process point</t>
  </si>
  <si>
    <t>Absolute pressure compartment 3, height of the impeller @ process point</t>
  </si>
  <si>
    <t>Absolute pressure compartment 4, height of the impeller @ process point</t>
  </si>
  <si>
    <t>Superficial gas velocity compartment 1 @ process point</t>
  </si>
  <si>
    <t>Superficial gas velocity compartment 2 @ process point</t>
  </si>
  <si>
    <t>Superficial gas velocity compartment 3 @ process point</t>
  </si>
  <si>
    <t>Superficial gas velocity compartment 4 @ process point</t>
  </si>
  <si>
    <t>Reynolds number</t>
  </si>
  <si>
    <t>Froude number</t>
  </si>
  <si>
    <t>Fr</t>
  </si>
  <si>
    <t>Re</t>
  </si>
  <si>
    <t>Dynamic viscosity of water</t>
  </si>
  <si>
    <t>η</t>
  </si>
  <si>
    <t>Pa*s</t>
  </si>
  <si>
    <t>“Characteristics of large-scale (industrial) bioreactors”, 30 November 2021, Henk J. Noorman, AC-MCMB, slide 12</t>
  </si>
  <si>
    <t>Haringa et al., "Euler-Lagrange analysis towards representative down-scaling of a 22 m3 aerobic S. cerevisiae fermentation", 2017, p. 655</t>
  </si>
  <si>
    <t>Oosterhuis, "Scale-up of bioreactors: a scale-down approach", 1984, eq. 4.9, p. 49</t>
  </si>
  <si>
    <t>Molecular weight of air</t>
  </si>
  <si>
    <r>
      <t>M</t>
    </r>
    <r>
      <rPr>
        <vertAlign val="subscript"/>
        <sz val="11"/>
        <color theme="1"/>
        <rFont val="Calibri"/>
        <family val="2"/>
        <scheme val="minor"/>
      </rPr>
      <t>W,G</t>
    </r>
  </si>
  <si>
    <t>Ideal gas constant</t>
  </si>
  <si>
    <r>
      <t>J mol</t>
    </r>
    <r>
      <rPr>
        <vertAlign val="superscript"/>
        <sz val="11"/>
        <color theme="1"/>
        <rFont val="Calibri"/>
        <family val="2"/>
        <scheme val="minor"/>
      </rPr>
      <t xml:space="preserve">-1 </t>
    </r>
    <r>
      <rPr>
        <sz val="11"/>
        <color theme="1"/>
        <rFont val="Calibri"/>
        <family val="2"/>
        <scheme val="minor"/>
      </rPr>
      <t>K</t>
    </r>
    <r>
      <rPr>
        <vertAlign val="superscript"/>
        <sz val="11"/>
        <color theme="1"/>
        <rFont val="Calibri"/>
        <family val="2"/>
        <scheme val="minor"/>
      </rPr>
      <t>-1</t>
    </r>
  </si>
  <si>
    <t>Process temperature</t>
  </si>
  <si>
    <t>K</t>
  </si>
  <si>
    <t>Temp</t>
  </si>
  <si>
    <t>Atmospheric pressure</t>
  </si>
  <si>
    <r>
      <t>p</t>
    </r>
    <r>
      <rPr>
        <vertAlign val="subscript"/>
        <sz val="11"/>
        <color theme="1"/>
        <rFont val="Calibri"/>
        <family val="2"/>
        <scheme val="minor"/>
      </rPr>
      <t>atm</t>
    </r>
  </si>
  <si>
    <r>
      <t>kg mol</t>
    </r>
    <r>
      <rPr>
        <vertAlign val="superscript"/>
        <sz val="11"/>
        <color theme="1"/>
        <rFont val="Calibri"/>
        <family val="2"/>
        <scheme val="minor"/>
      </rPr>
      <t>-1</t>
    </r>
  </si>
  <si>
    <t>Volumetric gas flow compartment 1 @ process point</t>
  </si>
  <si>
    <t>Volumetric gas flow compartment 2 @ process point</t>
  </si>
  <si>
    <t>Volumetric gas flow compartment 3 @ process point</t>
  </si>
  <si>
    <t>Volumetric gas flow compartment 4 @ process point</t>
  </si>
  <si>
    <r>
      <t>Q</t>
    </r>
    <r>
      <rPr>
        <vertAlign val="subscript"/>
        <sz val="11"/>
        <color theme="1"/>
        <rFont val="Calibri"/>
        <family val="2"/>
        <scheme val="minor"/>
      </rPr>
      <t>g,1</t>
    </r>
  </si>
  <si>
    <r>
      <t>Q</t>
    </r>
    <r>
      <rPr>
        <vertAlign val="subscript"/>
        <sz val="11"/>
        <color theme="1"/>
        <rFont val="Calibri"/>
        <family val="2"/>
        <scheme val="minor"/>
      </rPr>
      <t>g,2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</si>
  <si>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g,3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</si>
  <si>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g,4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</si>
  <si>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</si>
  <si>
    <t>Tank cross section</t>
  </si>
  <si>
    <t>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</si>
  <si>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</si>
  <si>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</si>
  <si>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</t>
    </r>
    <r>
      <rPr>
        <vertAlign val="subscript"/>
        <sz val="11"/>
        <color theme="1"/>
        <rFont val="Calibri"/>
        <family val="2"/>
        <scheme val="minor"/>
      </rPr>
      <t>g,s</t>
    </r>
  </si>
  <si>
    <r>
      <t>P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0,1</t>
    </r>
  </si>
  <si>
    <r>
      <t>P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0,2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</si>
  <si>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0,3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</si>
  <si>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0,4</t>
    </r>
    <r>
      <rPr>
        <sz val="11"/>
        <color theme="1"/>
        <rFont val="Calibri"/>
        <family val="2"/>
        <scheme val="minor"/>
      </rPr>
      <t/>
    </r>
  </si>
  <si>
    <t>Pumping capacity, aerated, impeller 1</t>
  </si>
  <si>
    <t>Pumping capacity, aerated, impeller 2</t>
  </si>
  <si>
    <t>Pumping capacity, aerated, impeller 3</t>
  </si>
  <si>
    <t>Pumping capacity, aerated, impeller 4</t>
  </si>
  <si>
    <t>Ratio between aerated and unaerated power input by stirring @ average gas flow and pressure</t>
  </si>
  <si>
    <t>“Characteristics of large-scale (industrial) bioreactors”, 30 November 2021, Henk J. Noorman, AC-MCMB, slide 16</t>
  </si>
  <si>
    <r>
      <t>P</t>
    </r>
    <r>
      <rPr>
        <vertAlign val="subscript"/>
        <sz val="11"/>
        <color theme="1"/>
        <rFont val="Calibri"/>
        <family val="2"/>
        <scheme val="minor"/>
      </rPr>
      <t>head</t>
    </r>
  </si>
  <si>
    <t>N/m</t>
  </si>
  <si>
    <t>Noorman et al. "Intensified Fermentation Processes and Equipment", 2018, eq. 1.12</t>
  </si>
  <si>
    <t>Interfacial tension of water at 30 degrees celsius</t>
  </si>
  <si>
    <t>σ</t>
  </si>
  <si>
    <t>s-1</t>
  </si>
  <si>
    <t>Noorman et al. "Intensified Fermentation Processes and Equipment", 2018, eq. 1.13</t>
  </si>
  <si>
    <t>Mass transfer coefficient kLa, coalescing, compartment 1 @ process point</t>
  </si>
  <si>
    <t>Mass transfer coefficient kLa, coalescing, compartment 2 @ process point</t>
  </si>
  <si>
    <t>Mass transfer coefficient kLa, coalescing, compartment 3 @ process point</t>
  </si>
  <si>
    <t>Mass transfer coefficient kLa, coalescing, compartment 4 @ process point</t>
  </si>
  <si>
    <t>Liquid volume compartment 1</t>
  </si>
  <si>
    <t>Liquid volume compartment 2</t>
  </si>
  <si>
    <t>Liquid volume compartment 3</t>
  </si>
  <si>
    <t>Liquid volume compartment 4</t>
  </si>
  <si>
    <r>
      <t>V</t>
    </r>
    <r>
      <rPr>
        <vertAlign val="subscript"/>
        <sz val="11"/>
        <color theme="1"/>
        <rFont val="Calibri"/>
        <family val="2"/>
        <scheme val="minor"/>
      </rPr>
      <t>L,1</t>
    </r>
  </si>
  <si>
    <r>
      <t>V</t>
    </r>
    <r>
      <rPr>
        <vertAlign val="subscript"/>
        <sz val="11"/>
        <color theme="1"/>
        <rFont val="Calibri"/>
        <family val="2"/>
        <scheme val="minor"/>
      </rPr>
      <t>L,2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</si>
  <si>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L,3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</si>
  <si>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L,4</t>
    </r>
    <r>
      <rPr>
        <sz val="11"/>
        <color theme="1"/>
        <rFont val="Calibri"/>
        <family val="2"/>
        <scheme val="minor"/>
      </rPr>
      <t/>
    </r>
  </si>
  <si>
    <t>kL</t>
  </si>
  <si>
    <t>Garcia-Ochoa eta l., "Theoretical prediction of gas-liquid mass transfer coefficient, specific area and hold-up in sparged stirred tanks", 2004, eq. 8</t>
  </si>
  <si>
    <t>Garcia-Ochoa eta l., "Theoretical prediction of gas-liquid mass transfer coefficient, specific area and hold-up in sparged stirred tanks", 2004, eq. 15</t>
  </si>
  <si>
    <t>kL compartment 1 @ process point</t>
  </si>
  <si>
    <t>kL compartment 2 @ process point</t>
  </si>
  <si>
    <t>kL compartment 3 @ process point</t>
  </si>
  <si>
    <t>kL compartment 4 @ process point</t>
  </si>
  <si>
    <t>DL</t>
  </si>
  <si>
    <t>Diffusivity of oxygen on the liquid</t>
  </si>
  <si>
    <t>m2 s-1</t>
  </si>
  <si>
    <t>Power input from stirring per impeller compartment 1</t>
  </si>
  <si>
    <t>Power input from stirring per impeller compartment 2</t>
  </si>
  <si>
    <t>Power input from stirring per impeller compartment 3</t>
  </si>
  <si>
    <t>Power input from stirring per impeller compartment 4</t>
  </si>
  <si>
    <t>Ps,1</t>
  </si>
  <si>
    <t>Ps,2</t>
  </si>
  <si>
    <t>Ps,3</t>
  </si>
  <si>
    <t>Ps,4</t>
  </si>
  <si>
    <t>a compartment 1 @ process point</t>
  </si>
  <si>
    <t>a compartment 2 @ process point</t>
  </si>
  <si>
    <t>a compartment 3 @ process point</t>
  </si>
  <si>
    <t>a compartment 4 @ process point</t>
  </si>
  <si>
    <t>a</t>
  </si>
  <si>
    <t>m-1</t>
  </si>
  <si>
    <t>Garcia-Ochoa eta l., "Theoretical prediction of gas-liquid mass transfer coefficient, specific area and hold-up in sparged stirred tanks", 2004, eq. 12</t>
  </si>
  <si>
    <t>bubble diameter compartment 1</t>
  </si>
  <si>
    <t>bubble diameter compartment 2</t>
  </si>
  <si>
    <t>bubble diameter compartment 3</t>
  </si>
  <si>
    <t>bubble diameter compartment 4</t>
  </si>
  <si>
    <t>db</t>
  </si>
  <si>
    <t>Bubble diameter at outlet</t>
  </si>
  <si>
    <t>db,out</t>
  </si>
  <si>
    <t>Nadal Rey "Modelling of gradients in industrial aerobic fed-batch fermentation processes", 2020, eq. 4.1, p. 88</t>
  </si>
  <si>
    <r>
      <t>ε/(1-</t>
    </r>
    <r>
      <rPr>
        <sz val="11"/>
        <color theme="1"/>
        <rFont val="Calibri"/>
        <family val="2"/>
      </rPr>
      <t>ε)</t>
    </r>
    <r>
      <rPr>
        <vertAlign val="subscript"/>
        <sz val="11"/>
        <color theme="1"/>
        <rFont val="Calibri"/>
        <family val="2"/>
      </rPr>
      <t>1</t>
    </r>
  </si>
  <si>
    <r>
      <t>ε/(1-</t>
    </r>
    <r>
      <rPr>
        <sz val="11"/>
        <color theme="1"/>
        <rFont val="Calibri"/>
        <family val="2"/>
      </rPr>
      <t>ε)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</si>
  <si>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ε/(1-</t>
    </r>
    <r>
      <rPr>
        <sz val="11"/>
        <color theme="1"/>
        <rFont val="Calibri"/>
        <family val="2"/>
      </rPr>
      <t>ε)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</si>
  <si>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ε/(1-</t>
    </r>
    <r>
      <rPr>
        <sz val="11"/>
        <color theme="1"/>
        <rFont val="Calibri"/>
        <family val="2"/>
      </rPr>
      <t>ε)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  <scheme val="minor"/>
      </rPr>
      <t/>
    </r>
  </si>
  <si>
    <t>Gas hold-up relative to liquid volume compartment 1 @ process point</t>
  </si>
  <si>
    <t>Gas hold-up relative to liquid volume compartment 2 @ process point</t>
  </si>
  <si>
    <t>Gas hold-up relative to liquid volume compartment 3 @ process point</t>
  </si>
  <si>
    <t>Gas hold-up relative to liquid volume compartment 4 @ process point</t>
  </si>
  <si>
    <t>m s-1</t>
  </si>
  <si>
    <t>Garcia-Ochoa eta l., "Theoretical prediction of gas-liquid mass transfer coefficient, specific area and hold-up in sparged stirred tanks", 2004</t>
  </si>
  <si>
    <t>Mass transfer coefficient kLa, non-coalescing, compartment 1 @ process point</t>
  </si>
  <si>
    <t>Mass transfer coefficient kLa, non-coalescing, compartment 2 @ process point</t>
  </si>
  <si>
    <t>Mass transfer coefficient kLa, non-coalescing, compartment 3 @ process point</t>
  </si>
  <si>
    <t>Mass transfer coefficient kLa, non-coalescing, compartment 4 @ process point</t>
  </si>
  <si>
    <t>Noorman et al. "Intensified Fermentation Processes and Equipment", 2018, eq. 1.14</t>
  </si>
  <si>
    <r>
      <t>Ø</t>
    </r>
    <r>
      <rPr>
        <vertAlign val="subscript"/>
        <sz val="11"/>
        <color theme="1"/>
        <rFont val="Calibri"/>
        <family val="2"/>
        <scheme val="minor"/>
      </rPr>
      <t>P,g,1</t>
    </r>
  </si>
  <si>
    <r>
      <t>Ø</t>
    </r>
    <r>
      <rPr>
        <vertAlign val="subscript"/>
        <sz val="11"/>
        <color theme="1"/>
        <rFont val="Calibri"/>
        <family val="2"/>
        <scheme val="minor"/>
      </rPr>
      <t>P,g,2</t>
    </r>
    <r>
      <rPr>
        <sz val="11"/>
        <color theme="1"/>
        <rFont val="Calibri"/>
        <family val="2"/>
        <scheme val="minor"/>
      </rPr>
      <t/>
    </r>
  </si>
  <si>
    <r>
      <t>Ø</t>
    </r>
    <r>
      <rPr>
        <vertAlign val="subscript"/>
        <sz val="11"/>
        <color theme="1"/>
        <rFont val="Calibri"/>
        <family val="2"/>
        <scheme val="minor"/>
      </rPr>
      <t>P,g,3</t>
    </r>
    <r>
      <rPr>
        <sz val="11"/>
        <color theme="1"/>
        <rFont val="Calibri"/>
        <family val="2"/>
        <scheme val="minor"/>
      </rPr>
      <t/>
    </r>
  </si>
  <si>
    <r>
      <t>Ø</t>
    </r>
    <r>
      <rPr>
        <vertAlign val="subscript"/>
        <sz val="11"/>
        <color theme="1"/>
        <rFont val="Calibri"/>
        <family val="2"/>
        <scheme val="minor"/>
      </rPr>
      <t>P,g,4</t>
    </r>
    <r>
      <rPr>
        <sz val="11"/>
        <color theme="1"/>
        <rFont val="Calibri"/>
        <family val="2"/>
        <scheme val="minor"/>
      </rPr>
      <t/>
    </r>
  </si>
  <si>
    <t>Oosterhuis, "Scale-up of bioreactors: a scale-down approach", 1984</t>
  </si>
  <si>
    <t>Noorman et al. "Intensified Fermentation Processes and Equipment", 2018, fig. 1.6</t>
  </si>
  <si>
    <t>Qg</t>
  </si>
  <si>
    <t>Ratio between power input from gas to stirrer, assuming a power number under gassed conditions of 3 and H/Ds ratio of 3</t>
  </si>
  <si>
    <r>
      <t>Fl</t>
    </r>
    <r>
      <rPr>
        <vertAlign val="superscript"/>
        <sz val="11"/>
        <color theme="1"/>
        <rFont val="Calibri"/>
        <family val="2"/>
        <scheme val="minor"/>
      </rPr>
      <t>G</t>
    </r>
  </si>
  <si>
    <r>
      <t>Fl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/Fr</t>
    </r>
  </si>
  <si>
    <t>Flow number for the gas, assumed at averge pressire</t>
  </si>
  <si>
    <t>Volumetric gas flow at average pressure</t>
  </si>
  <si>
    <t>Power input relative to liquid mass from stirring per impeller compartment 1</t>
  </si>
  <si>
    <t>Power input relative to liquid mass from stirring per impeller compartment 2</t>
  </si>
  <si>
    <t>Power input relative to liquid mass from stirring per impeller compartment 3</t>
  </si>
  <si>
    <t>Power input relative to liquid mass from stirring per impeller compartment 4</t>
  </si>
  <si>
    <t>kW/m3</t>
  </si>
  <si>
    <t>Impeller Diameter at T/D = 3</t>
  </si>
  <si>
    <t>Taken from Nadal Rey "Modelling of gradients in industrial aerobic fed-batch fermentation processes", 2020, page 93, original source is [10]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</si>
</sst>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10" fillId="8" borderId="0" applyNumberFormat="0" applyBorder="0" applyAlignment="0" applyProtection="0"/>
  </cellStyleXfs>
  <cellXfs count="20">
    <xf numFmtId="0" fontId="0" fillId="0" borderId="0" xfId="0"/>
    <xf numFmtId="0" fontId="2" fillId="3" borderId="1" xfId="2"/>
    <xf numFmtId="0" fontId="1" fillId="2" borderId="1" xfId="1"/>
    <xf numFmtId="0" fontId="3" fillId="4" borderId="3" xfId="0" applyFont="1" applyFill="1" applyBorder="1"/>
    <xf numFmtId="0" fontId="3" fillId="4" borderId="4" xfId="0" applyFont="1" applyFill="1" applyBorder="1"/>
    <xf numFmtId="0" fontId="4" fillId="0" borderId="0" xfId="0" applyFont="1"/>
    <xf numFmtId="0" fontId="3" fillId="4" borderId="0" xfId="0" applyFont="1" applyFill="1"/>
    <xf numFmtId="11" fontId="2" fillId="3" borderId="1" xfId="2" applyNumberFormat="1"/>
    <xf numFmtId="0" fontId="0" fillId="7" borderId="0" xfId="0" applyFill="1"/>
    <xf numFmtId="0" fontId="3" fillId="0" borderId="0" xfId="0" applyFont="1"/>
    <xf numFmtId="0" fontId="0" fillId="7" borderId="5" xfId="0" applyFill="1" applyBorder="1"/>
    <xf numFmtId="0" fontId="0" fillId="6" borderId="5" xfId="0" applyFill="1" applyBorder="1"/>
    <xf numFmtId="0" fontId="0" fillId="6" borderId="0" xfId="0" applyFill="1"/>
    <xf numFmtId="0" fontId="10" fillId="8" borderId="0" xfId="3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2" fillId="3" borderId="1" xfId="2" applyAlignment="1">
      <alignment vertical="center"/>
    </xf>
    <xf numFmtId="0" fontId="3" fillId="0" borderId="0" xfId="0" applyFont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</cellXfs>
  <cellStyles count="4">
    <cellStyle name="Calculation" xfId="2" builtinId="22"/>
    <cellStyle name="Input" xfId="1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tabSelected="1" topLeftCell="A56" zoomScale="85" zoomScaleNormal="85" workbookViewId="0">
      <selection activeCell="C94" sqref="C94"/>
    </sheetView>
  </sheetViews>
  <sheetFormatPr defaultRowHeight="15" x14ac:dyDescent="0.25"/>
  <cols>
    <col min="1" max="1" width="91.7109375" bestFit="1" customWidth="1"/>
    <col min="2" max="2" width="8.42578125" bestFit="1" customWidth="1"/>
    <col min="3" max="3" width="12.28515625" bestFit="1" customWidth="1"/>
    <col min="4" max="4" width="9.28515625" bestFit="1" customWidth="1"/>
    <col min="5" max="5" width="140.28515625" bestFit="1" customWidth="1"/>
  </cols>
  <sheetData>
    <row r="1" spans="1:5" x14ac:dyDescent="0.25">
      <c r="A1" s="18" t="s">
        <v>26</v>
      </c>
      <c r="B1" s="19"/>
      <c r="C1" s="19"/>
      <c r="D1" s="19"/>
      <c r="E1" s="19"/>
    </row>
    <row r="2" spans="1:5" ht="15.75" thickBot="1" x14ac:dyDescent="0.3">
      <c r="A2" s="3" t="s">
        <v>14</v>
      </c>
      <c r="B2" s="4" t="s">
        <v>1</v>
      </c>
      <c r="C2" s="4" t="s">
        <v>7</v>
      </c>
      <c r="D2" s="4" t="s">
        <v>0</v>
      </c>
      <c r="E2" s="6" t="s">
        <v>15</v>
      </c>
    </row>
    <row r="3" spans="1:5" x14ac:dyDescent="0.25">
      <c r="A3" t="s">
        <v>30</v>
      </c>
      <c r="B3" t="s">
        <v>4</v>
      </c>
      <c r="C3">
        <v>3.476</v>
      </c>
      <c r="D3" t="s">
        <v>6</v>
      </c>
      <c r="E3" t="s">
        <v>28</v>
      </c>
    </row>
    <row r="4" spans="1:5" ht="17.25" x14ac:dyDescent="0.25">
      <c r="A4" t="s">
        <v>115</v>
      </c>
      <c r="B4" t="s">
        <v>116</v>
      </c>
      <c r="C4" s="1">
        <f>PI()*((C3/2)^2)</f>
        <v>9.4896329995100874</v>
      </c>
      <c r="D4" t="s">
        <v>117</v>
      </c>
    </row>
    <row r="5" spans="1:5" x14ac:dyDescent="0.25">
      <c r="A5" t="s">
        <v>33</v>
      </c>
      <c r="B5" t="s">
        <v>12</v>
      </c>
      <c r="C5" s="2">
        <v>4.78</v>
      </c>
      <c r="D5" t="s">
        <v>6</v>
      </c>
      <c r="E5" t="s">
        <v>28</v>
      </c>
    </row>
    <row r="6" spans="1:5" x14ac:dyDescent="0.25">
      <c r="A6" t="s">
        <v>32</v>
      </c>
      <c r="B6" t="s">
        <v>12</v>
      </c>
      <c r="C6" s="2">
        <v>7.07</v>
      </c>
      <c r="D6" t="s">
        <v>6</v>
      </c>
      <c r="E6" t="s">
        <v>28</v>
      </c>
    </row>
    <row r="7" spans="1:5" x14ac:dyDescent="0.25">
      <c r="A7" t="s">
        <v>31</v>
      </c>
      <c r="B7" t="s">
        <v>12</v>
      </c>
      <c r="C7" s="2">
        <v>10.464</v>
      </c>
      <c r="D7" t="s">
        <v>6</v>
      </c>
      <c r="E7" t="s">
        <v>28</v>
      </c>
    </row>
    <row r="8" spans="1:5" x14ac:dyDescent="0.25">
      <c r="A8" t="s">
        <v>52</v>
      </c>
      <c r="B8" t="s">
        <v>12</v>
      </c>
      <c r="C8" s="1">
        <v>10.464</v>
      </c>
      <c r="D8" t="s">
        <v>6</v>
      </c>
    </row>
    <row r="9" spans="1:5" x14ac:dyDescent="0.25">
      <c r="A9" t="s">
        <v>34</v>
      </c>
      <c r="B9" t="s">
        <v>3</v>
      </c>
      <c r="C9" s="2">
        <v>2</v>
      </c>
      <c r="D9" t="s">
        <v>17</v>
      </c>
      <c r="E9" t="s">
        <v>37</v>
      </c>
    </row>
    <row r="10" spans="1:5" x14ac:dyDescent="0.25">
      <c r="A10" t="s">
        <v>35</v>
      </c>
      <c r="B10" t="s">
        <v>3</v>
      </c>
      <c r="C10" s="2">
        <v>3</v>
      </c>
      <c r="D10" t="s">
        <v>17</v>
      </c>
      <c r="E10" t="s">
        <v>37</v>
      </c>
    </row>
    <row r="11" spans="1:5" x14ac:dyDescent="0.25">
      <c r="A11" t="s">
        <v>36</v>
      </c>
      <c r="B11" t="s">
        <v>3</v>
      </c>
      <c r="C11" s="2">
        <v>4</v>
      </c>
      <c r="D11" t="s">
        <v>17</v>
      </c>
      <c r="E11" t="s">
        <v>37</v>
      </c>
    </row>
    <row r="12" spans="1:5" x14ac:dyDescent="0.25">
      <c r="A12" t="s">
        <v>20</v>
      </c>
      <c r="B12" t="s">
        <v>5</v>
      </c>
      <c r="C12" s="2">
        <v>0.93600000000000005</v>
      </c>
      <c r="D12" t="s">
        <v>6</v>
      </c>
      <c r="E12" t="s">
        <v>28</v>
      </c>
    </row>
    <row r="13" spans="1:5" x14ac:dyDescent="0.25">
      <c r="A13" t="s">
        <v>214</v>
      </c>
      <c r="B13" t="s">
        <v>5</v>
      </c>
      <c r="C13" s="2">
        <f>C3/3</f>
        <v>1.1586666666666667</v>
      </c>
      <c r="D13" t="s">
        <v>6</v>
      </c>
      <c r="E13" t="s">
        <v>28</v>
      </c>
    </row>
    <row r="14" spans="1:5" ht="18" x14ac:dyDescent="0.35">
      <c r="A14" t="s">
        <v>23</v>
      </c>
      <c r="B14" t="s">
        <v>130</v>
      </c>
      <c r="C14" s="2">
        <v>0</v>
      </c>
      <c r="D14" t="s">
        <v>40</v>
      </c>
      <c r="E14" t="s">
        <v>51</v>
      </c>
    </row>
    <row r="15" spans="1:5" x14ac:dyDescent="0.25">
      <c r="A15" t="s">
        <v>24</v>
      </c>
      <c r="B15" t="s">
        <v>39</v>
      </c>
      <c r="C15" s="2">
        <v>2.3199999999999998</v>
      </c>
      <c r="D15" t="s">
        <v>6</v>
      </c>
      <c r="E15" t="s">
        <v>28</v>
      </c>
    </row>
    <row r="16" spans="1:5" x14ac:dyDescent="0.25">
      <c r="A16" t="s">
        <v>25</v>
      </c>
      <c r="B16" t="s">
        <v>38</v>
      </c>
      <c r="C16" s="2">
        <v>1.2709999999999999</v>
      </c>
      <c r="D16" t="s">
        <v>6</v>
      </c>
      <c r="E16" t="s">
        <v>28</v>
      </c>
    </row>
    <row r="17" spans="1:5" ht="18.75" x14ac:dyDescent="0.35">
      <c r="A17" t="s">
        <v>8</v>
      </c>
      <c r="B17" t="s">
        <v>77</v>
      </c>
      <c r="C17" s="2">
        <v>1050</v>
      </c>
      <c r="D17" t="s">
        <v>45</v>
      </c>
      <c r="E17" t="s">
        <v>47</v>
      </c>
    </row>
    <row r="18" spans="1:5" ht="18.75" x14ac:dyDescent="0.35">
      <c r="A18" t="s">
        <v>21</v>
      </c>
      <c r="B18" t="s">
        <v>48</v>
      </c>
      <c r="C18" s="2">
        <v>0.4</v>
      </c>
      <c r="D18" t="s">
        <v>49</v>
      </c>
      <c r="E18" t="s">
        <v>50</v>
      </c>
    </row>
    <row r="19" spans="1:5" x14ac:dyDescent="0.25">
      <c r="A19" t="s">
        <v>22</v>
      </c>
      <c r="B19" t="s">
        <v>2</v>
      </c>
      <c r="C19" s="2">
        <v>80</v>
      </c>
      <c r="D19" t="s">
        <v>10</v>
      </c>
      <c r="E19" t="s">
        <v>29</v>
      </c>
    </row>
    <row r="20" spans="1:5" x14ac:dyDescent="0.25">
      <c r="A20" t="s">
        <v>22</v>
      </c>
      <c r="B20" t="s">
        <v>2</v>
      </c>
      <c r="C20" s="1">
        <f>C19/60</f>
        <v>1.3333333333333333</v>
      </c>
      <c r="D20" t="s">
        <v>11</v>
      </c>
    </row>
    <row r="21" spans="1:5" x14ac:dyDescent="0.25">
      <c r="A21" t="s">
        <v>90</v>
      </c>
      <c r="B21" s="5" t="s">
        <v>91</v>
      </c>
      <c r="C21" s="2">
        <v>1E-3</v>
      </c>
      <c r="D21" t="s">
        <v>92</v>
      </c>
    </row>
    <row r="22" spans="1:5" x14ac:dyDescent="0.25">
      <c r="A22" t="s">
        <v>86</v>
      </c>
      <c r="B22" t="s">
        <v>89</v>
      </c>
      <c r="C22" s="7">
        <f>C17*C20*(C12^2)/C21</f>
        <v>1226534.4000000001</v>
      </c>
      <c r="D22" t="s">
        <v>17</v>
      </c>
      <c r="E22" t="s">
        <v>93</v>
      </c>
    </row>
    <row r="23" spans="1:5" x14ac:dyDescent="0.25">
      <c r="A23" t="s">
        <v>87</v>
      </c>
      <c r="B23" t="s">
        <v>88</v>
      </c>
      <c r="C23" s="1">
        <f>(C20^2)*C12/9.81</f>
        <v>0.16962283384301732</v>
      </c>
      <c r="D23" t="s">
        <v>17</v>
      </c>
      <c r="E23" t="s">
        <v>94</v>
      </c>
    </row>
    <row r="24" spans="1:5" ht="17.25" x14ac:dyDescent="0.25">
      <c r="A24" t="s">
        <v>208</v>
      </c>
      <c r="B24" t="s">
        <v>203</v>
      </c>
      <c r="C24" s="1">
        <f>C18/(C30*100000*C27/C28/C29)</f>
        <v>0.34355459455112536</v>
      </c>
      <c r="D24" t="s">
        <v>114</v>
      </c>
    </row>
    <row r="25" spans="1:5" ht="33.75" customHeight="1" x14ac:dyDescent="0.25">
      <c r="A25" t="s">
        <v>207</v>
      </c>
      <c r="B25" t="s">
        <v>205</v>
      </c>
      <c r="C25" s="1">
        <f>C24/C20/(C12^3)</f>
        <v>0.31421685551503387</v>
      </c>
      <c r="D25" t="s">
        <v>17</v>
      </c>
      <c r="E25" t="s">
        <v>202</v>
      </c>
    </row>
    <row r="26" spans="1:5" ht="30" x14ac:dyDescent="0.25">
      <c r="A26" s="14" t="s">
        <v>204</v>
      </c>
      <c r="B26" s="15" t="s">
        <v>206</v>
      </c>
      <c r="C26" s="16">
        <f>C25/C23</f>
        <v>1.8524443224774534</v>
      </c>
      <c r="D26" s="15" t="s">
        <v>17</v>
      </c>
    </row>
    <row r="27" spans="1:5" ht="18.75" x14ac:dyDescent="0.35">
      <c r="A27" t="s">
        <v>96</v>
      </c>
      <c r="B27" t="s">
        <v>97</v>
      </c>
      <c r="C27" s="2">
        <v>2.8969999999999999E-2</v>
      </c>
      <c r="D27" t="s">
        <v>105</v>
      </c>
    </row>
    <row r="28" spans="1:5" ht="17.25" x14ac:dyDescent="0.25">
      <c r="A28" t="s">
        <v>98</v>
      </c>
      <c r="B28" t="s">
        <v>27</v>
      </c>
      <c r="C28" s="2">
        <v>8.3145000000000007</v>
      </c>
      <c r="D28" t="s">
        <v>99</v>
      </c>
    </row>
    <row r="29" spans="1:5" x14ac:dyDescent="0.25">
      <c r="A29" t="s">
        <v>100</v>
      </c>
      <c r="B29" t="s">
        <v>102</v>
      </c>
      <c r="C29" s="2">
        <v>303.14999999999998</v>
      </c>
      <c r="D29" t="s">
        <v>101</v>
      </c>
    </row>
    <row r="30" spans="1:5" ht="18" x14ac:dyDescent="0.35">
      <c r="A30" t="s">
        <v>103</v>
      </c>
      <c r="B30" t="s">
        <v>104</v>
      </c>
      <c r="C30" s="2">
        <v>1.0129999999999999</v>
      </c>
      <c r="D30" t="s">
        <v>40</v>
      </c>
    </row>
    <row r="31" spans="1:5" x14ac:dyDescent="0.25">
      <c r="A31" t="s">
        <v>133</v>
      </c>
      <c r="B31" s="5" t="s">
        <v>134</v>
      </c>
      <c r="C31" s="2">
        <v>7.0999999999999994E-2</v>
      </c>
      <c r="D31" t="s">
        <v>131</v>
      </c>
    </row>
    <row r="32" spans="1:5" x14ac:dyDescent="0.25">
      <c r="A32" t="s">
        <v>157</v>
      </c>
      <c r="B32" s="5" t="s">
        <v>156</v>
      </c>
      <c r="C32" s="2">
        <f>2.42*10^-9</f>
        <v>2.4199999999999999E-9</v>
      </c>
      <c r="D32" t="s">
        <v>158</v>
      </c>
      <c r="E32" t="s">
        <v>215</v>
      </c>
    </row>
    <row r="33" spans="1:4" x14ac:dyDescent="0.25">
      <c r="A33" t="s">
        <v>179</v>
      </c>
      <c r="B33" s="5" t="s">
        <v>180</v>
      </c>
      <c r="C33" s="2">
        <v>5.0000000000000001E-3</v>
      </c>
      <c r="D33" t="s">
        <v>6</v>
      </c>
    </row>
    <row r="34" spans="1:4" ht="17.25" x14ac:dyDescent="0.25">
      <c r="A34" t="s">
        <v>53</v>
      </c>
      <c r="B34" t="s">
        <v>41</v>
      </c>
      <c r="C34">
        <v>30</v>
      </c>
      <c r="D34" t="s">
        <v>46</v>
      </c>
    </row>
    <row r="35" spans="1:4" ht="17.25" x14ac:dyDescent="0.25">
      <c r="A35" t="s">
        <v>54</v>
      </c>
      <c r="B35" t="s">
        <v>42</v>
      </c>
      <c r="C35">
        <v>20</v>
      </c>
      <c r="D35" t="s">
        <v>46</v>
      </c>
    </row>
    <row r="36" spans="1:4" ht="17.25" x14ac:dyDescent="0.25">
      <c r="A36" t="s">
        <v>55</v>
      </c>
      <c r="B36" t="s">
        <v>43</v>
      </c>
      <c r="C36">
        <v>20</v>
      </c>
      <c r="D36" t="s">
        <v>46</v>
      </c>
    </row>
    <row r="37" spans="1:4" ht="17.25" x14ac:dyDescent="0.25">
      <c r="A37" t="s">
        <v>56</v>
      </c>
      <c r="B37" t="s">
        <v>44</v>
      </c>
      <c r="C37">
        <v>20</v>
      </c>
      <c r="D37" t="s">
        <v>46</v>
      </c>
    </row>
    <row r="38" spans="1:4" ht="18.75" x14ac:dyDescent="0.35">
      <c r="A38" t="s">
        <v>141</v>
      </c>
      <c r="B38" t="s">
        <v>145</v>
      </c>
      <c r="C38">
        <f>C34*(1-C50)</f>
        <v>27.920066870971919</v>
      </c>
      <c r="D38" t="s">
        <v>46</v>
      </c>
    </row>
    <row r="39" spans="1:4" ht="18.75" x14ac:dyDescent="0.35">
      <c r="A39" t="s">
        <v>142</v>
      </c>
      <c r="B39" t="s">
        <v>146</v>
      </c>
      <c r="C39">
        <f>C35*(1-C51)</f>
        <v>18.556501348061339</v>
      </c>
      <c r="D39" t="s">
        <v>46</v>
      </c>
    </row>
    <row r="40" spans="1:4" ht="18.75" x14ac:dyDescent="0.35">
      <c r="A40" t="s">
        <v>143</v>
      </c>
      <c r="B40" t="s">
        <v>147</v>
      </c>
      <c r="C40">
        <f>C36*(1-C52)</f>
        <v>18.668453884414326</v>
      </c>
      <c r="D40" t="s">
        <v>46</v>
      </c>
    </row>
    <row r="41" spans="1:4" ht="18.75" x14ac:dyDescent="0.35">
      <c r="A41" t="s">
        <v>144</v>
      </c>
      <c r="B41" t="s">
        <v>148</v>
      </c>
      <c r="C41">
        <f>C37*(1-C53)</f>
        <v>18.758741525024718</v>
      </c>
      <c r="D41" t="s">
        <v>46</v>
      </c>
    </row>
    <row r="42" spans="1:4" ht="18" x14ac:dyDescent="0.35">
      <c r="A42" s="10" t="s">
        <v>78</v>
      </c>
      <c r="B42" t="s">
        <v>57</v>
      </c>
      <c r="C42" s="1">
        <f>($C$17*9.81*($C$8-3*$C$15-$C$16))/100000+$C$14+$C$30</f>
        <v>1.2430101650000001</v>
      </c>
      <c r="D42" t="s">
        <v>40</v>
      </c>
    </row>
    <row r="43" spans="1:4" ht="18" x14ac:dyDescent="0.35">
      <c r="A43" s="8" t="s">
        <v>79</v>
      </c>
      <c r="B43" t="s">
        <v>58</v>
      </c>
      <c r="C43" s="1">
        <f>($C$17*9.81*($C$8-2*$C$15-$C$16))/100000+$C$14+$C$30</f>
        <v>1.481981765</v>
      </c>
      <c r="D43" t="s">
        <v>40</v>
      </c>
    </row>
    <row r="44" spans="1:4" ht="18" x14ac:dyDescent="0.35">
      <c r="A44" s="8" t="s">
        <v>80</v>
      </c>
      <c r="B44" t="s">
        <v>59</v>
      </c>
      <c r="C44" s="1">
        <f>($C$17*9.81*($C$8-1*$C$15-$C$16))/100000+$C$14+$C$30</f>
        <v>1.720953365</v>
      </c>
      <c r="D44" t="s">
        <v>40</v>
      </c>
    </row>
    <row r="45" spans="1:4" ht="18" x14ac:dyDescent="0.35">
      <c r="A45" s="8" t="s">
        <v>81</v>
      </c>
      <c r="B45" t="s">
        <v>60</v>
      </c>
      <c r="C45" s="1">
        <f>($C$17*9.81*($C$8-0*$C$15-$C$16))/100000+$C$14+$C$30</f>
        <v>1.9599249649999999</v>
      </c>
      <c r="D45" t="s">
        <v>40</v>
      </c>
    </row>
    <row r="46" spans="1:4" ht="18.75" x14ac:dyDescent="0.35">
      <c r="A46" s="10" t="s">
        <v>61</v>
      </c>
      <c r="B46" t="s">
        <v>73</v>
      </c>
      <c r="C46" s="1">
        <f>C42*100000*$C$27/$C$28/$C$29</f>
        <v>1.428661907233455</v>
      </c>
      <c r="D46" t="s">
        <v>45</v>
      </c>
    </row>
    <row r="47" spans="1:4" ht="18.75" x14ac:dyDescent="0.35">
      <c r="A47" s="8" t="s">
        <v>62</v>
      </c>
      <c r="B47" t="s">
        <v>74</v>
      </c>
      <c r="C47" s="1">
        <f>C43*100000*$C$27/$C$28/$C$29</f>
        <v>1.7033254871814356</v>
      </c>
      <c r="D47" t="s">
        <v>45</v>
      </c>
    </row>
    <row r="48" spans="1:4" ht="18.75" x14ac:dyDescent="0.35">
      <c r="A48" s="8" t="s">
        <v>63</v>
      </c>
      <c r="B48" t="s">
        <v>75</v>
      </c>
      <c r="C48" s="1">
        <f>C44*100000*$C$27/$C$28/$C$29</f>
        <v>1.9779890671294162</v>
      </c>
      <c r="D48" t="s">
        <v>45</v>
      </c>
    </row>
    <row r="49" spans="1:5" ht="18.75" x14ac:dyDescent="0.35">
      <c r="A49" s="8" t="s">
        <v>64</v>
      </c>
      <c r="B49" t="s">
        <v>76</v>
      </c>
      <c r="C49" s="1">
        <f>C45*100000*$C$27/$C$28/$C$29</f>
        <v>2.2526526470773973</v>
      </c>
      <c r="D49" t="s">
        <v>45</v>
      </c>
    </row>
    <row r="50" spans="1:5" ht="18" x14ac:dyDescent="0.35">
      <c r="A50" s="10" t="s">
        <v>65</v>
      </c>
      <c r="B50" t="s">
        <v>69</v>
      </c>
      <c r="C50" s="1">
        <f>0.13*((C75/C34)^(1/3))*(C66^(2/3))</f>
        <v>6.9331104300936044E-2</v>
      </c>
      <c r="D50" t="s">
        <v>17</v>
      </c>
      <c r="E50" t="s">
        <v>132</v>
      </c>
    </row>
    <row r="51" spans="1:5" ht="18" x14ac:dyDescent="0.35">
      <c r="A51" s="8" t="s">
        <v>66</v>
      </c>
      <c r="B51" t="s">
        <v>70</v>
      </c>
      <c r="C51" s="1">
        <f>0.13*((C76/C35)^(1/3))*(C67^(2/3))</f>
        <v>7.2174932596933083E-2</v>
      </c>
      <c r="D51" t="s">
        <v>17</v>
      </c>
      <c r="E51" t="s">
        <v>132</v>
      </c>
    </row>
    <row r="52" spans="1:5" ht="18" x14ac:dyDescent="0.35">
      <c r="A52" s="8" t="s">
        <v>67</v>
      </c>
      <c r="B52" t="s">
        <v>71</v>
      </c>
      <c r="C52" s="1">
        <f>0.13*((C77/C36)^(1/3))*(C68^(2/3))</f>
        <v>6.6577305779283641E-2</v>
      </c>
      <c r="D52" t="s">
        <v>17</v>
      </c>
      <c r="E52" t="s">
        <v>132</v>
      </c>
    </row>
    <row r="53" spans="1:5" ht="18" x14ac:dyDescent="0.35">
      <c r="A53" s="8" t="s">
        <v>68</v>
      </c>
      <c r="B53" t="s">
        <v>72</v>
      </c>
      <c r="C53" s="1">
        <f>0.13*((C78/C37)^(1/3))*(C69^(2/3))</f>
        <v>6.206292374876405E-2</v>
      </c>
      <c r="D53" t="s">
        <v>17</v>
      </c>
      <c r="E53" t="s">
        <v>132</v>
      </c>
    </row>
    <row r="54" spans="1:5" ht="18" x14ac:dyDescent="0.35">
      <c r="A54" s="10" t="s">
        <v>186</v>
      </c>
      <c r="B54" t="s">
        <v>182</v>
      </c>
      <c r="C54" s="1">
        <f>0.819*(C66^0.66)*($C$20^0.4)*($C$12^(4/15))/(9.81^0.33)*(($C$17/$C$31)^0.2)*($C$17/($C$17-C46))*(($C$17/C46)^(-1/15))</f>
        <v>0.18279482654275228</v>
      </c>
      <c r="D54" t="s">
        <v>17</v>
      </c>
      <c r="E54" t="s">
        <v>151</v>
      </c>
    </row>
    <row r="55" spans="1:5" ht="18" x14ac:dyDescent="0.35">
      <c r="A55" s="8" t="s">
        <v>187</v>
      </c>
      <c r="B55" t="s">
        <v>183</v>
      </c>
      <c r="C55" s="1">
        <f>0.819*(C67^0.66)*($C$20^0.4)*($C$12^(4/15))/(9.81^0.33)*(($C$17/$C$31)^0.2)*($C$17/($C$17-C47))*(($C$17/C47)^(-1/15))</f>
        <v>0.16472741674400371</v>
      </c>
      <c r="D55" t="s">
        <v>17</v>
      </c>
      <c r="E55" t="s">
        <v>151</v>
      </c>
    </row>
    <row r="56" spans="1:5" ht="18" x14ac:dyDescent="0.35">
      <c r="A56" s="8" t="s">
        <v>188</v>
      </c>
      <c r="B56" t="s">
        <v>184</v>
      </c>
      <c r="C56" s="1">
        <f>0.819*(C68^0.66)*($C$20^0.4)*($C$12^(4/15))/(9.81^0.33)*(($C$17/$C$31)^0.2)*($C$17/($C$17-C48))*(($C$17/C48)^(-1/15))</f>
        <v>0.15078453064645589</v>
      </c>
      <c r="D56" t="s">
        <v>17</v>
      </c>
      <c r="E56" t="s">
        <v>151</v>
      </c>
    </row>
    <row r="57" spans="1:5" ht="18" x14ac:dyDescent="0.35">
      <c r="A57" s="8" t="s">
        <v>189</v>
      </c>
      <c r="B57" t="s">
        <v>185</v>
      </c>
      <c r="C57" s="1">
        <f>0.819*(C69^0.66)*($C$20^0.4)*($C$12^(4/15))/(9.81^0.33)*(($C$17/$C$31)^0.2)*($C$17/($C$17-C49))*(($C$17/C49)^(-1/15))</f>
        <v>0.13962554637532437</v>
      </c>
      <c r="D57" t="s">
        <v>17</v>
      </c>
      <c r="E57" t="s">
        <v>151</v>
      </c>
    </row>
    <row r="58" spans="1:5" ht="18" x14ac:dyDescent="0.35">
      <c r="A58" s="10" t="s">
        <v>65</v>
      </c>
      <c r="B58" t="s">
        <v>69</v>
      </c>
      <c r="C58" s="1">
        <f>C54/(C54+1)</f>
        <v>0.1545448309721239</v>
      </c>
      <c r="D58" t="s">
        <v>17</v>
      </c>
      <c r="E58" t="s">
        <v>191</v>
      </c>
    </row>
    <row r="59" spans="1:5" ht="18" x14ac:dyDescent="0.35">
      <c r="A59" s="8" t="s">
        <v>66</v>
      </c>
      <c r="B59" t="s">
        <v>70</v>
      </c>
      <c r="C59" s="1">
        <f t="shared" ref="C59:C61" si="0">C55/(C55+1)</f>
        <v>0.14143001562073579</v>
      </c>
      <c r="D59" t="s">
        <v>17</v>
      </c>
      <c r="E59" t="s">
        <v>191</v>
      </c>
    </row>
    <row r="60" spans="1:5" ht="18" x14ac:dyDescent="0.35">
      <c r="A60" s="8" t="s">
        <v>67</v>
      </c>
      <c r="B60" t="s">
        <v>71</v>
      </c>
      <c r="C60" s="1">
        <f t="shared" si="0"/>
        <v>0.1310275960711362</v>
      </c>
      <c r="D60" t="s">
        <v>17</v>
      </c>
      <c r="E60" t="s">
        <v>191</v>
      </c>
    </row>
    <row r="61" spans="1:5" ht="18" x14ac:dyDescent="0.35">
      <c r="A61" s="8" t="s">
        <v>68</v>
      </c>
      <c r="B61" t="s">
        <v>72</v>
      </c>
      <c r="C61" s="1">
        <f t="shared" si="0"/>
        <v>0.1225187929661767</v>
      </c>
      <c r="D61" t="s">
        <v>17</v>
      </c>
      <c r="E61" t="s">
        <v>191</v>
      </c>
    </row>
    <row r="62" spans="1:5" ht="18.75" x14ac:dyDescent="0.35">
      <c r="A62" s="10" t="s">
        <v>106</v>
      </c>
      <c r="B62" t="s">
        <v>110</v>
      </c>
      <c r="C62" s="1">
        <f>$C$18/C46</f>
        <v>0.2799822673053442</v>
      </c>
      <c r="D62" t="s">
        <v>114</v>
      </c>
    </row>
    <row r="63" spans="1:5" ht="18.75" x14ac:dyDescent="0.35">
      <c r="A63" s="8" t="s">
        <v>107</v>
      </c>
      <c r="B63" t="s">
        <v>111</v>
      </c>
      <c r="C63" s="1">
        <f>$C$18/C47</f>
        <v>0.23483474122253456</v>
      </c>
      <c r="D63" t="s">
        <v>114</v>
      </c>
    </row>
    <row r="64" spans="1:5" ht="18.75" x14ac:dyDescent="0.35">
      <c r="A64" s="8" t="s">
        <v>108</v>
      </c>
      <c r="B64" t="s">
        <v>112</v>
      </c>
      <c r="C64" s="1">
        <f>$C$18/C48</f>
        <v>0.20222558690908515</v>
      </c>
      <c r="D64" t="s">
        <v>114</v>
      </c>
    </row>
    <row r="65" spans="1:5" ht="18.75" x14ac:dyDescent="0.35">
      <c r="A65" s="8" t="s">
        <v>109</v>
      </c>
      <c r="B65" t="s">
        <v>113</v>
      </c>
      <c r="C65" s="1">
        <f>$C$18/C49</f>
        <v>0.17756843271818315</v>
      </c>
      <c r="D65" t="s">
        <v>114</v>
      </c>
    </row>
    <row r="66" spans="1:5" ht="18.75" x14ac:dyDescent="0.35">
      <c r="A66" s="10" t="s">
        <v>82</v>
      </c>
      <c r="B66" t="s">
        <v>119</v>
      </c>
      <c r="C66" s="1">
        <f>C62/$C$4</f>
        <v>2.9504014256378365E-2</v>
      </c>
      <c r="D66" t="s">
        <v>118</v>
      </c>
    </row>
    <row r="67" spans="1:5" ht="18.75" x14ac:dyDescent="0.35">
      <c r="A67" s="8" t="s">
        <v>83</v>
      </c>
      <c r="B67" t="s">
        <v>119</v>
      </c>
      <c r="C67" s="1">
        <f t="shared" ref="C67:C69" si="1">C63/$C$4</f>
        <v>2.4746451336385523E-2</v>
      </c>
      <c r="D67" t="s">
        <v>118</v>
      </c>
    </row>
    <row r="68" spans="1:5" ht="18.75" x14ac:dyDescent="0.35">
      <c r="A68" s="8" t="s">
        <v>84</v>
      </c>
      <c r="B68" t="s">
        <v>119</v>
      </c>
      <c r="C68" s="1">
        <f t="shared" si="1"/>
        <v>2.1310158877537757E-2</v>
      </c>
      <c r="D68" t="s">
        <v>118</v>
      </c>
    </row>
    <row r="69" spans="1:5" ht="18.75" x14ac:dyDescent="0.35">
      <c r="A69" s="8" t="s">
        <v>85</v>
      </c>
      <c r="B69" t="s">
        <v>119</v>
      </c>
      <c r="C69" s="1">
        <f t="shared" si="1"/>
        <v>1.8711833505821597E-2</v>
      </c>
      <c r="D69" t="s">
        <v>118</v>
      </c>
    </row>
    <row r="70" spans="1:5" ht="18" x14ac:dyDescent="0.35">
      <c r="A70" t="s">
        <v>16</v>
      </c>
      <c r="B70" t="s">
        <v>18</v>
      </c>
      <c r="C70" s="2">
        <v>6</v>
      </c>
      <c r="D70" t="s">
        <v>17</v>
      </c>
      <c r="E70" t="s">
        <v>19</v>
      </c>
    </row>
    <row r="71" spans="1:5" ht="18" x14ac:dyDescent="0.35">
      <c r="A71" s="10" t="s">
        <v>128</v>
      </c>
      <c r="B71" t="s">
        <v>120</v>
      </c>
      <c r="C71" s="1">
        <f>0.0312*($C$23^(-0.16))*($C$22^(0.064))*(C62/$C$20/($C$12^3))^(-0.38)*($C$3/$C$12)^(0.8)</f>
        <v>0.48727858951265118</v>
      </c>
      <c r="D71" t="s">
        <v>17</v>
      </c>
      <c r="E71" t="s">
        <v>95</v>
      </c>
    </row>
    <row r="72" spans="1:5" ht="18" x14ac:dyDescent="0.35">
      <c r="A72" s="8" t="s">
        <v>128</v>
      </c>
      <c r="B72" t="s">
        <v>121</v>
      </c>
      <c r="C72" s="1">
        <f>0.0312*($C$23^(-0.16))*($C$22^(0.064))*(C63/$C$20/($C$12^3))^(-0.38)*($C$3/$C$12)^(0.8)</f>
        <v>0.5209514338043052</v>
      </c>
      <c r="D72" t="s">
        <v>17</v>
      </c>
      <c r="E72" t="s">
        <v>95</v>
      </c>
    </row>
    <row r="73" spans="1:5" ht="18" x14ac:dyDescent="0.35">
      <c r="A73" s="8" t="s">
        <v>128</v>
      </c>
      <c r="B73" t="s">
        <v>122</v>
      </c>
      <c r="C73" s="1">
        <f>0.0312*($C$23^(-0.16))*($C$22^(0.064))*(C64/$C$20/($C$12^3))^(-0.38)*($C$3/$C$12)^(0.8)</f>
        <v>0.55140310787732572</v>
      </c>
      <c r="D73" t="s">
        <v>17</v>
      </c>
      <c r="E73" t="s">
        <v>95</v>
      </c>
    </row>
    <row r="74" spans="1:5" ht="18" x14ac:dyDescent="0.35">
      <c r="A74" s="8" t="s">
        <v>128</v>
      </c>
      <c r="B74" t="s">
        <v>123</v>
      </c>
      <c r="C74" s="1">
        <f>0.0312*($C$23^(-0.16))*($C$22^(0.064))*(C65/$C$20/($C$12^3))^(-0.38)*($C$3/$C$12)^(0.8)</f>
        <v>0.57933256304891534</v>
      </c>
      <c r="D74" t="s">
        <v>17</v>
      </c>
      <c r="E74" t="s">
        <v>95</v>
      </c>
    </row>
    <row r="75" spans="1:5" x14ac:dyDescent="0.25">
      <c r="A75" s="10" t="s">
        <v>159</v>
      </c>
      <c r="B75" t="s">
        <v>163</v>
      </c>
      <c r="C75" s="1">
        <f>$C$70*C71*$C$17*($C$20^3)*($C$12^5)</f>
        <v>5227.7322046311001</v>
      </c>
      <c r="D75" t="s">
        <v>9</v>
      </c>
      <c r="E75" t="s">
        <v>129</v>
      </c>
    </row>
    <row r="76" spans="1:5" x14ac:dyDescent="0.25">
      <c r="A76" s="8" t="s">
        <v>160</v>
      </c>
      <c r="B76" t="s">
        <v>164</v>
      </c>
      <c r="C76" s="1">
        <f>$C$70*C72*$C$17*($C$20^3)*($C$12^5)</f>
        <v>5588.9888169954284</v>
      </c>
      <c r="D76" t="s">
        <v>9</v>
      </c>
      <c r="E76" t="s">
        <v>129</v>
      </c>
    </row>
    <row r="77" spans="1:5" x14ac:dyDescent="0.25">
      <c r="A77" s="8" t="s">
        <v>161</v>
      </c>
      <c r="B77" t="s">
        <v>165</v>
      </c>
      <c r="C77" s="1">
        <f>$C$70*C73*$C$17*($C$20^3)*($C$12^5)</f>
        <v>5915.6873435932721</v>
      </c>
      <c r="D77" t="s">
        <v>9</v>
      </c>
      <c r="E77" t="s">
        <v>129</v>
      </c>
    </row>
    <row r="78" spans="1:5" x14ac:dyDescent="0.25">
      <c r="A78" s="8" t="s">
        <v>162</v>
      </c>
      <c r="B78" t="s">
        <v>166</v>
      </c>
      <c r="C78" s="1">
        <f>$C$70*C74*$C$17*($C$20^3)*($C$12^5)</f>
        <v>6215.3264317878684</v>
      </c>
      <c r="D78" t="s">
        <v>9</v>
      </c>
      <c r="E78" t="s">
        <v>129</v>
      </c>
    </row>
    <row r="79" spans="1:5" x14ac:dyDescent="0.25">
      <c r="A79" s="10" t="s">
        <v>209</v>
      </c>
      <c r="C79" s="1">
        <f>C75/1000/C38</f>
        <v>0.18723924368771108</v>
      </c>
      <c r="D79" t="s">
        <v>213</v>
      </c>
    </row>
    <row r="80" spans="1:5" x14ac:dyDescent="0.25">
      <c r="A80" s="8" t="s">
        <v>210</v>
      </c>
      <c r="C80" s="1">
        <f t="shared" ref="C80:C82" si="2">C76/1000/C39</f>
        <v>0.30118763834645634</v>
      </c>
      <c r="D80" t="s">
        <v>213</v>
      </c>
    </row>
    <row r="81" spans="1:6" x14ac:dyDescent="0.25">
      <c r="A81" s="8" t="s">
        <v>211</v>
      </c>
      <c r="C81" s="1">
        <f t="shared" si="2"/>
        <v>0.31688148253841653</v>
      </c>
      <c r="D81" t="s">
        <v>213</v>
      </c>
    </row>
    <row r="82" spans="1:6" x14ac:dyDescent="0.25">
      <c r="A82" s="8" t="s">
        <v>212</v>
      </c>
      <c r="C82" s="1">
        <f t="shared" si="2"/>
        <v>0.33132960563993269</v>
      </c>
      <c r="D82" t="s">
        <v>213</v>
      </c>
    </row>
    <row r="83" spans="1:6" ht="18.75" x14ac:dyDescent="0.35">
      <c r="A83" s="10" t="s">
        <v>124</v>
      </c>
      <c r="B83" t="s">
        <v>197</v>
      </c>
      <c r="C83" s="1">
        <f>0.2*$C$70*C71*$C$20*$C$12^3</f>
        <v>0.63932966796093516</v>
      </c>
      <c r="D83" t="s">
        <v>114</v>
      </c>
      <c r="E83" t="s">
        <v>201</v>
      </c>
    </row>
    <row r="84" spans="1:6" ht="18.75" x14ac:dyDescent="0.35">
      <c r="A84" s="8" t="s">
        <v>125</v>
      </c>
      <c r="B84" t="s">
        <v>198</v>
      </c>
      <c r="C84" s="1">
        <f>0.2*$C$70*C72*$C$20*$C$12^3</f>
        <v>0.68350983270368459</v>
      </c>
      <c r="D84" t="s">
        <v>114</v>
      </c>
      <c r="E84" t="s">
        <v>201</v>
      </c>
    </row>
    <row r="85" spans="1:6" ht="18.75" x14ac:dyDescent="0.35">
      <c r="A85" s="8" t="s">
        <v>126</v>
      </c>
      <c r="B85" t="s">
        <v>199</v>
      </c>
      <c r="C85" s="1">
        <f>0.2*$C$70*C73*$C$20*$C$12^3</f>
        <v>0.72346368886106316</v>
      </c>
      <c r="D85" t="s">
        <v>114</v>
      </c>
      <c r="E85" t="s">
        <v>201</v>
      </c>
    </row>
    <row r="86" spans="1:6" ht="18.75" x14ac:dyDescent="0.35">
      <c r="A86" s="8" t="s">
        <v>127</v>
      </c>
      <c r="B86" t="s">
        <v>200</v>
      </c>
      <c r="C86" s="1">
        <f>0.2*$C$70*C74*$C$20*$C$12^3</f>
        <v>0.76010828947657749</v>
      </c>
      <c r="D86" t="s">
        <v>114</v>
      </c>
      <c r="E86" t="s">
        <v>201</v>
      </c>
    </row>
    <row r="87" spans="1:6" x14ac:dyDescent="0.25">
      <c r="A87" s="10" t="s">
        <v>137</v>
      </c>
      <c r="B87" t="s">
        <v>13</v>
      </c>
      <c r="C87" s="1">
        <f>0.026*((C75/C38)^0.4)*C66^0.5</f>
        <v>3.6213679517751812E-2</v>
      </c>
      <c r="D87" t="s">
        <v>135</v>
      </c>
      <c r="E87" t="s">
        <v>136</v>
      </c>
    </row>
    <row r="88" spans="1:6" x14ac:dyDescent="0.25">
      <c r="A88" s="8" t="s">
        <v>138</v>
      </c>
      <c r="B88" t="s">
        <v>13</v>
      </c>
      <c r="C88" s="1">
        <f>0.026*((C76/C39)^0.4)*C67^0.5</f>
        <v>4.0111109034235516E-2</v>
      </c>
      <c r="D88" t="s">
        <v>135</v>
      </c>
      <c r="E88" t="s">
        <v>136</v>
      </c>
    </row>
    <row r="89" spans="1:6" x14ac:dyDescent="0.25">
      <c r="A89" s="8" t="s">
        <v>139</v>
      </c>
      <c r="B89" t="s">
        <v>13</v>
      </c>
      <c r="C89" s="1">
        <f>0.026*((C77/C40)^0.4)*C68^0.5</f>
        <v>3.7986163769080344E-2</v>
      </c>
      <c r="D89" t="s">
        <v>135</v>
      </c>
      <c r="E89" t="s">
        <v>136</v>
      </c>
    </row>
    <row r="90" spans="1:6" x14ac:dyDescent="0.25">
      <c r="A90" s="8" t="s">
        <v>140</v>
      </c>
      <c r="B90" t="s">
        <v>13</v>
      </c>
      <c r="C90" s="1">
        <f>0.026*((C78/C41)^0.4)*C69^0.5</f>
        <v>3.6235613415396967E-2</v>
      </c>
      <c r="D90" t="s">
        <v>135</v>
      </c>
      <c r="E90" t="s">
        <v>136</v>
      </c>
    </row>
    <row r="91" spans="1:6" x14ac:dyDescent="0.25">
      <c r="A91" s="10" t="s">
        <v>192</v>
      </c>
      <c r="B91" t="s">
        <v>13</v>
      </c>
      <c r="C91" s="1">
        <f>0.002*((C75/C38)^0.7)*C66^0.2</f>
        <v>3.8519800773482528E-2</v>
      </c>
      <c r="D91" t="s">
        <v>135</v>
      </c>
      <c r="E91" t="s">
        <v>196</v>
      </c>
      <c r="F91">
        <f>C91*3600</f>
        <v>138.67128278453711</v>
      </c>
    </row>
    <row r="92" spans="1:6" x14ac:dyDescent="0.25">
      <c r="A92" s="8" t="s">
        <v>193</v>
      </c>
      <c r="B92" t="s">
        <v>13</v>
      </c>
      <c r="C92" s="1">
        <f>0.002*((C76/C39)^0.7)*C67^0.2</f>
        <v>5.1870278734231445E-2</v>
      </c>
      <c r="D92" t="s">
        <v>135</v>
      </c>
      <c r="E92" t="s">
        <v>196</v>
      </c>
      <c r="F92">
        <f>C92*3600</f>
        <v>186.7330034432332</v>
      </c>
    </row>
    <row r="93" spans="1:6" x14ac:dyDescent="0.25">
      <c r="A93" s="8" t="s">
        <v>194</v>
      </c>
      <c r="B93" t="s">
        <v>13</v>
      </c>
      <c r="C93" s="1">
        <f>0.002*((C77/C40)^0.7)*C68^0.2</f>
        <v>5.2164510457962408E-2</v>
      </c>
      <c r="D93" t="s">
        <v>135</v>
      </c>
      <c r="E93" t="s">
        <v>196</v>
      </c>
      <c r="F93">
        <f>C93*3600</f>
        <v>187.79223764866467</v>
      </c>
    </row>
    <row r="94" spans="1:6" x14ac:dyDescent="0.25">
      <c r="A94" s="8" t="s">
        <v>195</v>
      </c>
      <c r="B94" t="s">
        <v>13</v>
      </c>
      <c r="C94" s="1">
        <f>0.002*((C78/C41)^0.7)*C69^0.2</f>
        <v>5.2436709981482109E-2</v>
      </c>
      <c r="D94" t="s">
        <v>135</v>
      </c>
      <c r="E94" t="s">
        <v>196</v>
      </c>
      <c r="F94">
        <f>C94*3600</f>
        <v>188.7721559333356</v>
      </c>
    </row>
    <row r="95" spans="1:6" x14ac:dyDescent="0.25">
      <c r="A95" s="11" t="s">
        <v>152</v>
      </c>
      <c r="B95" s="13" t="s">
        <v>149</v>
      </c>
      <c r="C95" s="1">
        <f>2/(PI()^0.5)*($C$32^0.5)*((C75/(PI()/4*($C$12^2)*($C$8-2*$C$15-$C$15/2-$C$16)))^0.25)</f>
        <v>3.8184289652224925E-4</v>
      </c>
      <c r="D95" t="s">
        <v>190</v>
      </c>
      <c r="E95" t="s">
        <v>150</v>
      </c>
    </row>
    <row r="96" spans="1:6" x14ac:dyDescent="0.25">
      <c r="A96" s="12" t="s">
        <v>153</v>
      </c>
      <c r="B96" s="13" t="s">
        <v>149</v>
      </c>
      <c r="C96" s="1">
        <f>2/(PI()^0.5)*($C$32^0.5)*((C76/(PI()/4*($C$12^2)*$C$15))^0.25)</f>
        <v>4.2698602546892164E-4</v>
      </c>
      <c r="D96" t="s">
        <v>190</v>
      </c>
      <c r="E96" t="s">
        <v>150</v>
      </c>
    </row>
    <row r="97" spans="1:5" x14ac:dyDescent="0.25">
      <c r="A97" s="12" t="s">
        <v>154</v>
      </c>
      <c r="B97" s="13" t="s">
        <v>149</v>
      </c>
      <c r="C97" s="1">
        <f>2/(PI()^0.5)*($C$32^0.5)*((C77/(PI()/4*($C$12^2)*$C$15))^0.25)</f>
        <v>4.3309348879153937E-4</v>
      </c>
      <c r="D97" t="s">
        <v>190</v>
      </c>
      <c r="E97" t="s">
        <v>150</v>
      </c>
    </row>
    <row r="98" spans="1:5" x14ac:dyDescent="0.25">
      <c r="A98" s="12" t="s">
        <v>155</v>
      </c>
      <c r="B98" s="13" t="s">
        <v>149</v>
      </c>
      <c r="C98" s="1">
        <f>2/(PI()^0.5)*($C$32^0.5)*((C78/(PI()/4*($C$12^2)*($C$15/2+$C$16)))^0.25)</f>
        <v>4.3338322158623349E-4</v>
      </c>
      <c r="D98" t="s">
        <v>190</v>
      </c>
      <c r="E98" t="s">
        <v>150</v>
      </c>
    </row>
    <row r="99" spans="1:5" x14ac:dyDescent="0.25">
      <c r="A99" s="11" t="s">
        <v>174</v>
      </c>
      <c r="B99" t="s">
        <v>178</v>
      </c>
      <c r="C99" s="1">
        <f>$C$33*((($C$30+$C$14)/C42)^(1/3))</f>
        <v>4.6703374309534293E-3</v>
      </c>
      <c r="D99" t="s">
        <v>6</v>
      </c>
      <c r="E99" t="s">
        <v>181</v>
      </c>
    </row>
    <row r="100" spans="1:5" x14ac:dyDescent="0.25">
      <c r="A100" s="12" t="s">
        <v>175</v>
      </c>
      <c r="B100" t="s">
        <v>178</v>
      </c>
      <c r="C100" s="1">
        <f>$C$33*((($C$30+$C$14)/C43)^(1/3))</f>
        <v>4.4044552261154543E-3</v>
      </c>
      <c r="D100" t="s">
        <v>6</v>
      </c>
      <c r="E100" t="s">
        <v>181</v>
      </c>
    </row>
    <row r="101" spans="1:5" x14ac:dyDescent="0.25">
      <c r="A101" s="12" t="s">
        <v>176</v>
      </c>
      <c r="B101" t="s">
        <v>178</v>
      </c>
      <c r="C101" s="1">
        <f>$C$33*((($C$30+$C$14)/C44)^(1/3))</f>
        <v>4.190348261465031E-3</v>
      </c>
      <c r="D101" t="s">
        <v>6</v>
      </c>
      <c r="E101" t="s">
        <v>181</v>
      </c>
    </row>
    <row r="102" spans="1:5" x14ac:dyDescent="0.25">
      <c r="A102" s="12" t="s">
        <v>177</v>
      </c>
      <c r="B102" t="s">
        <v>178</v>
      </c>
      <c r="C102" s="1">
        <f>$C$33*((($C$30+$C$14)/C45)^(1/3))</f>
        <v>4.012607413192544E-3</v>
      </c>
      <c r="D102" t="s">
        <v>6</v>
      </c>
      <c r="E102" t="s">
        <v>181</v>
      </c>
    </row>
    <row r="103" spans="1:5" x14ac:dyDescent="0.25">
      <c r="A103" s="11" t="s">
        <v>167</v>
      </c>
      <c r="B103" t="s">
        <v>171</v>
      </c>
      <c r="C103" s="1">
        <f>6*C58/C99</f>
        <v>198.54432351870676</v>
      </c>
      <c r="D103" t="s">
        <v>172</v>
      </c>
      <c r="E103" t="s">
        <v>173</v>
      </c>
    </row>
    <row r="104" spans="1:5" x14ac:dyDescent="0.25">
      <c r="A104" s="12" t="s">
        <v>168</v>
      </c>
      <c r="B104" t="s">
        <v>171</v>
      </c>
      <c r="C104" s="1">
        <f>6*C59/C100</f>
        <v>192.66402997876017</v>
      </c>
      <c r="D104" t="s">
        <v>172</v>
      </c>
      <c r="E104" t="s">
        <v>173</v>
      </c>
    </row>
    <row r="105" spans="1:5" x14ac:dyDescent="0.25">
      <c r="A105" s="12" t="s">
        <v>169</v>
      </c>
      <c r="B105" t="s">
        <v>171</v>
      </c>
      <c r="C105" s="1">
        <f>6*C60/C101</f>
        <v>187.61342193356447</v>
      </c>
      <c r="D105" t="s">
        <v>172</v>
      </c>
      <c r="E105" t="s">
        <v>173</v>
      </c>
    </row>
    <row r="106" spans="1:5" x14ac:dyDescent="0.25">
      <c r="A106" s="12" t="s">
        <v>170</v>
      </c>
      <c r="B106" t="s">
        <v>171</v>
      </c>
      <c r="C106" s="1">
        <f>6*C61/C102</f>
        <v>183.20076750598028</v>
      </c>
      <c r="D106" t="s">
        <v>172</v>
      </c>
      <c r="E106" t="s">
        <v>173</v>
      </c>
    </row>
    <row r="107" spans="1:5" x14ac:dyDescent="0.25">
      <c r="A107" s="11" t="s">
        <v>137</v>
      </c>
      <c r="B107" t="s">
        <v>13</v>
      </c>
      <c r="C107" s="1">
        <f>C95*C103</f>
        <v>7.5812739580433525E-2</v>
      </c>
      <c r="D107" t="s">
        <v>135</v>
      </c>
      <c r="E107" t="s">
        <v>191</v>
      </c>
    </row>
    <row r="108" spans="1:5" x14ac:dyDescent="0.25">
      <c r="A108" s="12" t="s">
        <v>138</v>
      </c>
      <c r="B108" t="s">
        <v>13</v>
      </c>
      <c r="C108" s="1">
        <f>C96*C104</f>
        <v>8.2264848411455968E-2</v>
      </c>
      <c r="D108" t="s">
        <v>135</v>
      </c>
      <c r="E108" t="s">
        <v>191</v>
      </c>
    </row>
    <row r="109" spans="1:5" x14ac:dyDescent="0.25">
      <c r="A109" s="12" t="s">
        <v>139</v>
      </c>
      <c r="B109" t="s">
        <v>13</v>
      </c>
      <c r="C109" s="1">
        <f t="shared" ref="C109:C110" si="3">C97*C105</f>
        <v>8.1254151449326545E-2</v>
      </c>
      <c r="D109" t="s">
        <v>135</v>
      </c>
      <c r="E109" t="s">
        <v>191</v>
      </c>
    </row>
    <row r="110" spans="1:5" x14ac:dyDescent="0.25">
      <c r="A110" s="12" t="s">
        <v>140</v>
      </c>
      <c r="B110" t="s">
        <v>13</v>
      </c>
      <c r="C110" s="1">
        <f t="shared" si="3"/>
        <v>7.9396138818812301E-2</v>
      </c>
      <c r="D110" t="s">
        <v>135</v>
      </c>
      <c r="E110" t="s">
        <v>191</v>
      </c>
    </row>
    <row r="123" spans="1:5" x14ac:dyDescent="0.25">
      <c r="A123" s="17"/>
      <c r="B123" s="17"/>
      <c r="C123" s="17"/>
      <c r="D123" s="17"/>
      <c r="E123" s="17"/>
    </row>
    <row r="124" spans="1:5" x14ac:dyDescent="0.25">
      <c r="A124" s="9"/>
      <c r="B124" s="9"/>
      <c r="C124" s="9"/>
      <c r="D124" s="9"/>
      <c r="E124" s="9"/>
    </row>
  </sheetData>
  <mergeCells count="2">
    <mergeCell ref="A123:E123"/>
    <mergeCell ref="A1:E1"/>
  </mergeCells>
  <dataValidations count="1">
    <dataValidation type="list" allowBlank="1" showInputMessage="1" showErrorMessage="1" sqref="C8" xr:uid="{00000000-0002-0000-0100-000000000000}">
      <formula1>$C$5:$C$7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 4 compartment model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Bafna-Rührer</dc:creator>
  <cp:lastModifiedBy>Jonas Bafna-Rührer</cp:lastModifiedBy>
  <dcterms:created xsi:type="dcterms:W3CDTF">2022-02-01T12:25:36Z</dcterms:created>
  <dcterms:modified xsi:type="dcterms:W3CDTF">2024-03-06T13:54:38Z</dcterms:modified>
</cp:coreProperties>
</file>