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Data\1-PV\Economy\"/>
    </mc:Choice>
  </mc:AlternateContent>
  <bookViews>
    <workbookView xWindow="0" yWindow="0" windowWidth="24000" windowHeight="9015"/>
  </bookViews>
  <sheets>
    <sheet name="Inledning" sheetId="20" r:id="rId1"/>
    <sheet name="Dina indata &amp; Resultat" sheetId="17" r:id="rId2"/>
    <sheet name="Grundläggande antaganden" sheetId="19" r:id="rId3"/>
    <sheet name="Kassaflöden" sheetId="11" r:id="rId4"/>
    <sheet name="Diagram" sheetId="13" r:id="rId5"/>
    <sheet name="Ingångsvärden" sheetId="18" state="hidden" r:id="rId6"/>
    <sheet name="Versionshistorik" sheetId="12" state="hidden" r:id="rId7"/>
  </sheets>
  <definedNames>
    <definedName name="Andel_egenanvänd_el">'Dina indata &amp; Resultat'!$D$60</definedName>
    <definedName name="Andel_elcertifikattilldelning">'Dina indata &amp; Resultat'!$D$65</definedName>
    <definedName name="Anläggningens_effekt">'Dina indata &amp; Resultat'!$D$18</definedName>
    <definedName name="Antal_byten_av_växelriktare">'Grundläggande antaganden'!$D$23</definedName>
    <definedName name="Antal_år_med_skattereduktion">'Dina indata &amp; Resultat'!$D$68</definedName>
    <definedName name="Antal_år_till_byte_av_växelriktare">'Grundläggande antaganden'!$D$24</definedName>
    <definedName name="Avslutskostnader">'Grundläggande antaganden'!$D$52</definedName>
    <definedName name="Besiktning_efter_färdigställande">'Dina indata &amp; Resultat'!$D$37</definedName>
    <definedName name="Bygglov">'Dina indata &amp; Resultat'!$D$35</definedName>
    <definedName name="Egen_kostnadspost">'Grundläggande antaganden'!$D$37</definedName>
    <definedName name="Ekonomisk_livslängd">'Dina indata &amp; Resultat'!$D$24</definedName>
    <definedName name="Elcertifikathantering">'Grundläggande antaganden'!$D$30</definedName>
    <definedName name="Elcertifikatvärde">'Dina indata &amp; Resultat'!$D$64</definedName>
    <definedName name="Elcertifikatår">'Grundläggande antaganden'!$D$64</definedName>
    <definedName name="Ersättning_från_nätägare">'Dina indata &amp; Resultat'!$D$63</definedName>
    <definedName name="Fastighetsskatt">'Grundläggande antaganden'!$D$31</definedName>
    <definedName name="Försäkring">'Grundläggande antaganden'!$D$41</definedName>
    <definedName name="Hyra_av_yta">'Grundläggande antaganden'!$D$42</definedName>
    <definedName name="Inmatningsabonnemang">'Grundläggande antaganden'!$D$32</definedName>
    <definedName name="Installerad_effekt">'Dina indata &amp; Resultat'!$D$18</definedName>
    <definedName name="Investeringskostnad">'Dina indata &amp; Resultat'!$D$32</definedName>
    <definedName name="Investeringsstöd">'Dina indata &amp; Resultat'!$D$33</definedName>
    <definedName name="Kalkylränta">'Dina indata &amp; Resultat'!$D$28</definedName>
    <definedName name="Kostnad_växelriktarbyte">'Grundläggande antaganden'!$D$25</definedName>
    <definedName name="Kvotplikt_medelvärde">'Dina indata &amp; Resultat'!$D$66</definedName>
    <definedName name="Loggning">'Grundläggande antaganden'!$D$33</definedName>
    <definedName name="Mark_köp_preparering">'Grundläggande antaganden'!$D$20</definedName>
    <definedName name="Nätanslutningskostnad">'Grundläggande antaganden'!$D$21</definedName>
    <definedName name="_xlnm.Print_Titles" localSheetId="3">Kassaflöden!$A:$A</definedName>
    <definedName name="Pris_köpt_el">'Dina indata &amp; Resultat'!$D$61</definedName>
    <definedName name="Pris_såld_el">'Dina indata &amp; Resultat'!$D$62</definedName>
    <definedName name="Projektledning_och_upphandling">'Dina indata &amp; Resultat'!$D$36</definedName>
    <definedName name="Rengöring_av_moduler">'Grundläggande antaganden'!$D$44</definedName>
    <definedName name="Resor">'Grundläggande antaganden'!$D$34</definedName>
    <definedName name="Restvärde">'Grundläggande antaganden'!$D$50</definedName>
    <definedName name="Rivningskostnad">'Grundläggande antaganden'!$D$51</definedName>
    <definedName name="ROT_avdrag">'Grundläggande antaganden'!$D$17</definedName>
    <definedName name="Servitut">'Grundläggande antaganden'!$D$35</definedName>
    <definedName name="Skattereduktion">'Grundläggande antaganden'!$D$65</definedName>
    <definedName name="solver_adj" localSheetId="1" hidden="1">'Dina indata &amp; Resultat'!$D$28</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'Dina indata &amp; Resultat'!$D$82</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definedName>
    <definedName name="solver_ver" localSheetId="1" hidden="1">3</definedName>
    <definedName name="Startdata_Annan_Andel_egenanvänd_el">Ingångsvärden!$C$21</definedName>
    <definedName name="Startdata_Annan_Andel_elcertifikattilldelning">Ingångsvärden!$C$26</definedName>
    <definedName name="Startdata_Annan_Anläggningens_effekt">Ingångsvärden!$C$10</definedName>
    <definedName name="Startdata_Annan_Antal_år_med_skattereduktion">Ingångsvärden!$C$29</definedName>
    <definedName name="Startdata_Annan_Besiktning_efter_färdigställande">Ingångsvärden!$C$18</definedName>
    <definedName name="Startdata_Annan_Bygglov">Ingångsvärden!$C$16</definedName>
    <definedName name="Startdata_Annan_Ekonomisk_livslängd">Ingångsvärden!$C$12</definedName>
    <definedName name="Startdata_Annan_Elcertifikathantering">Ingångsvärden!$C$34</definedName>
    <definedName name="Startdata_Annan_Elcertifikatvärde">Ingångsvärden!$C$25</definedName>
    <definedName name="Startdata_Annan_Ersättning_från_nätägare">Ingångsvärden!$C$24</definedName>
    <definedName name="Startdata_Annan_Försäkring">Ingångsvärden!$C$40</definedName>
    <definedName name="Startdata_Annan_Hyra_av_yta">Ingångsvärden!$C$41</definedName>
    <definedName name="Startdata_Annan_Inmatningsabonnemang">Ingångsvärden!$C$35</definedName>
    <definedName name="Startdata_Annan_Investeringskostnad">Ingångsvärden!$C$14</definedName>
    <definedName name="Startdata_Annan_Investeringsstöd">Ingångsvärden!$C$15</definedName>
    <definedName name="Startdata_Annan_Kalkylränta">Ingångsvärden!$C$13</definedName>
    <definedName name="Startdata_Annan_Kvotplikt_medelvärde">Ingångsvärden!$C$27</definedName>
    <definedName name="Startdata_Annan_Loggning">Ingångsvärden!$C$36</definedName>
    <definedName name="Startdata_Annan_Projektledning_och_upphandling">Ingångsvärden!$C$17</definedName>
    <definedName name="Startdata_Annan_Rengöring_av_moduler">Ingångsvärden!$C$43</definedName>
    <definedName name="Startdata_Annan_Resor">Ingångsvärden!$C$37</definedName>
    <definedName name="Startdata_Annan_Servitut">Ingångsvärden!$C$38</definedName>
    <definedName name="Startdata_Annan_Säkringsstorlek_i_anslutningspunkten">Ingångsvärden!$C$11</definedName>
    <definedName name="Startdata_Annan_Tillsyn">Ingångsvärden!$C$44</definedName>
    <definedName name="Startdata_Annan_Underhåll_av_yta">Ingångsvärden!$C$42</definedName>
    <definedName name="Startdata_Annan_Ursprungsgarantier_värde">Ingångsvärden!$C$28</definedName>
    <definedName name="Startdata_Annan_Utbildning">Ingångsvärden!$C$19</definedName>
    <definedName name="Startdata_Annan_Utbyte_år1">Ingångsvärden!$C$20</definedName>
    <definedName name="Startdata_Annan_Verkningsgrad_solcellsmoduler">Ingångsvärden!$C$33</definedName>
    <definedName name="Startdata_Annan_Värde_egenanvänd_solel">Ingångsvärden!$C$22</definedName>
    <definedName name="Startdata_Annan_Värde_såld_el">Ingångsvärden!$C$23</definedName>
    <definedName name="Startdata_Annan_Övrigt">Ingångsvärden!$C$39</definedName>
    <definedName name="Startdata_Privat_Andel_egenanvänd_el" localSheetId="5">Ingångsvärden!$B$21</definedName>
    <definedName name="Startdata_Privat_Andel_elcertifikattilldelning">Ingångsvärden!$B$26</definedName>
    <definedName name="Startdata_Privat_Anläggningens_effekt">Ingångsvärden!$B$10</definedName>
    <definedName name="Startdata_Privat_Antal_år_med_skattereduktion">Ingångsvärden!$B$29</definedName>
    <definedName name="Startdata_Privat_Besiktning_efter_färdigställande" localSheetId="5">Ingångsvärden!$B$18</definedName>
    <definedName name="Startdata_Privat_Bygglov" localSheetId="5">Ingångsvärden!$B$16</definedName>
    <definedName name="Startdata_Privat_Ekonomisk_livslängd" localSheetId="5">Ingångsvärden!$B$12</definedName>
    <definedName name="Startdata_Privat_Elcertifikathantering">Ingångsvärden!$B$34</definedName>
    <definedName name="Startdata_Privat_Elcertifikatvärde" localSheetId="5">Ingångsvärden!$B$25</definedName>
    <definedName name="Startdata_Privat_Ersättning_från_nätägare" localSheetId="5">Ingångsvärden!$B$24</definedName>
    <definedName name="Startdata_Privat_Försäkring">Ingångsvärden!$B$40</definedName>
    <definedName name="Startdata_Privat_Hyra_av_yta">Ingångsvärden!$B$41</definedName>
    <definedName name="Startdata_Privat_Inmatningsabonnemang">Ingångsvärden!$B$35</definedName>
    <definedName name="Startdata_Privat_Investeringskostnad">Ingångsvärden!$B$14</definedName>
    <definedName name="Startdata_Privat_Investeringsstöd" localSheetId="5">Ingångsvärden!$B$15</definedName>
    <definedName name="Startdata_Privat_Kalkylränta" localSheetId="5">Ingångsvärden!$B$13</definedName>
    <definedName name="Startdata_Privat_Kvotplikt_medelvärde" localSheetId="5">Ingångsvärden!$B$27</definedName>
    <definedName name="Startdata_Privat_Loggning">Ingångsvärden!$B$36</definedName>
    <definedName name="Startdata_Privat_Projektledning_och_upphandling" localSheetId="5">Ingångsvärden!$B$17</definedName>
    <definedName name="Startdata_Privat_Projektledning_och_upphandling">Ingångsvärden!$B$17</definedName>
    <definedName name="Startdata_Privat_Rengöring_av_moduler">Ingångsvärden!$B$43</definedName>
    <definedName name="Startdata_Privat_Resor">Ingångsvärden!$B$37</definedName>
    <definedName name="Startdata_Privat_Servitut">Ingångsvärden!$B$38</definedName>
    <definedName name="Startdata_Privat_Säkringsstorlek_i_anslutningspunkten">Ingångsvärden!$B$11</definedName>
    <definedName name="Startdata_Privat_Tillsyn">Ingångsvärden!$B$44</definedName>
    <definedName name="Startdata_Privat_Underhåll_av_yta">Ingångsvärden!$B$42</definedName>
    <definedName name="Startdata_Privat_Ursprungsgarantier_värde">Ingångsvärden!$B$28</definedName>
    <definedName name="Startdata_Privat_Utbildning">Ingångsvärden!$B$19</definedName>
    <definedName name="Startdata_Privat_Utbyte_år1">Ingångsvärden!$B$20</definedName>
    <definedName name="Startdata_Privat_Verkningsgrad_solcellsmoduler">Ingångsvärden!$B$33</definedName>
    <definedName name="Startdata_Privat_Värde_egenanvänd_solel">Ingångsvärden!$B$22</definedName>
    <definedName name="Startdata_Privat_Värde_såld_el" localSheetId="5">Ingångsvärden!$B$23</definedName>
    <definedName name="Startdata_Privat_Övrigt">Ingångsvärden!$B$39</definedName>
    <definedName name="Summa_investering">'Dina indata &amp; Resultat'!$D$41</definedName>
    <definedName name="Summa_investering_med_investeringsstöd">'Dina indata &amp; Resultat'!$D$43</definedName>
    <definedName name="Summa_investering_med_ROT_avdrag">'Dina indata &amp; Resultat'!$D$42</definedName>
    <definedName name="Summa_årliga_kostnader">'Dina indata &amp; Resultat'!$D$49</definedName>
    <definedName name="Säkringsstorlek_i_anslutningspunkten">'Dina indata &amp; Resultat'!$D$20</definedName>
    <definedName name="Tak_investeringsstöd">'Grundläggande antaganden'!$D$16</definedName>
    <definedName name="Tak_ROT_avdrag">'Grundläggande antaganden'!$D$18</definedName>
    <definedName name="Tak_skattereduktion">'Grundläggande antaganden'!$D$66</definedName>
    <definedName name="Tillgänglighet">'Grundläggande antaganden'!$D$60</definedName>
    <definedName name="Tillsyn">'Grundläggande antaganden'!$D$45</definedName>
    <definedName name="Total_solelproduktion_berättigad_till_elcertifikat">'Dina indata &amp; Resultat'!$D$55</definedName>
    <definedName name="Total_solelproduktion_under_livslängden">'Dina indata &amp; Resultat'!$D$54</definedName>
    <definedName name="Underhåll_av_yta">'Grundläggande antaganden'!$D$43</definedName>
    <definedName name="Upphandling">'Dina indata &amp; Resultat'!$D$36</definedName>
    <definedName name="Ursprungsgarantier_värde">'Dina indata &amp; Resultat'!$D$67</definedName>
    <definedName name="Utbildning">'Dina indata &amp; Resultat'!$D$38</definedName>
    <definedName name="Utbyte_år1">'Dina indata &amp; Resultat'!$D$53</definedName>
    <definedName name="Uttagsabonnemang">'Grundläggande antaganden'!$D$36</definedName>
    <definedName name="Vald_användare">'Dina indata &amp; Resultat'!$D$17</definedName>
    <definedName name="Verkningsgrad_solcellsmoduler">'Grundläggande antaganden'!$D$12</definedName>
    <definedName name="Årlig_degradering">'Grundläggande antaganden'!$D$56</definedName>
    <definedName name="Årlig_fast_driftkostnad">'Dina indata &amp; Resultat'!$D$47</definedName>
    <definedName name="Årlig_rörlig_driftkostnad">'Dina indata &amp; Resultat'!$D$48</definedName>
    <definedName name="Övrigt">'Grundläggande antaganden'!$D$37</definedName>
  </definedNames>
  <calcPr calcId="152511"/>
</workbook>
</file>

<file path=xl/calcChain.xml><?xml version="1.0" encoding="utf-8"?>
<calcChain xmlns="http://schemas.openxmlformats.org/spreadsheetml/2006/main">
  <c r="G91" i="11" l="1"/>
  <c r="G92" i="11"/>
  <c r="G93" i="11"/>
  <c r="G94" i="11"/>
  <c r="G95" i="11"/>
  <c r="G96" i="11"/>
  <c r="G97" i="11"/>
  <c r="G98" i="11"/>
  <c r="G99" i="11"/>
  <c r="G100" i="11"/>
  <c r="G101" i="11"/>
  <c r="G102" i="11"/>
  <c r="G103" i="11"/>
  <c r="G104" i="11"/>
  <c r="G105" i="11"/>
  <c r="G106" i="11"/>
  <c r="G107" i="11"/>
  <c r="G108" i="11"/>
  <c r="G109" i="11"/>
  <c r="G110" i="11"/>
  <c r="G35" i="11"/>
  <c r="G36" i="11"/>
  <c r="G37" i="11"/>
  <c r="G38" i="11"/>
  <c r="G39" i="11"/>
  <c r="G40" i="11"/>
  <c r="G41" i="11"/>
  <c r="G42" i="11"/>
  <c r="G43" i="11"/>
  <c r="G44" i="11"/>
  <c r="G45" i="11"/>
  <c r="G46" i="11"/>
  <c r="G47" i="11"/>
  <c r="G48" i="11"/>
  <c r="G49" i="11"/>
  <c r="G50" i="11"/>
  <c r="G51" i="11"/>
  <c r="G52" i="11"/>
  <c r="G53" i="11"/>
  <c r="G54" i="11"/>
  <c r="S91" i="11" l="1"/>
  <c r="S92" i="11"/>
  <c r="S93" i="11"/>
  <c r="S94" i="11"/>
  <c r="S95" i="11"/>
  <c r="S96" i="11"/>
  <c r="S97" i="11"/>
  <c r="S98" i="11"/>
  <c r="S99" i="11"/>
  <c r="S100" i="11"/>
  <c r="S101" i="11"/>
  <c r="S102" i="11"/>
  <c r="S103" i="11"/>
  <c r="S104" i="11"/>
  <c r="S105" i="11"/>
  <c r="S106" i="11"/>
  <c r="S107" i="11"/>
  <c r="S108" i="11"/>
  <c r="S109" i="11"/>
  <c r="S110" i="11"/>
  <c r="Q91" i="11"/>
  <c r="Q92" i="11"/>
  <c r="Q93" i="11"/>
  <c r="Q94" i="11"/>
  <c r="Q95" i="11"/>
  <c r="Q96" i="11"/>
  <c r="Q97" i="11"/>
  <c r="Q98" i="11"/>
  <c r="Q99" i="11"/>
  <c r="Q100" i="11"/>
  <c r="Q101" i="11"/>
  <c r="Q102" i="11"/>
  <c r="Q103" i="11"/>
  <c r="Q104" i="11"/>
  <c r="Q105" i="11"/>
  <c r="Q106" i="11"/>
  <c r="Q107" i="11"/>
  <c r="Q108" i="11"/>
  <c r="Q109" i="11"/>
  <c r="Q110" i="11"/>
  <c r="O91" i="11"/>
  <c r="O92" i="11"/>
  <c r="O93" i="11"/>
  <c r="O94" i="11"/>
  <c r="O95" i="11"/>
  <c r="O96" i="11"/>
  <c r="O97" i="11"/>
  <c r="O98" i="11"/>
  <c r="O99" i="11"/>
  <c r="O100" i="11"/>
  <c r="O101" i="11"/>
  <c r="O102" i="11"/>
  <c r="O103" i="11"/>
  <c r="O104" i="11"/>
  <c r="O105" i="11"/>
  <c r="O106" i="11"/>
  <c r="O107" i="11"/>
  <c r="O108" i="11"/>
  <c r="O109" i="11"/>
  <c r="O110" i="11"/>
  <c r="F61" i="11"/>
  <c r="E61" i="11"/>
  <c r="D61" i="11"/>
  <c r="A61" i="11"/>
  <c r="S35" i="11"/>
  <c r="S36" i="11"/>
  <c r="S37" i="11"/>
  <c r="S38" i="11"/>
  <c r="S39" i="11"/>
  <c r="S40" i="11"/>
  <c r="S41" i="11"/>
  <c r="S42" i="11"/>
  <c r="S43" i="11"/>
  <c r="S44" i="11"/>
  <c r="S45" i="11"/>
  <c r="S46" i="11"/>
  <c r="S47" i="11"/>
  <c r="S48" i="11"/>
  <c r="S49" i="11"/>
  <c r="S50" i="11"/>
  <c r="S51" i="11"/>
  <c r="S52" i="11"/>
  <c r="S53" i="11"/>
  <c r="S54" i="11"/>
  <c r="Q35" i="11"/>
  <c r="Q36" i="11"/>
  <c r="Q37" i="11"/>
  <c r="Q38" i="11"/>
  <c r="Q39" i="11"/>
  <c r="Q40" i="11"/>
  <c r="Q41" i="11"/>
  <c r="Q42" i="11"/>
  <c r="Q43" i="11"/>
  <c r="Q44" i="11"/>
  <c r="Q45" i="11"/>
  <c r="Q46" i="11"/>
  <c r="Q47" i="11"/>
  <c r="Q48" i="11"/>
  <c r="Q49" i="11"/>
  <c r="Q50" i="11"/>
  <c r="Q51" i="11"/>
  <c r="Q52" i="11"/>
  <c r="Q53" i="11"/>
  <c r="Q54" i="11"/>
  <c r="O35" i="11"/>
  <c r="O36" i="11"/>
  <c r="O37" i="11"/>
  <c r="O38" i="11"/>
  <c r="O39" i="11"/>
  <c r="O40" i="11"/>
  <c r="O41" i="11"/>
  <c r="O42" i="11"/>
  <c r="O43" i="11"/>
  <c r="O44" i="11"/>
  <c r="O45" i="11"/>
  <c r="O46" i="11"/>
  <c r="O47" i="11"/>
  <c r="O48" i="11"/>
  <c r="O49" i="11"/>
  <c r="O50" i="11"/>
  <c r="O51" i="11"/>
  <c r="O52" i="11"/>
  <c r="O53" i="11"/>
  <c r="O54" i="11"/>
  <c r="D5" i="11"/>
  <c r="E5" i="11"/>
  <c r="F5" i="11"/>
  <c r="B5" i="11"/>
  <c r="C5" i="11" s="1"/>
  <c r="B61" i="11" l="1"/>
  <c r="K61" i="11" s="1"/>
  <c r="M5" i="11"/>
  <c r="I5" i="11"/>
  <c r="K5" i="11"/>
  <c r="L5" i="11"/>
  <c r="H5" i="11"/>
  <c r="J5" i="11"/>
  <c r="D63" i="11"/>
  <c r="E63" i="11"/>
  <c r="F63" i="11"/>
  <c r="D64" i="11"/>
  <c r="E64" i="11"/>
  <c r="F64" i="11"/>
  <c r="D65" i="11"/>
  <c r="E65" i="11"/>
  <c r="F65" i="11"/>
  <c r="D66" i="11"/>
  <c r="E66" i="11"/>
  <c r="F66" i="11"/>
  <c r="D67" i="11"/>
  <c r="E67" i="11"/>
  <c r="F67" i="11"/>
  <c r="D68" i="11"/>
  <c r="E68" i="11"/>
  <c r="F68" i="11"/>
  <c r="D69" i="11"/>
  <c r="E69" i="11"/>
  <c r="F69" i="11"/>
  <c r="D70" i="11"/>
  <c r="E70" i="11"/>
  <c r="F70" i="11"/>
  <c r="D71" i="11"/>
  <c r="E71" i="11"/>
  <c r="F71" i="11"/>
  <c r="D72" i="11"/>
  <c r="E72" i="11"/>
  <c r="F72" i="11"/>
  <c r="D73" i="11"/>
  <c r="E73" i="11"/>
  <c r="F73" i="11"/>
  <c r="D74" i="11"/>
  <c r="E74" i="11"/>
  <c r="F74" i="11"/>
  <c r="D76" i="11"/>
  <c r="E76" i="11"/>
  <c r="F76" i="11"/>
  <c r="D77" i="11"/>
  <c r="E77" i="11"/>
  <c r="F77" i="11"/>
  <c r="D78" i="11"/>
  <c r="E78" i="11"/>
  <c r="F78" i="11"/>
  <c r="D79" i="11"/>
  <c r="E79" i="11"/>
  <c r="F79" i="11"/>
  <c r="D80" i="11"/>
  <c r="E80" i="11"/>
  <c r="F80" i="11"/>
  <c r="D81" i="11"/>
  <c r="E81" i="11"/>
  <c r="F81" i="11"/>
  <c r="D82" i="11"/>
  <c r="E82" i="11"/>
  <c r="F82" i="11"/>
  <c r="D83" i="11"/>
  <c r="E83" i="11"/>
  <c r="F83" i="11"/>
  <c r="D84" i="11"/>
  <c r="E84" i="11"/>
  <c r="F84" i="11"/>
  <c r="D85" i="11"/>
  <c r="E85" i="11"/>
  <c r="F85" i="11"/>
  <c r="D86" i="11"/>
  <c r="E86" i="11"/>
  <c r="F86" i="11"/>
  <c r="D87" i="11"/>
  <c r="E87" i="11"/>
  <c r="F87" i="11"/>
  <c r="D88" i="11"/>
  <c r="E88" i="11"/>
  <c r="F88" i="11"/>
  <c r="D89" i="11"/>
  <c r="E89" i="11"/>
  <c r="F89" i="11"/>
  <c r="D90" i="11"/>
  <c r="E90" i="11"/>
  <c r="F90" i="11"/>
  <c r="D91" i="11"/>
  <c r="E91" i="11"/>
  <c r="F91" i="11"/>
  <c r="D92" i="11"/>
  <c r="E92" i="11"/>
  <c r="F92" i="11"/>
  <c r="D93" i="11"/>
  <c r="E93" i="11"/>
  <c r="F93" i="11"/>
  <c r="D94" i="11"/>
  <c r="E94" i="11"/>
  <c r="F94" i="11"/>
  <c r="D95" i="11"/>
  <c r="E95" i="11"/>
  <c r="F95" i="11"/>
  <c r="D96" i="11"/>
  <c r="E96" i="11"/>
  <c r="F96" i="11"/>
  <c r="D97" i="11"/>
  <c r="E97" i="11"/>
  <c r="F97" i="11"/>
  <c r="D98" i="11"/>
  <c r="E98" i="11"/>
  <c r="F98" i="11"/>
  <c r="D99" i="11"/>
  <c r="E99" i="11"/>
  <c r="F99" i="11"/>
  <c r="D100" i="11"/>
  <c r="E100" i="11"/>
  <c r="F100" i="11"/>
  <c r="D101" i="11"/>
  <c r="E101" i="11"/>
  <c r="F101" i="11"/>
  <c r="D102" i="11"/>
  <c r="E102" i="11"/>
  <c r="F102" i="11"/>
  <c r="D103" i="11"/>
  <c r="E103" i="11"/>
  <c r="F103" i="11"/>
  <c r="D104" i="11"/>
  <c r="E104" i="11"/>
  <c r="F104" i="11"/>
  <c r="D105" i="11"/>
  <c r="E105" i="11"/>
  <c r="F105" i="11"/>
  <c r="D106" i="11"/>
  <c r="E106" i="11"/>
  <c r="F106" i="11"/>
  <c r="D107" i="11"/>
  <c r="E107" i="11"/>
  <c r="F107" i="11"/>
  <c r="D108" i="11"/>
  <c r="E108" i="11"/>
  <c r="F108" i="11"/>
  <c r="D109" i="11"/>
  <c r="E109" i="11"/>
  <c r="F109" i="11"/>
  <c r="D110" i="11"/>
  <c r="E110" i="11"/>
  <c r="F110" i="11"/>
  <c r="F62" i="11"/>
  <c r="E62" i="11"/>
  <c r="D62" i="11"/>
  <c r="M77" i="11"/>
  <c r="K79" i="11"/>
  <c r="K81" i="11"/>
  <c r="M81" i="11"/>
  <c r="K85" i="11"/>
  <c r="K91" i="11"/>
  <c r="I93" i="11"/>
  <c r="K93" i="11"/>
  <c r="I95" i="11"/>
  <c r="M97" i="11"/>
  <c r="J98" i="11"/>
  <c r="L99" i="11"/>
  <c r="J101" i="11"/>
  <c r="K101" i="11"/>
  <c r="J103" i="11"/>
  <c r="J105" i="11"/>
  <c r="K105" i="11"/>
  <c r="I106" i="11"/>
  <c r="L106" i="11"/>
  <c r="L107" i="11"/>
  <c r="K109" i="11"/>
  <c r="L109" i="11"/>
  <c r="E4" i="11"/>
  <c r="E60" i="11" s="1"/>
  <c r="A111" i="11"/>
  <c r="A63" i="11"/>
  <c r="A64" i="11"/>
  <c r="A65" i="11"/>
  <c r="A66" i="11"/>
  <c r="A67" i="11"/>
  <c r="A68" i="11"/>
  <c r="A69" i="11"/>
  <c r="A70" i="11"/>
  <c r="A71" i="11"/>
  <c r="A72" i="11"/>
  <c r="A73" i="11"/>
  <c r="A74" i="11"/>
  <c r="A75" i="11"/>
  <c r="A76" i="11"/>
  <c r="A77" i="11"/>
  <c r="A78" i="11"/>
  <c r="A79" i="11"/>
  <c r="M79" i="11" s="1"/>
  <c r="A80" i="11"/>
  <c r="A81" i="11"/>
  <c r="A82" i="11"/>
  <c r="K82" i="11" s="1"/>
  <c r="A83" i="11"/>
  <c r="A84" i="11"/>
  <c r="A85" i="11"/>
  <c r="A86" i="11"/>
  <c r="A87" i="11"/>
  <c r="A88" i="11"/>
  <c r="A89" i="11"/>
  <c r="M89" i="11" s="1"/>
  <c r="A90" i="11"/>
  <c r="A91" i="11"/>
  <c r="L91" i="11" s="1"/>
  <c r="A92" i="11"/>
  <c r="A93" i="11"/>
  <c r="A94" i="11"/>
  <c r="L94" i="11" s="1"/>
  <c r="A95" i="11"/>
  <c r="K95" i="11" s="1"/>
  <c r="A96" i="11"/>
  <c r="M96" i="11" s="1"/>
  <c r="A97" i="11"/>
  <c r="A98" i="11"/>
  <c r="A99" i="11"/>
  <c r="A100" i="11"/>
  <c r="A101" i="11"/>
  <c r="A102" i="11"/>
  <c r="M102" i="11" s="1"/>
  <c r="A103" i="11"/>
  <c r="A104" i="11"/>
  <c r="J104" i="11" s="1"/>
  <c r="A105" i="11"/>
  <c r="A106" i="11"/>
  <c r="A107" i="11"/>
  <c r="A108" i="11"/>
  <c r="J108" i="11" s="1"/>
  <c r="A109" i="11"/>
  <c r="A110" i="11"/>
  <c r="A62" i="11"/>
  <c r="A60" i="11"/>
  <c r="I61" i="11" l="1"/>
  <c r="H61" i="11"/>
  <c r="J61" i="11"/>
  <c r="M61" i="11"/>
  <c r="L61" i="11"/>
  <c r="J107" i="11"/>
  <c r="I103" i="11"/>
  <c r="M87" i="11"/>
  <c r="M83" i="11"/>
  <c r="J109" i="11"/>
  <c r="I107" i="11"/>
  <c r="H106" i="11"/>
  <c r="H105" i="11"/>
  <c r="M103" i="11"/>
  <c r="H103" i="11"/>
  <c r="I101" i="11"/>
  <c r="H99" i="11"/>
  <c r="K97" i="11"/>
  <c r="M95" i="11"/>
  <c r="K87" i="11"/>
  <c r="K77" i="11"/>
  <c r="K104" i="11"/>
  <c r="I99" i="11"/>
  <c r="H95" i="11"/>
  <c r="I91" i="11"/>
  <c r="H109" i="11"/>
  <c r="M107" i="11"/>
  <c r="H107" i="11"/>
  <c r="L105" i="11"/>
  <c r="L103" i="11"/>
  <c r="M99" i="11"/>
  <c r="J97" i="11"/>
  <c r="M93" i="11"/>
  <c r="K100" i="11"/>
  <c r="I100" i="11"/>
  <c r="J100" i="11"/>
  <c r="K92" i="11"/>
  <c r="L92" i="11"/>
  <c r="H92" i="11"/>
  <c r="M92" i="11"/>
  <c r="K84" i="11"/>
  <c r="K76" i="11"/>
  <c r="M76" i="11"/>
  <c r="L100" i="11"/>
  <c r="I92" i="11"/>
  <c r="J102" i="11"/>
  <c r="K102" i="11"/>
  <c r="I94" i="11"/>
  <c r="M94" i="11"/>
  <c r="H94" i="11"/>
  <c r="J94" i="11"/>
  <c r="M86" i="11"/>
  <c r="K86" i="11"/>
  <c r="M78" i="11"/>
  <c r="L102" i="11"/>
  <c r="H100" i="11"/>
  <c r="K94" i="11"/>
  <c r="H104" i="11"/>
  <c r="L104" i="11"/>
  <c r="I104" i="11"/>
  <c r="M104" i="11"/>
  <c r="K96" i="11"/>
  <c r="J96" i="11"/>
  <c r="L96" i="11"/>
  <c r="K88" i="11"/>
  <c r="M88" i="11"/>
  <c r="K80" i="11"/>
  <c r="I102" i="11"/>
  <c r="I96" i="11"/>
  <c r="K78" i="11"/>
  <c r="J110" i="11"/>
  <c r="H108" i="11"/>
  <c r="L108" i="11"/>
  <c r="I108" i="11"/>
  <c r="M108" i="11"/>
  <c r="J106" i="11"/>
  <c r="K106" i="11"/>
  <c r="I98" i="11"/>
  <c r="M98" i="11"/>
  <c r="L98" i="11"/>
  <c r="H98" i="11"/>
  <c r="M90" i="11"/>
  <c r="K90" i="11"/>
  <c r="M82" i="11"/>
  <c r="K108" i="11"/>
  <c r="M106" i="11"/>
  <c r="H102" i="11"/>
  <c r="M100" i="11"/>
  <c r="K98" i="11"/>
  <c r="H96" i="11"/>
  <c r="J92" i="11"/>
  <c r="M84" i="11"/>
  <c r="M80" i="11"/>
  <c r="H101" i="11"/>
  <c r="L101" i="11"/>
  <c r="J99" i="11"/>
  <c r="H97" i="11"/>
  <c r="L97" i="11"/>
  <c r="J95" i="11"/>
  <c r="H93" i="11"/>
  <c r="L93" i="11"/>
  <c r="J91" i="11"/>
  <c r="M109" i="11"/>
  <c r="I109" i="11"/>
  <c r="K107" i="11"/>
  <c r="M105" i="11"/>
  <c r="I105" i="11"/>
  <c r="K103" i="11"/>
  <c r="M101" i="11"/>
  <c r="K99" i="11"/>
  <c r="I97" i="11"/>
  <c r="L95" i="11"/>
  <c r="J93" i="11"/>
  <c r="M91" i="11"/>
  <c r="H91" i="11"/>
  <c r="K89" i="11"/>
  <c r="M85" i="11"/>
  <c r="K83" i="11"/>
  <c r="M110" i="11"/>
  <c r="I110" i="11"/>
  <c r="L110" i="11"/>
  <c r="H110" i="11"/>
  <c r="K110" i="11"/>
  <c r="D25" i="19"/>
  <c r="R96" i="11" l="1"/>
  <c r="D75" i="11"/>
  <c r="E75" i="11"/>
  <c r="E111" i="11" s="1"/>
  <c r="F75" i="11"/>
  <c r="R99" i="11"/>
  <c r="P97" i="11"/>
  <c r="N108" i="11"/>
  <c r="N99" i="11"/>
  <c r="P98" i="11"/>
  <c r="P99" i="11"/>
  <c r="R103" i="11"/>
  <c r="N109" i="11"/>
  <c r="N100" i="11"/>
  <c r="P93" i="11"/>
  <c r="P91" i="11"/>
  <c r="P95" i="11"/>
  <c r="R109" i="11"/>
  <c r="R106" i="11"/>
  <c r="N93" i="11"/>
  <c r="R91" i="11"/>
  <c r="R93" i="11"/>
  <c r="N96" i="11"/>
  <c r="N104" i="11"/>
  <c r="N110" i="11"/>
  <c r="R101" i="11"/>
  <c r="R105" i="11"/>
  <c r="P92" i="11"/>
  <c r="R98" i="11"/>
  <c r="R108" i="11"/>
  <c r="N102" i="11"/>
  <c r="N97" i="11"/>
  <c r="N103" i="11"/>
  <c r="N107" i="11"/>
  <c r="R97" i="11"/>
  <c r="P108" i="11"/>
  <c r="R104" i="11"/>
  <c r="P94" i="11"/>
  <c r="R94" i="11"/>
  <c r="N106" i="11"/>
  <c r="P101" i="11"/>
  <c r="N105" i="11"/>
  <c r="N91" i="11"/>
  <c r="P100" i="11"/>
  <c r="N92" i="11"/>
  <c r="P105" i="11"/>
  <c r="P109" i="11"/>
  <c r="R95" i="11"/>
  <c r="N101" i="11"/>
  <c r="P106" i="11"/>
  <c r="P104" i="11"/>
  <c r="R100" i="11"/>
  <c r="R92" i="11"/>
  <c r="P102" i="11"/>
  <c r="R107" i="11"/>
  <c r="N95" i="11"/>
  <c r="P107" i="11"/>
  <c r="R102" i="11"/>
  <c r="N98" i="11"/>
  <c r="N94" i="11"/>
  <c r="P96" i="11"/>
  <c r="P103" i="11"/>
  <c r="R110" i="11"/>
  <c r="P110" i="11"/>
  <c r="D19" i="17"/>
  <c r="B26" i="18"/>
  <c r="D52" i="19" l="1"/>
  <c r="D46" i="19"/>
  <c r="D48" i="17" s="1"/>
  <c r="D38" i="19"/>
  <c r="D47" i="17" s="1"/>
  <c r="G61" i="11" l="1"/>
  <c r="G65" i="11"/>
  <c r="G69" i="11"/>
  <c r="G73" i="11"/>
  <c r="G77" i="11"/>
  <c r="G81" i="11"/>
  <c r="G85" i="11"/>
  <c r="G89" i="11"/>
  <c r="G66" i="11"/>
  <c r="G74" i="11"/>
  <c r="G86" i="11"/>
  <c r="G67" i="11"/>
  <c r="G79" i="11"/>
  <c r="G87" i="11"/>
  <c r="G64" i="11"/>
  <c r="G68" i="11"/>
  <c r="G72" i="11"/>
  <c r="G76" i="11"/>
  <c r="G80" i="11"/>
  <c r="G84" i="11"/>
  <c r="G88" i="11"/>
  <c r="G62" i="11"/>
  <c r="G70" i="11"/>
  <c r="G78" i="11"/>
  <c r="G82" i="11"/>
  <c r="G90" i="11"/>
  <c r="G63" i="11"/>
  <c r="G71" i="11"/>
  <c r="G75" i="11"/>
  <c r="G83" i="11"/>
  <c r="G60" i="11"/>
  <c r="G6" i="11"/>
  <c r="G18" i="11"/>
  <c r="G30" i="11"/>
  <c r="G11" i="11"/>
  <c r="G19" i="11"/>
  <c r="G27" i="11"/>
  <c r="G8" i="11"/>
  <c r="G16" i="11"/>
  <c r="G24" i="11"/>
  <c r="G32" i="11"/>
  <c r="G9" i="11"/>
  <c r="G13" i="11"/>
  <c r="G17" i="11"/>
  <c r="G21" i="11"/>
  <c r="G25" i="11"/>
  <c r="G29" i="11"/>
  <c r="G33" i="11"/>
  <c r="G10" i="11"/>
  <c r="G14" i="11"/>
  <c r="G22" i="11"/>
  <c r="G26" i="11"/>
  <c r="G34" i="11"/>
  <c r="G7" i="11"/>
  <c r="G15" i="11"/>
  <c r="G23" i="11"/>
  <c r="G31" i="11"/>
  <c r="G5" i="11"/>
  <c r="G12" i="11"/>
  <c r="G20" i="11"/>
  <c r="G28" i="11"/>
  <c r="D49" i="17"/>
  <c r="G111" i="11" l="1"/>
  <c r="N5" i="11"/>
  <c r="R5" i="11"/>
  <c r="P5" i="11"/>
  <c r="N61" i="11"/>
  <c r="P61" i="11"/>
  <c r="R61"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F7" i="11" l="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6"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B7" i="11" l="1"/>
  <c r="B63" i="11" s="1"/>
  <c r="B8" i="11"/>
  <c r="B64" i="11" s="1"/>
  <c r="B9" i="11"/>
  <c r="B65" i="11" s="1"/>
  <c r="B10" i="11"/>
  <c r="B66" i="11" s="1"/>
  <c r="B11" i="11"/>
  <c r="B67" i="11" s="1"/>
  <c r="B12" i="11"/>
  <c r="B68" i="11" s="1"/>
  <c r="B13" i="11"/>
  <c r="B69" i="11" s="1"/>
  <c r="B14" i="11"/>
  <c r="B70" i="11" s="1"/>
  <c r="B15" i="11"/>
  <c r="B71" i="11" s="1"/>
  <c r="B16" i="11"/>
  <c r="B72" i="11" s="1"/>
  <c r="B17" i="11"/>
  <c r="B73" i="11" s="1"/>
  <c r="B18" i="11"/>
  <c r="B74" i="11" s="1"/>
  <c r="B19" i="11"/>
  <c r="B75" i="11" s="1"/>
  <c r="B20" i="11"/>
  <c r="B76" i="11" s="1"/>
  <c r="B21" i="11"/>
  <c r="B77" i="11" s="1"/>
  <c r="B22" i="11"/>
  <c r="B78" i="11" s="1"/>
  <c r="B23" i="11"/>
  <c r="B79" i="11" s="1"/>
  <c r="B24" i="11"/>
  <c r="B80" i="11" s="1"/>
  <c r="B25" i="11"/>
  <c r="B81" i="11" s="1"/>
  <c r="B26" i="11"/>
  <c r="B82" i="11" s="1"/>
  <c r="B27" i="11"/>
  <c r="B83" i="11" s="1"/>
  <c r="B28" i="11"/>
  <c r="B84" i="11" s="1"/>
  <c r="B29" i="11"/>
  <c r="B85" i="11" s="1"/>
  <c r="B30" i="11"/>
  <c r="B86" i="11" s="1"/>
  <c r="B31" i="11"/>
  <c r="B87" i="11" s="1"/>
  <c r="B32" i="11"/>
  <c r="B88" i="11" s="1"/>
  <c r="B33" i="11"/>
  <c r="B89" i="11" s="1"/>
  <c r="B34" i="11"/>
  <c r="B90" i="11" s="1"/>
  <c r="B35" i="11"/>
  <c r="B91" i="11" s="1"/>
  <c r="B36" i="11"/>
  <c r="B92" i="11" s="1"/>
  <c r="B37" i="11"/>
  <c r="B93" i="11" s="1"/>
  <c r="B38" i="11"/>
  <c r="B94" i="11" s="1"/>
  <c r="B39" i="11"/>
  <c r="B95" i="11" s="1"/>
  <c r="B40" i="11"/>
  <c r="B96" i="11" s="1"/>
  <c r="B41" i="11"/>
  <c r="B97" i="11" s="1"/>
  <c r="B42" i="11"/>
  <c r="B98" i="11" s="1"/>
  <c r="B43" i="11"/>
  <c r="B99" i="11" s="1"/>
  <c r="B44" i="11"/>
  <c r="B100" i="11" s="1"/>
  <c r="B45" i="11"/>
  <c r="B101" i="11" s="1"/>
  <c r="B46" i="11"/>
  <c r="B102" i="11" s="1"/>
  <c r="B47" i="11"/>
  <c r="B103" i="11" s="1"/>
  <c r="B48" i="11"/>
  <c r="B104" i="11" s="1"/>
  <c r="B49" i="11"/>
  <c r="B105" i="11" s="1"/>
  <c r="B50" i="11"/>
  <c r="B106" i="11" s="1"/>
  <c r="B51" i="11"/>
  <c r="B107" i="11" s="1"/>
  <c r="B52" i="11"/>
  <c r="B108" i="11" s="1"/>
  <c r="B53" i="11"/>
  <c r="B109" i="11" s="1"/>
  <c r="B54" i="11"/>
  <c r="B110" i="11" s="1"/>
  <c r="B6" i="11"/>
  <c r="B62" i="11" s="1"/>
  <c r="B60" i="11"/>
  <c r="I89" i="11" l="1"/>
  <c r="J89" i="11"/>
  <c r="H89" i="11"/>
  <c r="L89" i="11"/>
  <c r="I85" i="11"/>
  <c r="J85" i="11"/>
  <c r="H85" i="11"/>
  <c r="L85" i="11"/>
  <c r="J81" i="11"/>
  <c r="L81" i="11"/>
  <c r="I81" i="11"/>
  <c r="H81" i="11"/>
  <c r="I77" i="11"/>
  <c r="H77" i="11"/>
  <c r="L77" i="11"/>
  <c r="J77" i="11"/>
  <c r="M73" i="11"/>
  <c r="I73" i="11"/>
  <c r="J73" i="11"/>
  <c r="H73" i="11"/>
  <c r="L73" i="11"/>
  <c r="K73" i="11"/>
  <c r="I69" i="11"/>
  <c r="K69" i="11"/>
  <c r="J69" i="11"/>
  <c r="H69" i="11"/>
  <c r="M69" i="11"/>
  <c r="L69" i="11"/>
  <c r="J65" i="11"/>
  <c r="K65" i="11"/>
  <c r="M65" i="11"/>
  <c r="L65" i="11"/>
  <c r="H65" i="11"/>
  <c r="I65" i="11"/>
  <c r="M60" i="11"/>
  <c r="L60" i="11"/>
  <c r="J60" i="11"/>
  <c r="K60" i="11"/>
  <c r="I60" i="11"/>
  <c r="H60" i="11"/>
  <c r="J88" i="11"/>
  <c r="L88" i="11"/>
  <c r="I88" i="11"/>
  <c r="H88" i="11"/>
  <c r="I84" i="11"/>
  <c r="H84" i="11"/>
  <c r="J84" i="11"/>
  <c r="L84" i="11"/>
  <c r="H80" i="11"/>
  <c r="I80" i="11"/>
  <c r="J80" i="11"/>
  <c r="L80" i="11"/>
  <c r="L76" i="11"/>
  <c r="J76" i="11"/>
  <c r="H76" i="11"/>
  <c r="I76" i="11"/>
  <c r="J72" i="11"/>
  <c r="H72" i="11"/>
  <c r="M72" i="11"/>
  <c r="I72" i="11"/>
  <c r="K72" i="11"/>
  <c r="L72" i="11"/>
  <c r="K68" i="11"/>
  <c r="M68" i="11"/>
  <c r="H68" i="11"/>
  <c r="I68" i="11"/>
  <c r="J68" i="11"/>
  <c r="L68" i="11"/>
  <c r="M64" i="11"/>
  <c r="K64" i="11"/>
  <c r="J64" i="11"/>
  <c r="H64" i="11"/>
  <c r="L64" i="11"/>
  <c r="I64" i="11"/>
  <c r="J62" i="11"/>
  <c r="K62" i="11"/>
  <c r="L62" i="11"/>
  <c r="I62" i="11"/>
  <c r="M62" i="11"/>
  <c r="H62" i="11"/>
  <c r="L87" i="11"/>
  <c r="H87" i="11"/>
  <c r="I87" i="11"/>
  <c r="J87" i="11"/>
  <c r="L83" i="11"/>
  <c r="I83" i="11"/>
  <c r="H83" i="11"/>
  <c r="J83" i="11"/>
  <c r="H79" i="11"/>
  <c r="I79" i="11"/>
  <c r="J79" i="11"/>
  <c r="L79" i="11"/>
  <c r="I75" i="11"/>
  <c r="K75" i="11"/>
  <c r="L75" i="11"/>
  <c r="J75" i="11"/>
  <c r="M75" i="11"/>
  <c r="H75" i="11"/>
  <c r="K71" i="11"/>
  <c r="H71" i="11"/>
  <c r="L71" i="11"/>
  <c r="M71" i="11"/>
  <c r="J71" i="11"/>
  <c r="I71" i="11"/>
  <c r="L67" i="11"/>
  <c r="H67" i="11"/>
  <c r="I67" i="11"/>
  <c r="M67" i="11"/>
  <c r="J67" i="11"/>
  <c r="K67" i="11"/>
  <c r="H63" i="11"/>
  <c r="M63" i="11"/>
  <c r="I63" i="11"/>
  <c r="K63" i="11"/>
  <c r="L63" i="11"/>
  <c r="J63" i="11"/>
  <c r="B111" i="11"/>
  <c r="H90" i="11"/>
  <c r="L90" i="11"/>
  <c r="I90" i="11"/>
  <c r="J90" i="11"/>
  <c r="H86" i="11"/>
  <c r="J86" i="11"/>
  <c r="I86" i="11"/>
  <c r="L86" i="11"/>
  <c r="I82" i="11"/>
  <c r="H82" i="11"/>
  <c r="J82" i="11"/>
  <c r="L82" i="11"/>
  <c r="H78" i="11"/>
  <c r="L78" i="11"/>
  <c r="J78" i="11"/>
  <c r="I78" i="11"/>
  <c r="H74" i="11"/>
  <c r="L74" i="11"/>
  <c r="K74" i="11"/>
  <c r="I74" i="11"/>
  <c r="M74" i="11"/>
  <c r="J74" i="11"/>
  <c r="M70" i="11"/>
  <c r="K70" i="11"/>
  <c r="H70" i="11"/>
  <c r="I70" i="11"/>
  <c r="L70" i="11"/>
  <c r="J70" i="11"/>
  <c r="J66" i="11"/>
  <c r="K66" i="11"/>
  <c r="L66" i="11"/>
  <c r="I66" i="11"/>
  <c r="H66" i="11"/>
  <c r="M66" i="11"/>
  <c r="D55" i="17"/>
  <c r="F4" i="11"/>
  <c r="F60" i="11" s="1"/>
  <c r="R74" i="11" l="1"/>
  <c r="R86" i="11"/>
  <c r="P81" i="11"/>
  <c r="P82" i="11"/>
  <c r="N82" i="11"/>
  <c r="R63" i="11"/>
  <c r="P63" i="11"/>
  <c r="N63" i="11"/>
  <c r="R83" i="11"/>
  <c r="N83" i="11"/>
  <c r="P83" i="11"/>
  <c r="N62" i="11"/>
  <c r="N76" i="11"/>
  <c r="P76" i="11"/>
  <c r="R76" i="11"/>
  <c r="I111" i="11"/>
  <c r="M111" i="11"/>
  <c r="P69" i="11"/>
  <c r="N85" i="11"/>
  <c r="R85" i="11"/>
  <c r="R89" i="11"/>
  <c r="N89" i="11"/>
  <c r="N66" i="11"/>
  <c r="P66" i="11"/>
  <c r="R66" i="11"/>
  <c r="N70" i="11"/>
  <c r="P70" i="11"/>
  <c r="N74" i="11"/>
  <c r="P74" i="11"/>
  <c r="P78" i="11"/>
  <c r="N78" i="11"/>
  <c r="P86" i="11"/>
  <c r="N86" i="11"/>
  <c r="P90" i="11"/>
  <c r="N90" i="11"/>
  <c r="P67" i="11"/>
  <c r="N67" i="11"/>
  <c r="R67" i="11"/>
  <c r="N75" i="11"/>
  <c r="R75" i="11"/>
  <c r="P75" i="11"/>
  <c r="R87" i="11"/>
  <c r="N87" i="11"/>
  <c r="P87" i="11"/>
  <c r="N72" i="11"/>
  <c r="R72" i="11"/>
  <c r="P72" i="11"/>
  <c r="N84" i="11"/>
  <c r="P84" i="11"/>
  <c r="R84" i="11"/>
  <c r="K111" i="11"/>
  <c r="P65" i="11"/>
  <c r="N69" i="11"/>
  <c r="R69" i="11"/>
  <c r="P73" i="11"/>
  <c r="N77" i="11"/>
  <c r="R77" i="11"/>
  <c r="R70" i="11"/>
  <c r="R90" i="11"/>
  <c r="R79" i="11"/>
  <c r="P79" i="11"/>
  <c r="N79" i="11"/>
  <c r="N68" i="11"/>
  <c r="R68" i="11"/>
  <c r="P68" i="11"/>
  <c r="N80" i="11"/>
  <c r="R80" i="11"/>
  <c r="P80" i="11"/>
  <c r="J111" i="11"/>
  <c r="N65" i="11"/>
  <c r="R65" i="11"/>
  <c r="P77" i="11"/>
  <c r="P85" i="11"/>
  <c r="P89" i="11"/>
  <c r="R78" i="11"/>
  <c r="R82" i="11"/>
  <c r="R71" i="11"/>
  <c r="N71" i="11"/>
  <c r="P71" i="11"/>
  <c r="R62" i="11"/>
  <c r="P62" i="11"/>
  <c r="N64" i="11"/>
  <c r="P64" i="11"/>
  <c r="R64" i="11"/>
  <c r="N88" i="11"/>
  <c r="R88" i="11"/>
  <c r="P88" i="11"/>
  <c r="P60" i="11"/>
  <c r="H111" i="11"/>
  <c r="L111" i="11"/>
  <c r="R73" i="11"/>
  <c r="N73" i="11"/>
  <c r="N81" i="11"/>
  <c r="R81" i="11"/>
  <c r="F111" i="11"/>
  <c r="R60" i="11"/>
  <c r="D4" i="11"/>
  <c r="D60" i="11" s="1"/>
  <c r="D94" i="17" l="1"/>
  <c r="D89" i="17"/>
  <c r="Q60" i="11"/>
  <c r="Q61" i="11" s="1"/>
  <c r="Q62" i="11" s="1"/>
  <c r="Q63" i="11" s="1"/>
  <c r="Q64" i="11" s="1"/>
  <c r="Q65" i="11" s="1"/>
  <c r="Q66" i="11" s="1"/>
  <c r="Q67" i="11" s="1"/>
  <c r="Q68" i="11" s="1"/>
  <c r="Q69" i="11" s="1"/>
  <c r="Q70" i="11" s="1"/>
  <c r="Q71" i="11" s="1"/>
  <c r="Q72" i="11" s="1"/>
  <c r="Q73" i="11" s="1"/>
  <c r="Q74" i="11" s="1"/>
  <c r="Q75" i="11" s="1"/>
  <c r="Q76" i="11" s="1"/>
  <c r="Q77" i="11" s="1"/>
  <c r="Q78" i="11" s="1"/>
  <c r="Q79" i="11" s="1"/>
  <c r="Q80" i="11" s="1"/>
  <c r="Q81" i="11" s="1"/>
  <c r="Q82" i="11" s="1"/>
  <c r="Q83" i="11" s="1"/>
  <c r="Q84" i="11" s="1"/>
  <c r="Q85" i="11" s="1"/>
  <c r="Q86" i="11" s="1"/>
  <c r="Q87" i="11" s="1"/>
  <c r="Q88" i="11" s="1"/>
  <c r="Q89" i="11" s="1"/>
  <c r="Q90" i="11" s="1"/>
  <c r="P111" i="11"/>
  <c r="D111" i="11"/>
  <c r="N60" i="11"/>
  <c r="D84" i="17" s="1"/>
  <c r="S60" i="11"/>
  <c r="S61" i="11" s="1"/>
  <c r="S62" i="11" s="1"/>
  <c r="S63" i="11" s="1"/>
  <c r="S64" i="11" s="1"/>
  <c r="S65" i="11" s="1"/>
  <c r="S66" i="11" s="1"/>
  <c r="S67" i="11" s="1"/>
  <c r="S68" i="11" s="1"/>
  <c r="S69" i="11" s="1"/>
  <c r="S70" i="11" s="1"/>
  <c r="S71" i="11" s="1"/>
  <c r="S72" i="11" s="1"/>
  <c r="S73" i="11" s="1"/>
  <c r="S74" i="11" s="1"/>
  <c r="S75" i="11" s="1"/>
  <c r="S76" i="11" s="1"/>
  <c r="S77" i="11" s="1"/>
  <c r="S78" i="11" s="1"/>
  <c r="S79" i="11" s="1"/>
  <c r="S80" i="11" s="1"/>
  <c r="S81" i="11" s="1"/>
  <c r="S82" i="11" s="1"/>
  <c r="S83" i="11" s="1"/>
  <c r="S84" i="11" s="1"/>
  <c r="S85" i="11" s="1"/>
  <c r="S86" i="11" s="1"/>
  <c r="S87" i="11" s="1"/>
  <c r="S88" i="11" s="1"/>
  <c r="S89" i="11" s="1"/>
  <c r="S90" i="11" s="1"/>
  <c r="R111"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O60" i="11" l="1"/>
  <c r="O61" i="11" s="1"/>
  <c r="O62" i="11" s="1"/>
  <c r="O63" i="11" s="1"/>
  <c r="O64" i="11" s="1"/>
  <c r="O65" i="11" s="1"/>
  <c r="O66" i="11" s="1"/>
  <c r="O67" i="11" s="1"/>
  <c r="O68" i="11" s="1"/>
  <c r="O69" i="11" s="1"/>
  <c r="O70" i="11" s="1"/>
  <c r="O71" i="11" s="1"/>
  <c r="O72" i="11" s="1"/>
  <c r="O73" i="11" s="1"/>
  <c r="O74" i="11" s="1"/>
  <c r="O75" i="11" s="1"/>
  <c r="O76" i="11" s="1"/>
  <c r="O77" i="11" s="1"/>
  <c r="O78" i="11" s="1"/>
  <c r="O79" i="11" s="1"/>
  <c r="O80" i="11" s="1"/>
  <c r="O81" i="11" s="1"/>
  <c r="O82" i="11" s="1"/>
  <c r="O83" i="11" s="1"/>
  <c r="O84" i="11" s="1"/>
  <c r="O85" i="11" s="1"/>
  <c r="O86" i="11" s="1"/>
  <c r="O87" i="11" s="1"/>
  <c r="O88" i="11" s="1"/>
  <c r="O89" i="11" s="1"/>
  <c r="O90" i="11" s="1"/>
  <c r="N111" i="11"/>
  <c r="C54" i="11"/>
  <c r="C53" i="11"/>
  <c r="C52" i="11"/>
  <c r="C51" i="11"/>
  <c r="C50" i="11"/>
  <c r="C49" i="11"/>
  <c r="C48" i="11"/>
  <c r="C47" i="11"/>
  <c r="C46" i="11"/>
  <c r="C45" i="11"/>
  <c r="C44" i="11"/>
  <c r="C43" i="11"/>
  <c r="C42" i="11"/>
  <c r="C41" i="11"/>
  <c r="C40" i="11"/>
  <c r="C39" i="11"/>
  <c r="C38" i="11"/>
  <c r="C37" i="11"/>
  <c r="C36" i="11"/>
  <c r="C35" i="11"/>
  <c r="L35" i="11" l="1"/>
  <c r="J35" i="11"/>
  <c r="I35" i="11"/>
  <c r="H35" i="11"/>
  <c r="L37" i="11"/>
  <c r="J37" i="11"/>
  <c r="I37" i="11"/>
  <c r="H37" i="11"/>
  <c r="L39" i="11"/>
  <c r="J39" i="11"/>
  <c r="I39" i="11"/>
  <c r="H39" i="11"/>
  <c r="L41" i="11"/>
  <c r="J41" i="11"/>
  <c r="I41" i="11"/>
  <c r="H41" i="11"/>
  <c r="L43" i="11"/>
  <c r="J43" i="11"/>
  <c r="I43" i="11"/>
  <c r="H43" i="11"/>
  <c r="L45" i="11"/>
  <c r="J45" i="11"/>
  <c r="I45" i="11"/>
  <c r="H45" i="11"/>
  <c r="L47" i="11"/>
  <c r="J47" i="11"/>
  <c r="I47" i="11"/>
  <c r="H47" i="11"/>
  <c r="L49" i="11"/>
  <c r="J49" i="11"/>
  <c r="I49" i="11"/>
  <c r="H49" i="11"/>
  <c r="L51" i="11"/>
  <c r="J51" i="11"/>
  <c r="I51" i="11"/>
  <c r="H51" i="11"/>
  <c r="L53" i="11"/>
  <c r="J53" i="11"/>
  <c r="I53" i="11"/>
  <c r="H53" i="11"/>
  <c r="L36" i="11"/>
  <c r="J36" i="11"/>
  <c r="I36" i="11"/>
  <c r="H36" i="11"/>
  <c r="L38" i="11"/>
  <c r="J38" i="11"/>
  <c r="I38" i="11"/>
  <c r="H38" i="11"/>
  <c r="L40" i="11"/>
  <c r="J40" i="11"/>
  <c r="I40" i="11"/>
  <c r="H40" i="11"/>
  <c r="L42" i="11"/>
  <c r="J42" i="11"/>
  <c r="I42" i="11"/>
  <c r="H42" i="11"/>
  <c r="L44" i="11"/>
  <c r="J44" i="11"/>
  <c r="I44" i="11"/>
  <c r="H44" i="11"/>
  <c r="L46" i="11"/>
  <c r="J46" i="11"/>
  <c r="I46" i="11"/>
  <c r="H46" i="11"/>
  <c r="L48" i="11"/>
  <c r="J48" i="11"/>
  <c r="I48" i="11"/>
  <c r="H48" i="11"/>
  <c r="L50" i="11"/>
  <c r="J50" i="11"/>
  <c r="I50" i="11"/>
  <c r="H50" i="11"/>
  <c r="L52" i="11"/>
  <c r="J52" i="11"/>
  <c r="I52" i="11"/>
  <c r="H52" i="11"/>
  <c r="L54" i="11"/>
  <c r="J54" i="11"/>
  <c r="I54" i="11"/>
  <c r="H54" i="11"/>
  <c r="C22" i="11"/>
  <c r="C10" i="11"/>
  <c r="M10" i="11" s="1"/>
  <c r="C18" i="11"/>
  <c r="M18" i="11" s="1"/>
  <c r="C26" i="11"/>
  <c r="C30" i="11"/>
  <c r="C14" i="11"/>
  <c r="M14" i="11" s="1"/>
  <c r="C34" i="11"/>
  <c r="C12" i="11"/>
  <c r="M12" i="11" s="1"/>
  <c r="C20" i="11"/>
  <c r="C28" i="11"/>
  <c r="C8" i="11"/>
  <c r="M8" i="11" s="1"/>
  <c r="C16" i="11"/>
  <c r="M16" i="11" s="1"/>
  <c r="C24" i="11"/>
  <c r="C32" i="11"/>
  <c r="C9" i="11"/>
  <c r="M9" i="11" s="1"/>
  <c r="C11" i="11"/>
  <c r="M11" i="11" s="1"/>
  <c r="C13" i="11"/>
  <c r="M13" i="11" s="1"/>
  <c r="C15" i="11"/>
  <c r="M15" i="11" s="1"/>
  <c r="C17" i="11"/>
  <c r="M17" i="11" s="1"/>
  <c r="C19" i="11"/>
  <c r="M19" i="11" s="1"/>
  <c r="C21" i="11"/>
  <c r="C23" i="11"/>
  <c r="C25" i="11"/>
  <c r="C27" i="11"/>
  <c r="C29" i="11"/>
  <c r="C31" i="11"/>
  <c r="C33" i="11"/>
  <c r="D55" i="11"/>
  <c r="D41" i="17" s="1"/>
  <c r="C7" i="11"/>
  <c r="M7" i="11" s="1"/>
  <c r="B55" i="11"/>
  <c r="D54" i="17" s="1"/>
  <c r="C6" i="11"/>
  <c r="M6" i="11" s="1"/>
  <c r="F55" i="11"/>
  <c r="D43" i="17" s="1"/>
  <c r="G55" i="11"/>
  <c r="R36" i="11" l="1"/>
  <c r="P46" i="11"/>
  <c r="P53" i="11"/>
  <c r="P47" i="11"/>
  <c r="P45" i="11"/>
  <c r="P37" i="11"/>
  <c r="R50" i="11"/>
  <c r="P39" i="11"/>
  <c r="N54" i="11"/>
  <c r="N52" i="11"/>
  <c r="N50" i="11"/>
  <c r="N48" i="11"/>
  <c r="N46" i="11"/>
  <c r="N44" i="11"/>
  <c r="N42" i="11"/>
  <c r="N40" i="11"/>
  <c r="N38" i="11"/>
  <c r="N36" i="11"/>
  <c r="N53" i="11"/>
  <c r="N51" i="11"/>
  <c r="N49" i="11"/>
  <c r="N47" i="11"/>
  <c r="N45" i="11"/>
  <c r="N43" i="11"/>
  <c r="N41" i="11"/>
  <c r="N39" i="11"/>
  <c r="N37" i="11"/>
  <c r="N35" i="11"/>
  <c r="P51" i="11"/>
  <c r="R43" i="11"/>
  <c r="P35" i="11"/>
  <c r="P42" i="11"/>
  <c r="P49" i="11"/>
  <c r="R41" i="11"/>
  <c r="P54" i="11"/>
  <c r="R38" i="11"/>
  <c r="R53" i="11"/>
  <c r="R49" i="11"/>
  <c r="R45" i="11"/>
  <c r="P41" i="11"/>
  <c r="R37" i="11"/>
  <c r="R54" i="11"/>
  <c r="P50" i="11"/>
  <c r="R46" i="11"/>
  <c r="R42" i="11"/>
  <c r="P38" i="11"/>
  <c r="P52" i="11"/>
  <c r="P48" i="11"/>
  <c r="P44" i="11"/>
  <c r="P40" i="11"/>
  <c r="R51" i="11"/>
  <c r="R47" i="11"/>
  <c r="P43" i="11"/>
  <c r="R39" i="11"/>
  <c r="R35" i="11"/>
  <c r="R52" i="11"/>
  <c r="R48" i="11"/>
  <c r="R44" i="11"/>
  <c r="R40" i="11"/>
  <c r="P36" i="11"/>
  <c r="K6" i="11"/>
  <c r="K19" i="11"/>
  <c r="K11" i="11"/>
  <c r="K16" i="11"/>
  <c r="K12" i="11"/>
  <c r="K17" i="11"/>
  <c r="K9" i="11"/>
  <c r="K8" i="11"/>
  <c r="K18" i="11"/>
  <c r="K15" i="11"/>
  <c r="K14" i="11"/>
  <c r="K10" i="11"/>
  <c r="K7" i="11"/>
  <c r="K13" i="11"/>
  <c r="L33" i="11"/>
  <c r="H33" i="11"/>
  <c r="I33" i="11"/>
  <c r="J33" i="11"/>
  <c r="L17" i="11"/>
  <c r="J17" i="11"/>
  <c r="H17" i="11"/>
  <c r="I17" i="11"/>
  <c r="L32" i="11"/>
  <c r="J32" i="11"/>
  <c r="H32" i="11"/>
  <c r="I32" i="11"/>
  <c r="L12" i="11"/>
  <c r="J12" i="11"/>
  <c r="H12" i="11"/>
  <c r="I12" i="11"/>
  <c r="I23" i="11"/>
  <c r="L23" i="11"/>
  <c r="J23" i="11"/>
  <c r="H23" i="11"/>
  <c r="I30" i="11"/>
  <c r="L30" i="11"/>
  <c r="H30" i="11"/>
  <c r="J30" i="11"/>
  <c r="L27" i="11"/>
  <c r="J27" i="11"/>
  <c r="H27" i="11"/>
  <c r="I27" i="11"/>
  <c r="I19" i="11"/>
  <c r="L19" i="11"/>
  <c r="J19" i="11"/>
  <c r="H19" i="11"/>
  <c r="I11" i="11"/>
  <c r="L11" i="11"/>
  <c r="J11" i="11"/>
  <c r="H11" i="11"/>
  <c r="L8" i="11"/>
  <c r="J8" i="11"/>
  <c r="H8" i="11"/>
  <c r="I8" i="11"/>
  <c r="L20" i="11"/>
  <c r="J20" i="11"/>
  <c r="H20" i="11"/>
  <c r="I20" i="11"/>
  <c r="I34" i="11"/>
  <c r="H34" i="11"/>
  <c r="J34" i="11"/>
  <c r="L34" i="11"/>
  <c r="I18" i="11"/>
  <c r="H18" i="11"/>
  <c r="J18" i="11"/>
  <c r="L18" i="11"/>
  <c r="I7" i="11"/>
  <c r="L7" i="11"/>
  <c r="J7" i="11"/>
  <c r="H7" i="11"/>
  <c r="L25" i="11"/>
  <c r="J25" i="11"/>
  <c r="H25" i="11"/>
  <c r="I25" i="11"/>
  <c r="L9" i="11"/>
  <c r="J9" i="11"/>
  <c r="H9" i="11"/>
  <c r="I9" i="11"/>
  <c r="I14" i="11"/>
  <c r="L14" i="11"/>
  <c r="J14" i="11"/>
  <c r="H14" i="11"/>
  <c r="I10" i="11"/>
  <c r="L10" i="11"/>
  <c r="H10" i="11"/>
  <c r="J10" i="11"/>
  <c r="I6" i="11"/>
  <c r="L6" i="11"/>
  <c r="J6" i="11"/>
  <c r="H6" i="11"/>
  <c r="I31" i="11"/>
  <c r="L31" i="11"/>
  <c r="J31" i="11"/>
  <c r="H31" i="11"/>
  <c r="L15" i="11"/>
  <c r="J15" i="11"/>
  <c r="H15" i="11"/>
  <c r="I15" i="11"/>
  <c r="L24" i="11"/>
  <c r="J24" i="11"/>
  <c r="H24" i="11"/>
  <c r="I24" i="11"/>
  <c r="I22" i="11"/>
  <c r="J22" i="11"/>
  <c r="L22" i="11"/>
  <c r="H22" i="11"/>
  <c r="L29" i="11"/>
  <c r="J29" i="11"/>
  <c r="H29" i="11"/>
  <c r="I29" i="11"/>
  <c r="L21" i="11"/>
  <c r="J21" i="11"/>
  <c r="I21" i="11"/>
  <c r="H21" i="11"/>
  <c r="L13" i="11"/>
  <c r="J13" i="11"/>
  <c r="I13" i="11"/>
  <c r="H13" i="11"/>
  <c r="L16" i="11"/>
  <c r="J16" i="11"/>
  <c r="H16" i="11"/>
  <c r="I16" i="11"/>
  <c r="L28" i="11"/>
  <c r="J28" i="11"/>
  <c r="H28" i="11"/>
  <c r="I28" i="11"/>
  <c r="I26" i="11"/>
  <c r="H26" i="11"/>
  <c r="L26" i="11"/>
  <c r="J26" i="11"/>
  <c r="C55" i="11"/>
  <c r="D74" i="17" l="1"/>
  <c r="D72" i="17"/>
  <c r="N26" i="11"/>
  <c r="N24" i="11"/>
  <c r="N15" i="11"/>
  <c r="N31" i="11"/>
  <c r="N8" i="11"/>
  <c r="N19" i="11"/>
  <c r="N17" i="11"/>
  <c r="N28" i="11"/>
  <c r="N13" i="11"/>
  <c r="N29" i="11"/>
  <c r="N22" i="11"/>
  <c r="N6" i="11"/>
  <c r="N18" i="11"/>
  <c r="N16" i="11"/>
  <c r="N21" i="11"/>
  <c r="N9" i="11"/>
  <c r="N7" i="11"/>
  <c r="N34" i="11"/>
  <c r="N27" i="11"/>
  <c r="N12" i="11"/>
  <c r="N33" i="11"/>
  <c r="N10" i="11"/>
  <c r="N14" i="11"/>
  <c r="N25" i="11"/>
  <c r="N20" i="11"/>
  <c r="N11" i="11"/>
  <c r="N30" i="11"/>
  <c r="N23" i="11"/>
  <c r="N32" i="11"/>
  <c r="P10" i="11"/>
  <c r="R31" i="11"/>
  <c r="P23" i="11"/>
  <c r="P13" i="11"/>
  <c r="P29" i="11"/>
  <c r="K55" i="11"/>
  <c r="P6" i="11"/>
  <c r="P14" i="11"/>
  <c r="R9" i="11"/>
  <c r="P7" i="11"/>
  <c r="R27" i="11"/>
  <c r="R16" i="11"/>
  <c r="P25" i="11"/>
  <c r="P30" i="11"/>
  <c r="R11" i="11"/>
  <c r="P24" i="11"/>
  <c r="P28" i="11"/>
  <c r="R13" i="11"/>
  <c r="P21" i="11"/>
  <c r="R29" i="11"/>
  <c r="L55" i="11"/>
  <c r="P22" i="11"/>
  <c r="R10" i="11"/>
  <c r="M55" i="11"/>
  <c r="R14" i="11"/>
  <c r="R25" i="11"/>
  <c r="R7" i="11"/>
  <c r="R34" i="11"/>
  <c r="P20" i="11"/>
  <c r="J55" i="11"/>
  <c r="P11" i="11"/>
  <c r="R19" i="11"/>
  <c r="R30" i="11"/>
  <c r="P12" i="11"/>
  <c r="R32" i="11"/>
  <c r="P17" i="11"/>
  <c r="R33" i="11"/>
  <c r="R15" i="11"/>
  <c r="P26" i="11"/>
  <c r="P16" i="11"/>
  <c r="I55" i="11"/>
  <c r="R24" i="11"/>
  <c r="R18" i="11"/>
  <c r="R20" i="11"/>
  <c r="P8" i="11"/>
  <c r="P32" i="11"/>
  <c r="P33" i="11"/>
  <c r="P27" i="11"/>
  <c r="P31" i="11"/>
  <c r="R6" i="11"/>
  <c r="H55" i="11"/>
  <c r="N4" i="11"/>
  <c r="R8" i="11"/>
  <c r="R17" i="11"/>
  <c r="P18" i="11"/>
  <c r="R12" i="11"/>
  <c r="P19" i="11"/>
  <c r="R22" i="11"/>
  <c r="R21" i="11"/>
  <c r="P15" i="11"/>
  <c r="P34" i="11"/>
  <c r="R26" i="11"/>
  <c r="R28" i="11"/>
  <c r="R23" i="11"/>
  <c r="P9" i="11"/>
  <c r="R4" i="11"/>
  <c r="S4" i="11" l="1"/>
  <c r="S5" i="11" s="1"/>
  <c r="R55" i="11"/>
  <c r="S6" i="11" l="1"/>
  <c r="S7" i="11" s="1"/>
  <c r="S8" i="11" s="1"/>
  <c r="S9" i="11" s="1"/>
  <c r="S10" i="11" s="1"/>
  <c r="S11" i="11" s="1"/>
  <c r="S12" i="11" s="1"/>
  <c r="S13" i="11" s="1"/>
  <c r="S14" i="11" s="1"/>
  <c r="S15" i="11" s="1"/>
  <c r="S16" i="11" s="1"/>
  <c r="S17" i="11" s="1"/>
  <c r="S18" i="11" s="1"/>
  <c r="S19" i="11" s="1"/>
  <c r="S20" i="11" s="1"/>
  <c r="S21" i="11" s="1"/>
  <c r="S22" i="11" s="1"/>
  <c r="S23" i="11" s="1"/>
  <c r="S24" i="11" s="1"/>
  <c r="S25" i="11" s="1"/>
  <c r="S26" i="11" s="1"/>
  <c r="S27" i="11" s="1"/>
  <c r="S28" i="11" s="1"/>
  <c r="S29" i="11" s="1"/>
  <c r="S30" i="11" s="1"/>
  <c r="S31" i="11" s="1"/>
  <c r="S32" i="11" s="1"/>
  <c r="S33" i="11" s="1"/>
  <c r="S34" i="11" s="1"/>
  <c r="D92" i="17"/>
  <c r="P4" i="11"/>
  <c r="D93" i="17" l="1"/>
  <c r="P55" i="11"/>
  <c r="Q4" i="11"/>
  <c r="Q5" i="11" s="1"/>
  <c r="E55" i="11"/>
  <c r="D42" i="17" s="1"/>
  <c r="N55" i="11"/>
  <c r="O4" i="11"/>
  <c r="O5" i="11" s="1"/>
  <c r="Q6" i="11" l="1"/>
  <c r="Q7" i="11" s="1"/>
  <c r="Q8" i="11" s="1"/>
  <c r="Q9" i="11" s="1"/>
  <c r="Q10" i="11" s="1"/>
  <c r="Q11" i="11" s="1"/>
  <c r="Q12" i="11" s="1"/>
  <c r="Q13" i="11" s="1"/>
  <c r="Q14" i="11" s="1"/>
  <c r="Q15" i="11" s="1"/>
  <c r="Q16" i="11" s="1"/>
  <c r="Q17" i="11" s="1"/>
  <c r="Q18" i="11" s="1"/>
  <c r="Q19" i="11" s="1"/>
  <c r="Q20" i="11" s="1"/>
  <c r="Q21" i="11" s="1"/>
  <c r="Q22" i="11" s="1"/>
  <c r="Q23" i="11" s="1"/>
  <c r="Q24" i="11" s="1"/>
  <c r="Q25" i="11" s="1"/>
  <c r="Q26" i="11" s="1"/>
  <c r="Q27" i="11" s="1"/>
  <c r="Q28" i="11" s="1"/>
  <c r="Q29" i="11" s="1"/>
  <c r="Q30" i="11" s="1"/>
  <c r="Q31" i="11" s="1"/>
  <c r="Q32" i="11" s="1"/>
  <c r="Q33" i="11" s="1"/>
  <c r="Q34" i="11" s="1"/>
  <c r="O6" i="11"/>
  <c r="O7" i="11" s="1"/>
  <c r="O8" i="11" s="1"/>
  <c r="O9" i="11" s="1"/>
  <c r="O10" i="11" s="1"/>
  <c r="O11" i="11" s="1"/>
  <c r="O12" i="11" s="1"/>
  <c r="O13" i="11" s="1"/>
  <c r="O14" i="11" s="1"/>
  <c r="O15" i="11" s="1"/>
  <c r="O16" i="11" s="1"/>
  <c r="O17" i="11" s="1"/>
  <c r="O18" i="11" s="1"/>
  <c r="O19" i="11" s="1"/>
  <c r="O20" i="11" s="1"/>
  <c r="O21" i="11" s="1"/>
  <c r="O22" i="11" s="1"/>
  <c r="O23" i="11" s="1"/>
  <c r="O24" i="11" s="1"/>
  <c r="O25" i="11" s="1"/>
  <c r="O26" i="11" s="1"/>
  <c r="O27" i="11" s="1"/>
  <c r="O28" i="11" s="1"/>
  <c r="O29" i="11" s="1"/>
  <c r="O30" i="11" s="1"/>
  <c r="O31" i="11" s="1"/>
  <c r="O32" i="11" s="1"/>
  <c r="O33" i="11" s="1"/>
  <c r="O34" i="11" s="1"/>
  <c r="D73" i="17"/>
  <c r="D82" i="17"/>
  <c r="D87" i="17"/>
  <c r="D83" i="17" l="1"/>
  <c r="D88" i="17"/>
</calcChain>
</file>

<file path=xl/sharedStrings.xml><?xml version="1.0" encoding="utf-8"?>
<sst xmlns="http://schemas.openxmlformats.org/spreadsheetml/2006/main" count="574" uniqueCount="289">
  <si>
    <t>kr/kW</t>
  </si>
  <si>
    <t>kr/kWh</t>
  </si>
  <si>
    <t>Min</t>
  </si>
  <si>
    <t>Max</t>
  </si>
  <si>
    <t>%</t>
  </si>
  <si>
    <t>Nätanslutningskostnad</t>
  </si>
  <si>
    <t>Rivningskostnad</t>
  </si>
  <si>
    <t>Restvärde</t>
  </si>
  <si>
    <t>Fastighetsskatt</t>
  </si>
  <si>
    <t>Försäkring</t>
  </si>
  <si>
    <t>Antal år med elcertifikat</t>
  </si>
  <si>
    <t>Med investeringsstöd</t>
  </si>
  <si>
    <t>Summa årliga kostnader</t>
  </si>
  <si>
    <t>Kvotplikt medelvärde</t>
  </si>
  <si>
    <t>Andel solel som ger elcertifikat</t>
  </si>
  <si>
    <t>Årlig degradering av utbytet</t>
  </si>
  <si>
    <t>kWh</t>
  </si>
  <si>
    <t>Med ROT-avdrag</t>
  </si>
  <si>
    <t>År</t>
  </si>
  <si>
    <t>Investering</t>
  </si>
  <si>
    <t>år</t>
  </si>
  <si>
    <t>Tillgänglighet</t>
  </si>
  <si>
    <t>Intäkter</t>
  </si>
  <si>
    <t>Kalkylränta</t>
  </si>
  <si>
    <t>Ekonomisk livslängd</t>
  </si>
  <si>
    <t>ROT-avdrag arbetskostnad</t>
  </si>
  <si>
    <t>Investeringskostnad solcellsanläggning</t>
  </si>
  <si>
    <t>Ursprungsgarantier värde</t>
  </si>
  <si>
    <t>kWh/kW,år</t>
  </si>
  <si>
    <t>Andel egenanvänd el</t>
  </si>
  <si>
    <t>Värde egenanvänd solel</t>
  </si>
  <si>
    <t>Skattereduktion</t>
  </si>
  <si>
    <t>Kostnad för köp eller preparering av mark</t>
  </si>
  <si>
    <t>Värde</t>
  </si>
  <si>
    <t>Enhet</t>
  </si>
  <si>
    <t>Kommentarer</t>
  </si>
  <si>
    <t>Inmatningsabonnemang</t>
  </si>
  <si>
    <t>kr</t>
  </si>
  <si>
    <t>kW</t>
  </si>
  <si>
    <t>Värde såld el</t>
  </si>
  <si>
    <t>Ersättning från nätägare</t>
  </si>
  <si>
    <t>Elcertifikatvärde</t>
  </si>
  <si>
    <t>Loggning</t>
  </si>
  <si>
    <t>Summa</t>
  </si>
  <si>
    <t>Kostnad för byte av växelriktare</t>
  </si>
  <si>
    <t>Antal byten av växelriktare</t>
  </si>
  <si>
    <t>Antal år till byte av växelriktare</t>
  </si>
  <si>
    <t>Tak för skattereduktion</t>
  </si>
  <si>
    <t>Nuvärde</t>
  </si>
  <si>
    <t>Internränta (IRR)</t>
  </si>
  <si>
    <t>Resor</t>
  </si>
  <si>
    <t>bengt.stridh@mdh.se</t>
  </si>
  <si>
    <t xml:space="preserve">För besök på plats vid besiktning, snöskottning etc. </t>
  </si>
  <si>
    <t>Utan stöd</t>
  </si>
  <si>
    <t>Version</t>
  </si>
  <si>
    <t>1.0</t>
  </si>
  <si>
    <t>Datum</t>
  </si>
  <si>
    <t>Uttagsabonnemang</t>
  </si>
  <si>
    <t>Energiproduktion (kWh)</t>
  </si>
  <si>
    <t>Investering nuvärden (kr)</t>
  </si>
  <si>
    <t>Intäkter nuvärden (kr)</t>
  </si>
  <si>
    <t>Resultat nuvärden (kr)</t>
  </si>
  <si>
    <t>Energi efter degradering</t>
  </si>
  <si>
    <t>Energi nuvärde</t>
  </si>
  <si>
    <t>Årliga kostnader</t>
  </si>
  <si>
    <t>Summa per år</t>
  </si>
  <si>
    <t>Ackumulerat</t>
  </si>
  <si>
    <t>Egenanvänd el</t>
  </si>
  <si>
    <t>Såld el</t>
  </si>
  <si>
    <t>Ersättning nätägare</t>
  </si>
  <si>
    <t>Elcertifikat</t>
  </si>
  <si>
    <t>Ursprungsgarantier</t>
  </si>
  <si>
    <t>Produktionskostnad</t>
  </si>
  <si>
    <t>Utan ROT-avdrag eller investeringsstöd</t>
  </si>
  <si>
    <t>Beräknad lönsamhet</t>
  </si>
  <si>
    <t>Bengt Stridh</t>
  </si>
  <si>
    <t>Adjungerad lektor</t>
  </si>
  <si>
    <t>Akademin för ekonomi, samhälle och teknik</t>
  </si>
  <si>
    <t>+46-21 32 30 67</t>
  </si>
  <si>
    <t>Box 883, 721 23 Västerås</t>
  </si>
  <si>
    <t>Projekt investeringskalkyl för solceller</t>
  </si>
  <si>
    <t>Kommentar</t>
  </si>
  <si>
    <t>Av</t>
  </si>
  <si>
    <t>Mälardalens högskola</t>
  </si>
  <si>
    <t>Kontaktperson</t>
  </si>
  <si>
    <t>Tak för investeringsstöd</t>
  </si>
  <si>
    <t>Anvisning för inmatning</t>
  </si>
  <si>
    <t>Ekonomisk livslängd (N)</t>
  </si>
  <si>
    <t>Kalkylränta (R)</t>
  </si>
  <si>
    <t>Systemdegradering</t>
  </si>
  <si>
    <t>Beräknad produktionskostnad (LCOE)</t>
  </si>
  <si>
    <t>Åsa Thurin</t>
  </si>
  <si>
    <t>Nytt layoutförslag.</t>
  </si>
  <si>
    <t>Högst 3 möjligt i denna kalkyl!</t>
  </si>
  <si>
    <t>Investeringsstöd</t>
  </si>
  <si>
    <t>Första versionen.</t>
  </si>
  <si>
    <t xml:space="preserve">Nya layoutförslaget implementerat med justeringar. Finslipning av texter. Översyn av formler. Översyn av utskrifter. Tillägg av parameter Tak_rotavdrag. Skickad på remiss till referensgruppen i projektet Investeringskalkyl för solceller. </t>
  </si>
  <si>
    <t>Energiutbyte första året</t>
  </si>
  <si>
    <t>Summa kostnader vid avslut</t>
  </si>
  <si>
    <t>Summa solelproduktion under livslängden</t>
  </si>
  <si>
    <t>Summa solelproduktion berättigad till elcertifikat</t>
  </si>
  <si>
    <t>Tak för ROT-avdrag</t>
  </si>
  <si>
    <t xml:space="preserve">Justering av layout (radhöjd, sidbrytningar) på bladet Indata &amp; Resultat för att få en bättre utskrift, med antaganden och beräknade värden för produktionskostnaden på varsina sidor. Några textjusteringar på samma blad. Tillgänglighet inlagt i formel för solelproduktionen i fliken kassaflöden. Formel för investering justerad med avseende på växelriktarbyten i fliken kassaflöden. Restvärde och rivningskostnad inlagt i kassaflödena. Justerade formel för solelproduktion berättigad till elcertifikat så att den fungerar även om antal år &lt;15 år. </t>
  </si>
  <si>
    <t>Kvotplikt om "elanvändare som använder el som de själva producerat om mängden använd el uppgår till mer än 60 megawattimmar per beräkningsår och har producerats i en anläggning med en installerad effekt som är högre än 50 kilowatt," 23,1% 2016</t>
  </si>
  <si>
    <t>Antal år med skattereduktion</t>
  </si>
  <si>
    <t>1.1</t>
  </si>
  <si>
    <t>okänt</t>
  </si>
  <si>
    <t xml:space="preserve">La till decimal på kalkylräntan. </t>
  </si>
  <si>
    <t>1.2</t>
  </si>
  <si>
    <t xml:space="preserve">Justerade formel för kassaflöden då taket på skattereduktion nås. Takbeloppet ska också nuvärdesberäknas. </t>
  </si>
  <si>
    <t>1.3</t>
  </si>
  <si>
    <t>-</t>
  </si>
  <si>
    <t xml:space="preserve">Högst 50 000 kr per person och år. Om två personer äger en anläggning gemensamt kan man få högst 100 000 kr och år. </t>
  </si>
  <si>
    <t xml:space="preserve">Tillägg av kategori orange celler.i Indata &amp; Resultat. Justeringar av gränser för min- och maxvärden. Effektberoende inlagt för byte av växelriktare. Editerade tillåtna värden. Kompletteringar av kommentarer. </t>
  </si>
  <si>
    <t>Säkringsstorlek i anslutningspunkten</t>
  </si>
  <si>
    <t>A</t>
  </si>
  <si>
    <t>Med ROT-avdrag och eventuell skattereduktion</t>
  </si>
  <si>
    <t>Med investeringsstöd och eventuell skattereduktion</t>
  </si>
  <si>
    <t>Utan ROT-avdrag och investeringsstöd, med eventuell skattereduktion</t>
  </si>
  <si>
    <t>Annan</t>
  </si>
  <si>
    <t>La till säkringsstorlek som indata. Påverkar om man kan få skattereduktion eller inte. La till val av privatperson eller annan och la till moms för växelriktarbytet om privatperson</t>
  </si>
  <si>
    <t>Anläggning</t>
  </si>
  <si>
    <t>Energiutbyte</t>
  </si>
  <si>
    <t>Anläggningens effekt</t>
  </si>
  <si>
    <t>Modulyta</t>
  </si>
  <si>
    <r>
      <t>m</t>
    </r>
    <r>
      <rPr>
        <vertAlign val="superscript"/>
        <sz val="10"/>
        <color theme="1"/>
        <rFont val="Arial"/>
        <family val="2"/>
      </rPr>
      <t>2</t>
    </r>
  </si>
  <si>
    <t>1.4</t>
  </si>
  <si>
    <t>Övrigt</t>
  </si>
  <si>
    <t>Servitut</t>
  </si>
  <si>
    <t>Underhåll av yta</t>
  </si>
  <si>
    <t>Hyra av yta</t>
  </si>
  <si>
    <t>Rengöring av moduler</t>
  </si>
  <si>
    <t>Tillsyn</t>
  </si>
  <si>
    <t>Driftkostnader</t>
  </si>
  <si>
    <t>Driftkostnad</t>
  </si>
  <si>
    <r>
      <t xml:space="preserve">Årlig </t>
    </r>
    <r>
      <rPr>
        <b/>
        <sz val="10"/>
        <color theme="1"/>
        <rFont val="Arial"/>
        <family val="2"/>
      </rPr>
      <t>fast</t>
    </r>
    <r>
      <rPr>
        <sz val="10"/>
        <color theme="1"/>
        <rFont val="Arial"/>
        <family val="2"/>
      </rPr>
      <t xml:space="preserve"> driftkostnad som inte beror på anläggningens storlek</t>
    </r>
  </si>
  <si>
    <r>
      <t xml:space="preserve">Årlig </t>
    </r>
    <r>
      <rPr>
        <b/>
        <sz val="10"/>
        <color theme="1"/>
        <rFont val="Arial"/>
        <family val="2"/>
      </rPr>
      <t>rörlig</t>
    </r>
    <r>
      <rPr>
        <sz val="10"/>
        <color theme="1"/>
        <rFont val="Arial"/>
        <family val="2"/>
      </rPr>
      <t xml:space="preserve"> driftkostnad som beror på anläggningens storlek</t>
    </r>
  </si>
  <si>
    <r>
      <t xml:space="preserve">Vissa min- och maxvärden bestäms av olika förordningar och då </t>
    </r>
    <r>
      <rPr>
        <i/>
        <sz val="10"/>
        <color theme="1"/>
        <rFont val="Arial"/>
        <family val="2"/>
      </rPr>
      <t>måste</t>
    </r>
    <r>
      <rPr>
        <sz val="10"/>
        <color theme="1"/>
        <rFont val="Arial"/>
        <family val="2"/>
      </rPr>
      <t xml:space="preserve"> värdena ligga inom detta intervall. För andra parametrar kan värden utanför det rekommenderade intervallet förekomma i sällsynta fall. </t>
    </r>
  </si>
  <si>
    <t>Diskonterad återbetalningstid</t>
  </si>
  <si>
    <t xml:space="preserve">Endast heltal år beräknas för återbetalningstiden. </t>
  </si>
  <si>
    <t>Besiktning efter färdigställande</t>
  </si>
  <si>
    <t xml:space="preserve">Gäller större anläggningar. Ca 10 000 kr för anläggningar på ca 100 kW eller större. </t>
  </si>
  <si>
    <t>Projektledning och upphandling</t>
  </si>
  <si>
    <t xml:space="preserve">Gäller större anläggningar. </t>
  </si>
  <si>
    <t>Summa investering under livslängden</t>
  </si>
  <si>
    <t xml:space="preserve">Exempelvis instruktioner för dem som ska sköta tillsyn och administration av anläggningen eller för snöskottare. Etablering av rutiner för försäljning av elcertifikat och överskottsel. Installatörens kostnader ingår vanligen i investeringskostnaden, men kostnad för tid för den egna personalen kan tillkomma. </t>
  </si>
  <si>
    <t>Utbildning</t>
  </si>
  <si>
    <t>Elcertifikathantering</t>
  </si>
  <si>
    <t>Summa årlig fast driftkostnad</t>
  </si>
  <si>
    <t>Summa årlig rörlig driftkostnad</t>
  </si>
  <si>
    <t>Verkningsgrad solcellsmoduler</t>
  </si>
  <si>
    <t>1.5</t>
  </si>
  <si>
    <t>Värden i vita celler och inom de röda ramarna är beräknade och får inte ändras!</t>
  </si>
  <si>
    <t>Värden i vita celler är beräknade och får inte ändras!</t>
  </si>
  <si>
    <t>Arbetet vid Mälardalens högskola har finansierats av Energimyndigheten, via programmet E2B2.</t>
  </si>
  <si>
    <t>Beräkning av produktionskostnad och lönsamhet för solel</t>
  </si>
  <si>
    <t>Grundläggande antaganden</t>
  </si>
  <si>
    <t>Gör så här</t>
  </si>
  <si>
    <t>Använda formler</t>
  </si>
  <si>
    <t>Internräntan är den räntesats som investeringen avkastar.</t>
  </si>
  <si>
    <t xml:space="preserve">Deltagare i projektet har varit Mälardalens högskola, Stockholm stad och en referensgrupp på ca 50 personer, bestående av byggherrar, fastighetsägare, leverantörer, konsulter och elbolag. </t>
  </si>
  <si>
    <t>Den diskonterade återbetalningstiden är här antagen som det år då det ackumulerade nuvärdet av kassaflödet blir positivt.</t>
  </si>
  <si>
    <t>Investeringskalkyl för solceller</t>
  </si>
  <si>
    <t xml:space="preserve">Gjorde ett par små layoutändring i mallen. Det ena var att ändra den orangea färgen till en gul variant och det andra att ändra de stora färgade ytorna under ”anvisningar". </t>
  </si>
  <si>
    <t xml:space="preserve">Produktionskostnaden beräknas som LCOE = Levelized Cost Of Electricity. </t>
  </si>
  <si>
    <t>Resultat</t>
  </si>
  <si>
    <t>Resultaten beräknas för tre olika fall:</t>
  </si>
  <si>
    <t>2. Med ROT-avdrag och eventuell skattereduktion.</t>
  </si>
  <si>
    <t>3. Med investeringsstöd och eventuell skattereduktion.</t>
  </si>
  <si>
    <t>1. Utan ROT-avdrag och investeringsstöd, med eventuell skattereduktion.</t>
  </si>
  <si>
    <t>N = Ekonomisk livslängd (år)</t>
  </si>
  <si>
    <t>R = Kalkylränta (%)</t>
  </si>
  <si>
    <t xml:space="preserve">Beräkningarna görs med PV-funktionen i Excel eller med formeln: </t>
  </si>
  <si>
    <t>A = kostnad eller intäkt som ska nuvärdesberäknas (kr)</t>
  </si>
  <si>
    <t xml:space="preserve">Värden i gula celler är värden som du vanligen inte behöver ändra. Värden kan behöva ändras om exempelvis regelverken ändras. </t>
  </si>
  <si>
    <t>Högst 1,2 miljoner kr per system enligt förordning (2009:689) om statligt stöd till solceller.</t>
  </si>
  <si>
    <t>Inklusive eventuell inhägnad av marken.</t>
  </si>
  <si>
    <t>Endast för stora anläggningar.</t>
  </si>
  <si>
    <t xml:space="preserve">Uppskattat värde. </t>
  </si>
  <si>
    <t>Vissa databaser för produktionsdata kan ha en årlig kostnad.</t>
  </si>
  <si>
    <t>I större parker kan en ny elanslutning behövas och därmed ett uttagsabonnemnang för köp av el.</t>
  </si>
  <si>
    <t>Hyra av yta på tak eller mark.</t>
  </si>
  <si>
    <t>Exempelvis för snöskottning, gräsklippning eller buskröjning.</t>
  </si>
  <si>
    <t xml:space="preserve">I svensk klimat rengörs modulerna normalt av regn och snösmältning. </t>
  </si>
  <si>
    <t>Om rivningskostnad antas var lika med restvärde kan båda sättas till 0. Rivningskostnaden brukar normalt tas upp vid nybyggnation.</t>
  </si>
  <si>
    <t>Elcertifikat kan fås under högst 15 år om man bygger senast 2021. Elcertifikatsystemets slutår är 2035 enligt lag (2011:1200) om elcertifikat.</t>
  </si>
  <si>
    <t xml:space="preserve">Enligt Inkomstskattelag (1999:1229). Endast för överskottsel, som matas in till nätet. Säkringen i anslutningspunkten får vara högst 100 A. </t>
  </si>
  <si>
    <t>Data som används för inmatning av indata</t>
  </si>
  <si>
    <t xml:space="preserve">Solcellsmodulernas utbyte minskar något med tiden. Inklusive nedsmutsning. Något osäkert värde, få gjorda studier i Sverige. </t>
  </si>
  <si>
    <t xml:space="preserve">Summan av modulernas märkeffekt. Om man har 100 moduler med 250 W märkeffekt blir den installerade effekten 100 * 250 W = 25 000 W = 25 kW. </t>
  </si>
  <si>
    <t xml:space="preserve">Generellt sett har ursprungsgarantier nära noll värde. Få länder i Europa är intresserade av ursprungsgarantier. </t>
  </si>
  <si>
    <r>
      <t xml:space="preserve">Modulytan beräknas med hjälp av verkningsgraden. Denna parameter har ingen direkt inverkan på de ekonomiska beräkningarna. </t>
    </r>
    <r>
      <rPr>
        <b/>
        <i/>
        <sz val="10"/>
        <color theme="1"/>
        <rFont val="Arial"/>
        <family val="2"/>
      </rPr>
      <t>OBS!</t>
    </r>
    <r>
      <rPr>
        <i/>
        <sz val="10"/>
        <color theme="1"/>
        <rFont val="Arial"/>
        <family val="2"/>
      </rPr>
      <t xml:space="preserve"> Ytan som behövs för installationen blir större än modulytan om installationen görs i rader på mark eller tak. Hur stor modulyta man får plats på en given yta när man ställer modulerna i rader beror på radavstånd, modullutning, hur många moduler som monteras ovanpå varandra och om modulerna monteras stående eller liggande. </t>
    </r>
  </si>
  <si>
    <t xml:space="preserve">Om säkringen i anslutningspunkten är högst 100 A kan man få skattereduktion för den överskottsel som matas in till nätet enligt Inkomstskattelag (1999:1229). Om säkringen överstiger 63 A har nätägaren rätt att ta betalt för inmatningsabonnemanget enligt Ellag (1997:857). Ett inmatningsabonnemang behövs om man matar in överskottsel till nätet, på motsvarande sätt som att man har ett uttagsabonnemang när man köper el. </t>
  </si>
  <si>
    <t xml:space="preserve">Max 50 år möjligt i denna kalkyl. Solcellsmodulerna har vanligen en effektgaranti på 25 år. </t>
  </si>
  <si>
    <t>Från och med 2015-01-01 högst 20% för privatpersoner och högst 30% för företag enligt förordning (2009:689) om statligt stöd till solceller. Högst 35% för de som ansökte om stöd före 1 januari 2015. Beräkningarna görs både med eller utan investeringsstöd, ange därför den aktuella procentsatsen även om stöd inte är sökt. Investeringsstöd är inte möjligt om man har ROT-avdrag.</t>
  </si>
  <si>
    <t xml:space="preserve">Under livslängden, inklusive eventuella växelriktarbyten enligt fliken "Grundläggande antaganden". </t>
  </si>
  <si>
    <t xml:space="preserve">Under livslängden, inklusive eventuella växelriktarbyten enligt flikten "Grundläggande antaganden". Inget ROT-avdrag för växelriktarbyten.  </t>
  </si>
  <si>
    <t xml:space="preserve">Under livslängden, inklusive eventuella växelriktarbyten enligt flikten "Grundläggande antaganden". Inget investeringsstöd för växelriktarbyten. </t>
  </si>
  <si>
    <t>Detta belopp för automatiskt över till fliken "Dina indata &amp; Resultat".</t>
  </si>
  <si>
    <r>
      <t xml:space="preserve">Exempelvis för årlig besiktning, försäkring, hyra av yta, snöskottning, buskröjning, gräsklippning, rengöring av moduler, fastighetsskatt och andra rörliga kostnader som beror på anläggningens storlek, exklusive resor för besök på plats. </t>
    </r>
    <r>
      <rPr>
        <i/>
        <sz val="10"/>
        <color rgb="FFFF0000"/>
        <rFont val="Arial"/>
        <family val="2"/>
      </rPr>
      <t>Använd fliken "Grundläggande antaganden" för beräkning</t>
    </r>
    <r>
      <rPr>
        <i/>
        <sz val="10"/>
        <color theme="1"/>
        <rFont val="Arial"/>
        <family val="2"/>
      </rPr>
      <t xml:space="preserve">. </t>
    </r>
  </si>
  <si>
    <t xml:space="preserve">Med hänsyn tagen till degradering av elproduktionen med tiden. </t>
  </si>
  <si>
    <t>Man får elcertifikat under 15 år. Med hänsyn tagen till degradering av elproduktionen med tiden.</t>
  </si>
  <si>
    <t>Ange egen kostnadspost här.</t>
  </si>
  <si>
    <t>Om restvärde antas vara lika med rivningskostnad kan båda sättas till 0.</t>
  </si>
  <si>
    <t>För "nätnytta". Ersättningen beroende på nätbolag. Ska anges exklusive moms även för privatpersoner, eftersom den moms som betalas ut av elbolaget ska momsredovisas och betalas in till Skatteverket.</t>
  </si>
  <si>
    <t xml:space="preserve">För småhusägare vanligen endast elcertifikat för överskott inmatat till nätet, då det oftast inte är lönsamt att betala för elcertifikatmätning av hela sin solelproduktion. För övriga vanligen 100%, då man har elcertifikatmätning direkt efter växelriktaren. </t>
  </si>
  <si>
    <t>Kostnader och intäkter beräknas som nuvärde med hjälp av kalkylräntan.</t>
  </si>
  <si>
    <t xml:space="preserve">Normalt värde för kiselbaserade solcellsmoduler 2016 är 15-16%. Det förekommer även att man använder tunnfilmssolceller (CIGS och CdTe), som vanligen har något lägre verkningsgrad än de kiselbaserade. Verkningsgraden används endast för att beräkna modulytan, den påverkar inte de ekonomiska beräkningarna. </t>
  </si>
  <si>
    <t>Skatteavdrag kan fås för 30% av arbetskostnaden. Skatteverket godkände 2015 en schablon att arbetskostnaden är 30% av investeringskostnaden och med den schablonen blir det möjliga ROT-avdraget 9% av den totala investeringskostnaden. Detta ger möjlighet till 9% avdrag på den totala investeringskostnaden. Huset måste vara minst 5 år gammalt. ROT-avdrag är inte möjligt för lägenheter.</t>
  </si>
  <si>
    <t xml:space="preserve">För fastighetsägare höjs byggnadsvärdet och därmed kan försäkringskostnaden öka. För småhusägare ingår solcellsanläggningen vanligen i hemförsäkringen. </t>
  </si>
  <si>
    <t xml:space="preserve">Min- och maxvärden är intervall för rekommenderade värden. Andra värden kan anges vid behov, exempelvis om regelverken ändras. </t>
  </si>
  <si>
    <t xml:space="preserve">Översyn av min- och maxvärden. Ny flik Bakgrund, flyttade formler dit. Justerade layout i fliken Diagram. Översyn av hjälptexter. Gjorde Hide på flikar som inte behöver visas: Val av indata och Versionshistorik. La till sidnummer i sidhuvudet vid utskrift. Ändrade röda ramens storlek på fliken "Dina indata &amp; Resultat" så att den får plats på en sida vid utskrift. Ändrade radhöjd i fliken "Grundläggande antaganden" så att utskriften ryms på en A4-sida. Centrerade diagramutskrifterna på sidan. </t>
  </si>
  <si>
    <t xml:space="preserve">Principen är att alla kostnader under livslängden divideras med solelproduktionen under livslängden. En nuvärdesberäkning görs av kostnader och solelproduktion med hjälp av en kalkylränta. När det gäller solelproduktionen tas även hänsyn till att den minskar något med tiden efter det första driftåret. </t>
  </si>
  <si>
    <t xml:space="preserve">Elcertifikat kan fås utan kostnad för överskott som matas in till nätet. För att kunna få elcertifikat även för egenanvänd el krävs ett elcertifikatabonnemang där mätning av solelproduktionen sker direkt efter växelriktaren, vilket medför kostnader för mätning och rapportering till Cesar, där elcertifikaten kontoförs. Kostnaden för elcertifikatmätning består dels av en engångskostnad för elmätaren, dels av en årlig kostnad som beroende på leverantör av denna tjänst endera kan vara en fast årskostnad eller en kostnad som beror på värdet av elcertifikaten. Kostnader för hantering och försäljning av elcertifikat kan tillkomma. </t>
  </si>
  <si>
    <t xml:space="preserve">Ange det förväntade utbytet under det första driftåret. För efterföljande år tas hänsyn till en årlig degradering enligt värde i fliken "Grundläggande antaganden". Ingen beräkning av utbytet görs i detta program. Det finns många program för beräkningar utbytet. Ett lättanvänt webbaserat program som fungerar hyggligt söder om 60:e breddgraden är PVGIS, http://re.jrc.ec.europa.eu/pvgis/apps4/pvest.php. 800-1 100 kWh/kW,år är normalt i Sverige för  fast system utan skuggning och under år med normal solinstrålning. Bästa fasta systemen ger närmare 1 200 kWh/kW per år. Solföljande system ger årligen upp till ca 1 500 kWh/kW. Utbytet beror bland annat på var man bor i Sverige, mot vilket väderstreck solcellsmoduler är vända, vilken lutning modulerna har och om man tidvis har skuggning av solcellsmodulerna. Lämpliga startvärden kan vara 900 kWh/kW för småhus och 950 kWh/kW för större anläggningar som ofta har mer optimerad placering. </t>
  </si>
  <si>
    <t xml:space="preserve">För småhus ingen bygglovskostnad i vissa kommuner. I andra kommuner kan kostnaden för bygglov till småhus vara ca 1 500 - 4 000 kr, man får kontakta sin kommun och fråga. För större anläggningar får man fråga kommunen. </t>
  </si>
  <si>
    <t>kWh/kW</t>
  </si>
  <si>
    <t>Privatperson</t>
  </si>
  <si>
    <t>Bygglov</t>
  </si>
  <si>
    <t>Startvärden flik "Grundläggande antaganden"</t>
  </si>
  <si>
    <t>Startvärden flik "Dina indata &amp; Resultat"</t>
  </si>
  <si>
    <r>
      <t xml:space="preserve">Beräkning av årlig </t>
    </r>
    <r>
      <rPr>
        <b/>
        <i/>
        <sz val="10"/>
        <color theme="1"/>
        <rFont val="Arial"/>
        <family val="2"/>
      </rPr>
      <t>fast</t>
    </r>
    <r>
      <rPr>
        <i/>
        <sz val="10"/>
        <color theme="1"/>
        <rFont val="Arial"/>
        <family val="2"/>
      </rPr>
      <t xml:space="preserve"> kostnad, som inte beror på anläggningens storlek. Ange egna indata. Privatpersoner anger värden med moms.</t>
    </r>
  </si>
  <si>
    <r>
      <t xml:space="preserve">Beräkning av årlig </t>
    </r>
    <r>
      <rPr>
        <b/>
        <i/>
        <sz val="10"/>
        <color theme="1"/>
        <rFont val="Arial"/>
        <family val="2"/>
      </rPr>
      <t>rörlig</t>
    </r>
    <r>
      <rPr>
        <i/>
        <sz val="10"/>
        <color theme="1"/>
        <rFont val="Arial"/>
        <family val="2"/>
      </rPr>
      <t xml:space="preserve"> kostnad, som beror på anläggningen storlek. Ange egna indata. Privatpersoner anger värden med moms. </t>
    </r>
  </si>
  <si>
    <t>Värden i gröna celler är dina indata. Ingångsvärden bestäms av om man väljer privatperson eller annan och de kan du vid behov ändra.</t>
  </si>
  <si>
    <t>Här anges en real kalkylränta, där man från den nominella räntan räknat av inflationen. Här kan även ingå hänsyn till skatteffekter, exempelvis att privatpersoner får göra ett ränteavdrag på 30% i inkomstdeklarationen för lån. För privatpersoner 1-2% om man antar realränta efter skatt för ett banklån. Om man vill göra en riskjustering kan man välja en högre ränta. För övriga används vanligen en högre kalkylränta än för privatpersoner, där det finns en stor spridning i vilken kalkylränta man brukar använda.</t>
  </si>
  <si>
    <t>kr/år</t>
  </si>
  <si>
    <t>kr/kW,år</t>
  </si>
  <si>
    <t>Beror på installerad effekt där följande värden använts: 3 000 kr/kW om 0-10 kW, 2 000 kr/kW om 10-30 kW, 1 500 kr/kW om 30-100 kW och 1 000 kr/kW om större än 100 kW har använts. I kostnaden ingår även en arbetskostnad. Moms (25%) läggs automatiskt till för privatpersoner om man valt "Privatperson" i fliken "Dina indata &amp; Resultat".</t>
  </si>
  <si>
    <t>Ansvar</t>
  </si>
  <si>
    <t xml:space="preserve">Mälardalens högskola och Stockholms stad har lag ner mycket tid och arbete på att säkerställa resultatet från räknemallen är korrekt i alla avseenden. Vi kan emellertid inte garantera att det inte förekommer fel. Med hänsyn till att räknemallen tillhandahålls utan kostnad för användaren friskriver sig därför Mälardalens högskola och Stockholm stad, inom ramen för gällande lag, allt ansvar för eventuella förluster som uppstår som en följd av dess användning. All användning av räknemallen sker under eget ansvar. </t>
  </si>
  <si>
    <t xml:space="preserve">Värden anges som uppskattat medel av nuvärden under anläggningens livslängd. En svårighet är att uppskatta värdena under så lång tid framåt som solcellssystemets livslängd. </t>
  </si>
  <si>
    <t xml:space="preserve">Källa: Kontrollstation 2017 för elcertifikatsystemet - En delredovisning ER 2016:09. Enerigmyndigheten. </t>
  </si>
  <si>
    <t>Min anger minsta rekommenderade värde.</t>
  </si>
  <si>
    <t>Max anger högsta rekommenderade värde.</t>
  </si>
  <si>
    <t xml:space="preserve">Se fliken "Grundläggande antaganden" för övriga antaganden som är gjorda. </t>
  </si>
  <si>
    <t xml:space="preserve">De faktorer som har störst inverkan på lönsamheten är investeringskostnad, kalkylränta, andel egenanvänd el och värdet av egenanvänd respektive såld el, där speciellt skattereduktionen har en stor betydelse. </t>
  </si>
  <si>
    <t xml:space="preserve">Grundantagandet är att skattereduktion kan utnyttjas för hela överskottet upp till takbeloppet som mest. </t>
  </si>
  <si>
    <t>Man kan få skattereduktion för högst 30 000 kWh/år, eller högst för så mycket el man köper under ett år, per person eller anslutningspunkt enligt Inkomstskattelag (1999:1229). Vid en skattereduktion på 60 öre/kWh blir taket därmed 18 000 kr per år. Här antas att överskottet är mindre den egna elanvändningen och att skattereduktion därmed kan utnyttjas för hela överskottet upp till takbeloppet som mest.</t>
  </si>
  <si>
    <t>Investeringsstöd är inte möjligt om man har ROT-avdrag.</t>
  </si>
  <si>
    <t>ROT-avdrag är inte möjligt om man har investeringsstöd.</t>
  </si>
  <si>
    <t>Cellerna ändrar automatiskt färg mellan grön och röd beroende på om värdena är positiva eller negativa.</t>
  </si>
  <si>
    <t>%/år</t>
  </si>
  <si>
    <t>Enhet ändrad från kr till kr/år för årliga kostnader och från % till %/år för degradering. Småjusteringar av några texter. Tillägg av ansvarstext enligt förslag från MDH-jurist i fliken Inledning, där utskriftens layout justerades. Ingångsvärden för värde av såld el justerat, baserat på Energimyndighetens rapport Kontrollstation 2017 för elcertifikatsystemet - En delredovisning ER 2016:09, se Figur 16 här nedan. Enligt den energiöverenskommelse som regeringen gjort med övriga partier och som presenterades i "Ramöverenskommelse mellan Socialdemokraterna, Moderaterna, Miljöpartiet de gröna, Centerpartiet och Kristdemokraterna" 10 juni 2016 kommer energiskatten att höjas: "Finansiering av den slopade skatten på termisk effekt och sänkningen av fastighetsskatt på vattenkraft ska ske genom en höjning av energiskatten. Elintensiv industri ska undantas." Detta kommer att höja värdet av egenanvänd el. Justering av utskrift för Dina indata &amp; Resultat så att sidbrytning blir lämplig. La in formler med 300 dpi upplösning i fliken "Inledning" för att få bättre utskrift. Kommentarerna i fliken "Dina indata &amp; Resultat" får inte riktigt plats på raderna vid utskrift, i rader där det är flera rader text, svårt att undvika om man vill ha alla Indata på en utskriftssida.</t>
  </si>
  <si>
    <t xml:space="preserve">La till val av privat och annat, med visual basic script som styr vilka ingångsvärden som sätts in i flikarna "Dina indata &amp; Resultat" och "Grundläggande antaganden". Värden är olika för "Privatperson" och "Annan" och hämtas från den dolda fliken "Ingångsvärden". Valideringsregel för andel el som ger elcertifikat justerad så att andra värden kan läggas in. Skattereduktionen ändrad till 0,60 kr/kWh i grundläggande antaganden (hade vid tidigare testning satts till 0). Småjusteringar av texter. Små justeringar av parameternamn för att göra dem konsekventa. Enhet kr borttagen vid summering av kassaflöden för solelproduktionen. Justerade utskrift så för fliken "Din indata &amp; Resultat". </t>
  </si>
  <si>
    <t>Val av användare</t>
  </si>
  <si>
    <t xml:space="preserve">Styr om kostnader ska anges med eller utan moms och vilka ingångsvärden som används. Privatpersoner ska ange alla kostnader med moms. Övriga anger kostnaderna utan moms. </t>
  </si>
  <si>
    <t>Välj användare (privatperson eller annan)</t>
  </si>
  <si>
    <t>1.6</t>
  </si>
  <si>
    <t>Andel som ger skattereduktion borttagen. Den beräknas som (1-Egenanvänd el). Ny post "Antal år som ger skattereduktion". Rättade beräkning av kassaflöde år 1 om ROT-avdrag.</t>
  </si>
  <si>
    <t xml:space="preserve">Skapa ny flik med grundläggande antagen, som användaren normalt sett inte ska behöva ändra. Många kompletteringar av hjälptexter och mindre layoutändringar. Årlig kostnad uppdelad i en fast del oberoende av anläggningen storlek och en rörlig andel som beror på anläggningen storlek. Lade till grön färgmarkering på lönsamheten blir positiv. Anpassning gjord för utskrift. Justerade en del min- och maxvärden. </t>
  </si>
  <si>
    <t xml:space="preserve">Kompletterade infotexten om kostnader för elcertifikatmätning. Gjorde en justering av LCOE-formeln så att den överensstämmer med beräkningarna, där hänsyn till degradering tas från och med andra driftåret. Fick därmed göra ny justering av utskriften av fliken Grundläggande data så att den ryms på en sida.  Kompletterade infotexten om utbyte. </t>
  </si>
  <si>
    <r>
      <t>Exempelvis för elcertifikatabonnemang, inmatningsabonnemang, loggning, resor för besök på plats, uttagsabonnemang.  För privatpersoner vanligen 0 kr.</t>
    </r>
    <r>
      <rPr>
        <i/>
        <sz val="10"/>
        <color rgb="FFFF0000"/>
        <rFont val="Arial"/>
        <family val="2"/>
      </rPr>
      <t xml:space="preserve"> Använd fliken "Grundläggande antaganden" för beräkning</t>
    </r>
    <r>
      <rPr>
        <i/>
        <sz val="10"/>
        <color theme="1"/>
        <rFont val="Arial"/>
        <family val="2"/>
      </rPr>
      <t xml:space="preserve">. </t>
    </r>
  </si>
  <si>
    <t xml:space="preserve">Anger hur stor del av möjlig drifttid, då det finns solinstrålning, som anläggningen är i drift. Anges som ett uppskattat genomsnitt över livslängden. Driftavbrott kan uppstå på grund av fel och vid reparationer Storleken på eventuella produktionsbortfall beror på när under året det sker, men är här jämnt fördelat över året i beräkningarna. Grundvärdet är en uppskattning, då svensk statistik saknas. 0,1% motsvarar 8,8 timmar per år. Fel på loggningen ger inget avdrag, så länge anläggningen producerar. </t>
  </si>
  <si>
    <t xml:space="preserve">Om man har säkringsabonnemang över 63A eller är nettoproducent om säkringsabonnemanget är högst 63 A får man betala för inmatningsabonnemang om man matar in el till nätet. Kostnaden varierar mellan olika nätägare. Enstaka nätägare tar inte ut någon avgift för inmatningsabonnemang om man är nettoproducent och har högst 63 A säkringsabonnemang. </t>
  </si>
  <si>
    <t xml:space="preserve">Detta arbete har utförts i projektet "Investeringskalkyl för solceller" under 2015-2016. </t>
  </si>
  <si>
    <t xml:space="preserve">Makrot i Visual Basic borttaget, då det gav varningar vid öppning av filen och att det fanns innehåll som inte stöddes av en testad version på Mac. Därefter gjordes två versioner, med likadana beräkningar, men med olika startvärden för Privatperson respektive Annan. Uppdaterade medelpriser för elcertifikat senaste året. Texten om ansvar lades även in i fliken "Dina indata &amp; Resultat". Stavning kontrollerad och justerad. La till två diagram, med ROT-avdrag och med investeringsstöd. La förklaringarna till dataetiketterna under diagrammen, svårt att få till det med dataetiketterna annars då de lätt hamnar över varandra. </t>
  </si>
  <si>
    <t>Justerade etiketterna så att de visas i Excel 2010,  där  det inte gick att ändra bredden på etiketterna. Svårt att få till layouten på etiketterna. I Excel 2010 blev det radbyte på en dataetikett.</t>
  </si>
  <si>
    <t xml:space="preserve">1. Justera de förvalda ingångsvärdena i fliken "Dina indata &amp; Resultat". Följ anvisningarna för inmatning. </t>
  </si>
  <si>
    <t xml:space="preserve">2. Använd räknehjälpen i fliken "Grundläggande antaganden" för att beräkna de årliga kostnaderna. </t>
  </si>
  <si>
    <t>3. Titta igenom fliken "Grundläggande antaganden", för att se om antagandena stämmer för din anläggning.</t>
  </si>
  <si>
    <t>4. Resultat visas i flikarna "Dina indata &amp; Resultat", "Kassaflöden" och "Diagram".</t>
  </si>
  <si>
    <t xml:space="preserve">5. Ändra dina indata och se hur det påverkar resultaten. </t>
  </si>
  <si>
    <t>1.7</t>
  </si>
  <si>
    <t xml:space="preserve">Justerade ingångsvärden för "Värde egenanvänd solel" så att det harmoniserar med ingångsvärdet för "Värde såld el". Värde egenanvänd solel uppskattat som värde såld el plus energiskatt (som enligt energiöverenskommelsen kommer att höjas), elcertifikatavgift, elöverföring och moms för privatpersoner. </t>
  </si>
  <si>
    <t>Ingångsvärdet för "Värde såld el" baseras på en modellerad  prognos över elprisets utveckling enligt ovanstående diagram i Energimyndighetens rapport "Kontrollstation 2017 för elcertifikatsystemet - En delredovisning ER 2016:09".</t>
  </si>
  <si>
    <t>1.8</t>
  </si>
  <si>
    <t>Resultat kassaflöde (kr)</t>
  </si>
  <si>
    <t>Investering kassaflöde (kr)</t>
  </si>
  <si>
    <t>Intäkter kassaflöde (kr)</t>
  </si>
  <si>
    <t xml:space="preserve">Beräkningarna görs med IRR-funktionen i Excel baserat på värden för kassaflöden utan nuvärdesberäkning. </t>
  </si>
  <si>
    <r>
      <t xml:space="preserve">Inklusive material och arbete. Privatpersoner ska ange alla kostnader med moms. Enligt National Survey Report of PV Power Applications in Sweden från IEA PVPS var medelpriset för nyckelfärdiga anläggningar 2015: 11 800 kr/kW, exklusive moms, för takmonterade system större än 20 kW och 18 750 kr/kW, inklusive moms, för system upp till 20 kW för småhus. Den billigaste nyckelfärdiga anläggning som byggts i Sverige till och med juni 2016 var en 2,7 MW anläggning för 8 500 kr/kW. Se även antaganden gjorda för </t>
    </r>
    <r>
      <rPr>
        <i/>
        <sz val="10"/>
        <color rgb="FFFF0000"/>
        <rFont val="Arial"/>
        <family val="2"/>
      </rPr>
      <t>mark- och nätanslutningskostnader i fliken "Grundläggande antaganden"</t>
    </r>
    <r>
      <rPr>
        <i/>
        <sz val="10"/>
        <color theme="1"/>
        <rFont val="Arial"/>
        <family val="2"/>
      </rPr>
      <t>.</t>
    </r>
  </si>
  <si>
    <t xml:space="preserve">Medel senaste året 15,994 öre/kWh (20160913) enligt Energimyndighetens statistik. Framtida marknadspriser för 2017-2021 var i mitten av september 2016 ca 13-15 öre/kWh enligt Svensk Kraftmäkling. Priserna därefter är osäkra. </t>
  </si>
  <si>
    <t xml:space="preserve">Osäkert värde. I september 2016 saknades beslut om hur länge man kan få skattereduktion. Om man inte kan få skattereduktion sätts antal år till 0. Skattereduktionens storlek finns i fliken "Grundläggande antaganden". </t>
  </si>
  <si>
    <t>Justerade formelfel vid effekter 11-30 kW i formeln för "Kostnad för byte av växelriktare". I fliken "Kassaflöden" inlagt en tabell med kassaföden utan nuvärdesberäkning för att kunna beräkna internränta (IRR) korrekt. I tidigare versioner beräknades IRR baserat på nuvärden, vilket inte var korrekt. Fick lägga in år 0 för grundinvesteringen för att få IRR-formeln att fungera. Skalade om utskriften av fliken "Kassaflöden" för att få lämpliga sidbrytningar. Justerade medelpriser för nyckelfärdiga system enligt "Natioanl Survey Report of PV Power Applications in Sweden 2015" från IEA PVPS. Justerade senaste priserna för elcertifikat. Några små andra textförtydliganden.</t>
  </si>
  <si>
    <t xml:space="preserve">Om man köpt mark för markbaserad solcellsanläggning. Högst 0,5% av taxeringsvärdet. 0,2% av taxeringsvärdet förslag från utredningen "Fastighetstaxering av anläggningar för el- och värmeproduktion. SOU 2016:31". </t>
  </si>
  <si>
    <t>1.9</t>
  </si>
  <si>
    <t xml:space="preserve">Ändrade valideringen av installerad effekt så att decimalvärden tillåts. Ändrade valideringen av investeringsstödet så att upp till 70% tillåts. </t>
  </si>
  <si>
    <t xml:space="preserve">Om man har avlönad personal som sköter tillsynen kan en kostnad tillkomma för regelbunden tillsyn. En schablon på 50 kr/kW,år använd som grundvärde för kategorin "Övriga". </t>
  </si>
  <si>
    <t>1.10</t>
  </si>
  <si>
    <t>Justerade att rörliga kostnader i "Grundläggande antaganden" ska vara i kr/år och att omräkning till kr/kW,år görs i "Dina indata &amp; Resultat". Fick därmed även ändra i formel för årligas kostnader under "Kassaflöden".</t>
  </si>
  <si>
    <t>Version 1.11</t>
  </si>
  <si>
    <t>Investeringskostnad solcellsanläggning, utan stöd eller ROT-avdrag</t>
  </si>
  <si>
    <t>Pris köpt el</t>
  </si>
  <si>
    <t>Pris såld el</t>
  </si>
  <si>
    <t>Egenanvänd el sparar köpt el. För småhus stora variationer, ca 20-80%. Kan vara svårt att förutsäga i förväg. För större byggnader med hög egenanvändning mindre osäkerhet. För flerbostadshus en fråga om el kan användas i lägenheter eller om elen bara går till fastighetsel.</t>
  </si>
  <si>
    <t>1.11</t>
  </si>
  <si>
    <t xml:space="preserve">Förtydligande av texter i fliken "Dina indata &amp; Resulat",. Investeringskostnad solcellsanläggning ska anges utan stöd eller ROT-avdrag. Värde egenanvänd el ändrades till "Pris köpt el" och la till att det är inklusive energiskatt och elcertifikatavgift. Värde såld el ändrades till "Pris såld el" och la till att priset anges exklusive skattereduktion. La till under Andel egenanvänd el att "Egenanvänd el sparar köpt el". </t>
  </si>
  <si>
    <t>Viktigt att eget värde anges då det har stor betydelse för lönsamheten. Exklusive elcertifikat, ursprungsgarantier och skattereduktion, som anges i separata poster nedan. Nord Pool spotpris var i medel ovanligt låga ca 20 öre/kWh under 2015, ca 29 öre/kWh under 2014 och ca 34 öre/kWh under 2013. Vissa elbolag betalar ett högre pris än spotpriset till så kallade mikroproducenter. Ska anges exklusive moms även för privatpersoner, eftersom den moms som betalas ut av elbolaget ska momsredovisas och betalas in till Skatteverket.  Ingångsvärdet baseras på en modellerad  prognos över elprisets utveckling enligt Energimyndighetens rapport "Kontrollstation 2017 för elcertifikatsystemet - En delredovisning ER 2016:09".</t>
  </si>
  <si>
    <t xml:space="preserve">Genomsnitt av det rörliga värdet av egenanvänd el under livslängden, inklusive elhandel, energiskatt, elcertifikatavgift och elöverföring, exklusive fasta avgifter. Exklusive elcertifikat och ursprungsgarantier, som anges i separata poster nedan. Viktigt att eget värde anges då det har stor betydelse för lönsamheten. Dock svårt att förutsäga prisutvecklingen under livslängden.  Privatpersoner ska ange värde inklusive moms, alla andra ska ange värde exklusive moms. Från 1 juli 2016 ska juridiska personer som har över 255 kW solceller betala energiskatt på den egenanvända elen. Tillhör man denna kategori får man alltså ta bort energiskatten från den rörliga andelen av priset på köpt el. Energiskattens storlek beror på var i Sverige man bor. Industriella processer, jordbruk, skogsbruk eller vattenbruk (exempelvis fiskodling, kräftodling, musselodling, vattenväxtodling) får tillbaka den energiskatt som man har betalat förutom 0,5 öre/kWh, därför blir värdet av den egenanvända solelen lägre för dem. Enligt den energiöverenskommelse som regeringen gjort med övriga partier och som presenterades i "Ramöverenskommelse mellan Socialdemokraterna, Moderaterna, Miljöpartiet de gröna, Centerpartiet och Kristdemokraterna" 10 juni 2016 kommer energiskatten att höjas: "Finansiering av den slopade skatten på termisk effekt och sänkningen av fastighetsskatt på vattenkraft ska ske genom en höjning av energiskatten. Elintensiv industri ska undantas." Detta kommer att höja det framtida värdet av egenanvänd el.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</si>
</sst>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0\ &quot;kr&quot;;[Red]\-#,##0\ &quot;kr&quot;"/>
    <numFmt numFmtId="164" formatCode="0.0%"/>
    <numFmt numFmtId="165" formatCode="0.000"/>
    <numFmt numFmtId="166" formatCode="#,##0.000"/>
    <numFmt numFmtId="167" formatCode="#,##0_ ;[Red]\-#,##0\ "/>
    <numFmt numFmtId="168" formatCode="#,##0.0"/>
  </numFmts>
  <fonts count="23" x14ac:knownFonts="1">
    <font>
      <sz val="10"/>
      <color theme="1"/>
      <name val="Arial"/>
      <family val="2"/>
    </font>
    <font>
      <sz val="11"/>
      <color theme="1"/>
      <name val="Calibri"/>
      <family val="2"/>
      <scheme val="minor"/>
    </font>
    <font>
      <sz val="10"/>
      <color theme="1"/>
      <name val="Arial"/>
      <family val="2"/>
    </font>
    <font>
      <sz val="10"/>
      <color rgb="FFFF0000"/>
      <name val="Arial"/>
      <family val="2"/>
    </font>
    <font>
      <b/>
      <sz val="10"/>
      <color theme="1"/>
      <name val="Arial"/>
      <family val="2"/>
    </font>
    <font>
      <sz val="10"/>
      <name val="Arial"/>
      <family val="2"/>
    </font>
    <font>
      <b/>
      <sz val="12"/>
      <color theme="1"/>
      <name val="Arial"/>
      <family val="2"/>
    </font>
    <font>
      <b/>
      <sz val="14"/>
      <color theme="1"/>
      <name val="Arial"/>
      <family val="2"/>
    </font>
    <font>
      <b/>
      <sz val="10"/>
      <name val="Arial"/>
      <family val="2"/>
    </font>
    <font>
      <b/>
      <sz val="12"/>
      <name val="Arial"/>
      <family val="2"/>
    </font>
    <font>
      <sz val="12"/>
      <color theme="1"/>
      <name val="Arial"/>
      <family val="2"/>
    </font>
    <font>
      <b/>
      <sz val="14"/>
      <name val="Arial"/>
      <family val="2"/>
    </font>
    <font>
      <sz val="11"/>
      <color theme="1"/>
      <name val="Calibri"/>
      <family val="2"/>
    </font>
    <font>
      <b/>
      <i/>
      <sz val="12"/>
      <color theme="1"/>
      <name val="Arial"/>
      <family val="2"/>
    </font>
    <font>
      <i/>
      <sz val="10"/>
      <color theme="1"/>
      <name val="Arial"/>
      <family val="2"/>
    </font>
    <font>
      <i/>
      <sz val="10"/>
      <name val="Arial"/>
      <family val="2"/>
    </font>
    <font>
      <b/>
      <i/>
      <sz val="16"/>
      <color theme="1"/>
      <name val="Arial"/>
      <family val="2"/>
    </font>
    <font>
      <b/>
      <sz val="16"/>
      <color theme="1"/>
      <name val="Arial"/>
      <family val="2"/>
    </font>
    <font>
      <vertAlign val="superscript"/>
      <sz val="10"/>
      <color theme="1"/>
      <name val="Arial"/>
      <family val="2"/>
    </font>
    <font>
      <b/>
      <i/>
      <sz val="10"/>
      <color theme="1"/>
      <name val="Arial"/>
      <family val="2"/>
    </font>
    <font>
      <b/>
      <i/>
      <sz val="10"/>
      <color rgb="FFFF0000"/>
      <name val="Arial"/>
      <family val="2"/>
    </font>
    <font>
      <sz val="11"/>
      <color rgb="FF428BCA"/>
      <name val="Arial"/>
      <family val="2"/>
    </font>
    <font>
      <i/>
      <sz val="10"/>
      <color rgb="FFFF0000"/>
      <name val="Arial"/>
      <family val="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9FF66"/>
        <bgColor indexed="64"/>
      </patternFill>
    </fill>
    <fill>
      <patternFill patternType="solid">
        <fgColor rgb="FF66FFFF"/>
        <bgColor indexed="64"/>
      </patternFill>
    </fill>
    <fill>
      <patternFill patternType="solid">
        <fgColor theme="0" tint="-4.9989318521683403E-2"/>
        <bgColor indexed="64"/>
      </patternFill>
    </fill>
    <fill>
      <patternFill patternType="solid">
        <fgColor rgb="FF9BFFA5"/>
        <bgColor indexed="64"/>
      </patternFill>
    </fill>
    <fill>
      <patternFill patternType="solid">
        <fgColor rgb="FFFDBBC4"/>
        <bgColor indexed="64"/>
      </patternFill>
    </fill>
    <fill>
      <patternFill patternType="solid">
        <fgColor rgb="FFF6ED7E"/>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theme="0" tint="-0.14996795556505021"/>
      </top>
      <bottom/>
      <diagonal/>
    </border>
    <border>
      <left/>
      <right/>
      <top style="thick">
        <color rgb="FFFF0000"/>
      </top>
      <bottom/>
      <diagonal/>
    </border>
    <border>
      <left/>
      <right style="thick">
        <color rgb="FFFF0000"/>
      </right>
      <top style="thick">
        <color rgb="FFFF0000"/>
      </top>
      <bottom/>
      <diagonal/>
    </border>
    <border>
      <left/>
      <right style="thick">
        <color rgb="FFFF0000"/>
      </right>
      <top/>
      <bottom/>
      <diagonal/>
    </border>
    <border>
      <left/>
      <right style="thick">
        <color rgb="FFFF0000"/>
      </right>
      <top/>
      <bottom style="thick">
        <color rgb="FFFF0000"/>
      </bottom>
      <diagonal/>
    </border>
    <border>
      <left style="thick">
        <color rgb="FFFF0000"/>
      </left>
      <right/>
      <top style="thick">
        <color rgb="FFFF0000"/>
      </top>
      <bottom/>
      <diagonal/>
    </border>
    <border>
      <left style="thick">
        <color rgb="FFFF0000"/>
      </left>
      <right/>
      <top/>
      <bottom/>
      <diagonal/>
    </border>
    <border>
      <left style="thick">
        <color rgb="FFFF0000"/>
      </left>
      <right/>
      <top/>
      <bottom style="thick">
        <color rgb="FFFF0000"/>
      </bottom>
      <diagonal/>
    </border>
    <border>
      <left/>
      <right/>
      <top/>
      <bottom style="thick">
        <color theme="0" tint="-0.14996795556505021"/>
      </bottom>
      <diagonal/>
    </border>
  </borders>
  <cellStyleXfs count="3">
    <xf numFmtId="0" fontId="0" fillId="0" borderId="0"/>
    <xf numFmtId="9" fontId="2"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4" fillId="0" borderId="0" xfId="0" applyFont="1" applyAlignment="1">
      <alignment vertical="top"/>
    </xf>
    <xf numFmtId="9" fontId="0" fillId="0" borderId="0" xfId="1" applyFont="1" applyFill="1"/>
    <xf numFmtId="165" fontId="0" fillId="0" borderId="0" xfId="1" applyNumberFormat="1" applyFont="1" applyFill="1"/>
    <xf numFmtId="0" fontId="5" fillId="0" borderId="0" xfId="0" applyFont="1" applyAlignment="1">
      <alignment vertical="top" wrapText="1"/>
    </xf>
    <xf numFmtId="167" fontId="0" fillId="0" borderId="0" xfId="0" applyNumberFormat="1" applyAlignment="1">
      <alignment horizontal="center" vertical="top"/>
    </xf>
    <xf numFmtId="167" fontId="0" fillId="0" borderId="0" xfId="0" applyNumberFormat="1" applyFill="1" applyAlignment="1">
      <alignment horizontal="center" vertical="top"/>
    </xf>
    <xf numFmtId="0" fontId="5" fillId="0" borderId="0" xfId="0" applyFont="1" applyFill="1" applyAlignment="1">
      <alignment vertical="top" wrapText="1"/>
    </xf>
    <xf numFmtId="167" fontId="0" fillId="0" borderId="0" xfId="0" applyNumberFormat="1" applyAlignment="1">
      <alignment vertical="top"/>
    </xf>
    <xf numFmtId="0" fontId="5" fillId="0" borderId="0" xfId="0" applyFont="1" applyFill="1" applyAlignment="1">
      <alignment vertical="top"/>
    </xf>
    <xf numFmtId="165" fontId="5" fillId="0" borderId="0" xfId="0" applyNumberFormat="1" applyFont="1" applyFill="1" applyAlignment="1">
      <alignment vertical="top"/>
    </xf>
    <xf numFmtId="3" fontId="5" fillId="0" borderId="0" xfId="0" applyNumberFormat="1" applyFont="1" applyFill="1" applyAlignment="1">
      <alignment horizontal="center" vertical="top" wrapText="1"/>
    </xf>
    <xf numFmtId="3" fontId="5" fillId="0" borderId="0" xfId="0" applyNumberFormat="1" applyFont="1" applyFill="1" applyAlignment="1">
      <alignment horizontal="center" vertical="top"/>
    </xf>
    <xf numFmtId="167" fontId="5" fillId="0" borderId="0" xfId="0" applyNumberFormat="1" applyFont="1" applyFill="1" applyAlignment="1">
      <alignment horizontal="center" vertical="top" wrapText="1"/>
    </xf>
    <xf numFmtId="167" fontId="0" fillId="0" borderId="0" xfId="0" applyNumberFormat="1" applyFill="1" applyAlignment="1">
      <alignment vertical="top"/>
    </xf>
    <xf numFmtId="167" fontId="5" fillId="0" borderId="0" xfId="0" applyNumberFormat="1" applyFont="1" applyFill="1" applyAlignment="1">
      <alignment horizontal="center" vertical="top"/>
    </xf>
    <xf numFmtId="167" fontId="0" fillId="0" borderId="0" xfId="1" applyNumberFormat="1" applyFont="1" applyFill="1"/>
    <xf numFmtId="167" fontId="0" fillId="0" borderId="0" xfId="0" applyNumberFormat="1" applyFont="1" applyFill="1" applyAlignment="1">
      <alignment vertical="top"/>
    </xf>
    <xf numFmtId="167" fontId="0" fillId="0" borderId="0" xfId="0" applyNumberFormat="1" applyFont="1" applyAlignment="1">
      <alignment vertical="top"/>
    </xf>
    <xf numFmtId="3" fontId="5" fillId="0" borderId="0" xfId="0" applyNumberFormat="1" applyFont="1" applyFill="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5" fillId="0" borderId="1" xfId="0" applyFont="1" applyFill="1" applyBorder="1" applyAlignment="1">
      <alignment vertical="top" wrapText="1"/>
    </xf>
    <xf numFmtId="3" fontId="5" fillId="0" borderId="1" xfId="0" applyNumberFormat="1" applyFont="1" applyFill="1" applyBorder="1" applyAlignment="1">
      <alignment horizontal="center" vertical="top" wrapText="1"/>
    </xf>
    <xf numFmtId="3" fontId="9" fillId="0" borderId="1" xfId="0" applyNumberFormat="1" applyFont="1" applyFill="1" applyBorder="1" applyAlignment="1">
      <alignment horizontal="center" vertical="top" wrapText="1"/>
    </xf>
    <xf numFmtId="3" fontId="8" fillId="0" borderId="1" xfId="0" applyNumberFormat="1" applyFont="1" applyFill="1" applyBorder="1" applyAlignment="1">
      <alignment horizontal="center" vertical="top" wrapText="1"/>
    </xf>
    <xf numFmtId="167" fontId="5" fillId="0" borderId="1" xfId="0" applyNumberFormat="1" applyFont="1" applyFill="1" applyBorder="1" applyAlignment="1">
      <alignment vertical="top" wrapText="1"/>
    </xf>
    <xf numFmtId="167" fontId="5" fillId="0" borderId="1" xfId="0" applyNumberFormat="1" applyFont="1" applyFill="1" applyBorder="1" applyAlignment="1">
      <alignment horizontal="center" vertical="top" wrapText="1"/>
    </xf>
    <xf numFmtId="167" fontId="5" fillId="0" borderId="1" xfId="0" applyNumberFormat="1" applyFont="1" applyFill="1" applyBorder="1" applyAlignment="1">
      <alignment vertical="top"/>
    </xf>
    <xf numFmtId="167" fontId="0" fillId="0" borderId="1" xfId="0" applyNumberFormat="1" applyFill="1" applyBorder="1" applyAlignment="1">
      <alignment vertical="top"/>
    </xf>
    <xf numFmtId="0" fontId="12" fillId="0" borderId="0" xfId="0" applyFont="1" applyAlignment="1">
      <alignment vertical="center"/>
    </xf>
    <xf numFmtId="6" fontId="8" fillId="0" borderId="1" xfId="0" applyNumberFormat="1" applyFont="1" applyFill="1" applyBorder="1" applyAlignment="1">
      <alignment vertical="top" wrapText="1"/>
    </xf>
    <xf numFmtId="6" fontId="8" fillId="0" borderId="1" xfId="0" applyNumberFormat="1" applyFont="1" applyFill="1" applyBorder="1" applyAlignment="1">
      <alignment horizontal="center" vertical="top" wrapText="1"/>
    </xf>
    <xf numFmtId="6" fontId="0" fillId="0" borderId="1" xfId="0" applyNumberFormat="1" applyFill="1" applyBorder="1" applyAlignment="1">
      <alignment vertical="top"/>
    </xf>
    <xf numFmtId="6" fontId="0" fillId="0" borderId="0" xfId="0" applyNumberFormat="1" applyFill="1" applyAlignment="1">
      <alignment vertical="top"/>
    </xf>
    <xf numFmtId="6" fontId="0" fillId="0" borderId="0" xfId="0" applyNumberFormat="1" applyAlignment="1">
      <alignment vertical="top"/>
    </xf>
    <xf numFmtId="6" fontId="0" fillId="0" borderId="0" xfId="1" applyNumberFormat="1" applyFont="1" applyFill="1"/>
    <xf numFmtId="0" fontId="0" fillId="6" borderId="0" xfId="0" applyFill="1"/>
    <xf numFmtId="0" fontId="10" fillId="6" borderId="0" xfId="0" applyFont="1" applyFill="1" applyAlignment="1">
      <alignment horizontal="left" vertical="top" wrapText="1"/>
    </xf>
    <xf numFmtId="0" fontId="10" fillId="6" borderId="0" xfId="0" applyFont="1" applyFill="1" applyBorder="1" applyAlignment="1">
      <alignment horizontal="left" vertical="top" wrapText="1"/>
    </xf>
    <xf numFmtId="0" fontId="0" fillId="6" borderId="0" xfId="0" applyFill="1" applyBorder="1"/>
    <xf numFmtId="0" fontId="13" fillId="6" borderId="0" xfId="0" applyFont="1" applyFill="1" applyBorder="1"/>
    <xf numFmtId="0" fontId="6" fillId="6" borderId="0" xfId="0" applyFont="1" applyFill="1" applyBorder="1"/>
    <xf numFmtId="0" fontId="6" fillId="7" borderId="2" xfId="0" applyFont="1" applyFill="1" applyBorder="1"/>
    <xf numFmtId="0" fontId="14" fillId="6" borderId="0" xfId="0" applyFont="1" applyFill="1" applyBorder="1"/>
    <xf numFmtId="0" fontId="7" fillId="6" borderId="0" xfId="0" applyFont="1" applyFill="1" applyBorder="1" applyAlignment="1">
      <alignment wrapText="1"/>
    </xf>
    <xf numFmtId="0" fontId="0" fillId="6" borderId="0" xfId="0" applyFill="1" applyBorder="1" applyAlignment="1">
      <alignment vertical="center"/>
    </xf>
    <xf numFmtId="0" fontId="0" fillId="7" borderId="2" xfId="0" applyFill="1" applyBorder="1" applyAlignment="1">
      <alignment horizontal="center" vertical="center"/>
    </xf>
    <xf numFmtId="0" fontId="0" fillId="6" borderId="0" xfId="0" applyFill="1" applyBorder="1" applyAlignment="1">
      <alignment horizontal="center" vertical="center"/>
    </xf>
    <xf numFmtId="0" fontId="7" fillId="6" borderId="0" xfId="0" applyFont="1" applyFill="1" applyBorder="1"/>
    <xf numFmtId="0" fontId="14" fillId="6" borderId="3" xfId="0" applyFont="1" applyFill="1" applyBorder="1" applyAlignment="1">
      <alignment horizontal="center" vertical="center"/>
    </xf>
    <xf numFmtId="0" fontId="14" fillId="6" borderId="0" xfId="0" applyFont="1" applyFill="1" applyBorder="1" applyAlignment="1">
      <alignment horizontal="center" vertical="center"/>
    </xf>
    <xf numFmtId="3" fontId="0" fillId="7" borderId="2" xfId="0" applyNumberFormat="1" applyFont="1" applyFill="1" applyBorder="1" applyAlignment="1">
      <alignment horizontal="center" vertical="center"/>
    </xf>
    <xf numFmtId="3" fontId="0" fillId="6" borderId="0" xfId="0" applyNumberFormat="1" applyFill="1" applyBorder="1" applyAlignment="1">
      <alignment horizontal="center" vertical="center"/>
    </xf>
    <xf numFmtId="9" fontId="0" fillId="6" borderId="0" xfId="0" applyNumberFormat="1" applyFill="1" applyBorder="1" applyAlignment="1">
      <alignment horizontal="center" vertical="center"/>
    </xf>
    <xf numFmtId="1" fontId="0" fillId="6" borderId="0" xfId="0" applyNumberFormat="1" applyFill="1" applyBorder="1" applyAlignment="1">
      <alignment horizontal="center" vertical="center"/>
    </xf>
    <xf numFmtId="9" fontId="0" fillId="7" borderId="2" xfId="0" applyNumberFormat="1" applyFont="1" applyFill="1" applyBorder="1" applyAlignment="1">
      <alignment horizontal="center" vertical="center"/>
    </xf>
    <xf numFmtId="0" fontId="0" fillId="6" borderId="0" xfId="0" applyFill="1" applyBorder="1" applyAlignment="1">
      <alignment horizontal="center"/>
    </xf>
    <xf numFmtId="0" fontId="0" fillId="6" borderId="0" xfId="0" applyFill="1" applyAlignment="1">
      <alignment vertical="center"/>
    </xf>
    <xf numFmtId="0" fontId="0" fillId="8" borderId="2" xfId="0" applyFill="1" applyBorder="1" applyAlignment="1">
      <alignment horizontal="center" vertical="center"/>
    </xf>
    <xf numFmtId="0" fontId="0" fillId="6" borderId="0" xfId="0" applyFill="1" applyAlignment="1">
      <alignment horizontal="center" vertical="center"/>
    </xf>
    <xf numFmtId="0" fontId="5" fillId="6" borderId="0" xfId="0" applyFont="1" applyFill="1" applyBorder="1" applyAlignment="1">
      <alignment vertical="center"/>
    </xf>
    <xf numFmtId="0" fontId="5" fillId="6" borderId="0" xfId="0" applyFont="1" applyFill="1" applyBorder="1" applyAlignment="1">
      <alignment horizontal="center" vertical="center"/>
    </xf>
    <xf numFmtId="9" fontId="0" fillId="7" borderId="2" xfId="0" applyNumberFormat="1" applyFill="1" applyBorder="1" applyAlignment="1">
      <alignment horizontal="center" vertical="center"/>
    </xf>
    <xf numFmtId="167" fontId="0" fillId="8" borderId="2" xfId="0" applyNumberFormat="1" applyFill="1" applyBorder="1" applyAlignment="1">
      <alignment horizontal="center" vertical="center"/>
    </xf>
    <xf numFmtId="164" fontId="0" fillId="8" borderId="2" xfId="0" applyNumberFormat="1" applyFill="1" applyBorder="1" applyAlignment="1">
      <alignment horizontal="center" vertical="center"/>
    </xf>
    <xf numFmtId="3" fontId="0" fillId="7" borderId="2" xfId="0" applyNumberFormat="1" applyFill="1" applyBorder="1" applyAlignment="1">
      <alignment horizontal="center" vertical="center"/>
    </xf>
    <xf numFmtId="0" fontId="16" fillId="6" borderId="0" xfId="0" applyFont="1" applyFill="1" applyBorder="1" applyAlignment="1">
      <alignment wrapText="1"/>
    </xf>
    <xf numFmtId="0" fontId="17" fillId="6" borderId="0" xfId="0" applyFont="1" applyFill="1" applyAlignment="1">
      <alignment vertical="center"/>
    </xf>
    <xf numFmtId="0" fontId="14" fillId="6" borderId="0" xfId="0" applyFont="1" applyFill="1" applyBorder="1" applyAlignment="1">
      <alignment vertical="center" wrapText="1"/>
    </xf>
    <xf numFmtId="0" fontId="15" fillId="6" borderId="0" xfId="0" applyFont="1" applyFill="1" applyBorder="1" applyAlignment="1">
      <alignment vertical="center" wrapText="1"/>
    </xf>
    <xf numFmtId="0" fontId="16" fillId="6" borderId="0" xfId="0" applyFont="1" applyFill="1" applyBorder="1" applyAlignment="1"/>
    <xf numFmtId="9" fontId="0" fillId="6" borderId="0" xfId="1" applyFont="1" applyFill="1" applyBorder="1" applyAlignment="1">
      <alignment horizontal="center" vertical="center"/>
    </xf>
    <xf numFmtId="0" fontId="4" fillId="0" borderId="1" xfId="0" applyFont="1" applyBorder="1" applyAlignment="1">
      <alignment vertical="top"/>
    </xf>
    <xf numFmtId="0" fontId="4" fillId="0" borderId="1" xfId="0" applyFont="1" applyBorder="1" applyAlignment="1">
      <alignment vertical="top" wrapText="1"/>
    </xf>
    <xf numFmtId="14" fontId="0" fillId="0" borderId="1" xfId="0" applyNumberFormat="1" applyBorder="1" applyAlignment="1">
      <alignment vertical="top"/>
    </xf>
    <xf numFmtId="0" fontId="0" fillId="6" borderId="0" xfId="0" applyFill="1" applyBorder="1" applyAlignment="1">
      <alignment wrapText="1"/>
    </xf>
    <xf numFmtId="0" fontId="7" fillId="6" borderId="0" xfId="0" applyFont="1" applyFill="1" applyAlignment="1">
      <alignment horizontal="right" vertical="top" wrapText="1"/>
    </xf>
    <xf numFmtId="0" fontId="0" fillId="6" borderId="0" xfId="0" applyFill="1" applyAlignment="1">
      <alignment wrapText="1"/>
    </xf>
    <xf numFmtId="0" fontId="0" fillId="6" borderId="0" xfId="0" applyFill="1" applyBorder="1" applyAlignment="1">
      <alignment vertical="center" wrapText="1"/>
    </xf>
    <xf numFmtId="0" fontId="14" fillId="6" borderId="0" xfId="0" applyFont="1" applyFill="1" applyBorder="1" applyAlignment="1">
      <alignment horizontal="left" vertical="center" wrapText="1"/>
    </xf>
    <xf numFmtId="0" fontId="14" fillId="6" borderId="0" xfId="0" applyFont="1" applyFill="1" applyAlignment="1">
      <alignment vertical="center" wrapText="1"/>
    </xf>
    <xf numFmtId="0" fontId="0" fillId="0" borderId="0" xfId="0" applyAlignment="1">
      <alignment wrapText="1"/>
    </xf>
    <xf numFmtId="0" fontId="0" fillId="0" borderId="0" xfId="0" applyFill="1" applyBorder="1"/>
    <xf numFmtId="0" fontId="0" fillId="0" borderId="0" xfId="0" applyFill="1"/>
    <xf numFmtId="0" fontId="0" fillId="6" borderId="4" xfId="0" applyFill="1" applyBorder="1"/>
    <xf numFmtId="0" fontId="0" fillId="6" borderId="4" xfId="0" applyFill="1" applyBorder="1" applyAlignment="1">
      <alignment wrapText="1"/>
    </xf>
    <xf numFmtId="0" fontId="0" fillId="6" borderId="4" xfId="0" applyFill="1" applyBorder="1" applyAlignment="1">
      <alignment vertical="center" wrapText="1"/>
    </xf>
    <xf numFmtId="0" fontId="0" fillId="6" borderId="5" xfId="0" applyFill="1" applyBorder="1"/>
    <xf numFmtId="0" fontId="0" fillId="6" borderId="9" xfId="0" applyFill="1" applyBorder="1"/>
    <xf numFmtId="0" fontId="0" fillId="6" borderId="10" xfId="0" applyFill="1" applyBorder="1"/>
    <xf numFmtId="0" fontId="0" fillId="6" borderId="11" xfId="0" applyFill="1" applyBorder="1"/>
    <xf numFmtId="9" fontId="0" fillId="7" borderId="2" xfId="1" applyFont="1" applyFill="1" applyBorder="1" applyAlignment="1">
      <alignment horizontal="center" vertical="center"/>
    </xf>
    <xf numFmtId="164" fontId="0" fillId="6" borderId="0" xfId="1" applyNumberFormat="1" applyFont="1" applyFill="1" applyBorder="1" applyAlignment="1">
      <alignment horizontal="center" vertical="center"/>
    </xf>
    <xf numFmtId="2" fontId="0" fillId="7" borderId="2" xfId="0" applyNumberFormat="1" applyFill="1" applyBorder="1" applyAlignment="1">
      <alignment horizontal="center" vertical="center"/>
    </xf>
    <xf numFmtId="0" fontId="14" fillId="6" borderId="0" xfId="0" applyFont="1" applyFill="1"/>
    <xf numFmtId="1" fontId="0" fillId="7" borderId="2" xfId="0" applyNumberFormat="1" applyFill="1" applyBorder="1" applyAlignment="1">
      <alignment horizontal="center" vertical="center"/>
    </xf>
    <xf numFmtId="1" fontId="0" fillId="6" borderId="0" xfId="1" applyNumberFormat="1" applyFont="1" applyFill="1" applyBorder="1" applyAlignment="1">
      <alignment horizontal="center" vertical="center"/>
    </xf>
    <xf numFmtId="164" fontId="0" fillId="7" borderId="2" xfId="0" applyNumberFormat="1" applyFont="1" applyFill="1" applyBorder="1" applyAlignment="1">
      <alignment horizontal="center" vertical="center"/>
    </xf>
    <xf numFmtId="2" fontId="0" fillId="6" borderId="0" xfId="0" applyNumberFormat="1" applyFill="1" applyBorder="1" applyAlignment="1">
      <alignment horizontal="center" vertical="center"/>
    </xf>
    <xf numFmtId="0" fontId="4" fillId="0" borderId="0" xfId="0" applyFont="1"/>
    <xf numFmtId="0" fontId="12" fillId="0" borderId="0" xfId="0" applyFont="1"/>
    <xf numFmtId="0" fontId="0" fillId="6" borderId="0" xfId="0" applyFont="1" applyFill="1" applyBorder="1"/>
    <xf numFmtId="0" fontId="4" fillId="6" borderId="0" xfId="0" applyFont="1" applyFill="1" applyBorder="1" applyAlignment="1">
      <alignment vertical="center"/>
    </xf>
    <xf numFmtId="0" fontId="5" fillId="6" borderId="0" xfId="0" applyFont="1" applyFill="1" applyBorder="1"/>
    <xf numFmtId="0" fontId="0" fillId="6" borderId="12" xfId="0" applyFill="1" applyBorder="1"/>
    <xf numFmtId="0" fontId="0" fillId="6" borderId="12" xfId="0" applyFill="1" applyBorder="1" applyAlignment="1">
      <alignment vertical="center" wrapText="1"/>
    </xf>
    <xf numFmtId="0" fontId="14" fillId="6" borderId="0" xfId="0" applyFont="1" applyFill="1" applyBorder="1" applyAlignment="1">
      <alignment wrapText="1"/>
    </xf>
    <xf numFmtId="0" fontId="0" fillId="6" borderId="3" xfId="0" applyFill="1" applyBorder="1" applyAlignment="1">
      <alignment vertical="center"/>
    </xf>
    <xf numFmtId="3" fontId="0" fillId="9" borderId="2" xfId="0" applyNumberFormat="1" applyFont="1" applyFill="1" applyBorder="1" applyAlignment="1">
      <alignment horizontal="center" vertical="center"/>
    </xf>
    <xf numFmtId="9" fontId="0" fillId="9" borderId="2" xfId="0" applyNumberFormat="1" applyFont="1" applyFill="1" applyBorder="1" applyAlignment="1">
      <alignment horizontal="center" vertical="center"/>
    </xf>
    <xf numFmtId="3" fontId="0" fillId="9" borderId="2" xfId="0" applyNumberFormat="1" applyFill="1" applyBorder="1" applyAlignment="1">
      <alignment horizontal="center" vertical="center"/>
    </xf>
    <xf numFmtId="164" fontId="0" fillId="9" borderId="2" xfId="0" applyNumberFormat="1" applyFill="1" applyBorder="1" applyAlignment="1">
      <alignment horizontal="center" vertical="center"/>
    </xf>
    <xf numFmtId="164" fontId="0" fillId="9" borderId="2" xfId="0" applyNumberFormat="1" applyFont="1" applyFill="1" applyBorder="1" applyAlignment="1">
      <alignment horizontal="center" vertical="center"/>
    </xf>
    <xf numFmtId="0" fontId="0" fillId="9" borderId="2" xfId="0" applyFill="1" applyBorder="1" applyAlignment="1">
      <alignment horizontal="center" vertical="center"/>
    </xf>
    <xf numFmtId="2" fontId="0" fillId="9" borderId="2" xfId="0" applyNumberFormat="1" applyFill="1" applyBorder="1" applyAlignment="1">
      <alignment horizontal="center" vertical="center"/>
    </xf>
    <xf numFmtId="0" fontId="3" fillId="0" borderId="0" xfId="0" applyFont="1" applyFill="1" applyBorder="1"/>
    <xf numFmtId="0" fontId="3" fillId="0" borderId="0" xfId="0" applyFont="1" applyFill="1" applyBorder="1" applyAlignment="1">
      <alignment wrapText="1"/>
    </xf>
    <xf numFmtId="0" fontId="3" fillId="0" borderId="0" xfId="0" applyFont="1" applyFill="1" applyAlignment="1">
      <alignment wrapText="1"/>
    </xf>
    <xf numFmtId="0" fontId="3" fillId="0" borderId="0" xfId="0" applyFont="1" applyFill="1"/>
    <xf numFmtId="0" fontId="0" fillId="0" borderId="0" xfId="0" applyFill="1" applyAlignment="1">
      <alignment wrapText="1"/>
    </xf>
    <xf numFmtId="3" fontId="0" fillId="0" borderId="2" xfId="0" applyNumberFormat="1" applyFill="1" applyBorder="1" applyAlignment="1">
      <alignment horizontal="center" vertical="center"/>
    </xf>
    <xf numFmtId="3" fontId="0" fillId="0" borderId="2" xfId="0" applyNumberFormat="1" applyFont="1" applyFill="1" applyBorder="1" applyAlignment="1">
      <alignment horizontal="center" vertical="center"/>
    </xf>
    <xf numFmtId="0" fontId="0" fillId="0" borderId="2" xfId="0" applyFill="1" applyBorder="1"/>
    <xf numFmtId="166" fontId="0" fillId="0" borderId="2" xfId="0" applyNumberFormat="1" applyFont="1" applyFill="1" applyBorder="1" applyAlignment="1">
      <alignment horizontal="center" vertical="center"/>
    </xf>
    <xf numFmtId="0" fontId="12" fillId="0" borderId="0" xfId="0" applyFont="1" applyFill="1" applyAlignment="1">
      <alignment vertical="center"/>
    </xf>
    <xf numFmtId="0" fontId="17" fillId="0" borderId="0" xfId="0" applyFont="1" applyFill="1" applyAlignment="1">
      <alignment vertical="center" wrapText="1"/>
    </xf>
    <xf numFmtId="0" fontId="0" fillId="0" borderId="0" xfId="0" applyFill="1" applyBorder="1" applyAlignment="1">
      <alignment vertical="center"/>
    </xf>
    <xf numFmtId="0" fontId="6" fillId="7" borderId="2" xfId="0" applyFont="1" applyFill="1" applyBorder="1" applyAlignment="1">
      <alignment vertical="center"/>
    </xf>
    <xf numFmtId="0" fontId="6" fillId="9" borderId="2" xfId="0" applyFont="1" applyFill="1" applyBorder="1" applyAlignment="1">
      <alignment vertical="center"/>
    </xf>
    <xf numFmtId="0" fontId="0" fillId="0" borderId="2" xfId="0" applyFill="1" applyBorder="1" applyAlignment="1">
      <alignment vertical="center"/>
    </xf>
    <xf numFmtId="0" fontId="0" fillId="6" borderId="4" xfId="0" applyFill="1" applyBorder="1" applyAlignment="1">
      <alignment vertical="center"/>
    </xf>
    <xf numFmtId="0" fontId="0" fillId="0" borderId="0" xfId="0" applyFill="1" applyAlignment="1">
      <alignment vertical="center"/>
    </xf>
    <xf numFmtId="0" fontId="7" fillId="6" borderId="0" xfId="0" applyFont="1" applyFill="1" applyBorder="1" applyAlignment="1">
      <alignment vertical="center" wrapText="1"/>
    </xf>
    <xf numFmtId="0" fontId="7" fillId="6" borderId="0" xfId="0" applyFont="1" applyFill="1" applyBorder="1" applyAlignment="1">
      <alignment vertical="center"/>
    </xf>
    <xf numFmtId="0" fontId="4" fillId="6" borderId="0" xfId="0" applyFont="1" applyFill="1" applyAlignment="1">
      <alignment vertical="center"/>
    </xf>
    <xf numFmtId="0" fontId="20" fillId="6" borderId="0" xfId="0" applyFont="1" applyFill="1" applyAlignment="1">
      <alignment vertical="center"/>
    </xf>
    <xf numFmtId="0" fontId="14" fillId="6" borderId="0" xfId="0" applyFont="1" applyFill="1" applyAlignment="1">
      <alignment vertical="center"/>
    </xf>
    <xf numFmtId="0" fontId="7" fillId="0" borderId="0" xfId="0" applyFont="1" applyFill="1" applyAlignment="1">
      <alignment vertical="center" wrapText="1"/>
    </xf>
    <xf numFmtId="0" fontId="0" fillId="0" borderId="0" xfId="0" applyFill="1" applyAlignment="1">
      <alignment vertical="center" wrapText="1"/>
    </xf>
    <xf numFmtId="0" fontId="5" fillId="0" borderId="0" xfId="0" applyFont="1" applyFill="1" applyAlignment="1">
      <alignment vertical="center" wrapText="1"/>
    </xf>
    <xf numFmtId="0" fontId="12" fillId="0" borderId="0" xfId="0" applyFont="1" applyFill="1" applyAlignment="1">
      <alignment vertical="center" wrapText="1"/>
    </xf>
    <xf numFmtId="0" fontId="21" fillId="0" borderId="0" xfId="0" applyFont="1" applyFill="1" applyAlignment="1">
      <alignment vertical="center" wrapText="1"/>
    </xf>
    <xf numFmtId="0" fontId="0" fillId="0" borderId="0" xfId="0" applyFill="1" applyBorder="1" applyAlignment="1">
      <alignment vertical="center" wrapText="1"/>
    </xf>
    <xf numFmtId="0" fontId="0" fillId="0" borderId="4" xfId="0" applyFill="1" applyBorder="1" applyAlignment="1">
      <alignment vertical="center" wrapText="1"/>
    </xf>
    <xf numFmtId="0" fontId="6" fillId="0" borderId="0" xfId="0" applyFont="1" applyFill="1" applyAlignment="1">
      <alignment vertical="center" wrapText="1"/>
    </xf>
    <xf numFmtId="0" fontId="0" fillId="0" borderId="0" xfId="0" applyFont="1" applyFill="1" applyAlignment="1">
      <alignment vertical="center" wrapText="1"/>
    </xf>
    <xf numFmtId="14" fontId="10" fillId="6" borderId="0" xfId="0" applyNumberFormat="1" applyFont="1" applyFill="1" applyAlignment="1">
      <alignment horizontal="center" vertical="top" wrapText="1"/>
    </xf>
    <xf numFmtId="0" fontId="6" fillId="0" borderId="0" xfId="0" applyFont="1"/>
    <xf numFmtId="0" fontId="8" fillId="0" borderId="1" xfId="0" applyFont="1" applyFill="1" applyBorder="1" applyAlignment="1">
      <alignment horizontal="center" vertical="top" wrapText="1"/>
    </xf>
    <xf numFmtId="0" fontId="0" fillId="6" borderId="6" xfId="0" applyFill="1" applyBorder="1"/>
    <xf numFmtId="0" fontId="14" fillId="6" borderId="7" xfId="0" applyFont="1" applyFill="1" applyBorder="1" applyAlignment="1">
      <alignment horizontal="center" vertical="center"/>
    </xf>
    <xf numFmtId="0" fontId="0" fillId="6" borderId="7" xfId="0" applyFill="1" applyBorder="1"/>
    <xf numFmtId="0" fontId="0" fillId="6" borderId="8" xfId="0" applyFill="1" applyBorder="1"/>
    <xf numFmtId="0" fontId="0" fillId="6" borderId="7" xfId="0" applyFill="1" applyBorder="1" applyAlignment="1">
      <alignment horizontal="center" vertical="center"/>
    </xf>
    <xf numFmtId="0" fontId="14" fillId="6" borderId="10" xfId="0" applyFont="1" applyFill="1" applyBorder="1" applyAlignment="1">
      <alignment horizontal="center" vertical="center"/>
    </xf>
    <xf numFmtId="164" fontId="0" fillId="0" borderId="0" xfId="1" applyNumberFormat="1" applyFont="1"/>
    <xf numFmtId="9" fontId="0" fillId="0" borderId="0" xfId="0" applyNumberFormat="1"/>
    <xf numFmtId="3" fontId="0" fillId="0" borderId="0" xfId="0" applyNumberFormat="1"/>
    <xf numFmtId="0" fontId="4" fillId="0" borderId="0" xfId="0" applyFont="1" applyAlignment="1">
      <alignment horizontal="center"/>
    </xf>
    <xf numFmtId="3" fontId="0" fillId="6" borderId="0" xfId="0" applyNumberFormat="1" applyFill="1" applyBorder="1" applyAlignment="1">
      <alignment wrapText="1"/>
    </xf>
    <xf numFmtId="0" fontId="0" fillId="0" borderId="2" xfId="0" applyFill="1" applyBorder="1" applyAlignment="1">
      <alignment horizontal="center" vertical="center"/>
    </xf>
    <xf numFmtId="2" fontId="0" fillId="0" borderId="0" xfId="0" applyNumberFormat="1"/>
    <xf numFmtId="3" fontId="0" fillId="0" borderId="0" xfId="0" applyNumberFormat="1" applyFill="1" applyBorder="1" applyAlignment="1">
      <alignment horizontal="right" vertical="center"/>
    </xf>
    <xf numFmtId="0" fontId="4" fillId="0" borderId="0" xfId="0" applyFont="1" applyFill="1" applyBorder="1" applyAlignment="1">
      <alignment vertical="center"/>
    </xf>
    <xf numFmtId="0" fontId="7" fillId="0" borderId="0" xfId="0" applyFont="1" applyFill="1" applyAlignment="1">
      <alignment horizontal="right" vertical="top" wrapText="1"/>
    </xf>
    <xf numFmtId="0" fontId="3" fillId="6" borderId="10" xfId="0" applyFont="1" applyFill="1" applyBorder="1"/>
    <xf numFmtId="0" fontId="3" fillId="6" borderId="0" xfId="0" applyFont="1" applyFill="1" applyBorder="1"/>
    <xf numFmtId="0" fontId="5" fillId="6" borderId="0" xfId="0" applyFont="1" applyFill="1" applyBorder="1" applyAlignment="1">
      <alignment wrapText="1"/>
    </xf>
    <xf numFmtId="3" fontId="9" fillId="0" borderId="1" xfId="0" applyNumberFormat="1" applyFont="1" applyFill="1" applyBorder="1" applyAlignment="1">
      <alignment horizontal="center" vertical="top" wrapText="1"/>
    </xf>
    <xf numFmtId="167" fontId="8" fillId="0" borderId="1" xfId="0" applyNumberFormat="1" applyFont="1" applyFill="1" applyBorder="1" applyAlignment="1">
      <alignment horizontal="center" vertical="top" wrapText="1"/>
    </xf>
    <xf numFmtId="0" fontId="0" fillId="0" borderId="0" xfId="0" applyAlignment="1">
      <alignment horizontal="center" vertical="top"/>
    </xf>
    <xf numFmtId="0" fontId="0" fillId="0" borderId="0" xfId="0" applyFill="1" applyAlignment="1">
      <alignment horizontal="center" vertical="top"/>
    </xf>
    <xf numFmtId="167" fontId="8" fillId="0" borderId="1" xfId="0" applyNumberFormat="1" applyFont="1" applyFill="1" applyBorder="1" applyAlignment="1">
      <alignment horizontal="left" vertical="top" wrapText="1"/>
    </xf>
    <xf numFmtId="168" fontId="0" fillId="7" borderId="2" xfId="0" applyNumberFormat="1" applyFont="1" applyFill="1" applyBorder="1" applyAlignment="1">
      <alignment horizontal="center" vertical="center"/>
    </xf>
    <xf numFmtId="0" fontId="9" fillId="0" borderId="1" xfId="0" applyFont="1" applyFill="1" applyBorder="1" applyAlignment="1">
      <alignment horizontal="center" vertical="top"/>
    </xf>
    <xf numFmtId="3" fontId="11" fillId="5" borderId="0" xfId="0" applyNumberFormat="1" applyFont="1" applyFill="1" applyAlignment="1">
      <alignment horizontal="center" vertical="top"/>
    </xf>
    <xf numFmtId="3" fontId="11" fillId="3" borderId="0" xfId="0" applyNumberFormat="1" applyFont="1" applyFill="1" applyAlignment="1">
      <alignment horizontal="center" vertical="top" wrapText="1"/>
    </xf>
    <xf numFmtId="3" fontId="11" fillId="2" borderId="0" xfId="0" applyNumberFormat="1" applyFont="1" applyFill="1" applyAlignment="1">
      <alignment horizontal="center" vertical="top" wrapText="1"/>
    </xf>
    <xf numFmtId="3" fontId="11" fillId="4" borderId="0" xfId="0" applyNumberFormat="1" applyFont="1" applyFill="1" applyAlignment="1">
      <alignment horizontal="center" vertical="top" wrapText="1"/>
    </xf>
    <xf numFmtId="3" fontId="9" fillId="0" borderId="1" xfId="0" applyNumberFormat="1" applyFont="1" applyFill="1" applyBorder="1" applyAlignment="1">
      <alignment horizontal="center" vertical="top" wrapText="1"/>
    </xf>
  </cellXfs>
  <cellStyles count="3">
    <cellStyle name="Normal" xfId="0" builtinId="0"/>
    <cellStyle name="Percent" xfId="1" builtinId="5"/>
    <cellStyle name="Procent 2" xfId="2"/>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DE75"/>
      <color rgb="FF9BFFA5"/>
      <color rgb="FFF6ED7E"/>
      <color rgb="FF99FF66"/>
      <color rgb="FFFFCC66"/>
      <color rgb="FF66FFFF"/>
      <color rgb="FFFF99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utan ROT-avdrag och investeringsstöd</a:t>
            </a:r>
          </a:p>
        </c:rich>
      </c:tx>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wrap="square" lIns="38100" tIns="19050" rIns="38100" bIns="19050" anchor="ctr">
                <a:spAutoFit/>
              </a:bodyPr>
              <a:lstStyle/>
              <a:p>
                <a:pPr>
                  <a:defRPr>
                    <a:solidFill>
                      <a:sysClr val="windowText" lastClr="000000"/>
                    </a:solidFill>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val>
            <c:numRef>
              <c:f>(Kassaflöden!$D$55,Kassaflöden!$G$55)</c:f>
              <c:numCache>
                <c:formatCode>"kr"#,##0_);[Red]\("kr"#,##0\)</c:formatCode>
                <c:ptCount val="2"/>
                <c:pt idx="0">
                  <c:v>-89145.220949827795</c:v>
                </c:pt>
                <c:pt idx="1">
                  <c:v>0</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"kr"#,##0_);[Red]\("kr"#,##0\)</c:formatCode>
                <c:ptCount val="2"/>
                <c:pt idx="0">
                  <c:v>-89145.220949827795</c:v>
                </c:pt>
                <c:pt idx="1">
                  <c:v>0</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t>Intäkter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Kassaflöden!$H$3:$M$3</c:f>
              <c:strCache>
                <c:ptCount val="6"/>
                <c:pt idx="0">
                  <c:v>Egenanvänd el</c:v>
                </c:pt>
                <c:pt idx="1">
                  <c:v>Såld el</c:v>
                </c:pt>
                <c:pt idx="2">
                  <c:v>Ersättning nätägare</c:v>
                </c:pt>
                <c:pt idx="3">
                  <c:v>Elcertifikat</c:v>
                </c:pt>
                <c:pt idx="4">
                  <c:v>Ursprungsgarantier</c:v>
                </c:pt>
                <c:pt idx="5">
                  <c:v>Skattereduktion</c:v>
                </c:pt>
              </c:strCache>
            </c:strRef>
          </c:cat>
          <c:val>
            <c:numRef>
              <c:f>Kassaflöden!$H$55:$M$55</c:f>
              <c:numCache>
                <c:formatCode>"kr"#,##0_);[Red]\("kr"#,##0\)</c:formatCode>
                <c:ptCount val="6"/>
                <c:pt idx="0">
                  <c:v>54236.747272489367</c:v>
                </c:pt>
                <c:pt idx="1">
                  <c:v>19370.266883031913</c:v>
                </c:pt>
                <c:pt idx="2">
                  <c:v>1937.0266883031916</c:v>
                </c:pt>
                <c:pt idx="3">
                  <c:v>2944.7180856419563</c:v>
                </c:pt>
                <c:pt idx="4">
                  <c:v>387.40533766063845</c:v>
                </c:pt>
                <c:pt idx="5">
                  <c:v>13591.006549116721</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35433070866141736" l="0.31496062992125984" r="0.31496062992125984" t="0.74803149606299213" header="0.31496062992125984" footer="0.31496062992125984"/>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Utan ROT-avdrag eller</a:t>
            </a:r>
            <a:r>
              <a:rPr lang="en-US" sz="1400" baseline="0"/>
              <a:t> investeringsstöd</a:t>
            </a:r>
            <a:endParaRPr lang="en-US" sz="1400"/>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Kassaflöden!$O$4:$O$54</c:f>
              <c:numCache>
                <c:formatCode>#\ ##0_ ;[Red]\-#\ ##0\ </c:formatCode>
                <c:ptCount val="51"/>
                <c:pt idx="0">
                  <c:v>-78000</c:v>
                </c:pt>
                <c:pt idx="1">
                  <c:v>-73257.688235294117</c:v>
                </c:pt>
                <c:pt idx="2">
                  <c:v>-68622.310951557098</c:v>
                </c:pt>
                <c:pt idx="3">
                  <c:v>-64091.456881080812</c:v>
                </c:pt>
                <c:pt idx="4">
                  <c:v>-59662.769127879968</c:v>
                </c:pt>
                <c:pt idx="5">
                  <c:v>-55333.943941663063</c:v>
                </c:pt>
                <c:pt idx="6">
                  <c:v>-51102.729519449094</c:v>
                </c:pt>
                <c:pt idx="7">
                  <c:v>-46966.924834206613</c:v>
                </c:pt>
                <c:pt idx="8">
                  <c:v>-42924.378489905874</c:v>
                </c:pt>
                <c:pt idx="9">
                  <c:v>-38972.987602388392</c:v>
                </c:pt>
                <c:pt idx="10">
                  <c:v>-35110.69670547179</c:v>
                </c:pt>
                <c:pt idx="11">
                  <c:v>-31335.496681720953</c:v>
                </c:pt>
                <c:pt idx="12">
                  <c:v>-27645.423717329206</c:v>
                </c:pt>
                <c:pt idx="13">
                  <c:v>-24038.5582805659</c:v>
                </c:pt>
                <c:pt idx="14">
                  <c:v>-20513.02412325902</c:v>
                </c:pt>
                <c:pt idx="15">
                  <c:v>-28212.20825462116</c:v>
                </c:pt>
                <c:pt idx="16">
                  <c:v>-25757.958867748908</c:v>
                </c:pt>
                <c:pt idx="17">
                  <c:v>-23359.050398423777</c:v>
                </c:pt>
                <c:pt idx="18">
                  <c:v>-21014.234963210878</c:v>
                </c:pt>
                <c:pt idx="19">
                  <c:v>-18722.292817223366</c:v>
                </c:pt>
                <c:pt idx="20">
                  <c:v>-16482.031719625767</c:v>
                </c:pt>
                <c:pt idx="21">
                  <c:v>-14292.286313444587</c:v>
                </c:pt>
                <c:pt idx="22">
                  <c:v>-12151.917519363571</c:v>
                </c:pt>
                <c:pt idx="23">
                  <c:v>-10059.811943188302</c:v>
                </c:pt>
                <c:pt idx="24">
                  <c:v>-8014.8812966718888</c:v>
                </c:pt>
                <c:pt idx="25">
                  <c:v>-6016.0618314004532</c:v>
                </c:pt>
                <c:pt idx="26">
                  <c:v>-4062.3137854439615</c:v>
                </c:pt>
                <c:pt idx="27">
                  <c:v>-2152.6208424845272</c:v>
                </c:pt>
                <c:pt idx="28">
                  <c:v>-285.98960314084525</c:v>
                </c:pt>
                <c:pt idx="29">
                  <c:v>1538.5509317862636</c:v>
                </c:pt>
                <c:pt idx="30">
                  <c:v>3321.9498664159964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340753296"/>
        <c:axId val="340753688"/>
      </c:scatterChart>
      <c:valAx>
        <c:axId val="340753296"/>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40753688"/>
        <c:crosses val="autoZero"/>
        <c:crossBetween val="midCat"/>
      </c:valAx>
      <c:valAx>
        <c:axId val="340753688"/>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 ##0_ ;[Red]\-#\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40753296"/>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Med ROT-avdrag</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Kassaflöden!$Q$4:$Q$54</c:f>
              <c:numCache>
                <c:formatCode>#\ ##0_ ;[Red]\-#\ ##0\ </c:formatCode>
                <c:ptCount val="51"/>
                <c:pt idx="0">
                  <c:v>-71160</c:v>
                </c:pt>
                <c:pt idx="1">
                  <c:v>-66417.688235294117</c:v>
                </c:pt>
                <c:pt idx="2">
                  <c:v>-61782.310951557098</c:v>
                </c:pt>
                <c:pt idx="3">
                  <c:v>-57251.456881080812</c:v>
                </c:pt>
                <c:pt idx="4">
                  <c:v>-52822.769127879968</c:v>
                </c:pt>
                <c:pt idx="5">
                  <c:v>-48493.943941663063</c:v>
                </c:pt>
                <c:pt idx="6">
                  <c:v>-44262.729519449094</c:v>
                </c:pt>
                <c:pt idx="7">
                  <c:v>-40126.924834206613</c:v>
                </c:pt>
                <c:pt idx="8">
                  <c:v>-36084.378489905874</c:v>
                </c:pt>
                <c:pt idx="9">
                  <c:v>-32132.987602388388</c:v>
                </c:pt>
                <c:pt idx="10">
                  <c:v>-28270.696705471786</c:v>
                </c:pt>
                <c:pt idx="11">
                  <c:v>-24495.49668172095</c:v>
                </c:pt>
                <c:pt idx="12">
                  <c:v>-20805.423717329202</c:v>
                </c:pt>
                <c:pt idx="13">
                  <c:v>-17198.558280565896</c:v>
                </c:pt>
                <c:pt idx="14">
                  <c:v>-13673.024123259018</c:v>
                </c:pt>
                <c:pt idx="15">
                  <c:v>-21372.20825462116</c:v>
                </c:pt>
                <c:pt idx="16">
                  <c:v>-18917.958867748908</c:v>
                </c:pt>
                <c:pt idx="17">
                  <c:v>-16519.050398423777</c:v>
                </c:pt>
                <c:pt idx="18">
                  <c:v>-14174.234963210876</c:v>
                </c:pt>
                <c:pt idx="19">
                  <c:v>-11882.292817223364</c:v>
                </c:pt>
                <c:pt idx="20">
                  <c:v>-9642.0317196257674</c:v>
                </c:pt>
                <c:pt idx="21">
                  <c:v>-7452.286313444587</c:v>
                </c:pt>
                <c:pt idx="22">
                  <c:v>-5311.917519363571</c:v>
                </c:pt>
                <c:pt idx="23">
                  <c:v>-3219.8119431883024</c:v>
                </c:pt>
                <c:pt idx="24">
                  <c:v>-1174.8812966718883</c:v>
                </c:pt>
                <c:pt idx="25">
                  <c:v>823.93816859954768</c:v>
                </c:pt>
                <c:pt idx="26">
                  <c:v>2777.6862145560394</c:v>
                </c:pt>
                <c:pt idx="27">
                  <c:v>4687.3791575154737</c:v>
                </c:pt>
                <c:pt idx="28">
                  <c:v>6554.0103968591557</c:v>
                </c:pt>
                <c:pt idx="29">
                  <c:v>8378.5509317862652</c:v>
                </c:pt>
                <c:pt idx="30">
                  <c:v>10161.949866415998</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340754472"/>
        <c:axId val="340754864"/>
      </c:scatterChart>
      <c:valAx>
        <c:axId val="340754472"/>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40754864"/>
        <c:crosses val="autoZero"/>
        <c:crossBetween val="midCat"/>
      </c:valAx>
      <c:valAx>
        <c:axId val="340754864"/>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 ##0_ ;[Red]\-#\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4075447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Med investeringsstöd</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Kassaflöden!$S$4:$S$54</c:f>
              <c:numCache>
                <c:formatCode>#\ ##0_ ;[Red]\-#\ ##0\ </c:formatCode>
                <c:ptCount val="51"/>
                <c:pt idx="0">
                  <c:v>-62800</c:v>
                </c:pt>
                <c:pt idx="1">
                  <c:v>-58057.688235294117</c:v>
                </c:pt>
                <c:pt idx="2">
                  <c:v>-53422.310951557098</c:v>
                </c:pt>
                <c:pt idx="3">
                  <c:v>-48891.456881080812</c:v>
                </c:pt>
                <c:pt idx="4">
                  <c:v>-44462.769127879968</c:v>
                </c:pt>
                <c:pt idx="5">
                  <c:v>-40133.943941663063</c:v>
                </c:pt>
                <c:pt idx="6">
                  <c:v>-35902.729519449094</c:v>
                </c:pt>
                <c:pt idx="7">
                  <c:v>-31766.924834206613</c:v>
                </c:pt>
                <c:pt idx="8">
                  <c:v>-27724.378489905874</c:v>
                </c:pt>
                <c:pt idx="9">
                  <c:v>-23772.987602388388</c:v>
                </c:pt>
                <c:pt idx="10">
                  <c:v>-19910.696705471786</c:v>
                </c:pt>
                <c:pt idx="11">
                  <c:v>-16135.49668172095</c:v>
                </c:pt>
                <c:pt idx="12">
                  <c:v>-12445.423717329202</c:v>
                </c:pt>
                <c:pt idx="13">
                  <c:v>-8838.558280565896</c:v>
                </c:pt>
                <c:pt idx="14">
                  <c:v>-5313.0241232590179</c:v>
                </c:pt>
                <c:pt idx="15">
                  <c:v>-13012.20825462116</c:v>
                </c:pt>
                <c:pt idx="16">
                  <c:v>-10557.958867748908</c:v>
                </c:pt>
                <c:pt idx="17">
                  <c:v>-8159.0503984237748</c:v>
                </c:pt>
                <c:pt idx="18">
                  <c:v>-5814.2349632108744</c:v>
                </c:pt>
                <c:pt idx="19">
                  <c:v>-3522.2928172233628</c:v>
                </c:pt>
                <c:pt idx="20">
                  <c:v>-1282.0317196257661</c:v>
                </c:pt>
                <c:pt idx="21">
                  <c:v>907.71368655541437</c:v>
                </c:pt>
                <c:pt idx="22">
                  <c:v>3048.0824806364308</c:v>
                </c:pt>
                <c:pt idx="23">
                  <c:v>5140.1880568116994</c:v>
                </c:pt>
                <c:pt idx="24">
                  <c:v>7185.118703328113</c:v>
                </c:pt>
                <c:pt idx="25">
                  <c:v>9183.9381685995486</c:v>
                </c:pt>
                <c:pt idx="26">
                  <c:v>11137.686214556041</c:v>
                </c:pt>
                <c:pt idx="27">
                  <c:v>13047.379157515476</c:v>
                </c:pt>
                <c:pt idx="28">
                  <c:v>14914.010396859157</c:v>
                </c:pt>
                <c:pt idx="29">
                  <c:v>16738.550931786267</c:v>
                </c:pt>
                <c:pt idx="30">
                  <c:v>18521.949866415998</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340757216"/>
        <c:axId val="340757608"/>
      </c:scatterChart>
      <c:valAx>
        <c:axId val="340757216"/>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40757608"/>
        <c:crosses val="autoZero"/>
        <c:crossBetween val="midCat"/>
      </c:valAx>
      <c:valAx>
        <c:axId val="340757608"/>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 ##0_ ;[Red]\-#\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40757216"/>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med ROT-avdrag</a:t>
            </a:r>
          </a:p>
        </c:rich>
      </c:tx>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1"/>
              <c:spPr>
                <a:noFill/>
                <a:ln>
                  <a:noFill/>
                </a:ln>
                <a:effectLst/>
              </c:spPr>
              <c:txPr>
                <a:bodyPr wrap="square" lIns="38100" tIns="19050" rIns="38100" bIns="19050" anchor="ctr">
                  <a:noAutofit/>
                </a:bodyPr>
                <a:lstStyle/>
                <a:p>
                  <a:pPr>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dLblPos val="outEnd"/>
            <c:showLegendKey val="0"/>
            <c:showVal val="1"/>
            <c:showCatName val="0"/>
            <c:showSerName val="0"/>
            <c:showPercent val="1"/>
            <c:showBubbleSize val="0"/>
            <c:showLeaderLines val="0"/>
            <c:extLst>
              <c:ext xmlns:c15="http://schemas.microsoft.com/office/drawing/2012/chart" uri="{CE6537A1-D6FC-4f65-9D91-7224C49458BB}"/>
            </c:extLst>
          </c:dLbls>
          <c:val>
            <c:numRef>
              <c:f>(Kassaflöden!$E$55,Kassaflöden!$G$55)</c:f>
              <c:numCache>
                <c:formatCode>"kr"#,##0_);[Red]\("kr"#,##0\)</c:formatCode>
                <c:ptCount val="2"/>
                <c:pt idx="0">
                  <c:v>-82305.220949827795</c:v>
                </c:pt>
                <c:pt idx="1">
                  <c:v>0</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"kr"#,##0_);[Red]\("kr"#,##0\)</c:formatCode>
                <c:ptCount val="2"/>
                <c:pt idx="0">
                  <c:v>-89145.220949827795</c:v>
                </c:pt>
                <c:pt idx="1">
                  <c:v>0</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med investeringsstöd</a:t>
            </a:r>
          </a:p>
        </c:rich>
      </c:tx>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dLblPos val="outEnd"/>
            <c:showLegendKey val="0"/>
            <c:showVal val="1"/>
            <c:showCatName val="0"/>
            <c:showSerName val="0"/>
            <c:showPercent val="1"/>
            <c:showBubbleSize val="0"/>
            <c:showLeaderLines val="0"/>
            <c:extLst>
              <c:ext xmlns:c15="http://schemas.microsoft.com/office/drawing/2012/chart" uri="{CE6537A1-D6FC-4f65-9D91-7224C49458BB}"/>
            </c:extLst>
          </c:dLbls>
          <c:val>
            <c:numRef>
              <c:f>(Kassaflöden!$F$55,Kassaflöden!$G$55)</c:f>
              <c:numCache>
                <c:formatCode>"kr"#,##0_);[Red]\("kr"#,##0\)</c:formatCode>
                <c:ptCount val="2"/>
                <c:pt idx="0">
                  <c:v>-73945.220949827795</c:v>
                </c:pt>
                <c:pt idx="1">
                  <c:v>0</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"kr"#,##0_);[Red]\("kr"#,##0\)</c:formatCode>
                <c:ptCount val="2"/>
                <c:pt idx="0">
                  <c:v>-89145.220949827795</c:v>
                </c:pt>
                <c:pt idx="1">
                  <c:v>0</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2944741</xdr:colOff>
      <xdr:row>7</xdr:row>
      <xdr:rowOff>133387</xdr:rowOff>
    </xdr:from>
    <xdr:to>
      <xdr:col>3</xdr:col>
      <xdr:colOff>4697122</xdr:colOff>
      <xdr:row>10</xdr:row>
      <xdr:rowOff>66638</xdr:rowOff>
    </xdr:to>
    <xdr:pic>
      <xdr:nvPicPr>
        <xdr:cNvPr id="2" name="Picture 1"/>
        <xdr:cNvPicPr>
          <a:picLocks noChangeAspect="1"/>
        </xdr:cNvPicPr>
      </xdr:nvPicPr>
      <xdr:blipFill>
        <a:blip xmlns:r="http://schemas.openxmlformats.org/officeDocument/2006/relationships" r:embed="rId1"/>
        <a:stretch>
          <a:fillRect/>
        </a:stretch>
      </xdr:blipFill>
      <xdr:spPr>
        <a:xfrm>
          <a:off x="9126466" y="1743112"/>
          <a:ext cx="1752381" cy="590476"/>
        </a:xfrm>
        <a:prstGeom prst="rect">
          <a:avLst/>
        </a:prstGeom>
      </xdr:spPr>
    </xdr:pic>
    <xdr:clientData/>
  </xdr:twoCellAnchor>
  <xdr:twoCellAnchor editAs="oneCell">
    <xdr:from>
      <xdr:col>3</xdr:col>
      <xdr:colOff>2944741</xdr:colOff>
      <xdr:row>2</xdr:row>
      <xdr:rowOff>171450</xdr:rowOff>
    </xdr:from>
    <xdr:to>
      <xdr:col>3</xdr:col>
      <xdr:colOff>5726041</xdr:colOff>
      <xdr:row>4</xdr:row>
      <xdr:rowOff>219075</xdr:rowOff>
    </xdr:to>
    <xdr:pic>
      <xdr:nvPicPr>
        <xdr:cNvPr id="12" name="Picture 11" descr="Mälardalens högskolas logoty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6466" y="609600"/>
          <a:ext cx="27813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2944741</xdr:colOff>
      <xdr:row>12</xdr:row>
      <xdr:rowOff>123825</xdr:rowOff>
    </xdr:from>
    <xdr:to>
      <xdr:col>3</xdr:col>
      <xdr:colOff>4865539</xdr:colOff>
      <xdr:row>14</xdr:row>
      <xdr:rowOff>180975</xdr:rowOff>
    </xdr:to>
    <xdr:pic>
      <xdr:nvPicPr>
        <xdr:cNvPr id="13" name="Picture 12" descr="Energimyndighet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6466" y="2828925"/>
          <a:ext cx="1920798"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xdr:colOff>
      <xdr:row>35</xdr:row>
      <xdr:rowOff>114300</xdr:rowOff>
    </xdr:from>
    <xdr:to>
      <xdr:col>1</xdr:col>
      <xdr:colOff>3993650</xdr:colOff>
      <xdr:row>39</xdr:row>
      <xdr:rowOff>42674</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675" y="9029700"/>
          <a:ext cx="4050800" cy="804674"/>
        </a:xfrm>
        <a:prstGeom prst="rect">
          <a:avLst/>
        </a:prstGeom>
      </xdr:spPr>
    </xdr:pic>
    <xdr:clientData/>
  </xdr:twoCellAnchor>
  <xdr:twoCellAnchor editAs="oneCell">
    <xdr:from>
      <xdr:col>1</xdr:col>
      <xdr:colOff>19050</xdr:colOff>
      <xdr:row>46</xdr:row>
      <xdr:rowOff>142875</xdr:rowOff>
    </xdr:from>
    <xdr:to>
      <xdr:col>1</xdr:col>
      <xdr:colOff>2305055</xdr:colOff>
      <xdr:row>48</xdr:row>
      <xdr:rowOff>67438</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2875" y="11468100"/>
          <a:ext cx="2286005" cy="3627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11106150</xdr:colOff>
      <xdr:row>5</xdr:row>
      <xdr:rowOff>200062</xdr:rowOff>
    </xdr:from>
    <xdr:to>
      <xdr:col>7</xdr:col>
      <xdr:colOff>12858531</xdr:colOff>
      <xdr:row>8</xdr:row>
      <xdr:rowOff>152363</xdr:rowOff>
    </xdr:to>
    <xdr:pic>
      <xdr:nvPicPr>
        <xdr:cNvPr id="2" name="Picture 1"/>
        <xdr:cNvPicPr>
          <a:picLocks noChangeAspect="1"/>
        </xdr:cNvPicPr>
      </xdr:nvPicPr>
      <xdr:blipFill>
        <a:blip xmlns:r="http://schemas.openxmlformats.org/officeDocument/2006/relationships" r:embed="rId1"/>
        <a:stretch>
          <a:fillRect/>
        </a:stretch>
      </xdr:blipFill>
      <xdr:spPr>
        <a:xfrm>
          <a:off x="18669000" y="1705012"/>
          <a:ext cx="1752381" cy="590476"/>
        </a:xfrm>
        <a:prstGeom prst="rect">
          <a:avLst/>
        </a:prstGeom>
      </xdr:spPr>
    </xdr:pic>
    <xdr:clientData/>
  </xdr:twoCellAnchor>
  <xdr:twoCellAnchor editAs="oneCell">
    <xdr:from>
      <xdr:col>7</xdr:col>
      <xdr:colOff>11106150</xdr:colOff>
      <xdr:row>1</xdr:row>
      <xdr:rowOff>409575</xdr:rowOff>
    </xdr:from>
    <xdr:to>
      <xdr:col>7</xdr:col>
      <xdr:colOff>13887450</xdr:colOff>
      <xdr:row>3</xdr:row>
      <xdr:rowOff>114300</xdr:rowOff>
    </xdr:to>
    <xdr:pic>
      <xdr:nvPicPr>
        <xdr:cNvPr id="3" name="Picture 2" descr="Mälardalens högskolas logoty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669000" y="571500"/>
          <a:ext cx="27813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11106150</xdr:colOff>
      <xdr:row>10</xdr:row>
      <xdr:rowOff>190500</xdr:rowOff>
    </xdr:from>
    <xdr:to>
      <xdr:col>7</xdr:col>
      <xdr:colOff>13026948</xdr:colOff>
      <xdr:row>13</xdr:row>
      <xdr:rowOff>28575</xdr:rowOff>
    </xdr:to>
    <xdr:pic>
      <xdr:nvPicPr>
        <xdr:cNvPr id="4" name="Picture 3" descr="Energimyndighet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669000" y="2790825"/>
          <a:ext cx="1920798"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595595</xdr:colOff>
      <xdr:row>0</xdr:row>
      <xdr:rowOff>0</xdr:rowOff>
    </xdr:from>
    <xdr:to>
      <xdr:col>26</xdr:col>
      <xdr:colOff>509417</xdr:colOff>
      <xdr:row>22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285750</xdr:colOff>
      <xdr:row>0</xdr:row>
      <xdr:rowOff>55789</xdr:rowOff>
    </xdr:from>
    <xdr:to>
      <xdr:col>42</xdr:col>
      <xdr:colOff>190500</xdr:colOff>
      <xdr:row>22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0</xdr:row>
      <xdr:rowOff>66675</xdr:rowOff>
    </xdr:from>
    <xdr:to>
      <xdr:col>14</xdr:col>
      <xdr:colOff>168275</xdr:colOff>
      <xdr:row>22</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24</xdr:row>
      <xdr:rowOff>0</xdr:rowOff>
    </xdr:from>
    <xdr:to>
      <xdr:col>14</xdr:col>
      <xdr:colOff>168275</xdr:colOff>
      <xdr:row>46</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47</xdr:row>
      <xdr:rowOff>152400</xdr:rowOff>
    </xdr:from>
    <xdr:to>
      <xdr:col>14</xdr:col>
      <xdr:colOff>168275</xdr:colOff>
      <xdr:row>70</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595595</xdr:colOff>
      <xdr:row>23</xdr:row>
      <xdr:rowOff>149679</xdr:rowOff>
    </xdr:from>
    <xdr:to>
      <xdr:col>26</xdr:col>
      <xdr:colOff>509417</xdr:colOff>
      <xdr:row>46</xdr:row>
      <xdr:rowOff>24493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595595</xdr:colOff>
      <xdr:row>47</xdr:row>
      <xdr:rowOff>149678</xdr:rowOff>
    </xdr:from>
    <xdr:to>
      <xdr:col>26</xdr:col>
      <xdr:colOff>509417</xdr:colOff>
      <xdr:row>70</xdr:row>
      <xdr:rowOff>24493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24</xdr:row>
      <xdr:rowOff>9525</xdr:rowOff>
    </xdr:from>
    <xdr:to>
      <xdr:col>3</xdr:col>
      <xdr:colOff>5256887</xdr:colOff>
      <xdr:row>54</xdr:row>
      <xdr:rowOff>161299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1020425"/>
          <a:ext cx="7304762" cy="5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57"/>
  <sheetViews>
    <sheetView showGridLines="0" tabSelected="1" zoomScaleNormal="100" workbookViewId="0"/>
  </sheetViews>
  <sheetFormatPr defaultRowHeight="17.850000000000001" customHeight="1" x14ac:dyDescent="0.2"/>
  <cols>
    <col min="1" max="1" width="1.85546875" style="142" customWidth="1"/>
    <col min="2" max="2" width="88.5703125" style="142" customWidth="1"/>
    <col min="3" max="3" width="2.28515625" style="142" customWidth="1"/>
    <col min="4" max="4" width="87.85546875" style="142" customWidth="1"/>
    <col min="5" max="16384" width="9.140625" style="142"/>
  </cols>
  <sheetData>
    <row r="1" spans="2:6" ht="18" x14ac:dyDescent="0.2">
      <c r="D1" s="168" t="s">
        <v>80</v>
      </c>
    </row>
    <row r="2" spans="2:6" ht="17.850000000000001" customHeight="1" x14ac:dyDescent="0.2">
      <c r="B2" s="129" t="s">
        <v>162</v>
      </c>
      <c r="C2" s="129"/>
      <c r="D2" s="141" t="s">
        <v>84</v>
      </c>
    </row>
    <row r="3" spans="2:6" ht="17.850000000000001" customHeight="1" x14ac:dyDescent="0.2">
      <c r="B3" s="143" t="s">
        <v>254</v>
      </c>
      <c r="C3" s="143"/>
      <c r="D3" s="144" t="s">
        <v>75</v>
      </c>
    </row>
    <row r="4" spans="2:6" ht="15" x14ac:dyDescent="0.2">
      <c r="D4" s="144" t="s">
        <v>76</v>
      </c>
    </row>
    <row r="5" spans="2:6" ht="25.5" x14ac:dyDescent="0.2">
      <c r="B5" s="142" t="s">
        <v>160</v>
      </c>
      <c r="D5" s="144" t="s">
        <v>83</v>
      </c>
      <c r="F5" s="145"/>
    </row>
    <row r="6" spans="2:6" ht="17.850000000000001" customHeight="1" x14ac:dyDescent="0.2">
      <c r="D6" s="144" t="s">
        <v>77</v>
      </c>
    </row>
    <row r="7" spans="2:6" ht="17.850000000000001" customHeight="1" x14ac:dyDescent="0.2">
      <c r="B7" s="142" t="s">
        <v>154</v>
      </c>
      <c r="D7" s="144" t="s">
        <v>79</v>
      </c>
    </row>
    <row r="8" spans="2:6" ht="17.850000000000001" customHeight="1" x14ac:dyDescent="0.2">
      <c r="D8" s="144" t="s">
        <v>78</v>
      </c>
    </row>
    <row r="9" spans="2:6" ht="17.850000000000001" customHeight="1" x14ac:dyDescent="0.2">
      <c r="D9" s="144" t="s">
        <v>51</v>
      </c>
    </row>
    <row r="10" spans="2:6" ht="17.850000000000001" customHeight="1" thickBot="1" x14ac:dyDescent="0.25">
      <c r="D10" s="146"/>
    </row>
    <row r="11" spans="2:6" ht="17.850000000000001" customHeight="1" thickTop="1" x14ac:dyDescent="0.2">
      <c r="B11" s="147"/>
      <c r="C11" s="146"/>
      <c r="D11" s="146"/>
    </row>
    <row r="12" spans="2:6" ht="17.850000000000001" customHeight="1" x14ac:dyDescent="0.2">
      <c r="B12" s="141" t="s">
        <v>157</v>
      </c>
      <c r="C12" s="141"/>
      <c r="D12" s="146"/>
    </row>
    <row r="13" spans="2:6" ht="17.850000000000001" customHeight="1" x14ac:dyDescent="0.2">
      <c r="B13" s="142" t="s">
        <v>257</v>
      </c>
      <c r="D13" s="146"/>
    </row>
    <row r="14" spans="2:6" ht="17.850000000000001" customHeight="1" x14ac:dyDescent="0.2">
      <c r="B14" s="142" t="s">
        <v>258</v>
      </c>
      <c r="D14" s="146"/>
    </row>
    <row r="15" spans="2:6" ht="17.850000000000001" customHeight="1" x14ac:dyDescent="0.2">
      <c r="B15" s="142" t="s">
        <v>259</v>
      </c>
      <c r="D15" s="146"/>
    </row>
    <row r="16" spans="2:6" ht="17.850000000000001" customHeight="1" x14ac:dyDescent="0.2">
      <c r="B16" s="142" t="s">
        <v>260</v>
      </c>
      <c r="D16" s="146"/>
    </row>
    <row r="17" spans="2:4" ht="17.850000000000001" customHeight="1" x14ac:dyDescent="0.2">
      <c r="B17" s="142" t="s">
        <v>261</v>
      </c>
      <c r="D17" s="146"/>
    </row>
    <row r="18" spans="2:4" ht="17.850000000000001" customHeight="1" thickBot="1" x14ac:dyDescent="0.25">
      <c r="C18" s="146"/>
      <c r="D18" s="146"/>
    </row>
    <row r="19" spans="2:4" ht="17.850000000000001" customHeight="1" thickTop="1" x14ac:dyDescent="0.2">
      <c r="B19" s="147"/>
      <c r="D19" s="146"/>
    </row>
    <row r="20" spans="2:4" ht="17.850000000000001" customHeight="1" x14ac:dyDescent="0.2">
      <c r="B20" s="141" t="s">
        <v>165</v>
      </c>
      <c r="D20" s="146"/>
    </row>
    <row r="21" spans="2:4" ht="17.850000000000001" customHeight="1" x14ac:dyDescent="0.2">
      <c r="B21" s="142" t="s">
        <v>166</v>
      </c>
      <c r="D21" s="146"/>
    </row>
    <row r="22" spans="2:4" ht="17.850000000000001" customHeight="1" x14ac:dyDescent="0.2">
      <c r="B22" s="142" t="s">
        <v>169</v>
      </c>
      <c r="D22" s="146"/>
    </row>
    <row r="23" spans="2:4" ht="17.850000000000001" customHeight="1" x14ac:dyDescent="0.2">
      <c r="B23" s="142" t="s">
        <v>167</v>
      </c>
      <c r="D23" s="146"/>
    </row>
    <row r="24" spans="2:4" ht="17.850000000000001" customHeight="1" x14ac:dyDescent="0.2">
      <c r="B24" s="142" t="s">
        <v>168</v>
      </c>
      <c r="D24" s="146"/>
    </row>
    <row r="25" spans="2:4" ht="17.850000000000001" customHeight="1" thickBot="1" x14ac:dyDescent="0.25">
      <c r="C25" s="146"/>
      <c r="D25" s="146"/>
    </row>
    <row r="26" spans="2:4" ht="17.850000000000001" customHeight="1" thickTop="1" x14ac:dyDescent="0.2">
      <c r="B26" s="147"/>
      <c r="C26" s="141"/>
      <c r="D26" s="146"/>
    </row>
    <row r="27" spans="2:4" ht="17.850000000000001" customHeight="1" x14ac:dyDescent="0.2">
      <c r="B27" s="141" t="s">
        <v>228</v>
      </c>
    </row>
    <row r="28" spans="2:4" ht="76.5" x14ac:dyDescent="0.2">
      <c r="B28" s="142" t="s">
        <v>229</v>
      </c>
    </row>
    <row r="29" spans="2:4" ht="17.850000000000001" customHeight="1" thickBot="1" x14ac:dyDescent="0.25">
      <c r="C29" s="146"/>
      <c r="D29" s="146"/>
    </row>
    <row r="30" spans="2:4" ht="17.850000000000001" customHeight="1" thickTop="1" x14ac:dyDescent="0.2">
      <c r="B30" s="147"/>
      <c r="C30" s="141"/>
      <c r="D30" s="146"/>
    </row>
    <row r="31" spans="2:4" ht="17.850000000000001" customHeight="1" x14ac:dyDescent="0.2">
      <c r="B31" s="141" t="s">
        <v>158</v>
      </c>
    </row>
    <row r="32" spans="2:4" ht="17.850000000000001" customHeight="1" x14ac:dyDescent="0.2">
      <c r="C32" s="148"/>
    </row>
    <row r="33" spans="2:4" ht="17.850000000000001" customHeight="1" x14ac:dyDescent="0.2">
      <c r="B33" s="148" t="s">
        <v>72</v>
      </c>
    </row>
    <row r="34" spans="2:4" ht="17.850000000000001" customHeight="1" x14ac:dyDescent="0.2">
      <c r="B34" s="142" t="s">
        <v>164</v>
      </c>
      <c r="D34" s="146"/>
    </row>
    <row r="35" spans="2:4" ht="38.25" x14ac:dyDescent="0.2">
      <c r="B35" s="142" t="s">
        <v>212</v>
      </c>
    </row>
    <row r="41" spans="2:4" ht="17.850000000000001" customHeight="1" x14ac:dyDescent="0.2">
      <c r="B41" s="142" t="s">
        <v>170</v>
      </c>
    </row>
    <row r="42" spans="2:4" ht="17.850000000000001" customHeight="1" x14ac:dyDescent="0.2">
      <c r="B42" s="142" t="s">
        <v>171</v>
      </c>
    </row>
    <row r="43" spans="2:4" ht="17.850000000000001" customHeight="1" x14ac:dyDescent="0.2">
      <c r="C43" s="148"/>
    </row>
    <row r="44" spans="2:4" ht="17.850000000000001" customHeight="1" x14ac:dyDescent="0.2">
      <c r="B44" s="148" t="s">
        <v>48</v>
      </c>
    </row>
    <row r="45" spans="2:4" ht="17.850000000000001" customHeight="1" x14ac:dyDescent="0.2">
      <c r="B45" s="142" t="s">
        <v>206</v>
      </c>
    </row>
    <row r="46" spans="2:4" ht="17.850000000000001" customHeight="1" x14ac:dyDescent="0.2">
      <c r="B46" s="142" t="s">
        <v>172</v>
      </c>
    </row>
    <row r="50" spans="2:3" ht="17.850000000000001" customHeight="1" x14ac:dyDescent="0.2">
      <c r="B50" s="142" t="s">
        <v>173</v>
      </c>
    </row>
    <row r="51" spans="2:3" ht="17.850000000000001" customHeight="1" x14ac:dyDescent="0.2">
      <c r="C51" s="148"/>
    </row>
    <row r="52" spans="2:3" ht="15.75" x14ac:dyDescent="0.2">
      <c r="B52" s="148" t="s">
        <v>138</v>
      </c>
      <c r="C52" s="149"/>
    </row>
    <row r="53" spans="2:3" ht="25.5" x14ac:dyDescent="0.2">
      <c r="B53" s="149" t="s">
        <v>161</v>
      </c>
    </row>
    <row r="54" spans="2:3" ht="17.850000000000001" customHeight="1" x14ac:dyDescent="0.2">
      <c r="C54" s="148"/>
    </row>
    <row r="55" spans="2:3" ht="17.850000000000001" customHeight="1" x14ac:dyDescent="0.2">
      <c r="B55" s="148" t="s">
        <v>49</v>
      </c>
    </row>
    <row r="56" spans="2:3" ht="17.850000000000001" customHeight="1" x14ac:dyDescent="0.2">
      <c r="B56" s="142" t="s">
        <v>159</v>
      </c>
    </row>
    <row r="57" spans="2:3" ht="17.850000000000001" customHeight="1" x14ac:dyDescent="0.2">
      <c r="B57" s="142" t="s">
        <v>269</v>
      </c>
    </row>
  </sheetData>
  <pageMargins left="0.78740157480314965" right="0.39370078740157483" top="0.78740157480314965" bottom="0.78740157480314965" header="0.31496062992125984" footer="0.31496062992125984"/>
  <pageSetup paperSize="9" orientation="portrait" r:id="rId1"/>
  <headerFooter>
    <oddHeader>&amp;C&amp;P (&amp;N)</oddHeader>
  </headerFooter>
  <rowBreaks count="1" manualBreakCount="1">
    <brk id="2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86"/>
  <sheetViews>
    <sheetView showGridLines="0" zoomScaleNormal="100" workbookViewId="0"/>
  </sheetViews>
  <sheetFormatPr defaultRowHeight="12.75" x14ac:dyDescent="0.2"/>
  <cols>
    <col min="1" max="1" width="2.5703125" style="40" customWidth="1"/>
    <col min="2" max="2" width="3.140625" customWidth="1"/>
    <col min="3" max="3" width="66.140625" customWidth="1"/>
    <col min="4" max="4" width="15.7109375" bestFit="1" customWidth="1"/>
    <col min="5" max="5" width="11.85546875" customWidth="1"/>
    <col min="6" max="7" width="10.5703125" customWidth="1"/>
    <col min="8" max="8" width="218.42578125" style="85" customWidth="1"/>
    <col min="9" max="9" width="9.28515625" style="86"/>
    <col min="10" max="10" width="61.28515625" customWidth="1"/>
  </cols>
  <sheetData>
    <row r="1" spans="1:9" s="87" customFormat="1" x14ac:dyDescent="0.2">
      <c r="A1" s="40"/>
      <c r="B1" s="43"/>
      <c r="C1" s="43"/>
      <c r="D1" s="43"/>
      <c r="E1" s="43"/>
      <c r="F1" s="43"/>
      <c r="G1" s="43"/>
      <c r="H1" s="79"/>
      <c r="I1" s="86"/>
    </row>
    <row r="2" spans="1:9" s="87" customFormat="1" ht="42" customHeight="1" x14ac:dyDescent="0.2">
      <c r="A2" s="40"/>
      <c r="B2" s="40"/>
      <c r="C2" s="71" t="s">
        <v>155</v>
      </c>
      <c r="D2" s="40"/>
      <c r="E2" s="40"/>
      <c r="F2" s="40"/>
      <c r="G2" s="40"/>
      <c r="H2" s="80" t="s">
        <v>80</v>
      </c>
      <c r="I2" s="86"/>
    </row>
    <row r="3" spans="1:9" s="87" customFormat="1" ht="17.649999999999999" customHeight="1" x14ac:dyDescent="0.2">
      <c r="A3" s="40"/>
      <c r="B3" s="40"/>
      <c r="C3" s="41" t="s">
        <v>280</v>
      </c>
      <c r="D3" s="150">
        <v>42635</v>
      </c>
      <c r="E3" s="40"/>
      <c r="F3" s="40"/>
      <c r="G3" s="40"/>
      <c r="H3" s="81"/>
      <c r="I3" s="86"/>
    </row>
    <row r="4" spans="1:9" s="87" customFormat="1" ht="12.75" customHeight="1" x14ac:dyDescent="0.2">
      <c r="A4" s="40"/>
      <c r="B4" s="40"/>
      <c r="C4" s="42"/>
      <c r="D4" s="43"/>
      <c r="E4" s="43"/>
      <c r="F4" s="43"/>
      <c r="G4" s="43"/>
      <c r="H4" s="79"/>
      <c r="I4" s="86"/>
    </row>
    <row r="5" spans="1:9" ht="17.649999999999999" customHeight="1" x14ac:dyDescent="0.2">
      <c r="B5" s="40"/>
      <c r="C5" s="44" t="s">
        <v>86</v>
      </c>
      <c r="D5" s="43"/>
      <c r="E5" s="43"/>
      <c r="F5" s="43"/>
      <c r="G5" s="43"/>
      <c r="H5" s="79"/>
    </row>
    <row r="6" spans="1:9" ht="12.75" customHeight="1" x14ac:dyDescent="0.25">
      <c r="B6" s="40"/>
      <c r="C6" s="45"/>
      <c r="D6" s="43"/>
      <c r="E6" s="43"/>
      <c r="F6" s="43"/>
      <c r="G6" s="43"/>
      <c r="H6" s="79"/>
    </row>
    <row r="7" spans="1:9" ht="17.649999999999999" customHeight="1" x14ac:dyDescent="0.25">
      <c r="B7" s="46"/>
      <c r="C7" s="43" t="s">
        <v>223</v>
      </c>
      <c r="D7" s="40"/>
      <c r="E7" s="43"/>
      <c r="F7" s="43"/>
      <c r="G7" s="43"/>
      <c r="H7" s="49"/>
    </row>
    <row r="8" spans="1:9" ht="17.649999999999999" customHeight="1" x14ac:dyDescent="0.2">
      <c r="B8" s="126"/>
      <c r="C8" s="43" t="s">
        <v>152</v>
      </c>
      <c r="D8" s="43"/>
      <c r="E8" s="43"/>
      <c r="F8" s="43"/>
      <c r="G8" s="43"/>
      <c r="H8" s="163"/>
    </row>
    <row r="9" spans="1:9" ht="12.75" customHeight="1" x14ac:dyDescent="0.2">
      <c r="B9" s="40"/>
      <c r="C9" s="40"/>
      <c r="D9" s="40"/>
      <c r="E9" s="43"/>
      <c r="F9" s="43"/>
      <c r="G9" s="43"/>
      <c r="H9" s="79"/>
    </row>
    <row r="10" spans="1:9" s="87" customFormat="1" ht="17.649999999999999" customHeight="1" x14ac:dyDescent="0.2">
      <c r="A10" s="40"/>
      <c r="B10" s="40"/>
      <c r="C10" s="43" t="s">
        <v>232</v>
      </c>
      <c r="D10" s="43"/>
      <c r="E10" s="43"/>
      <c r="F10" s="43"/>
      <c r="G10" s="43"/>
      <c r="H10" s="79"/>
      <c r="I10" s="86"/>
    </row>
    <row r="11" spans="1:9" s="87" customFormat="1" ht="17.649999999999999" customHeight="1" x14ac:dyDescent="0.2">
      <c r="A11" s="40"/>
      <c r="B11" s="40"/>
      <c r="C11" s="43" t="s">
        <v>233</v>
      </c>
      <c r="D11" s="43"/>
      <c r="E11" s="43"/>
      <c r="F11" s="43"/>
      <c r="G11" s="43"/>
      <c r="H11" s="79"/>
      <c r="I11" s="86"/>
    </row>
    <row r="12" spans="1:9" s="87" customFormat="1" ht="17.649999999999999" customHeight="1" x14ac:dyDescent="0.2">
      <c r="A12" s="40"/>
      <c r="B12" s="40"/>
      <c r="C12" s="43" t="s">
        <v>137</v>
      </c>
      <c r="D12" s="43"/>
      <c r="E12" s="43"/>
      <c r="F12" s="43"/>
      <c r="G12" s="43"/>
      <c r="H12" s="79"/>
      <c r="I12" s="86"/>
    </row>
    <row r="13" spans="1:9" ht="17.649999999999999" customHeight="1" x14ac:dyDescent="0.2">
      <c r="B13" s="40"/>
      <c r="C13" s="40" t="s">
        <v>234</v>
      </c>
      <c r="D13" s="43"/>
      <c r="E13" s="43"/>
      <c r="F13" s="43"/>
      <c r="G13" s="43"/>
      <c r="H13" s="79"/>
    </row>
    <row r="14" spans="1:9" s="87" customFormat="1" ht="12.75" customHeight="1" thickBot="1" x14ac:dyDescent="0.25">
      <c r="A14" s="40"/>
      <c r="B14" s="40"/>
      <c r="C14" s="43"/>
      <c r="D14" s="43"/>
      <c r="E14" s="43"/>
      <c r="F14" s="43"/>
      <c r="G14" s="43"/>
      <c r="H14" s="79"/>
      <c r="I14" s="86"/>
    </row>
    <row r="15" spans="1:9" s="87" customFormat="1" ht="12.75" customHeight="1" thickTop="1" x14ac:dyDescent="0.2">
      <c r="A15" s="40"/>
      <c r="B15" s="88"/>
      <c r="C15" s="88"/>
      <c r="D15" s="88"/>
      <c r="E15" s="88"/>
      <c r="F15" s="88"/>
      <c r="G15" s="88"/>
      <c r="H15" s="89"/>
      <c r="I15" s="86"/>
    </row>
    <row r="16" spans="1:9" s="87" customFormat="1" ht="17.649999999999999" customHeight="1" x14ac:dyDescent="0.25">
      <c r="A16" s="40"/>
      <c r="B16" s="43"/>
      <c r="C16" s="48" t="s">
        <v>121</v>
      </c>
      <c r="D16" s="54" t="s">
        <v>33</v>
      </c>
      <c r="E16" s="54" t="s">
        <v>34</v>
      </c>
      <c r="F16" s="54" t="s">
        <v>2</v>
      </c>
      <c r="G16" s="54" t="s">
        <v>3</v>
      </c>
      <c r="H16" s="83" t="s">
        <v>35</v>
      </c>
      <c r="I16" s="86"/>
    </row>
    <row r="17" spans="1:9" s="87" customFormat="1" ht="17.850000000000001" customHeight="1" x14ac:dyDescent="0.2">
      <c r="A17" s="40"/>
      <c r="B17" s="43"/>
      <c r="C17" s="49" t="s">
        <v>246</v>
      </c>
      <c r="D17" s="164" t="s">
        <v>217</v>
      </c>
      <c r="E17" s="51"/>
      <c r="F17" s="51"/>
      <c r="G17" s="56"/>
      <c r="H17" s="72" t="s">
        <v>245</v>
      </c>
      <c r="I17" s="86"/>
    </row>
    <row r="18" spans="1:9" s="87" customFormat="1" ht="17.649999999999999" customHeight="1" x14ac:dyDescent="0.2">
      <c r="A18" s="40"/>
      <c r="B18" s="43"/>
      <c r="C18" s="49" t="s">
        <v>123</v>
      </c>
      <c r="D18" s="177">
        <v>4</v>
      </c>
      <c r="E18" s="51" t="s">
        <v>38</v>
      </c>
      <c r="F18" s="51">
        <v>1</v>
      </c>
      <c r="G18" s="56" t="s">
        <v>111</v>
      </c>
      <c r="H18" s="72" t="s">
        <v>189</v>
      </c>
      <c r="I18" s="86"/>
    </row>
    <row r="19" spans="1:9" s="87" customFormat="1" ht="27" customHeight="1" x14ac:dyDescent="0.2">
      <c r="A19" s="40"/>
      <c r="B19" s="43"/>
      <c r="C19" s="49" t="s">
        <v>124</v>
      </c>
      <c r="D19" s="124">
        <f>Installerad_effekt/Verkningsgrad_solcellsmoduler</f>
        <v>26.666666666666668</v>
      </c>
      <c r="E19" s="51" t="s">
        <v>125</v>
      </c>
      <c r="F19" s="51"/>
      <c r="G19" s="56"/>
      <c r="H19" s="72" t="s">
        <v>191</v>
      </c>
      <c r="I19" s="86"/>
    </row>
    <row r="20" spans="1:9" s="87" customFormat="1" ht="27" customHeight="1" x14ac:dyDescent="0.2">
      <c r="A20" s="40"/>
      <c r="B20" s="43"/>
      <c r="C20" s="49" t="s">
        <v>114</v>
      </c>
      <c r="D20" s="55">
        <v>16</v>
      </c>
      <c r="E20" s="51" t="s">
        <v>115</v>
      </c>
      <c r="F20" s="51">
        <v>16</v>
      </c>
      <c r="G20" s="56" t="s">
        <v>111</v>
      </c>
      <c r="H20" s="72" t="s">
        <v>192</v>
      </c>
      <c r="I20" s="86"/>
    </row>
    <row r="21" spans="1:9" s="87" customFormat="1" ht="12.75" customHeight="1" thickBot="1" x14ac:dyDescent="0.25">
      <c r="A21" s="40"/>
      <c r="B21" s="40"/>
      <c r="C21" s="43"/>
      <c r="D21" s="43"/>
      <c r="E21" s="43"/>
      <c r="F21" s="43"/>
      <c r="G21" s="43"/>
      <c r="H21" s="79"/>
      <c r="I21" s="86"/>
    </row>
    <row r="22" spans="1:9" s="87" customFormat="1" ht="12.75" customHeight="1" thickTop="1" x14ac:dyDescent="0.2">
      <c r="A22" s="40"/>
      <c r="B22" s="88"/>
      <c r="C22" s="88"/>
      <c r="D22" s="88"/>
      <c r="E22" s="88"/>
      <c r="F22" s="88"/>
      <c r="G22" s="88"/>
      <c r="H22" s="89"/>
      <c r="I22" s="86"/>
    </row>
    <row r="23" spans="1:9" s="87" customFormat="1" ht="17.649999999999999" customHeight="1" x14ac:dyDescent="0.25">
      <c r="A23" s="40"/>
      <c r="B23" s="43"/>
      <c r="C23" s="48" t="s">
        <v>87</v>
      </c>
      <c r="D23" s="53" t="s">
        <v>33</v>
      </c>
      <c r="E23" s="54" t="s">
        <v>34</v>
      </c>
      <c r="F23" s="54" t="s">
        <v>2</v>
      </c>
      <c r="G23" s="54" t="s">
        <v>3</v>
      </c>
      <c r="H23" s="83" t="s">
        <v>35</v>
      </c>
      <c r="I23" s="86"/>
    </row>
    <row r="24" spans="1:9" s="87" customFormat="1" ht="17.649999999999999" customHeight="1" x14ac:dyDescent="0.2">
      <c r="A24" s="40"/>
      <c r="B24" s="43"/>
      <c r="C24" s="49" t="s">
        <v>24</v>
      </c>
      <c r="D24" s="55">
        <v>30</v>
      </c>
      <c r="E24" s="51" t="s">
        <v>20</v>
      </c>
      <c r="F24" s="51">
        <v>25</v>
      </c>
      <c r="G24" s="51">
        <v>30</v>
      </c>
      <c r="H24" s="72" t="s">
        <v>193</v>
      </c>
      <c r="I24" s="86"/>
    </row>
    <row r="25" spans="1:9" s="87" customFormat="1" ht="12.75" customHeight="1" thickBot="1" x14ac:dyDescent="0.25">
      <c r="A25" s="40"/>
      <c r="B25" s="43"/>
      <c r="C25" s="43"/>
      <c r="D25" s="51"/>
      <c r="E25" s="51"/>
      <c r="F25" s="51"/>
      <c r="G25" s="51"/>
      <c r="H25" s="82"/>
      <c r="I25" s="86"/>
    </row>
    <row r="26" spans="1:9" s="87" customFormat="1" ht="12.75" customHeight="1" thickTop="1" x14ac:dyDescent="0.2">
      <c r="A26" s="40"/>
      <c r="B26" s="88"/>
      <c r="C26" s="88"/>
      <c r="D26" s="88"/>
      <c r="E26" s="88"/>
      <c r="F26" s="88"/>
      <c r="G26" s="88"/>
      <c r="H26" s="90"/>
      <c r="I26" s="86"/>
    </row>
    <row r="27" spans="1:9" s="87" customFormat="1" ht="17.649999999999999" customHeight="1" x14ac:dyDescent="0.25">
      <c r="A27" s="40"/>
      <c r="B27" s="43"/>
      <c r="C27" s="48" t="s">
        <v>88</v>
      </c>
      <c r="D27" s="53" t="s">
        <v>33</v>
      </c>
      <c r="E27" s="54" t="s">
        <v>34</v>
      </c>
      <c r="F27" s="54" t="s">
        <v>2</v>
      </c>
      <c r="G27" s="54" t="s">
        <v>3</v>
      </c>
      <c r="H27" s="83" t="s">
        <v>35</v>
      </c>
      <c r="I27" s="86"/>
    </row>
    <row r="28" spans="1:9" s="87" customFormat="1" ht="25.5" customHeight="1" x14ac:dyDescent="0.2">
      <c r="A28" s="40"/>
      <c r="B28" s="43"/>
      <c r="C28" s="49" t="s">
        <v>23</v>
      </c>
      <c r="D28" s="101">
        <v>0.02</v>
      </c>
      <c r="E28" s="51" t="s">
        <v>4</v>
      </c>
      <c r="F28" s="57">
        <v>0.01</v>
      </c>
      <c r="G28" s="57">
        <v>0.1</v>
      </c>
      <c r="H28" s="72" t="s">
        <v>224</v>
      </c>
      <c r="I28" s="86"/>
    </row>
    <row r="29" spans="1:9" s="87" customFormat="1" ht="12.75" customHeight="1" thickBot="1" x14ac:dyDescent="0.25">
      <c r="A29" s="40"/>
      <c r="B29" s="43"/>
      <c r="C29" s="43"/>
      <c r="D29" s="43"/>
      <c r="E29" s="43"/>
      <c r="F29" s="43"/>
      <c r="G29" s="43"/>
      <c r="H29" s="82"/>
      <c r="I29" s="86"/>
    </row>
    <row r="30" spans="1:9" s="87" customFormat="1" ht="12.75" customHeight="1" thickTop="1" x14ac:dyDescent="0.2">
      <c r="A30" s="40"/>
      <c r="B30" s="88"/>
      <c r="C30" s="88"/>
      <c r="D30" s="88"/>
      <c r="E30" s="88"/>
      <c r="F30" s="88"/>
      <c r="G30" s="88"/>
      <c r="H30" s="90"/>
      <c r="I30" s="86"/>
    </row>
    <row r="31" spans="1:9" s="87" customFormat="1" ht="17.649999999999999" customHeight="1" x14ac:dyDescent="0.25">
      <c r="A31" s="40"/>
      <c r="B31" s="40"/>
      <c r="C31" s="52" t="s">
        <v>19</v>
      </c>
      <c r="D31" s="53" t="s">
        <v>33</v>
      </c>
      <c r="E31" s="54" t="s">
        <v>34</v>
      </c>
      <c r="F31" s="54" t="s">
        <v>2</v>
      </c>
      <c r="G31" s="54" t="s">
        <v>3</v>
      </c>
      <c r="H31" s="83" t="s">
        <v>35</v>
      </c>
      <c r="I31" s="86"/>
    </row>
    <row r="32" spans="1:9" s="87" customFormat="1" ht="41.1" customHeight="1" x14ac:dyDescent="0.2">
      <c r="A32" s="40"/>
      <c r="B32" s="40"/>
      <c r="C32" s="49" t="s">
        <v>281</v>
      </c>
      <c r="D32" s="55">
        <v>19000</v>
      </c>
      <c r="E32" s="51" t="s">
        <v>0</v>
      </c>
      <c r="F32" s="56">
        <v>9000</v>
      </c>
      <c r="G32" s="56">
        <v>25000</v>
      </c>
      <c r="H32" s="72" t="s">
        <v>270</v>
      </c>
      <c r="I32" s="86"/>
    </row>
    <row r="33" spans="1:10" s="87" customFormat="1" ht="27" customHeight="1" x14ac:dyDescent="0.2">
      <c r="A33" s="40"/>
      <c r="B33" s="40"/>
      <c r="C33" s="49" t="s">
        <v>94</v>
      </c>
      <c r="D33" s="59">
        <v>0.2</v>
      </c>
      <c r="E33" s="51" t="s">
        <v>4</v>
      </c>
      <c r="F33" s="57">
        <v>0.2</v>
      </c>
      <c r="G33" s="57">
        <v>0.35</v>
      </c>
      <c r="H33" s="72" t="s">
        <v>194</v>
      </c>
      <c r="I33" s="86"/>
    </row>
    <row r="34" spans="1:10" s="87" customFormat="1" ht="17.649999999999999" customHeight="1" x14ac:dyDescent="0.2">
      <c r="A34" s="40"/>
      <c r="B34" s="40"/>
      <c r="C34" s="49"/>
      <c r="D34" s="49"/>
      <c r="E34" s="51"/>
      <c r="F34" s="56"/>
      <c r="G34" s="56"/>
      <c r="H34" s="73"/>
      <c r="I34" s="86"/>
      <c r="J34" s="33"/>
    </row>
    <row r="35" spans="1:10" s="87" customFormat="1" ht="17.649999999999999" customHeight="1" x14ac:dyDescent="0.2">
      <c r="A35" s="40"/>
      <c r="B35" s="40"/>
      <c r="C35" s="49" t="s">
        <v>218</v>
      </c>
      <c r="D35" s="55">
        <v>2000</v>
      </c>
      <c r="E35" s="51" t="s">
        <v>37</v>
      </c>
      <c r="F35" s="51">
        <v>0</v>
      </c>
      <c r="G35" s="51" t="s">
        <v>111</v>
      </c>
      <c r="H35" s="73" t="s">
        <v>215</v>
      </c>
      <c r="I35" s="86"/>
      <c r="J35" s="33"/>
    </row>
    <row r="36" spans="1:10" s="87" customFormat="1" ht="17.649999999999999" customHeight="1" x14ac:dyDescent="0.25">
      <c r="A36" s="40"/>
      <c r="B36" s="40"/>
      <c r="C36" s="49" t="s">
        <v>142</v>
      </c>
      <c r="D36" s="55">
        <v>0</v>
      </c>
      <c r="E36" s="51" t="s">
        <v>37</v>
      </c>
      <c r="F36" s="51">
        <v>0</v>
      </c>
      <c r="G36" s="51" t="s">
        <v>111</v>
      </c>
      <c r="H36" s="72" t="s">
        <v>143</v>
      </c>
      <c r="I36" s="86"/>
      <c r="J36" s="104"/>
    </row>
    <row r="37" spans="1:10" s="87" customFormat="1" ht="17.649999999999999" customHeight="1" x14ac:dyDescent="0.25">
      <c r="A37" s="40"/>
      <c r="B37" s="40"/>
      <c r="C37" s="49" t="s">
        <v>140</v>
      </c>
      <c r="D37" s="55">
        <v>0</v>
      </c>
      <c r="E37" s="51" t="s">
        <v>37</v>
      </c>
      <c r="F37" s="51">
        <v>0</v>
      </c>
      <c r="G37" s="56">
        <v>10000</v>
      </c>
      <c r="H37" s="72" t="s">
        <v>141</v>
      </c>
      <c r="I37" s="86"/>
      <c r="J37" s="104"/>
    </row>
    <row r="38" spans="1:10" s="87" customFormat="1" ht="27" customHeight="1" x14ac:dyDescent="0.25">
      <c r="A38" s="40"/>
      <c r="B38" s="40"/>
      <c r="C38" s="49" t="s">
        <v>146</v>
      </c>
      <c r="D38" s="55">
        <v>0</v>
      </c>
      <c r="E38" s="60" t="s">
        <v>37</v>
      </c>
      <c r="F38" s="60">
        <v>0</v>
      </c>
      <c r="G38" s="60" t="s">
        <v>111</v>
      </c>
      <c r="H38" s="72" t="s">
        <v>145</v>
      </c>
      <c r="I38" s="86"/>
      <c r="J38" s="104"/>
    </row>
    <row r="39" spans="1:10" s="87" customFormat="1" ht="12.75" customHeight="1" x14ac:dyDescent="0.2">
      <c r="A39" s="40"/>
      <c r="B39" s="43"/>
      <c r="C39" s="43"/>
      <c r="D39" s="43"/>
      <c r="E39" s="43"/>
      <c r="F39" s="43"/>
      <c r="G39" s="43"/>
      <c r="H39" s="82"/>
      <c r="I39" s="86"/>
    </row>
    <row r="40" spans="1:10" s="87" customFormat="1" ht="17.649999999999999" customHeight="1" x14ac:dyDescent="0.25">
      <c r="A40" s="40"/>
      <c r="B40" s="43"/>
      <c r="C40" s="52" t="s">
        <v>144</v>
      </c>
      <c r="D40" s="53" t="s">
        <v>33</v>
      </c>
      <c r="E40" s="54" t="s">
        <v>34</v>
      </c>
      <c r="F40" s="54" t="s">
        <v>2</v>
      </c>
      <c r="G40" s="54" t="s">
        <v>3</v>
      </c>
      <c r="H40" s="83" t="s">
        <v>35</v>
      </c>
      <c r="I40" s="86"/>
    </row>
    <row r="41" spans="1:10" s="87" customFormat="1" ht="17.649999999999999" customHeight="1" x14ac:dyDescent="0.2">
      <c r="A41" s="40"/>
      <c r="B41" s="43"/>
      <c r="C41" s="43" t="s">
        <v>73</v>
      </c>
      <c r="D41" s="124">
        <f>-Kassaflöden!D55/Installerad_effekt</f>
        <v>22286.305237456949</v>
      </c>
      <c r="E41" s="51" t="s">
        <v>0</v>
      </c>
      <c r="F41" s="51"/>
      <c r="G41" s="51"/>
      <c r="H41" s="72" t="s">
        <v>195</v>
      </c>
      <c r="I41" s="86"/>
    </row>
    <row r="42" spans="1:10" s="87" customFormat="1" ht="17.649999999999999" customHeight="1" x14ac:dyDescent="0.2">
      <c r="A42" s="40"/>
      <c r="B42" s="43"/>
      <c r="C42" s="43" t="s">
        <v>17</v>
      </c>
      <c r="D42" s="124">
        <f>-Kassaflöden!E55/Installerad_effekt</f>
        <v>20576.305237456949</v>
      </c>
      <c r="E42" s="51" t="s">
        <v>0</v>
      </c>
      <c r="F42" s="51"/>
      <c r="G42" s="51"/>
      <c r="H42" s="72" t="s">
        <v>196</v>
      </c>
      <c r="I42" s="86"/>
    </row>
    <row r="43" spans="1:10" s="87" customFormat="1" ht="17.649999999999999" customHeight="1" x14ac:dyDescent="0.2">
      <c r="A43" s="40"/>
      <c r="B43" s="43"/>
      <c r="C43" s="43" t="s">
        <v>11</v>
      </c>
      <c r="D43" s="124">
        <f>-Kassaflöden!F55/Installerad_effekt</f>
        <v>18486.305237456949</v>
      </c>
      <c r="E43" s="51" t="s">
        <v>0</v>
      </c>
      <c r="F43" s="51"/>
      <c r="G43" s="51"/>
      <c r="H43" s="72" t="s">
        <v>197</v>
      </c>
      <c r="I43" s="86"/>
    </row>
    <row r="44" spans="1:10" s="87" customFormat="1" ht="12.75" customHeight="1" thickBot="1" x14ac:dyDescent="0.25">
      <c r="A44" s="40"/>
      <c r="B44" s="43"/>
      <c r="C44" s="49"/>
      <c r="D44" s="61"/>
      <c r="E44" s="51"/>
      <c r="F44" s="40"/>
      <c r="G44" s="40"/>
      <c r="H44" s="82"/>
      <c r="I44" s="86"/>
    </row>
    <row r="45" spans="1:10" s="87" customFormat="1" ht="12.75" customHeight="1" thickTop="1" x14ac:dyDescent="0.2">
      <c r="A45" s="40"/>
      <c r="B45" s="43"/>
      <c r="C45" s="88"/>
      <c r="D45" s="88"/>
      <c r="E45" s="88"/>
      <c r="F45" s="88"/>
      <c r="G45" s="88"/>
      <c r="H45" s="90"/>
      <c r="I45" s="86"/>
    </row>
    <row r="46" spans="1:10" s="87" customFormat="1" ht="17.649999999999999" customHeight="1" x14ac:dyDescent="0.25">
      <c r="A46" s="40"/>
      <c r="B46" s="43"/>
      <c r="C46" s="52" t="s">
        <v>134</v>
      </c>
      <c r="D46" s="54" t="s">
        <v>33</v>
      </c>
      <c r="E46" s="54" t="s">
        <v>34</v>
      </c>
      <c r="F46" s="54" t="s">
        <v>2</v>
      </c>
      <c r="G46" s="54" t="s">
        <v>3</v>
      </c>
      <c r="H46" s="83" t="s">
        <v>35</v>
      </c>
      <c r="I46" s="86"/>
    </row>
    <row r="47" spans="1:10" s="87" customFormat="1" ht="17.649999999999999" customHeight="1" x14ac:dyDescent="0.2">
      <c r="A47" s="40"/>
      <c r="B47" s="43"/>
      <c r="C47" s="105" t="s">
        <v>135</v>
      </c>
      <c r="D47" s="124">
        <f>'Grundläggande antaganden'!D38</f>
        <v>0</v>
      </c>
      <c r="E47" s="51" t="s">
        <v>225</v>
      </c>
      <c r="F47" s="51">
        <v>0</v>
      </c>
      <c r="G47" s="51" t="s">
        <v>111</v>
      </c>
      <c r="H47" s="72" t="s">
        <v>251</v>
      </c>
      <c r="I47" s="86"/>
    </row>
    <row r="48" spans="1:10" s="87" customFormat="1" ht="27" customHeight="1" x14ac:dyDescent="0.2">
      <c r="A48" s="40"/>
      <c r="B48" s="43"/>
      <c r="C48" s="105" t="s">
        <v>136</v>
      </c>
      <c r="D48" s="124">
        <f>'Grundläggande antaganden'!D46</f>
        <v>0</v>
      </c>
      <c r="E48" s="51" t="s">
        <v>225</v>
      </c>
      <c r="F48" s="51">
        <v>0</v>
      </c>
      <c r="G48" s="51" t="s">
        <v>111</v>
      </c>
      <c r="H48" s="72" t="s">
        <v>199</v>
      </c>
      <c r="I48" s="86"/>
    </row>
    <row r="49" spans="1:9" s="87" customFormat="1" ht="17.649999999999999" customHeight="1" x14ac:dyDescent="0.2">
      <c r="A49" s="40"/>
      <c r="B49" s="43"/>
      <c r="C49" s="49" t="s">
        <v>12</v>
      </c>
      <c r="D49" s="125">
        <f>(Årlig_fast_driftkostnad+Årlig_rörlig_driftkostnad)/Installerad_effekt</f>
        <v>0</v>
      </c>
      <c r="E49" s="51" t="s">
        <v>226</v>
      </c>
      <c r="F49" s="43"/>
      <c r="G49" s="43"/>
      <c r="H49" s="82"/>
      <c r="I49" s="86"/>
    </row>
    <row r="50" spans="1:9" s="87" customFormat="1" ht="12.75" customHeight="1" thickBot="1" x14ac:dyDescent="0.25">
      <c r="A50" s="40"/>
      <c r="B50" s="43"/>
      <c r="C50" s="108"/>
      <c r="D50" s="108"/>
      <c r="E50" s="108"/>
      <c r="F50" s="108"/>
      <c r="G50" s="108"/>
      <c r="H50" s="109"/>
      <c r="I50" s="86"/>
    </row>
    <row r="51" spans="1:9" s="87" customFormat="1" ht="12.75" customHeight="1" thickTop="1" x14ac:dyDescent="0.2">
      <c r="A51" s="40"/>
      <c r="B51" s="43"/>
      <c r="C51" s="88"/>
      <c r="D51" s="88"/>
      <c r="E51" s="88"/>
      <c r="F51" s="88"/>
      <c r="G51" s="88"/>
      <c r="H51" s="90"/>
      <c r="I51" s="86"/>
    </row>
    <row r="52" spans="1:9" s="87" customFormat="1" ht="17.649999999999999" customHeight="1" x14ac:dyDescent="0.25">
      <c r="A52" s="40"/>
      <c r="B52" s="43"/>
      <c r="C52" s="48" t="s">
        <v>122</v>
      </c>
      <c r="D52" s="54" t="s">
        <v>33</v>
      </c>
      <c r="E52" s="54" t="s">
        <v>34</v>
      </c>
      <c r="F52" s="54" t="s">
        <v>2</v>
      </c>
      <c r="G52" s="54" t="s">
        <v>3</v>
      </c>
      <c r="H52" s="83" t="s">
        <v>35</v>
      </c>
      <c r="I52" s="86"/>
    </row>
    <row r="53" spans="1:9" ht="51.95" customHeight="1" x14ac:dyDescent="0.2">
      <c r="B53" s="43"/>
      <c r="C53" s="49" t="s">
        <v>97</v>
      </c>
      <c r="D53" s="50">
        <v>900</v>
      </c>
      <c r="E53" s="51" t="s">
        <v>28</v>
      </c>
      <c r="F53" s="56">
        <v>700</v>
      </c>
      <c r="G53" s="56">
        <v>1200</v>
      </c>
      <c r="H53" s="72" t="s">
        <v>214</v>
      </c>
    </row>
    <row r="54" spans="1:9" s="87" customFormat="1" ht="17.649999999999999" customHeight="1" x14ac:dyDescent="0.2">
      <c r="A54" s="40"/>
      <c r="B54" s="107"/>
      <c r="C54" s="64" t="s">
        <v>99</v>
      </c>
      <c r="D54" s="125">
        <f>Kassaflöden!B55</f>
        <v>103327.49035333761</v>
      </c>
      <c r="E54" s="65" t="s">
        <v>16</v>
      </c>
      <c r="F54" s="65"/>
      <c r="G54" s="65"/>
      <c r="H54" s="73" t="s">
        <v>200</v>
      </c>
      <c r="I54" s="86"/>
    </row>
    <row r="55" spans="1:9" s="87" customFormat="1" ht="17.649999999999999" customHeight="1" x14ac:dyDescent="0.2">
      <c r="A55" s="40"/>
      <c r="B55" s="107"/>
      <c r="C55" s="64" t="s">
        <v>100</v>
      </c>
      <c r="D55" s="125">
        <f>SUMIF(Kassaflöden!A4:A54,"&lt;="&amp;Elcertifikatår,Kassaflöden!B4:B54)</f>
        <v>52827.729583119952</v>
      </c>
      <c r="E55" s="65" t="s">
        <v>16</v>
      </c>
      <c r="F55" s="65"/>
      <c r="G55" s="65"/>
      <c r="H55" s="73" t="s">
        <v>201</v>
      </c>
      <c r="I55" s="86"/>
    </row>
    <row r="56" spans="1:9" s="87" customFormat="1" ht="12.75" customHeight="1" thickBot="1" x14ac:dyDescent="0.25">
      <c r="A56" s="40"/>
      <c r="B56" s="43"/>
      <c r="C56" s="43"/>
      <c r="D56" s="43"/>
      <c r="E56" s="43"/>
      <c r="F56" s="43"/>
      <c r="G56" s="43"/>
      <c r="H56" s="82"/>
      <c r="I56" s="86"/>
    </row>
    <row r="57" spans="1:9" s="87" customFormat="1" ht="12.75" customHeight="1" thickTop="1" x14ac:dyDescent="0.2">
      <c r="A57" s="40"/>
      <c r="B57" s="88"/>
      <c r="C57" s="88"/>
      <c r="D57" s="88"/>
      <c r="E57" s="88"/>
      <c r="F57" s="88"/>
      <c r="G57" s="88"/>
      <c r="H57" s="90"/>
      <c r="I57" s="86"/>
    </row>
    <row r="58" spans="1:9" s="87" customFormat="1" ht="17.649999999999999" customHeight="1" x14ac:dyDescent="0.25">
      <c r="A58" s="40"/>
      <c r="B58" s="43"/>
      <c r="C58" s="52" t="s">
        <v>22</v>
      </c>
      <c r="D58" s="54" t="s">
        <v>33</v>
      </c>
      <c r="E58" s="54" t="s">
        <v>34</v>
      </c>
      <c r="F58" s="54" t="s">
        <v>2</v>
      </c>
      <c r="G58" s="54" t="s">
        <v>3</v>
      </c>
      <c r="H58" s="83" t="s">
        <v>35</v>
      </c>
      <c r="I58" s="86"/>
    </row>
    <row r="59" spans="1:9" s="87" customFormat="1" ht="38.25" x14ac:dyDescent="0.2">
      <c r="A59" s="40"/>
      <c r="B59" s="43"/>
      <c r="C59" s="72" t="s">
        <v>230</v>
      </c>
      <c r="D59" s="43"/>
      <c r="E59" s="43"/>
      <c r="F59" s="43"/>
      <c r="G59" s="43"/>
      <c r="H59" s="82"/>
      <c r="I59" s="86"/>
    </row>
    <row r="60" spans="1:9" ht="25.5" x14ac:dyDescent="0.2">
      <c r="B60" s="43"/>
      <c r="C60" s="49" t="s">
        <v>29</v>
      </c>
      <c r="D60" s="66">
        <v>0.5</v>
      </c>
      <c r="E60" s="51" t="s">
        <v>4</v>
      </c>
      <c r="F60" s="75">
        <v>0</v>
      </c>
      <c r="G60" s="75">
        <v>1</v>
      </c>
      <c r="H60" s="72" t="s">
        <v>284</v>
      </c>
    </row>
    <row r="61" spans="1:9" ht="78" customHeight="1" x14ac:dyDescent="0.2">
      <c r="B61" s="43"/>
      <c r="C61" s="49" t="s">
        <v>282</v>
      </c>
      <c r="D61" s="97">
        <v>1.4</v>
      </c>
      <c r="E61" s="51" t="s">
        <v>1</v>
      </c>
      <c r="F61" s="51">
        <v>0.5</v>
      </c>
      <c r="G61" s="51">
        <v>1.5</v>
      </c>
      <c r="H61" s="72" t="s">
        <v>288</v>
      </c>
    </row>
    <row r="62" spans="1:9" ht="43.5" customHeight="1" x14ac:dyDescent="0.2">
      <c r="B62" s="43"/>
      <c r="C62" s="49" t="s">
        <v>283</v>
      </c>
      <c r="D62" s="97">
        <v>0.5</v>
      </c>
      <c r="E62" s="51" t="s">
        <v>1</v>
      </c>
      <c r="F62" s="51">
        <v>0</v>
      </c>
      <c r="G62" s="51">
        <v>1.5</v>
      </c>
      <c r="H62" s="72" t="s">
        <v>287</v>
      </c>
    </row>
    <row r="63" spans="1:9" ht="17.649999999999999" customHeight="1" x14ac:dyDescent="0.2">
      <c r="B63" s="43"/>
      <c r="C63" s="49" t="s">
        <v>40</v>
      </c>
      <c r="D63" s="50">
        <v>0.05</v>
      </c>
      <c r="E63" s="51" t="s">
        <v>1</v>
      </c>
      <c r="F63" s="51">
        <v>0.02</v>
      </c>
      <c r="G63" s="51">
        <v>0.06</v>
      </c>
      <c r="H63" s="72" t="s">
        <v>204</v>
      </c>
    </row>
    <row r="64" spans="1:9" ht="17.649999999999999" customHeight="1" x14ac:dyDescent="0.2">
      <c r="B64" s="43"/>
      <c r="C64" s="49" t="s">
        <v>41</v>
      </c>
      <c r="D64" s="50">
        <v>0.13</v>
      </c>
      <c r="E64" s="51" t="s">
        <v>1</v>
      </c>
      <c r="F64" s="102">
        <v>0.1</v>
      </c>
      <c r="G64" s="102">
        <v>0.2</v>
      </c>
      <c r="H64" s="72" t="s">
        <v>271</v>
      </c>
    </row>
    <row r="65" spans="1:9" ht="17.850000000000001" customHeight="1" x14ac:dyDescent="0.2">
      <c r="B65" s="43"/>
      <c r="C65" s="49" t="s">
        <v>14</v>
      </c>
      <c r="D65" s="66">
        <v>0.5</v>
      </c>
      <c r="E65" s="51" t="s">
        <v>4</v>
      </c>
      <c r="F65" s="75">
        <v>0</v>
      </c>
      <c r="G65" s="75">
        <v>1</v>
      </c>
      <c r="H65" s="72" t="s">
        <v>205</v>
      </c>
    </row>
    <row r="66" spans="1:9" ht="17.649999999999999" customHeight="1" x14ac:dyDescent="0.2">
      <c r="B66" s="43"/>
      <c r="C66" s="49" t="s">
        <v>13</v>
      </c>
      <c r="D66" s="95">
        <v>0</v>
      </c>
      <c r="E66" s="51" t="s">
        <v>4</v>
      </c>
      <c r="F66" s="75">
        <v>0</v>
      </c>
      <c r="G66" s="75">
        <v>0.23</v>
      </c>
      <c r="H66" s="72" t="s">
        <v>103</v>
      </c>
    </row>
    <row r="67" spans="1:9" ht="17.649999999999999" customHeight="1" x14ac:dyDescent="0.2">
      <c r="B67" s="43"/>
      <c r="C67" s="49" t="s">
        <v>27</v>
      </c>
      <c r="D67" s="50">
        <v>5.0000000000000001E-3</v>
      </c>
      <c r="E67" s="51" t="s">
        <v>1</v>
      </c>
      <c r="F67" s="51">
        <v>0</v>
      </c>
      <c r="G67" s="51">
        <v>0.02</v>
      </c>
      <c r="H67" s="72" t="s">
        <v>190</v>
      </c>
    </row>
    <row r="68" spans="1:9" ht="17.649999999999999" customHeight="1" x14ac:dyDescent="0.2">
      <c r="B68" s="43"/>
      <c r="C68" s="49" t="s">
        <v>104</v>
      </c>
      <c r="D68" s="99">
        <v>15</v>
      </c>
      <c r="E68" s="51" t="s">
        <v>20</v>
      </c>
      <c r="F68" s="100">
        <v>1</v>
      </c>
      <c r="G68" s="100" t="s">
        <v>106</v>
      </c>
      <c r="H68" s="72" t="s">
        <v>272</v>
      </c>
    </row>
    <row r="69" spans="1:9" s="87" customFormat="1" ht="17.649999999999999" customHeight="1" thickBot="1" x14ac:dyDescent="0.25">
      <c r="A69" s="40"/>
      <c r="B69" s="43"/>
      <c r="C69" s="43"/>
      <c r="D69" s="43"/>
      <c r="E69" s="43"/>
      <c r="F69" s="43"/>
      <c r="G69" s="43"/>
      <c r="H69" s="82"/>
      <c r="I69" s="86"/>
    </row>
    <row r="70" spans="1:9" s="87" customFormat="1" ht="17.649999999999999" customHeight="1" thickTop="1" x14ac:dyDescent="0.2">
      <c r="A70" s="40"/>
      <c r="B70" s="92"/>
      <c r="C70" s="91"/>
      <c r="D70" s="91"/>
      <c r="E70" s="153"/>
      <c r="F70" s="93"/>
      <c r="G70" s="43"/>
      <c r="H70" s="82"/>
      <c r="I70" s="86"/>
    </row>
    <row r="71" spans="1:9" s="87" customFormat="1" ht="17.649999999999999" customHeight="1" x14ac:dyDescent="0.3">
      <c r="A71" s="40"/>
      <c r="B71" s="93"/>
      <c r="C71" s="74" t="s">
        <v>90</v>
      </c>
      <c r="D71" s="54" t="s">
        <v>33</v>
      </c>
      <c r="E71" s="154" t="s">
        <v>34</v>
      </c>
      <c r="F71" s="158"/>
      <c r="G71" s="54"/>
      <c r="H71" s="83" t="s">
        <v>35</v>
      </c>
      <c r="I71" s="86"/>
    </row>
    <row r="72" spans="1:9" s="87" customFormat="1" ht="17.649999999999999" customHeight="1" x14ac:dyDescent="0.2">
      <c r="A72" s="40"/>
      <c r="B72" s="93"/>
      <c r="C72" s="49" t="s">
        <v>73</v>
      </c>
      <c r="D72" s="127">
        <f>(D41+PV(D28,D24,-D49)-('Grundläggande antaganden'!D52)/(1+D28)^D24)/(Kassaflöden!C55/D18)</f>
        <v>1.1505419812764399</v>
      </c>
      <c r="E72" s="157" t="s">
        <v>1</v>
      </c>
      <c r="F72" s="93"/>
      <c r="G72" s="43"/>
      <c r="H72" s="82"/>
      <c r="I72" s="86"/>
    </row>
    <row r="73" spans="1:9" s="87" customFormat="1" ht="17.649999999999999" customHeight="1" x14ac:dyDescent="0.2">
      <c r="A73" s="40"/>
      <c r="B73" s="93"/>
      <c r="C73" s="49" t="s">
        <v>17</v>
      </c>
      <c r="D73" s="127">
        <f>(D42+PV(D28,D24,-D49)-('Grundläggande antaganden'!D52)/(1+D28)^D24)/(Kassaflöden!C55/D18)</f>
        <v>1.0622623509375346</v>
      </c>
      <c r="E73" s="157" t="s">
        <v>1</v>
      </c>
      <c r="F73" s="169"/>
      <c r="G73" s="43"/>
      <c r="H73" s="72" t="s">
        <v>238</v>
      </c>
      <c r="I73" s="86"/>
    </row>
    <row r="74" spans="1:9" s="87" customFormat="1" ht="17.649999999999999" customHeight="1" x14ac:dyDescent="0.2">
      <c r="A74" s="40"/>
      <c r="B74" s="93"/>
      <c r="C74" s="49" t="s">
        <v>11</v>
      </c>
      <c r="D74" s="127">
        <f>(D43+PV(D28,D24,-D49)-('Grundläggande antaganden'!D52)/(1+D28)^D24)/(Kassaflöden!C55/D18)</f>
        <v>0.95436502496776121</v>
      </c>
      <c r="E74" s="157" t="s">
        <v>1</v>
      </c>
      <c r="F74" s="169"/>
      <c r="G74" s="43"/>
      <c r="H74" s="72" t="s">
        <v>239</v>
      </c>
      <c r="I74" s="86"/>
    </row>
    <row r="75" spans="1:9" s="87" customFormat="1" ht="17.649999999999999" customHeight="1" x14ac:dyDescent="0.2">
      <c r="A75" s="40"/>
      <c r="B75" s="93"/>
      <c r="C75" s="49"/>
      <c r="D75" s="49"/>
      <c r="E75" s="157"/>
      <c r="F75" s="93"/>
      <c r="G75" s="43"/>
      <c r="H75" s="72"/>
      <c r="I75" s="86"/>
    </row>
    <row r="76" spans="1:9" ht="17.649999999999999" customHeight="1" x14ac:dyDescent="0.2">
      <c r="B76" s="93"/>
      <c r="C76" s="43"/>
      <c r="D76" s="43"/>
      <c r="E76" s="155"/>
      <c r="F76" s="93"/>
      <c r="G76" s="43"/>
      <c r="H76" s="82"/>
    </row>
    <row r="77" spans="1:9" ht="17.649999999999999" customHeight="1" x14ac:dyDescent="0.3">
      <c r="B77" s="93"/>
      <c r="C77" s="70" t="s">
        <v>74</v>
      </c>
      <c r="D77" s="43"/>
      <c r="E77" s="155"/>
      <c r="F77" s="93"/>
      <c r="G77" s="43"/>
      <c r="H77" s="82"/>
    </row>
    <row r="78" spans="1:9" ht="17.649999999999999" customHeight="1" x14ac:dyDescent="0.2">
      <c r="B78" s="93"/>
      <c r="C78" s="47" t="s">
        <v>139</v>
      </c>
      <c r="D78" s="43"/>
      <c r="E78" s="155"/>
      <c r="F78" s="93"/>
      <c r="G78" s="43"/>
      <c r="H78" s="83"/>
    </row>
    <row r="79" spans="1:9" ht="38.25" x14ac:dyDescent="0.2">
      <c r="B79" s="93"/>
      <c r="C79" s="110" t="s">
        <v>235</v>
      </c>
      <c r="D79" s="43"/>
      <c r="E79" s="155"/>
      <c r="F79" s="93"/>
      <c r="G79" s="43"/>
      <c r="H79" s="83" t="s">
        <v>236</v>
      </c>
    </row>
    <row r="80" spans="1:9" ht="17.649999999999999" customHeight="1" x14ac:dyDescent="0.2">
      <c r="B80" s="93"/>
      <c r="C80" s="43"/>
      <c r="D80" s="43"/>
      <c r="E80" s="155"/>
      <c r="F80" s="93"/>
      <c r="G80" s="43"/>
      <c r="H80" s="82"/>
    </row>
    <row r="81" spans="2:8" ht="17.649999999999999" customHeight="1" x14ac:dyDescent="0.2">
      <c r="B81" s="93"/>
      <c r="C81" s="47" t="s">
        <v>118</v>
      </c>
      <c r="D81" s="54"/>
      <c r="E81" s="154"/>
      <c r="F81" s="158"/>
      <c r="G81" s="54"/>
      <c r="H81" s="72"/>
    </row>
    <row r="82" spans="2:8" ht="17.649999999999999" customHeight="1" x14ac:dyDescent="0.2">
      <c r="B82" s="93"/>
      <c r="C82" s="43" t="s">
        <v>48</v>
      </c>
      <c r="D82" s="67">
        <f>Kassaflöden!N55</f>
        <v>3321.9498664159964</v>
      </c>
      <c r="E82" s="157" t="s">
        <v>37</v>
      </c>
      <c r="F82" s="93"/>
      <c r="G82" s="43"/>
      <c r="H82" s="72" t="s">
        <v>240</v>
      </c>
    </row>
    <row r="83" spans="2:8" ht="17.649999999999999" customHeight="1" x14ac:dyDescent="0.2">
      <c r="B83" s="93"/>
      <c r="C83" s="43" t="s">
        <v>138</v>
      </c>
      <c r="D83" s="62">
        <f>IF(COUNTIF(Kassaflöden!O5:O54,"&lt;0")&lt;D24,COUNTIF(Kassaflöden!O5:O54,"&lt;0")+1,CONCATENATE("&gt;Livslängd (",Ekonomisk_livslängd," år)"))</f>
        <v>29</v>
      </c>
      <c r="E83" s="157" t="s">
        <v>20</v>
      </c>
      <c r="F83" s="93"/>
      <c r="G83" s="43"/>
      <c r="H83" s="72"/>
    </row>
    <row r="84" spans="2:8" ht="17.649999999999999" customHeight="1" x14ac:dyDescent="0.2">
      <c r="B84" s="93"/>
      <c r="C84" s="40" t="s">
        <v>49</v>
      </c>
      <c r="D84" s="68">
        <f>IRR(Kassaflöden!N60:N110)</f>
        <v>2.3480870704811974E-2</v>
      </c>
      <c r="E84" s="157" t="s">
        <v>4</v>
      </c>
      <c r="F84" s="93"/>
      <c r="G84" s="43"/>
      <c r="H84" s="72"/>
    </row>
    <row r="85" spans="2:8" ht="17.649999999999999" customHeight="1" x14ac:dyDescent="0.2">
      <c r="B85" s="93"/>
      <c r="C85" s="40"/>
      <c r="D85" s="63"/>
      <c r="E85" s="157"/>
      <c r="F85" s="93"/>
      <c r="G85" s="43"/>
      <c r="H85" s="72"/>
    </row>
    <row r="86" spans="2:8" ht="17.649999999999999" customHeight="1" x14ac:dyDescent="0.2">
      <c r="B86" s="93"/>
      <c r="C86" s="98" t="s">
        <v>116</v>
      </c>
      <c r="D86" s="63"/>
      <c r="E86" s="157"/>
      <c r="F86" s="93"/>
      <c r="G86" s="43"/>
      <c r="H86" s="72"/>
    </row>
    <row r="87" spans="2:8" ht="17.649999999999999" customHeight="1" x14ac:dyDescent="0.2">
      <c r="B87" s="93"/>
      <c r="C87" s="40" t="s">
        <v>48</v>
      </c>
      <c r="D87" s="67">
        <f>Kassaflöden!P55</f>
        <v>10161.949866415998</v>
      </c>
      <c r="E87" s="157" t="s">
        <v>37</v>
      </c>
      <c r="F87" s="93"/>
      <c r="G87" s="43"/>
      <c r="H87" s="72"/>
    </row>
    <row r="88" spans="2:8" ht="17.649999999999999" customHeight="1" x14ac:dyDescent="0.2">
      <c r="B88" s="93"/>
      <c r="C88" s="43" t="s">
        <v>138</v>
      </c>
      <c r="D88" s="62">
        <f>IF(COUNTIF(Kassaflöden!Q5:Q54,"&lt;0")&lt;D24,COUNTIF(Kassaflöden!Q5:Q54,"&lt;0")+1,CONCATENATE("&gt;Livslängd (",Ekonomisk_livslängd," år)"))</f>
        <v>25</v>
      </c>
      <c r="E88" s="157" t="s">
        <v>20</v>
      </c>
      <c r="F88" s="93"/>
      <c r="G88" s="43"/>
      <c r="H88" s="72"/>
    </row>
    <row r="89" spans="2:8" ht="17.649999999999999" customHeight="1" x14ac:dyDescent="0.2">
      <c r="B89" s="93"/>
      <c r="C89" s="40" t="s">
        <v>49</v>
      </c>
      <c r="D89" s="68">
        <f>IRR(Kassaflöden!P60:P110)</f>
        <v>3.1460069176555638E-2</v>
      </c>
      <c r="E89" s="157" t="s">
        <v>4</v>
      </c>
      <c r="F89" s="93"/>
      <c r="G89" s="43"/>
      <c r="H89" s="72"/>
    </row>
    <row r="90" spans="2:8" ht="17.649999999999999" customHeight="1" x14ac:dyDescent="0.2">
      <c r="B90" s="93"/>
      <c r="C90" s="40"/>
      <c r="D90" s="63"/>
      <c r="E90" s="157"/>
      <c r="F90" s="93"/>
      <c r="G90" s="43"/>
      <c r="H90" s="72"/>
    </row>
    <row r="91" spans="2:8" ht="17.649999999999999" customHeight="1" x14ac:dyDescent="0.2">
      <c r="B91" s="93"/>
      <c r="C91" s="98" t="s">
        <v>117</v>
      </c>
      <c r="D91" s="63"/>
      <c r="E91" s="157"/>
      <c r="F91" s="93"/>
      <c r="G91" s="43"/>
      <c r="H91" s="72"/>
    </row>
    <row r="92" spans="2:8" ht="17.649999999999999" customHeight="1" x14ac:dyDescent="0.2">
      <c r="B92" s="93"/>
      <c r="C92" s="40" t="s">
        <v>48</v>
      </c>
      <c r="D92" s="67">
        <f>Kassaflöden!R55</f>
        <v>18521.949866415998</v>
      </c>
      <c r="E92" s="157" t="s">
        <v>37</v>
      </c>
      <c r="F92" s="93"/>
      <c r="G92" s="43"/>
      <c r="H92" s="72"/>
    </row>
    <row r="93" spans="2:8" ht="17.649999999999999" customHeight="1" x14ac:dyDescent="0.2">
      <c r="B93" s="93"/>
      <c r="C93" s="43" t="s">
        <v>138</v>
      </c>
      <c r="D93" s="62">
        <f>IF(COUNTIF(Kassaflöden!S5:S54,"&lt;0")&lt;D24,COUNTIF(Kassaflöden!S5:S54,"&lt;0")+1,CONCATENATE("&gt;Livslängd (",Ekonomisk_livslängd," år)"))</f>
        <v>21</v>
      </c>
      <c r="E93" s="157" t="s">
        <v>20</v>
      </c>
      <c r="F93" s="93"/>
      <c r="G93" s="43"/>
      <c r="H93" s="72"/>
    </row>
    <row r="94" spans="2:8" ht="17.649999999999999" customHeight="1" x14ac:dyDescent="0.2">
      <c r="B94" s="93"/>
      <c r="C94" s="40" t="s">
        <v>49</v>
      </c>
      <c r="D94" s="68">
        <f>IRR(Kassaflöden!R60:R110)</f>
        <v>4.3111950077455052E-2</v>
      </c>
      <c r="E94" s="157" t="s">
        <v>4</v>
      </c>
      <c r="F94" s="93"/>
      <c r="G94" s="43"/>
      <c r="H94" s="82"/>
    </row>
    <row r="95" spans="2:8" ht="17.649999999999999" customHeight="1" thickBot="1" x14ac:dyDescent="0.25">
      <c r="B95" s="94"/>
      <c r="C95" s="40"/>
      <c r="D95" s="40"/>
      <c r="E95" s="156"/>
      <c r="F95" s="93"/>
      <c r="G95" s="43"/>
      <c r="H95" s="82"/>
    </row>
    <row r="96" spans="2:8" ht="17.649999999999999" customHeight="1" thickTop="1" x14ac:dyDescent="0.2">
      <c r="B96" s="91"/>
      <c r="C96" s="91"/>
      <c r="D96" s="91"/>
      <c r="E96" s="91"/>
      <c r="F96" s="43"/>
      <c r="G96" s="43"/>
      <c r="H96" s="82"/>
    </row>
    <row r="97" spans="1:8" ht="17.649999999999999" customHeight="1" x14ac:dyDescent="0.2">
      <c r="B97" s="43"/>
      <c r="C97" s="43"/>
      <c r="D97" s="43"/>
      <c r="E97" s="43"/>
      <c r="F97" s="43"/>
      <c r="G97" s="43"/>
      <c r="H97" s="82"/>
    </row>
    <row r="98" spans="1:8" ht="17.649999999999999" customHeight="1" x14ac:dyDescent="0.2">
      <c r="B98" s="43"/>
      <c r="C98" s="43"/>
      <c r="D98" s="43"/>
      <c r="E98" s="43"/>
      <c r="F98" s="43"/>
      <c r="G98" s="43"/>
      <c r="H98" s="82"/>
    </row>
    <row r="99" spans="1:8" ht="17.649999999999999" customHeight="1" x14ac:dyDescent="0.2">
      <c r="B99" s="43"/>
      <c r="C99" s="43"/>
      <c r="D99" s="43"/>
      <c r="E99" s="43"/>
      <c r="F99" s="43"/>
      <c r="G99" s="43"/>
      <c r="H99" s="82"/>
    </row>
    <row r="100" spans="1:8" ht="17.649999999999999" customHeight="1" x14ac:dyDescent="0.2">
      <c r="B100" s="43"/>
      <c r="C100" s="43"/>
      <c r="D100" s="43"/>
      <c r="E100" s="43"/>
      <c r="F100" s="43"/>
      <c r="G100" s="43"/>
      <c r="H100" s="82"/>
    </row>
    <row r="101" spans="1:8" s="119" customFormat="1" ht="89.25" x14ac:dyDescent="0.2">
      <c r="A101" s="170"/>
      <c r="B101" s="170"/>
      <c r="C101" s="171" t="s">
        <v>229</v>
      </c>
      <c r="D101" s="170"/>
      <c r="E101" s="170"/>
      <c r="F101" s="170"/>
      <c r="G101" s="170"/>
      <c r="H101" s="82"/>
    </row>
    <row r="102" spans="1:8" s="119" customFormat="1" x14ac:dyDescent="0.2">
      <c r="A102" s="170"/>
      <c r="B102" s="170"/>
      <c r="C102" s="170"/>
      <c r="D102" s="170"/>
      <c r="E102" s="170"/>
      <c r="F102" s="170"/>
      <c r="G102" s="170"/>
      <c r="H102" s="82"/>
    </row>
    <row r="103" spans="1:8" s="119" customFormat="1" x14ac:dyDescent="0.2">
      <c r="H103" s="120"/>
    </row>
    <row r="104" spans="1:8" s="119" customFormat="1" x14ac:dyDescent="0.2">
      <c r="H104" s="120"/>
    </row>
    <row r="105" spans="1:8" s="119" customFormat="1" x14ac:dyDescent="0.2">
      <c r="H105" s="120"/>
    </row>
    <row r="106" spans="1:8" s="119" customFormat="1" x14ac:dyDescent="0.2">
      <c r="H106" s="120"/>
    </row>
    <row r="107" spans="1:8" s="119" customFormat="1" x14ac:dyDescent="0.2">
      <c r="H107" s="120"/>
    </row>
    <row r="108" spans="1:8" s="119" customFormat="1" x14ac:dyDescent="0.2">
      <c r="H108" s="120"/>
    </row>
    <row r="109" spans="1:8" s="119" customFormat="1" x14ac:dyDescent="0.2">
      <c r="H109" s="120"/>
    </row>
    <row r="110" spans="1:8" s="119" customFormat="1" x14ac:dyDescent="0.2">
      <c r="H110" s="120"/>
    </row>
    <row r="111" spans="1:8" s="119" customFormat="1" x14ac:dyDescent="0.2">
      <c r="H111" s="120"/>
    </row>
    <row r="112" spans="1:8" s="119" customFormat="1" x14ac:dyDescent="0.2">
      <c r="H112" s="120"/>
    </row>
    <row r="113" spans="8:8" s="119" customFormat="1" x14ac:dyDescent="0.2">
      <c r="H113" s="120"/>
    </row>
    <row r="114" spans="8:8" s="119" customFormat="1" x14ac:dyDescent="0.2">
      <c r="H114" s="120"/>
    </row>
    <row r="115" spans="8:8" s="119" customFormat="1" x14ac:dyDescent="0.2">
      <c r="H115" s="120"/>
    </row>
    <row r="116" spans="8:8" s="119" customFormat="1" x14ac:dyDescent="0.2">
      <c r="H116" s="120"/>
    </row>
    <row r="117" spans="8:8" s="119" customFormat="1" x14ac:dyDescent="0.2">
      <c r="H117" s="120"/>
    </row>
    <row r="118" spans="8:8" s="119" customFormat="1" x14ac:dyDescent="0.2">
      <c r="H118" s="120"/>
    </row>
    <row r="119" spans="8:8" s="119" customFormat="1" x14ac:dyDescent="0.2">
      <c r="H119" s="120"/>
    </row>
    <row r="120" spans="8:8" s="119" customFormat="1" x14ac:dyDescent="0.2">
      <c r="H120" s="120"/>
    </row>
    <row r="121" spans="8:8" s="119" customFormat="1" x14ac:dyDescent="0.2">
      <c r="H121" s="120"/>
    </row>
    <row r="122" spans="8:8" s="119" customFormat="1" x14ac:dyDescent="0.2">
      <c r="H122" s="120"/>
    </row>
    <row r="123" spans="8:8" s="119" customFormat="1" x14ac:dyDescent="0.2">
      <c r="H123" s="120"/>
    </row>
    <row r="124" spans="8:8" s="119" customFormat="1" x14ac:dyDescent="0.2">
      <c r="H124" s="120"/>
    </row>
    <row r="125" spans="8:8" s="119" customFormat="1" x14ac:dyDescent="0.2">
      <c r="H125" s="120"/>
    </row>
    <row r="126" spans="8:8" s="119" customFormat="1" x14ac:dyDescent="0.2">
      <c r="H126" s="120"/>
    </row>
    <row r="127" spans="8:8" s="119" customFormat="1" x14ac:dyDescent="0.2">
      <c r="H127" s="120"/>
    </row>
    <row r="128" spans="8:8" s="119" customFormat="1" x14ac:dyDescent="0.2">
      <c r="H128" s="120"/>
    </row>
    <row r="129" spans="8:8" s="119" customFormat="1" x14ac:dyDescent="0.2">
      <c r="H129" s="120"/>
    </row>
    <row r="130" spans="8:8" s="119" customFormat="1" x14ac:dyDescent="0.2">
      <c r="H130" s="120"/>
    </row>
    <row r="131" spans="8:8" s="119" customFormat="1" x14ac:dyDescent="0.2">
      <c r="H131" s="120"/>
    </row>
    <row r="132" spans="8:8" s="119" customFormat="1" x14ac:dyDescent="0.2">
      <c r="H132" s="120"/>
    </row>
    <row r="133" spans="8:8" s="119" customFormat="1" x14ac:dyDescent="0.2">
      <c r="H133" s="120"/>
    </row>
    <row r="134" spans="8:8" s="119" customFormat="1" x14ac:dyDescent="0.2">
      <c r="H134" s="120"/>
    </row>
    <row r="135" spans="8:8" s="119" customFormat="1" x14ac:dyDescent="0.2">
      <c r="H135" s="120"/>
    </row>
    <row r="136" spans="8:8" s="119" customFormat="1" x14ac:dyDescent="0.2">
      <c r="H136" s="120"/>
    </row>
    <row r="137" spans="8:8" s="119" customFormat="1" x14ac:dyDescent="0.2">
      <c r="H137" s="120"/>
    </row>
    <row r="138" spans="8:8" s="119" customFormat="1" x14ac:dyDescent="0.2">
      <c r="H138" s="120"/>
    </row>
    <row r="139" spans="8:8" s="119" customFormat="1" x14ac:dyDescent="0.2">
      <c r="H139" s="120"/>
    </row>
    <row r="140" spans="8:8" s="119" customFormat="1" x14ac:dyDescent="0.2">
      <c r="H140" s="120"/>
    </row>
    <row r="141" spans="8:8" s="119" customFormat="1" x14ac:dyDescent="0.2">
      <c r="H141" s="120"/>
    </row>
    <row r="142" spans="8:8" s="119" customFormat="1" x14ac:dyDescent="0.2">
      <c r="H142" s="120"/>
    </row>
    <row r="143" spans="8:8" s="119" customFormat="1" x14ac:dyDescent="0.2">
      <c r="H143" s="120"/>
    </row>
    <row r="144" spans="8:8" s="119" customFormat="1" x14ac:dyDescent="0.2">
      <c r="H144" s="120"/>
    </row>
    <row r="145" spans="8:8" s="119" customFormat="1" x14ac:dyDescent="0.2">
      <c r="H145" s="120"/>
    </row>
    <row r="146" spans="8:8" s="119" customFormat="1" x14ac:dyDescent="0.2">
      <c r="H146" s="120"/>
    </row>
    <row r="147" spans="8:8" s="119" customFormat="1" x14ac:dyDescent="0.2">
      <c r="H147" s="120"/>
    </row>
    <row r="148" spans="8:8" s="119" customFormat="1" x14ac:dyDescent="0.2">
      <c r="H148" s="120"/>
    </row>
    <row r="149" spans="8:8" s="119" customFormat="1" x14ac:dyDescent="0.2">
      <c r="H149" s="120"/>
    </row>
    <row r="150" spans="8:8" s="119" customFormat="1" x14ac:dyDescent="0.2">
      <c r="H150" s="120"/>
    </row>
    <row r="151" spans="8:8" s="119" customFormat="1" x14ac:dyDescent="0.2">
      <c r="H151" s="120"/>
    </row>
    <row r="152" spans="8:8" s="119" customFormat="1" x14ac:dyDescent="0.2">
      <c r="H152" s="120"/>
    </row>
    <row r="153" spans="8:8" s="119" customFormat="1" x14ac:dyDescent="0.2">
      <c r="H153" s="120"/>
    </row>
    <row r="154" spans="8:8" s="119" customFormat="1" x14ac:dyDescent="0.2">
      <c r="H154" s="120"/>
    </row>
    <row r="155" spans="8:8" s="119" customFormat="1" x14ac:dyDescent="0.2">
      <c r="H155" s="120"/>
    </row>
    <row r="156" spans="8:8" s="119" customFormat="1" x14ac:dyDescent="0.2">
      <c r="H156" s="120"/>
    </row>
    <row r="157" spans="8:8" s="119" customFormat="1" x14ac:dyDescent="0.2">
      <c r="H157" s="120"/>
    </row>
    <row r="158" spans="8:8" s="119" customFormat="1" x14ac:dyDescent="0.2">
      <c r="H158" s="120"/>
    </row>
    <row r="159" spans="8:8" s="119" customFormat="1" x14ac:dyDescent="0.2">
      <c r="H159" s="120"/>
    </row>
    <row r="160" spans="8:8" s="119" customFormat="1" x14ac:dyDescent="0.2">
      <c r="H160" s="120"/>
    </row>
    <row r="161" spans="8:8" s="119" customFormat="1" x14ac:dyDescent="0.2">
      <c r="H161" s="120"/>
    </row>
    <row r="162" spans="8:8" s="119" customFormat="1" x14ac:dyDescent="0.2">
      <c r="H162" s="120"/>
    </row>
    <row r="163" spans="8:8" s="119" customFormat="1" x14ac:dyDescent="0.2">
      <c r="H163" s="120"/>
    </row>
    <row r="164" spans="8:8" s="119" customFormat="1" x14ac:dyDescent="0.2">
      <c r="H164" s="120"/>
    </row>
    <row r="165" spans="8:8" s="119" customFormat="1" x14ac:dyDescent="0.2">
      <c r="H165" s="120"/>
    </row>
    <row r="166" spans="8:8" s="119" customFormat="1" x14ac:dyDescent="0.2">
      <c r="H166" s="120"/>
    </row>
    <row r="167" spans="8:8" s="119" customFormat="1" x14ac:dyDescent="0.2">
      <c r="H167" s="120"/>
    </row>
    <row r="168" spans="8:8" s="119" customFormat="1" x14ac:dyDescent="0.2">
      <c r="H168" s="120"/>
    </row>
    <row r="169" spans="8:8" s="119" customFormat="1" x14ac:dyDescent="0.2">
      <c r="H169" s="120"/>
    </row>
    <row r="170" spans="8:8" s="119" customFormat="1" x14ac:dyDescent="0.2">
      <c r="H170" s="120"/>
    </row>
    <row r="171" spans="8:8" s="119" customFormat="1" x14ac:dyDescent="0.2">
      <c r="H171" s="120"/>
    </row>
    <row r="172" spans="8:8" s="119" customFormat="1" x14ac:dyDescent="0.2">
      <c r="H172" s="120"/>
    </row>
    <row r="173" spans="8:8" s="119" customFormat="1" x14ac:dyDescent="0.2">
      <c r="H173" s="120"/>
    </row>
    <row r="174" spans="8:8" s="119" customFormat="1" x14ac:dyDescent="0.2">
      <c r="H174" s="120"/>
    </row>
    <row r="175" spans="8:8" s="119" customFormat="1" x14ac:dyDescent="0.2">
      <c r="H175" s="120"/>
    </row>
    <row r="176" spans="8:8" s="119" customFormat="1" x14ac:dyDescent="0.2">
      <c r="H176" s="120"/>
    </row>
    <row r="177" spans="8:8" s="119" customFormat="1" x14ac:dyDescent="0.2">
      <c r="H177" s="120"/>
    </row>
    <row r="178" spans="8:8" s="119" customFormat="1" x14ac:dyDescent="0.2">
      <c r="H178" s="120"/>
    </row>
    <row r="179" spans="8:8" s="119" customFormat="1" x14ac:dyDescent="0.2">
      <c r="H179" s="120"/>
    </row>
    <row r="180" spans="8:8" s="119" customFormat="1" x14ac:dyDescent="0.2">
      <c r="H180" s="120"/>
    </row>
    <row r="181" spans="8:8" s="119" customFormat="1" x14ac:dyDescent="0.2">
      <c r="H181" s="120"/>
    </row>
    <row r="182" spans="8:8" s="119" customFormat="1" x14ac:dyDescent="0.2">
      <c r="H182" s="120"/>
    </row>
    <row r="183" spans="8:8" s="119" customFormat="1" x14ac:dyDescent="0.2">
      <c r="H183" s="120"/>
    </row>
    <row r="184" spans="8:8" s="119" customFormat="1" x14ac:dyDescent="0.2">
      <c r="H184" s="120"/>
    </row>
    <row r="185" spans="8:8" s="119" customFormat="1" x14ac:dyDescent="0.2">
      <c r="H185" s="120"/>
    </row>
    <row r="186" spans="8:8" s="119" customFormat="1" x14ac:dyDescent="0.2">
      <c r="H186" s="120"/>
    </row>
    <row r="187" spans="8:8" s="119" customFormat="1" x14ac:dyDescent="0.2">
      <c r="H187" s="120"/>
    </row>
    <row r="188" spans="8:8" s="119" customFormat="1" x14ac:dyDescent="0.2">
      <c r="H188" s="120"/>
    </row>
    <row r="189" spans="8:8" s="119" customFormat="1" x14ac:dyDescent="0.2">
      <c r="H189" s="120"/>
    </row>
    <row r="190" spans="8:8" s="119" customFormat="1" x14ac:dyDescent="0.2">
      <c r="H190" s="120"/>
    </row>
    <row r="191" spans="8:8" s="119" customFormat="1" x14ac:dyDescent="0.2">
      <c r="H191" s="120"/>
    </row>
    <row r="192" spans="8:8" s="119" customFormat="1" x14ac:dyDescent="0.2">
      <c r="H192" s="120"/>
    </row>
    <row r="193" spans="8:8" s="119" customFormat="1" x14ac:dyDescent="0.2">
      <c r="H193" s="120"/>
    </row>
    <row r="194" spans="8:8" s="119" customFormat="1" x14ac:dyDescent="0.2">
      <c r="H194" s="120"/>
    </row>
    <row r="195" spans="8:8" s="119" customFormat="1" x14ac:dyDescent="0.2">
      <c r="H195" s="120"/>
    </row>
    <row r="196" spans="8:8" s="119" customFormat="1" x14ac:dyDescent="0.2">
      <c r="H196" s="120"/>
    </row>
    <row r="197" spans="8:8" s="119" customFormat="1" x14ac:dyDescent="0.2">
      <c r="H197" s="120"/>
    </row>
    <row r="198" spans="8:8" s="119" customFormat="1" x14ac:dyDescent="0.2">
      <c r="H198" s="120"/>
    </row>
    <row r="199" spans="8:8" s="119" customFormat="1" x14ac:dyDescent="0.2">
      <c r="H199" s="120"/>
    </row>
    <row r="200" spans="8:8" s="119" customFormat="1" x14ac:dyDescent="0.2">
      <c r="H200" s="120"/>
    </row>
    <row r="201" spans="8:8" s="119" customFormat="1" x14ac:dyDescent="0.2">
      <c r="H201" s="120"/>
    </row>
    <row r="202" spans="8:8" s="119" customFormat="1" x14ac:dyDescent="0.2">
      <c r="H202" s="120"/>
    </row>
    <row r="203" spans="8:8" s="119" customFormat="1" x14ac:dyDescent="0.2">
      <c r="H203" s="120"/>
    </row>
    <row r="204" spans="8:8" s="119" customFormat="1" x14ac:dyDescent="0.2">
      <c r="H204" s="120"/>
    </row>
    <row r="205" spans="8:8" s="119" customFormat="1" x14ac:dyDescent="0.2">
      <c r="H205" s="120"/>
    </row>
    <row r="206" spans="8:8" s="119" customFormat="1" x14ac:dyDescent="0.2">
      <c r="H206" s="120"/>
    </row>
    <row r="207" spans="8:8" s="119" customFormat="1" x14ac:dyDescent="0.2">
      <c r="H207" s="120"/>
    </row>
    <row r="208" spans="8:8" s="119" customFormat="1" x14ac:dyDescent="0.2">
      <c r="H208" s="120"/>
    </row>
    <row r="209" spans="8:8" s="119" customFormat="1" x14ac:dyDescent="0.2">
      <c r="H209" s="120"/>
    </row>
    <row r="210" spans="8:8" s="119" customFormat="1" x14ac:dyDescent="0.2">
      <c r="H210" s="120"/>
    </row>
    <row r="211" spans="8:8" s="119" customFormat="1" x14ac:dyDescent="0.2">
      <c r="H211" s="120"/>
    </row>
    <row r="212" spans="8:8" s="119" customFormat="1" x14ac:dyDescent="0.2">
      <c r="H212" s="120"/>
    </row>
    <row r="213" spans="8:8" s="119" customFormat="1" x14ac:dyDescent="0.2">
      <c r="H213" s="120"/>
    </row>
    <row r="214" spans="8:8" s="119" customFormat="1" x14ac:dyDescent="0.2">
      <c r="H214" s="120"/>
    </row>
    <row r="215" spans="8:8" s="119" customFormat="1" x14ac:dyDescent="0.2">
      <c r="H215" s="120"/>
    </row>
    <row r="216" spans="8:8" s="119" customFormat="1" x14ac:dyDescent="0.2">
      <c r="H216" s="120"/>
    </row>
    <row r="217" spans="8:8" s="119" customFormat="1" x14ac:dyDescent="0.2">
      <c r="H217" s="120"/>
    </row>
    <row r="218" spans="8:8" s="119" customFormat="1" x14ac:dyDescent="0.2">
      <c r="H218" s="120"/>
    </row>
    <row r="219" spans="8:8" s="119" customFormat="1" x14ac:dyDescent="0.2">
      <c r="H219" s="120"/>
    </row>
    <row r="220" spans="8:8" s="119" customFormat="1" x14ac:dyDescent="0.2">
      <c r="H220" s="120"/>
    </row>
    <row r="221" spans="8:8" s="119" customFormat="1" x14ac:dyDescent="0.2">
      <c r="H221" s="120"/>
    </row>
    <row r="222" spans="8:8" s="119" customFormat="1" x14ac:dyDescent="0.2">
      <c r="H222" s="120"/>
    </row>
    <row r="223" spans="8:8" s="119" customFormat="1" x14ac:dyDescent="0.2">
      <c r="H223" s="120"/>
    </row>
    <row r="224" spans="8:8" s="119" customFormat="1" x14ac:dyDescent="0.2">
      <c r="H224" s="120"/>
    </row>
    <row r="225" spans="8:8" s="119" customFormat="1" x14ac:dyDescent="0.2">
      <c r="H225" s="120"/>
    </row>
    <row r="226" spans="8:8" s="119" customFormat="1" x14ac:dyDescent="0.2">
      <c r="H226" s="120"/>
    </row>
    <row r="227" spans="8:8" s="119" customFormat="1" x14ac:dyDescent="0.2">
      <c r="H227" s="120"/>
    </row>
    <row r="228" spans="8:8" s="119" customFormat="1" x14ac:dyDescent="0.2">
      <c r="H228" s="120"/>
    </row>
    <row r="229" spans="8:8" s="119" customFormat="1" x14ac:dyDescent="0.2">
      <c r="H229" s="120"/>
    </row>
    <row r="230" spans="8:8" s="119" customFormat="1" x14ac:dyDescent="0.2">
      <c r="H230" s="120"/>
    </row>
    <row r="231" spans="8:8" s="119" customFormat="1" x14ac:dyDescent="0.2">
      <c r="H231" s="120"/>
    </row>
    <row r="232" spans="8:8" s="119" customFormat="1" x14ac:dyDescent="0.2">
      <c r="H232" s="120"/>
    </row>
    <row r="233" spans="8:8" s="119" customFormat="1" x14ac:dyDescent="0.2">
      <c r="H233" s="120"/>
    </row>
    <row r="234" spans="8:8" s="119" customFormat="1" x14ac:dyDescent="0.2">
      <c r="H234" s="120"/>
    </row>
    <row r="235" spans="8:8" s="119" customFormat="1" x14ac:dyDescent="0.2">
      <c r="H235" s="120"/>
    </row>
    <row r="236" spans="8:8" s="119" customFormat="1" x14ac:dyDescent="0.2">
      <c r="H236" s="120"/>
    </row>
    <row r="237" spans="8:8" s="119" customFormat="1" x14ac:dyDescent="0.2">
      <c r="H237" s="120"/>
    </row>
    <row r="238" spans="8:8" s="119" customFormat="1" x14ac:dyDescent="0.2">
      <c r="H238" s="120"/>
    </row>
    <row r="239" spans="8:8" s="119" customFormat="1" x14ac:dyDescent="0.2">
      <c r="H239" s="120"/>
    </row>
    <row r="240" spans="8:8" s="119" customFormat="1" x14ac:dyDescent="0.2">
      <c r="H240" s="120"/>
    </row>
    <row r="241" spans="8:9" s="119" customFormat="1" x14ac:dyDescent="0.2">
      <c r="H241" s="120"/>
    </row>
    <row r="242" spans="8:9" s="119" customFormat="1" x14ac:dyDescent="0.2">
      <c r="H242" s="120"/>
    </row>
    <row r="243" spans="8:9" s="119" customFormat="1" x14ac:dyDescent="0.2">
      <c r="H243" s="120"/>
    </row>
    <row r="244" spans="8:9" s="119" customFormat="1" x14ac:dyDescent="0.2">
      <c r="H244" s="120"/>
    </row>
    <row r="245" spans="8:9" s="119" customFormat="1" x14ac:dyDescent="0.2">
      <c r="H245" s="120"/>
    </row>
    <row r="246" spans="8:9" s="119" customFormat="1" x14ac:dyDescent="0.2">
      <c r="H246" s="120"/>
    </row>
    <row r="247" spans="8:9" s="119" customFormat="1" x14ac:dyDescent="0.2">
      <c r="H247" s="120"/>
    </row>
    <row r="248" spans="8:9" s="119" customFormat="1" x14ac:dyDescent="0.2">
      <c r="H248" s="120"/>
    </row>
    <row r="249" spans="8:9" s="119" customFormat="1" x14ac:dyDescent="0.2">
      <c r="H249" s="120"/>
    </row>
    <row r="250" spans="8:9" s="119" customFormat="1" x14ac:dyDescent="0.2">
      <c r="H250" s="120"/>
    </row>
    <row r="251" spans="8:9" s="122" customFormat="1" x14ac:dyDescent="0.2">
      <c r="H251" s="121"/>
      <c r="I251" s="119"/>
    </row>
    <row r="252" spans="8:9" s="122" customFormat="1" x14ac:dyDescent="0.2">
      <c r="H252" s="121"/>
      <c r="I252" s="119"/>
    </row>
    <row r="253" spans="8:9" s="122" customFormat="1" x14ac:dyDescent="0.2">
      <c r="H253" s="121"/>
      <c r="I253" s="119"/>
    </row>
    <row r="254" spans="8:9" s="122" customFormat="1" x14ac:dyDescent="0.2">
      <c r="H254" s="121"/>
      <c r="I254" s="119"/>
    </row>
    <row r="255" spans="8:9" s="122" customFormat="1" x14ac:dyDescent="0.2">
      <c r="H255" s="121"/>
      <c r="I255" s="119"/>
    </row>
    <row r="256" spans="8:9" s="122" customFormat="1" x14ac:dyDescent="0.2">
      <c r="H256" s="121"/>
      <c r="I256" s="119"/>
    </row>
    <row r="257" spans="8:9" s="122" customFormat="1" x14ac:dyDescent="0.2">
      <c r="H257" s="121"/>
      <c r="I257" s="119"/>
    </row>
    <row r="258" spans="8:9" s="122" customFormat="1" x14ac:dyDescent="0.2">
      <c r="H258" s="121"/>
      <c r="I258" s="119"/>
    </row>
    <row r="259" spans="8:9" s="122" customFormat="1" x14ac:dyDescent="0.2">
      <c r="H259" s="121"/>
      <c r="I259" s="119"/>
    </row>
    <row r="260" spans="8:9" s="122" customFormat="1" x14ac:dyDescent="0.2">
      <c r="H260" s="121"/>
      <c r="I260" s="119"/>
    </row>
    <row r="261" spans="8:9" s="122" customFormat="1" x14ac:dyDescent="0.2">
      <c r="H261" s="121"/>
      <c r="I261" s="119"/>
    </row>
    <row r="262" spans="8:9" s="122" customFormat="1" x14ac:dyDescent="0.2">
      <c r="H262" s="121"/>
      <c r="I262" s="119"/>
    </row>
    <row r="263" spans="8:9" s="122" customFormat="1" x14ac:dyDescent="0.2">
      <c r="H263" s="121"/>
      <c r="I263" s="119"/>
    </row>
    <row r="264" spans="8:9" s="122" customFormat="1" x14ac:dyDescent="0.2">
      <c r="H264" s="121"/>
      <c r="I264" s="119"/>
    </row>
    <row r="265" spans="8:9" s="122" customFormat="1" x14ac:dyDescent="0.2">
      <c r="H265" s="121"/>
      <c r="I265" s="119"/>
    </row>
    <row r="266" spans="8:9" s="122" customFormat="1" x14ac:dyDescent="0.2">
      <c r="H266" s="121"/>
      <c r="I266" s="119"/>
    </row>
    <row r="267" spans="8:9" s="122" customFormat="1" x14ac:dyDescent="0.2">
      <c r="H267" s="121"/>
      <c r="I267" s="119"/>
    </row>
    <row r="268" spans="8:9" s="122" customFormat="1" x14ac:dyDescent="0.2">
      <c r="H268" s="121"/>
      <c r="I268" s="119"/>
    </row>
    <row r="269" spans="8:9" s="122" customFormat="1" x14ac:dyDescent="0.2">
      <c r="H269" s="121"/>
      <c r="I269" s="119"/>
    </row>
    <row r="270" spans="8:9" s="122" customFormat="1" x14ac:dyDescent="0.2">
      <c r="H270" s="121"/>
      <c r="I270" s="119"/>
    </row>
    <row r="271" spans="8:9" s="122" customFormat="1" x14ac:dyDescent="0.2">
      <c r="H271" s="121"/>
      <c r="I271" s="119"/>
    </row>
    <row r="272" spans="8:9" s="122" customFormat="1" x14ac:dyDescent="0.2">
      <c r="H272" s="121"/>
      <c r="I272" s="119"/>
    </row>
    <row r="273" spans="8:9" s="122" customFormat="1" x14ac:dyDescent="0.2">
      <c r="H273" s="121"/>
      <c r="I273" s="119"/>
    </row>
    <row r="274" spans="8:9" s="122" customFormat="1" x14ac:dyDescent="0.2">
      <c r="H274" s="121"/>
      <c r="I274" s="119"/>
    </row>
    <row r="275" spans="8:9" s="122" customFormat="1" x14ac:dyDescent="0.2">
      <c r="H275" s="121"/>
      <c r="I275" s="119"/>
    </row>
    <row r="276" spans="8:9" s="87" customFormat="1" x14ac:dyDescent="0.2">
      <c r="H276" s="123"/>
      <c r="I276" s="86"/>
    </row>
    <row r="277" spans="8:9" s="87" customFormat="1" x14ac:dyDescent="0.2">
      <c r="H277" s="123"/>
      <c r="I277" s="86"/>
    </row>
    <row r="278" spans="8:9" s="87" customFormat="1" x14ac:dyDescent="0.2">
      <c r="H278" s="123"/>
      <c r="I278" s="86"/>
    </row>
    <row r="279" spans="8:9" s="87" customFormat="1" x14ac:dyDescent="0.2">
      <c r="H279" s="123"/>
      <c r="I279" s="86"/>
    </row>
    <row r="280" spans="8:9" s="87" customFormat="1" x14ac:dyDescent="0.2">
      <c r="H280" s="123"/>
      <c r="I280" s="86"/>
    </row>
    <row r="281" spans="8:9" s="87" customFormat="1" x14ac:dyDescent="0.2">
      <c r="H281" s="123"/>
      <c r="I281" s="86"/>
    </row>
    <row r="282" spans="8:9" s="87" customFormat="1" x14ac:dyDescent="0.2">
      <c r="H282" s="123"/>
      <c r="I282" s="86"/>
    </row>
    <row r="283" spans="8:9" s="87" customFormat="1" x14ac:dyDescent="0.2">
      <c r="H283" s="123"/>
      <c r="I283" s="86"/>
    </row>
    <row r="284" spans="8:9" s="87" customFormat="1" x14ac:dyDescent="0.2">
      <c r="H284" s="123"/>
      <c r="I284" s="86"/>
    </row>
    <row r="285" spans="8:9" s="87" customFormat="1" x14ac:dyDescent="0.2">
      <c r="H285" s="123"/>
      <c r="I285" s="86"/>
    </row>
    <row r="286" spans="8:9" s="87" customFormat="1" x14ac:dyDescent="0.2">
      <c r="H286" s="123"/>
      <c r="I286" s="86"/>
    </row>
    <row r="287" spans="8:9" s="87" customFormat="1" x14ac:dyDescent="0.2">
      <c r="H287" s="123"/>
      <c r="I287" s="86"/>
    </row>
    <row r="288" spans="8:9" s="87" customFormat="1" x14ac:dyDescent="0.2">
      <c r="H288" s="123"/>
      <c r="I288" s="86"/>
    </row>
    <row r="289" spans="8:9" s="87" customFormat="1" x14ac:dyDescent="0.2">
      <c r="H289" s="123"/>
      <c r="I289" s="86"/>
    </row>
    <row r="290" spans="8:9" s="87" customFormat="1" x14ac:dyDescent="0.2">
      <c r="H290" s="123"/>
      <c r="I290" s="86"/>
    </row>
    <row r="291" spans="8:9" s="87" customFormat="1" x14ac:dyDescent="0.2">
      <c r="H291" s="123"/>
      <c r="I291" s="86"/>
    </row>
    <row r="292" spans="8:9" s="87" customFormat="1" x14ac:dyDescent="0.2">
      <c r="H292" s="123"/>
      <c r="I292" s="86"/>
    </row>
    <row r="293" spans="8:9" s="87" customFormat="1" x14ac:dyDescent="0.2">
      <c r="H293" s="123"/>
      <c r="I293" s="86"/>
    </row>
    <row r="294" spans="8:9" s="87" customFormat="1" x14ac:dyDescent="0.2">
      <c r="H294" s="123"/>
      <c r="I294" s="86"/>
    </row>
    <row r="295" spans="8:9" s="87" customFormat="1" x14ac:dyDescent="0.2">
      <c r="H295" s="123"/>
      <c r="I295" s="86"/>
    </row>
    <row r="296" spans="8:9" s="87" customFormat="1" x14ac:dyDescent="0.2">
      <c r="H296" s="123"/>
      <c r="I296" s="86"/>
    </row>
    <row r="297" spans="8:9" s="87" customFormat="1" x14ac:dyDescent="0.2">
      <c r="H297" s="123"/>
      <c r="I297" s="86"/>
    </row>
    <row r="298" spans="8:9" s="87" customFormat="1" x14ac:dyDescent="0.2">
      <c r="H298" s="123"/>
      <c r="I298" s="86"/>
    </row>
    <row r="299" spans="8:9" s="87" customFormat="1" x14ac:dyDescent="0.2">
      <c r="H299" s="123"/>
      <c r="I299" s="86"/>
    </row>
    <row r="300" spans="8:9" s="87" customFormat="1" x14ac:dyDescent="0.2">
      <c r="H300" s="123"/>
      <c r="I300" s="86"/>
    </row>
    <row r="301" spans="8:9" s="87" customFormat="1" x14ac:dyDescent="0.2">
      <c r="H301" s="123"/>
      <c r="I301" s="86"/>
    </row>
    <row r="302" spans="8:9" s="87" customFormat="1" x14ac:dyDescent="0.2">
      <c r="H302" s="123"/>
      <c r="I302" s="86"/>
    </row>
    <row r="303" spans="8:9" s="87" customFormat="1" x14ac:dyDescent="0.2">
      <c r="H303" s="123"/>
      <c r="I303" s="86"/>
    </row>
    <row r="304" spans="8:9" s="87" customFormat="1" x14ac:dyDescent="0.2">
      <c r="H304" s="123"/>
      <c r="I304" s="86"/>
    </row>
    <row r="305" spans="8:9" s="87" customFormat="1" x14ac:dyDescent="0.2">
      <c r="H305" s="123"/>
      <c r="I305" s="86"/>
    </row>
    <row r="306" spans="8:9" s="87" customFormat="1" x14ac:dyDescent="0.2">
      <c r="H306" s="123"/>
      <c r="I306" s="86"/>
    </row>
    <row r="307" spans="8:9" s="87" customFormat="1" x14ac:dyDescent="0.2">
      <c r="H307" s="123"/>
      <c r="I307" s="86"/>
    </row>
    <row r="308" spans="8:9" s="87" customFormat="1" x14ac:dyDescent="0.2">
      <c r="H308" s="123"/>
      <c r="I308" s="86"/>
    </row>
    <row r="309" spans="8:9" s="87" customFormat="1" x14ac:dyDescent="0.2">
      <c r="H309" s="123"/>
      <c r="I309" s="86"/>
    </row>
    <row r="310" spans="8:9" s="87" customFormat="1" x14ac:dyDescent="0.2">
      <c r="H310" s="123"/>
      <c r="I310" s="86"/>
    </row>
    <row r="311" spans="8:9" s="87" customFormat="1" x14ac:dyDescent="0.2">
      <c r="H311" s="123"/>
      <c r="I311" s="86"/>
    </row>
    <row r="312" spans="8:9" s="87" customFormat="1" x14ac:dyDescent="0.2">
      <c r="H312" s="123"/>
      <c r="I312" s="86"/>
    </row>
    <row r="313" spans="8:9" s="87" customFormat="1" x14ac:dyDescent="0.2">
      <c r="H313" s="123"/>
      <c r="I313" s="86"/>
    </row>
    <row r="314" spans="8:9" s="87" customFormat="1" x14ac:dyDescent="0.2">
      <c r="H314" s="123"/>
      <c r="I314" s="86"/>
    </row>
    <row r="315" spans="8:9" s="87" customFormat="1" x14ac:dyDescent="0.2">
      <c r="H315" s="123"/>
      <c r="I315" s="86"/>
    </row>
    <row r="316" spans="8:9" s="87" customFormat="1" x14ac:dyDescent="0.2">
      <c r="H316" s="123"/>
      <c r="I316" s="86"/>
    </row>
    <row r="317" spans="8:9" s="87" customFormat="1" x14ac:dyDescent="0.2">
      <c r="H317" s="123"/>
      <c r="I317" s="86"/>
    </row>
    <row r="318" spans="8:9" s="87" customFormat="1" x14ac:dyDescent="0.2">
      <c r="H318" s="123"/>
      <c r="I318" s="86"/>
    </row>
    <row r="319" spans="8:9" s="87" customFormat="1" x14ac:dyDescent="0.2">
      <c r="H319" s="123"/>
      <c r="I319" s="86"/>
    </row>
    <row r="320" spans="8:9" s="87" customFormat="1" x14ac:dyDescent="0.2">
      <c r="H320" s="123"/>
      <c r="I320" s="86"/>
    </row>
    <row r="321" spans="8:9" s="87" customFormat="1" x14ac:dyDescent="0.2">
      <c r="H321" s="123"/>
      <c r="I321" s="86"/>
    </row>
    <row r="322" spans="8:9" s="87" customFormat="1" x14ac:dyDescent="0.2">
      <c r="H322" s="123"/>
      <c r="I322" s="86"/>
    </row>
    <row r="323" spans="8:9" s="87" customFormat="1" x14ac:dyDescent="0.2">
      <c r="H323" s="123"/>
      <c r="I323" s="86"/>
    </row>
    <row r="324" spans="8:9" s="87" customFormat="1" x14ac:dyDescent="0.2">
      <c r="H324" s="123"/>
      <c r="I324" s="86"/>
    </row>
    <row r="325" spans="8:9" s="87" customFormat="1" x14ac:dyDescent="0.2">
      <c r="H325" s="123"/>
      <c r="I325" s="86"/>
    </row>
    <row r="326" spans="8:9" s="87" customFormat="1" x14ac:dyDescent="0.2">
      <c r="H326" s="123"/>
      <c r="I326" s="86"/>
    </row>
    <row r="327" spans="8:9" s="87" customFormat="1" x14ac:dyDescent="0.2">
      <c r="H327" s="123"/>
      <c r="I327" s="86"/>
    </row>
    <row r="328" spans="8:9" s="87" customFormat="1" x14ac:dyDescent="0.2">
      <c r="H328" s="123"/>
      <c r="I328" s="86"/>
    </row>
    <row r="329" spans="8:9" s="87" customFormat="1" x14ac:dyDescent="0.2">
      <c r="H329" s="123"/>
      <c r="I329" s="86"/>
    </row>
    <row r="330" spans="8:9" s="87" customFormat="1" x14ac:dyDescent="0.2">
      <c r="H330" s="123"/>
      <c r="I330" s="86"/>
    </row>
    <row r="331" spans="8:9" s="87" customFormat="1" x14ac:dyDescent="0.2">
      <c r="H331" s="123"/>
      <c r="I331" s="86"/>
    </row>
    <row r="332" spans="8:9" s="87" customFormat="1" x14ac:dyDescent="0.2">
      <c r="H332" s="123"/>
      <c r="I332" s="86"/>
    </row>
    <row r="333" spans="8:9" s="87" customFormat="1" x14ac:dyDescent="0.2">
      <c r="H333" s="123"/>
      <c r="I333" s="86"/>
    </row>
    <row r="334" spans="8:9" s="87" customFormat="1" x14ac:dyDescent="0.2">
      <c r="H334" s="123"/>
      <c r="I334" s="86"/>
    </row>
    <row r="335" spans="8:9" s="87" customFormat="1" x14ac:dyDescent="0.2">
      <c r="H335" s="123"/>
      <c r="I335" s="86"/>
    </row>
    <row r="336" spans="8:9" s="87" customFormat="1" x14ac:dyDescent="0.2">
      <c r="H336" s="123"/>
      <c r="I336" s="86"/>
    </row>
    <row r="337" spans="8:9" s="87" customFormat="1" x14ac:dyDescent="0.2">
      <c r="H337" s="123"/>
      <c r="I337" s="86"/>
    </row>
    <row r="338" spans="8:9" s="87" customFormat="1" x14ac:dyDescent="0.2">
      <c r="H338" s="123"/>
      <c r="I338" s="86"/>
    </row>
    <row r="339" spans="8:9" s="87" customFormat="1" x14ac:dyDescent="0.2">
      <c r="H339" s="123"/>
      <c r="I339" s="86"/>
    </row>
    <row r="340" spans="8:9" s="87" customFormat="1" x14ac:dyDescent="0.2">
      <c r="H340" s="123"/>
      <c r="I340" s="86"/>
    </row>
    <row r="341" spans="8:9" s="87" customFormat="1" x14ac:dyDescent="0.2">
      <c r="H341" s="123"/>
      <c r="I341" s="86"/>
    </row>
    <row r="342" spans="8:9" s="87" customFormat="1" x14ac:dyDescent="0.2">
      <c r="H342" s="123"/>
      <c r="I342" s="86"/>
    </row>
    <row r="343" spans="8:9" s="87" customFormat="1" x14ac:dyDescent="0.2">
      <c r="H343" s="123"/>
      <c r="I343" s="86"/>
    </row>
    <row r="344" spans="8:9" s="87" customFormat="1" x14ac:dyDescent="0.2">
      <c r="H344" s="123"/>
      <c r="I344" s="86"/>
    </row>
    <row r="345" spans="8:9" s="87" customFormat="1" x14ac:dyDescent="0.2">
      <c r="H345" s="123"/>
      <c r="I345" s="86"/>
    </row>
    <row r="346" spans="8:9" s="87" customFormat="1" x14ac:dyDescent="0.2">
      <c r="H346" s="123"/>
      <c r="I346" s="86"/>
    </row>
    <row r="347" spans="8:9" s="87" customFormat="1" x14ac:dyDescent="0.2">
      <c r="H347" s="123"/>
      <c r="I347" s="86"/>
    </row>
    <row r="348" spans="8:9" s="87" customFormat="1" x14ac:dyDescent="0.2">
      <c r="H348" s="123"/>
      <c r="I348" s="86"/>
    </row>
    <row r="349" spans="8:9" s="87" customFormat="1" x14ac:dyDescent="0.2">
      <c r="H349" s="123"/>
      <c r="I349" s="86"/>
    </row>
    <row r="350" spans="8:9" s="87" customFormat="1" x14ac:dyDescent="0.2">
      <c r="H350" s="123"/>
      <c r="I350" s="86"/>
    </row>
    <row r="351" spans="8:9" s="87" customFormat="1" x14ac:dyDescent="0.2">
      <c r="H351" s="123"/>
      <c r="I351" s="86"/>
    </row>
    <row r="352" spans="8:9" s="87" customFormat="1" x14ac:dyDescent="0.2">
      <c r="H352" s="123"/>
      <c r="I352" s="86"/>
    </row>
    <row r="353" spans="8:9" s="87" customFormat="1" x14ac:dyDescent="0.2">
      <c r="H353" s="123"/>
      <c r="I353" s="86"/>
    </row>
    <row r="354" spans="8:9" s="87" customFormat="1" x14ac:dyDescent="0.2">
      <c r="H354" s="123"/>
      <c r="I354" s="86"/>
    </row>
    <row r="355" spans="8:9" s="87" customFormat="1" x14ac:dyDescent="0.2">
      <c r="H355" s="123"/>
      <c r="I355" s="86"/>
    </row>
    <row r="356" spans="8:9" s="87" customFormat="1" x14ac:dyDescent="0.2">
      <c r="H356" s="123"/>
      <c r="I356" s="86"/>
    </row>
    <row r="357" spans="8:9" s="87" customFormat="1" x14ac:dyDescent="0.2">
      <c r="H357" s="123"/>
      <c r="I357" s="86"/>
    </row>
    <row r="358" spans="8:9" s="87" customFormat="1" x14ac:dyDescent="0.2">
      <c r="H358" s="123"/>
      <c r="I358" s="86"/>
    </row>
    <row r="359" spans="8:9" s="87" customFormat="1" x14ac:dyDescent="0.2">
      <c r="H359" s="123"/>
      <c r="I359" s="86"/>
    </row>
    <row r="360" spans="8:9" s="87" customFormat="1" x14ac:dyDescent="0.2">
      <c r="H360" s="123"/>
      <c r="I360" s="86"/>
    </row>
    <row r="361" spans="8:9" s="87" customFormat="1" x14ac:dyDescent="0.2">
      <c r="H361" s="123"/>
      <c r="I361" s="86"/>
    </row>
    <row r="362" spans="8:9" s="87" customFormat="1" x14ac:dyDescent="0.2">
      <c r="H362" s="123"/>
      <c r="I362" s="86"/>
    </row>
    <row r="363" spans="8:9" s="87" customFormat="1" x14ac:dyDescent="0.2">
      <c r="H363" s="123"/>
      <c r="I363" s="86"/>
    </row>
    <row r="364" spans="8:9" s="87" customFormat="1" x14ac:dyDescent="0.2">
      <c r="H364" s="123"/>
      <c r="I364" s="86"/>
    </row>
    <row r="365" spans="8:9" s="87" customFormat="1" x14ac:dyDescent="0.2">
      <c r="H365" s="123"/>
      <c r="I365" s="86"/>
    </row>
    <row r="366" spans="8:9" s="87" customFormat="1" x14ac:dyDescent="0.2">
      <c r="H366" s="123"/>
      <c r="I366" s="86"/>
    </row>
    <row r="367" spans="8:9" s="87" customFormat="1" x14ac:dyDescent="0.2">
      <c r="H367" s="123"/>
      <c r="I367" s="86"/>
    </row>
    <row r="368" spans="8:9" s="87" customFormat="1" x14ac:dyDescent="0.2">
      <c r="H368" s="123"/>
      <c r="I368" s="86"/>
    </row>
    <row r="369" spans="8:9" s="87" customFormat="1" x14ac:dyDescent="0.2">
      <c r="H369" s="123"/>
      <c r="I369" s="86"/>
    </row>
    <row r="370" spans="8:9" s="87" customFormat="1" x14ac:dyDescent="0.2">
      <c r="H370" s="123"/>
      <c r="I370" s="86"/>
    </row>
    <row r="371" spans="8:9" s="87" customFormat="1" x14ac:dyDescent="0.2">
      <c r="H371" s="123"/>
      <c r="I371" s="86"/>
    </row>
    <row r="372" spans="8:9" s="87" customFormat="1" x14ac:dyDescent="0.2">
      <c r="H372" s="123"/>
      <c r="I372" s="86"/>
    </row>
    <row r="373" spans="8:9" s="87" customFormat="1" x14ac:dyDescent="0.2">
      <c r="H373" s="123"/>
      <c r="I373" s="86"/>
    </row>
    <row r="374" spans="8:9" s="87" customFormat="1" x14ac:dyDescent="0.2">
      <c r="H374" s="123"/>
      <c r="I374" s="86"/>
    </row>
    <row r="375" spans="8:9" s="87" customFormat="1" x14ac:dyDescent="0.2">
      <c r="H375" s="123"/>
      <c r="I375" s="86"/>
    </row>
    <row r="376" spans="8:9" s="87" customFormat="1" x14ac:dyDescent="0.2">
      <c r="H376" s="123"/>
      <c r="I376" s="86"/>
    </row>
    <row r="377" spans="8:9" s="87" customFormat="1" x14ac:dyDescent="0.2">
      <c r="H377" s="123"/>
      <c r="I377" s="86"/>
    </row>
    <row r="378" spans="8:9" s="87" customFormat="1" x14ac:dyDescent="0.2">
      <c r="H378" s="123"/>
      <c r="I378" s="86"/>
    </row>
    <row r="379" spans="8:9" s="87" customFormat="1" x14ac:dyDescent="0.2">
      <c r="H379" s="123"/>
      <c r="I379" s="86"/>
    </row>
    <row r="380" spans="8:9" s="87" customFormat="1" x14ac:dyDescent="0.2">
      <c r="H380" s="123"/>
      <c r="I380" s="86"/>
    </row>
    <row r="381" spans="8:9" s="87" customFormat="1" x14ac:dyDescent="0.2">
      <c r="H381" s="123"/>
      <c r="I381" s="86"/>
    </row>
    <row r="382" spans="8:9" s="87" customFormat="1" x14ac:dyDescent="0.2">
      <c r="H382" s="123"/>
      <c r="I382" s="86"/>
    </row>
    <row r="383" spans="8:9" s="87" customFormat="1" x14ac:dyDescent="0.2">
      <c r="H383" s="123"/>
      <c r="I383" s="86"/>
    </row>
    <row r="384" spans="8:9" s="87" customFormat="1" x14ac:dyDescent="0.2">
      <c r="H384" s="123"/>
      <c r="I384" s="86"/>
    </row>
    <row r="385" spans="8:9" s="87" customFormat="1" x14ac:dyDescent="0.2">
      <c r="H385" s="123"/>
      <c r="I385" s="86"/>
    </row>
    <row r="386" spans="8:9" s="87" customFormat="1" x14ac:dyDescent="0.2">
      <c r="H386" s="123"/>
      <c r="I386" s="86"/>
    </row>
  </sheetData>
  <conditionalFormatting sqref="D82 D84 D87 D89 D92 D94">
    <cfRule type="cellIs" dxfId="1" priority="5" operator="greaterThan">
      <formula>0</formula>
    </cfRule>
  </conditionalFormatting>
  <conditionalFormatting sqref="D83 D88 D93">
    <cfRule type="cellIs" dxfId="0" priority="4" operator="lessThan">
      <formula>30.1</formula>
    </cfRule>
  </conditionalFormatting>
  <dataValidations xWindow="584" yWindow="1006" count="6">
    <dataValidation type="whole" allowBlank="1" showInputMessage="1" showErrorMessage="1" errorTitle="Ekonomisk livslängd" error="Värdet måste vara mellan 1 och 50 år." promptTitle="Ekonomisk livslängd" prompt="Värdet får vara mellan 1 och 50 år." sqref="D24">
      <formula1>1</formula1>
      <formula2>50</formula2>
    </dataValidation>
    <dataValidation type="decimal" operator="greaterThanOrEqual" allowBlank="1" showInputMessage="1" showErrorMessage="1" errorTitle="Anläggningens storlek" error="Storleken måste vara minst 0,1 kW" promptTitle="Anläggningens storlek" prompt="Installerad effekt i kW. Summan av modulernas märkeffekt. " sqref="D18">
      <formula1>0.1</formula1>
    </dataValidation>
    <dataValidation type="decimal" allowBlank="1" showInputMessage="1" showErrorMessage="1" errorTitle="Andel solel som ger elcertifikat" error="Högst 100%" promptTitle="Andel solel som ger elcertifikat" prompt="0% till 100%" sqref="D65">
      <formula1>0</formula1>
      <formula2>1</formula2>
    </dataValidation>
    <dataValidation allowBlank="1" showInputMessage="1" showErrorMessage="1" errorTitle="Andel som ger skattereduktion" error="Högst 100%" promptTitle="Antal år med skattereduktion" prompt="Ange antal år med skattereduktion. " sqref="D68"/>
    <dataValidation type="decimal" allowBlank="1" showInputMessage="1" showErrorMessage="1" errorTitle="Investeringsstöd" error="Värdet måste vara mellan 0% och 70%" promptTitle="Investeringsstöd" prompt="I september 2016:_x000a_30% för företag . _x000a_20% för privatpersoner. _x000a_35% om man ansökt före 1 januari 2015." sqref="D33">
      <formula1>0</formula1>
      <formula2>0.7</formula2>
    </dataValidation>
    <dataValidation type="decimal" allowBlank="1" showInputMessage="1" showErrorMessage="1" errorTitle="Andel egenanvänd el" error="Värdet måste vara mellan 0% och 100%." promptTitle="Andel egenavänd el" prompt="Mellan 0% och 100%. " sqref="D60">
      <formula1>0</formula1>
      <formula2>1</formula2>
    </dataValidation>
  </dataValidations>
  <pageMargins left="0.98425196850393704" right="0.39370078740157483" top="0.47244094488188981" bottom="0.39370078740157483" header="0.31496062992125984" footer="0.31496062992125984"/>
  <pageSetup paperSize="9" scale="70" orientation="portrait" r:id="rId1"/>
  <headerFooter>
    <oddHeader>&amp;C&amp;P (&amp;N)</oddHeader>
  </headerFooter>
  <rowBreaks count="2" manualBreakCount="2">
    <brk id="14" max="16383" man="1"/>
    <brk id="68" max="16383" man="1"/>
  </rowBreaks>
  <drawing r:id="rId2"/>
  <extLst>
    <ext xmlns:x14="http://schemas.microsoft.com/office/spreadsheetml/2009/9/main" uri="{CCE6A557-97BC-4b89-ADB6-D9C93CAAB3DF}">
      <x14:dataValidations xmlns:xm="http://schemas.microsoft.com/office/excel/2006/main" xWindow="584" yWindow="1006" count="1">
        <x14:dataValidation type="list" allowBlank="1" showInputMessage="1" showErrorMessage="1">
          <x14:formula1>
            <xm:f>Ingångsvärden!$A$4:$A$5</xm:f>
          </x14:formula1>
          <xm:sqref>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67"/>
  <sheetViews>
    <sheetView showGridLines="0" zoomScaleNormal="100" workbookViewId="0">
      <selection activeCell="C25" sqref="C25"/>
    </sheetView>
  </sheetViews>
  <sheetFormatPr defaultRowHeight="12.75" x14ac:dyDescent="0.2"/>
  <cols>
    <col min="1" max="1" width="2.85546875" style="135" customWidth="1"/>
    <col min="2" max="2" width="3.7109375" style="135" customWidth="1"/>
    <col min="3" max="3" width="63" style="135" customWidth="1"/>
    <col min="4" max="4" width="10.85546875" style="135" customWidth="1"/>
    <col min="5" max="7" width="10.28515625" style="135" customWidth="1"/>
    <col min="8" max="8" width="217.28515625" style="135" customWidth="1"/>
    <col min="9" max="16384" width="9.140625" style="135"/>
  </cols>
  <sheetData>
    <row r="1" spans="1:9" ht="15.95" customHeight="1" x14ac:dyDescent="0.2">
      <c r="A1" s="61"/>
      <c r="B1" s="61"/>
      <c r="C1" s="61"/>
      <c r="D1" s="49"/>
      <c r="E1" s="49"/>
      <c r="F1" s="49"/>
      <c r="G1" s="49"/>
      <c r="H1" s="82"/>
      <c r="I1" s="130"/>
    </row>
    <row r="2" spans="1:9" ht="20.25" x14ac:dyDescent="0.2">
      <c r="A2" s="61"/>
      <c r="B2" s="61"/>
      <c r="C2" s="71" t="s">
        <v>156</v>
      </c>
      <c r="D2" s="49"/>
      <c r="E2" s="49"/>
      <c r="F2" s="49"/>
      <c r="G2" s="49"/>
      <c r="H2" s="80" t="s">
        <v>80</v>
      </c>
      <c r="I2" s="130"/>
    </row>
    <row r="3" spans="1:9" ht="15.95" customHeight="1" x14ac:dyDescent="0.2">
      <c r="A3" s="61"/>
      <c r="B3" s="61"/>
      <c r="C3" s="61"/>
      <c r="D3" s="61"/>
      <c r="E3" s="61"/>
      <c r="F3" s="61"/>
      <c r="G3" s="61"/>
      <c r="H3" s="61"/>
    </row>
    <row r="4" spans="1:9" ht="15.95" customHeight="1" x14ac:dyDescent="0.2">
      <c r="A4" s="61"/>
      <c r="B4" s="131"/>
      <c r="C4" s="43" t="s">
        <v>223</v>
      </c>
      <c r="D4" s="61"/>
      <c r="E4" s="61"/>
      <c r="F4" s="61"/>
      <c r="G4" s="61"/>
      <c r="H4" s="61"/>
    </row>
    <row r="5" spans="1:9" ht="15.95" customHeight="1" x14ac:dyDescent="0.2">
      <c r="A5" s="61"/>
      <c r="B5" s="132"/>
      <c r="C5" s="49" t="s">
        <v>174</v>
      </c>
      <c r="D5" s="61"/>
      <c r="E5" s="61"/>
      <c r="F5" s="61"/>
      <c r="G5" s="61"/>
      <c r="H5" s="61"/>
    </row>
    <row r="6" spans="1:9" ht="15.95" customHeight="1" x14ac:dyDescent="0.2">
      <c r="A6" s="61"/>
      <c r="B6" s="133"/>
      <c r="C6" s="49" t="s">
        <v>153</v>
      </c>
      <c r="D6" s="61"/>
      <c r="E6" s="61"/>
      <c r="F6" s="61"/>
      <c r="G6" s="61"/>
      <c r="H6" s="61"/>
    </row>
    <row r="7" spans="1:9" ht="15.95" customHeight="1" x14ac:dyDescent="0.2">
      <c r="A7" s="61"/>
      <c r="B7" s="61"/>
      <c r="C7" s="61"/>
      <c r="D7" s="49"/>
      <c r="E7" s="49"/>
      <c r="F7" s="49"/>
      <c r="G7" s="49"/>
      <c r="H7" s="82"/>
      <c r="I7" s="130"/>
    </row>
    <row r="8" spans="1:9" ht="15.95" customHeight="1" x14ac:dyDescent="0.2">
      <c r="A8" s="61"/>
      <c r="B8" s="61"/>
      <c r="C8" s="61" t="s">
        <v>210</v>
      </c>
      <c r="D8" s="49"/>
      <c r="E8" s="49"/>
      <c r="F8" s="49"/>
      <c r="G8" s="49"/>
      <c r="H8" s="82"/>
      <c r="I8" s="130"/>
    </row>
    <row r="9" spans="1:9" ht="15.95" customHeight="1" thickBot="1" x14ac:dyDescent="0.25">
      <c r="A9" s="61"/>
      <c r="B9" s="61"/>
      <c r="C9" s="49"/>
      <c r="D9" s="49"/>
      <c r="E9" s="49"/>
      <c r="F9" s="49"/>
      <c r="G9" s="49"/>
      <c r="H9" s="82"/>
      <c r="I9" s="130"/>
    </row>
    <row r="10" spans="1:9" ht="15.95" customHeight="1" thickTop="1" x14ac:dyDescent="0.2">
      <c r="A10" s="61"/>
      <c r="B10" s="134"/>
      <c r="C10" s="134"/>
      <c r="D10" s="134"/>
      <c r="E10" s="134"/>
      <c r="F10" s="134"/>
      <c r="G10" s="134"/>
      <c r="H10" s="90"/>
      <c r="I10" s="130"/>
    </row>
    <row r="11" spans="1:9" ht="18" x14ac:dyDescent="0.2">
      <c r="A11" s="61"/>
      <c r="B11" s="49"/>
      <c r="C11" s="136" t="s">
        <v>121</v>
      </c>
      <c r="D11" s="53" t="s">
        <v>33</v>
      </c>
      <c r="E11" s="54" t="s">
        <v>34</v>
      </c>
      <c r="F11" s="54" t="s">
        <v>2</v>
      </c>
      <c r="G11" s="54" t="s">
        <v>3</v>
      </c>
      <c r="H11" s="83" t="s">
        <v>35</v>
      </c>
      <c r="I11" s="130"/>
    </row>
    <row r="12" spans="1:9" ht="25.5" x14ac:dyDescent="0.2">
      <c r="A12" s="61"/>
      <c r="B12" s="49"/>
      <c r="C12" s="49" t="s">
        <v>150</v>
      </c>
      <c r="D12" s="95">
        <v>0.15</v>
      </c>
      <c r="E12" s="51" t="s">
        <v>4</v>
      </c>
      <c r="F12" s="51">
        <v>12</v>
      </c>
      <c r="G12" s="51">
        <v>21</v>
      </c>
      <c r="H12" s="72" t="s">
        <v>207</v>
      </c>
      <c r="I12" s="130"/>
    </row>
    <row r="13" spans="1:9" ht="15.95" customHeight="1" thickBot="1" x14ac:dyDescent="0.25">
      <c r="A13" s="61"/>
      <c r="B13" s="49"/>
      <c r="C13" s="49"/>
      <c r="D13" s="49"/>
      <c r="E13" s="51"/>
      <c r="F13" s="51"/>
      <c r="G13" s="51"/>
      <c r="H13" s="82"/>
      <c r="I13" s="130"/>
    </row>
    <row r="14" spans="1:9" ht="15.95" customHeight="1" thickTop="1" x14ac:dyDescent="0.2">
      <c r="A14" s="61"/>
      <c r="B14" s="134"/>
      <c r="C14" s="134"/>
      <c r="D14" s="134"/>
      <c r="E14" s="134"/>
      <c r="F14" s="134"/>
      <c r="G14" s="134"/>
      <c r="H14" s="90"/>
      <c r="I14" s="130"/>
    </row>
    <row r="15" spans="1:9" ht="18" x14ac:dyDescent="0.2">
      <c r="A15" s="61"/>
      <c r="B15" s="61"/>
      <c r="C15" s="137" t="s">
        <v>19</v>
      </c>
      <c r="D15" s="53" t="s">
        <v>33</v>
      </c>
      <c r="E15" s="54" t="s">
        <v>34</v>
      </c>
      <c r="F15" s="54" t="s">
        <v>2</v>
      </c>
      <c r="G15" s="54" t="s">
        <v>3</v>
      </c>
      <c r="H15" s="83" t="s">
        <v>35</v>
      </c>
      <c r="I15" s="130"/>
    </row>
    <row r="16" spans="1:9" ht="15.95" customHeight="1" x14ac:dyDescent="0.2">
      <c r="A16" s="61"/>
      <c r="B16" s="61"/>
      <c r="C16" s="49" t="s">
        <v>85</v>
      </c>
      <c r="D16" s="112">
        <v>1200000</v>
      </c>
      <c r="E16" s="51" t="s">
        <v>37</v>
      </c>
      <c r="F16" s="56">
        <v>1200000</v>
      </c>
      <c r="G16" s="56">
        <v>1200000</v>
      </c>
      <c r="H16" s="72" t="s">
        <v>175</v>
      </c>
      <c r="I16" s="130"/>
    </row>
    <row r="17" spans="1:10" ht="25.5" x14ac:dyDescent="0.2">
      <c r="A17" s="61"/>
      <c r="B17" s="61"/>
      <c r="C17" s="49" t="s">
        <v>25</v>
      </c>
      <c r="D17" s="113">
        <v>0.09</v>
      </c>
      <c r="E17" s="51" t="s">
        <v>4</v>
      </c>
      <c r="F17" s="57">
        <v>0</v>
      </c>
      <c r="G17" s="57">
        <v>0.09</v>
      </c>
      <c r="H17" s="73" t="s">
        <v>208</v>
      </c>
      <c r="I17" s="130"/>
      <c r="J17" s="128"/>
    </row>
    <row r="18" spans="1:10" ht="15.95" customHeight="1" x14ac:dyDescent="0.2">
      <c r="A18" s="61"/>
      <c r="B18" s="61"/>
      <c r="C18" s="49" t="s">
        <v>101</v>
      </c>
      <c r="D18" s="112">
        <v>50000</v>
      </c>
      <c r="E18" s="51" t="s">
        <v>37</v>
      </c>
      <c r="F18" s="56">
        <v>50000</v>
      </c>
      <c r="G18" s="56">
        <v>100000</v>
      </c>
      <c r="H18" s="73" t="s">
        <v>112</v>
      </c>
      <c r="I18" s="130"/>
      <c r="J18" s="128"/>
    </row>
    <row r="19" spans="1:10" ht="15.95" customHeight="1" x14ac:dyDescent="0.2">
      <c r="A19" s="61"/>
      <c r="B19" s="61"/>
      <c r="C19" s="61"/>
      <c r="D19" s="61"/>
      <c r="E19" s="61"/>
      <c r="F19" s="61"/>
      <c r="G19" s="61"/>
      <c r="H19" s="61"/>
    </row>
    <row r="20" spans="1:10" ht="15.95" customHeight="1" x14ac:dyDescent="0.2">
      <c r="A20" s="61"/>
      <c r="B20" s="61"/>
      <c r="C20" s="49" t="s">
        <v>32</v>
      </c>
      <c r="D20" s="112">
        <v>0</v>
      </c>
      <c r="E20" s="51" t="s">
        <v>37</v>
      </c>
      <c r="F20" s="51">
        <v>0</v>
      </c>
      <c r="G20" s="51" t="s">
        <v>111</v>
      </c>
      <c r="H20" s="73" t="s">
        <v>176</v>
      </c>
      <c r="I20" s="130"/>
      <c r="J20" s="128"/>
    </row>
    <row r="21" spans="1:10" ht="15.95" customHeight="1" x14ac:dyDescent="0.2">
      <c r="A21" s="61"/>
      <c r="B21" s="61"/>
      <c r="C21" s="49" t="s">
        <v>5</v>
      </c>
      <c r="D21" s="112">
        <v>0</v>
      </c>
      <c r="E21" s="51" t="s">
        <v>37</v>
      </c>
      <c r="F21" s="51">
        <v>0</v>
      </c>
      <c r="G21" s="51" t="s">
        <v>111</v>
      </c>
      <c r="H21" s="73" t="s">
        <v>177</v>
      </c>
      <c r="I21" s="130"/>
      <c r="J21" s="128"/>
    </row>
    <row r="22" spans="1:10" ht="15.95" customHeight="1" x14ac:dyDescent="0.2">
      <c r="A22" s="61"/>
      <c r="B22" s="61"/>
      <c r="C22" s="61"/>
      <c r="D22" s="61"/>
      <c r="E22" s="61"/>
      <c r="F22" s="61"/>
      <c r="G22" s="61"/>
      <c r="H22" s="61"/>
    </row>
    <row r="23" spans="1:10" ht="15.95" customHeight="1" x14ac:dyDescent="0.2">
      <c r="A23" s="61"/>
      <c r="B23" s="61"/>
      <c r="C23" s="49" t="s">
        <v>45</v>
      </c>
      <c r="D23" s="112">
        <v>1</v>
      </c>
      <c r="E23" s="51"/>
      <c r="F23" s="51">
        <v>0</v>
      </c>
      <c r="G23" s="51">
        <v>2</v>
      </c>
      <c r="H23" s="73" t="s">
        <v>93</v>
      </c>
      <c r="I23" s="130"/>
    </row>
    <row r="24" spans="1:10" ht="15.95" customHeight="1" x14ac:dyDescent="0.2">
      <c r="A24" s="61"/>
      <c r="B24" s="61"/>
      <c r="C24" s="61" t="s">
        <v>46</v>
      </c>
      <c r="D24" s="112">
        <v>15</v>
      </c>
      <c r="E24" s="51" t="s">
        <v>20</v>
      </c>
      <c r="F24" s="51">
        <v>10</v>
      </c>
      <c r="G24" s="51">
        <v>30</v>
      </c>
      <c r="H24" s="73" t="s">
        <v>178</v>
      </c>
      <c r="I24" s="130"/>
    </row>
    <row r="25" spans="1:10" ht="25.5" x14ac:dyDescent="0.2">
      <c r="A25" s="61"/>
      <c r="B25" s="49"/>
      <c r="C25" s="49" t="s">
        <v>44</v>
      </c>
      <c r="D25" s="124">
        <f>IF(Installerad_effekt&lt;=10,IF(Vald_användare="Annan",3000,3000*1.25),IF(Installerad_effekt&lt;=30,IF(Vald_användare="Annan",2000,2000*1.25),IF(Installerad_effekt&lt;=100,IF(Vald_användare="Annan",1500,1500*1.25),IF(Vald_användare="Annan",1000,1000*1.25))))</f>
        <v>3750</v>
      </c>
      <c r="E25" s="51" t="s">
        <v>0</v>
      </c>
      <c r="F25" s="51">
        <v>0</v>
      </c>
      <c r="G25" s="56">
        <v>3000</v>
      </c>
      <c r="H25" s="73" t="s">
        <v>227</v>
      </c>
      <c r="I25" s="130"/>
    </row>
    <row r="26" spans="1:10" ht="15.95" customHeight="1" thickBot="1" x14ac:dyDescent="0.25">
      <c r="A26" s="61"/>
      <c r="B26" s="49"/>
      <c r="C26" s="49"/>
      <c r="D26" s="49"/>
      <c r="E26" s="49"/>
      <c r="F26" s="49"/>
      <c r="G26" s="49"/>
      <c r="H26" s="82"/>
      <c r="I26" s="130"/>
    </row>
    <row r="27" spans="1:10" ht="15.95" customHeight="1" thickTop="1" x14ac:dyDescent="0.2">
      <c r="A27" s="61"/>
      <c r="B27" s="134"/>
      <c r="C27" s="134"/>
      <c r="D27" s="134"/>
      <c r="E27" s="134"/>
      <c r="F27" s="134"/>
      <c r="G27" s="134"/>
      <c r="H27" s="90"/>
      <c r="I27" s="130"/>
    </row>
    <row r="28" spans="1:10" ht="18" x14ac:dyDescent="0.2">
      <c r="A28" s="61"/>
      <c r="B28" s="49"/>
      <c r="C28" s="137" t="s">
        <v>133</v>
      </c>
      <c r="D28" s="54" t="s">
        <v>33</v>
      </c>
      <c r="E28" s="54" t="s">
        <v>34</v>
      </c>
      <c r="F28" s="54" t="s">
        <v>2</v>
      </c>
      <c r="G28" s="54" t="s">
        <v>3</v>
      </c>
      <c r="H28" s="83" t="s">
        <v>35</v>
      </c>
      <c r="I28" s="130"/>
    </row>
    <row r="29" spans="1:10" ht="25.5" x14ac:dyDescent="0.2">
      <c r="A29" s="61"/>
      <c r="B29" s="61"/>
      <c r="C29" s="72" t="s">
        <v>221</v>
      </c>
      <c r="D29" s="111"/>
      <c r="E29" s="49"/>
      <c r="F29" s="49"/>
      <c r="G29" s="49"/>
      <c r="H29" s="49"/>
      <c r="I29" s="130"/>
    </row>
    <row r="30" spans="1:10" ht="38.25" x14ac:dyDescent="0.2">
      <c r="A30" s="61"/>
      <c r="B30" s="49"/>
      <c r="C30" s="49" t="s">
        <v>147</v>
      </c>
      <c r="D30" s="69">
        <v>0</v>
      </c>
      <c r="E30" s="51" t="s">
        <v>225</v>
      </c>
      <c r="F30" s="51">
        <v>0</v>
      </c>
      <c r="G30" s="51" t="s">
        <v>111</v>
      </c>
      <c r="H30" s="72" t="s">
        <v>213</v>
      </c>
      <c r="I30" s="130"/>
    </row>
    <row r="31" spans="1:10" ht="15.95" customHeight="1" x14ac:dyDescent="0.2">
      <c r="A31" s="61"/>
      <c r="B31" s="49"/>
      <c r="C31" s="49" t="s">
        <v>8</v>
      </c>
      <c r="D31" s="114">
        <v>0</v>
      </c>
      <c r="E31" s="51" t="s">
        <v>225</v>
      </c>
      <c r="F31" s="51">
        <v>0</v>
      </c>
      <c r="G31" s="51" t="s">
        <v>111</v>
      </c>
      <c r="H31" s="72" t="s">
        <v>274</v>
      </c>
      <c r="I31" s="130"/>
    </row>
    <row r="32" spans="1:10" ht="25.5" x14ac:dyDescent="0.2">
      <c r="A32" s="61"/>
      <c r="B32" s="49"/>
      <c r="C32" s="49" t="s">
        <v>36</v>
      </c>
      <c r="D32" s="69">
        <v>0</v>
      </c>
      <c r="E32" s="51" t="s">
        <v>225</v>
      </c>
      <c r="F32" s="51">
        <v>0</v>
      </c>
      <c r="G32" s="51" t="s">
        <v>111</v>
      </c>
      <c r="H32" s="72" t="s">
        <v>253</v>
      </c>
      <c r="I32" s="130"/>
    </row>
    <row r="33" spans="1:9" ht="15.95" customHeight="1" x14ac:dyDescent="0.2">
      <c r="A33" s="61"/>
      <c r="B33" s="49"/>
      <c r="C33" s="49" t="s">
        <v>42</v>
      </c>
      <c r="D33" s="69">
        <v>0</v>
      </c>
      <c r="E33" s="51" t="s">
        <v>225</v>
      </c>
      <c r="F33" s="51">
        <v>0</v>
      </c>
      <c r="G33" s="51" t="s">
        <v>111</v>
      </c>
      <c r="H33" s="72" t="s">
        <v>179</v>
      </c>
      <c r="I33" s="130"/>
    </row>
    <row r="34" spans="1:9" ht="15.95" customHeight="1" x14ac:dyDescent="0.2">
      <c r="A34" s="61"/>
      <c r="B34" s="49"/>
      <c r="C34" s="49" t="s">
        <v>50</v>
      </c>
      <c r="D34" s="69">
        <v>0</v>
      </c>
      <c r="E34" s="51" t="s">
        <v>225</v>
      </c>
      <c r="F34" s="51">
        <v>0</v>
      </c>
      <c r="G34" s="51" t="s">
        <v>111</v>
      </c>
      <c r="H34" s="72" t="s">
        <v>52</v>
      </c>
      <c r="I34" s="130"/>
    </row>
    <row r="35" spans="1:9" ht="15.95" customHeight="1" x14ac:dyDescent="0.2">
      <c r="A35" s="61"/>
      <c r="B35" s="49"/>
      <c r="C35" s="49" t="s">
        <v>128</v>
      </c>
      <c r="D35" s="69">
        <v>0</v>
      </c>
      <c r="E35" s="51" t="s">
        <v>225</v>
      </c>
      <c r="F35" s="51">
        <v>0</v>
      </c>
      <c r="G35" s="51" t="s">
        <v>111</v>
      </c>
      <c r="H35" s="72"/>
      <c r="I35" s="130"/>
    </row>
    <row r="36" spans="1:9" ht="15.95" customHeight="1" x14ac:dyDescent="0.2">
      <c r="A36" s="61"/>
      <c r="B36" s="49"/>
      <c r="C36" s="49" t="s">
        <v>57</v>
      </c>
      <c r="D36" s="114">
        <v>0</v>
      </c>
      <c r="E36" s="51" t="s">
        <v>225</v>
      </c>
      <c r="F36" s="51">
        <v>0</v>
      </c>
      <c r="G36" s="51" t="s">
        <v>111</v>
      </c>
      <c r="H36" s="72" t="s">
        <v>180</v>
      </c>
      <c r="I36" s="130"/>
    </row>
    <row r="37" spans="1:9" ht="15.95" customHeight="1" x14ac:dyDescent="0.2">
      <c r="A37" s="61"/>
      <c r="B37" s="49"/>
      <c r="C37" s="49" t="s">
        <v>127</v>
      </c>
      <c r="D37" s="69">
        <v>0</v>
      </c>
      <c r="E37" s="51" t="s">
        <v>225</v>
      </c>
      <c r="F37" s="51">
        <v>0</v>
      </c>
      <c r="G37" s="51" t="s">
        <v>111</v>
      </c>
      <c r="H37" s="72" t="s">
        <v>202</v>
      </c>
      <c r="I37" s="130"/>
    </row>
    <row r="38" spans="1:9" ht="15.95" customHeight="1" x14ac:dyDescent="0.2">
      <c r="A38" s="61"/>
      <c r="B38" s="61"/>
      <c r="C38" s="138" t="s">
        <v>148</v>
      </c>
      <c r="D38" s="124">
        <f>SUM(D30:D37)</f>
        <v>0</v>
      </c>
      <c r="E38" s="51" t="s">
        <v>225</v>
      </c>
      <c r="F38" s="51">
        <v>0</v>
      </c>
      <c r="G38" s="51" t="s">
        <v>111</v>
      </c>
      <c r="H38" s="139" t="s">
        <v>198</v>
      </c>
    </row>
    <row r="39" spans="1:9" ht="15.95" customHeight="1" x14ac:dyDescent="0.2">
      <c r="A39" s="61"/>
      <c r="B39" s="61"/>
      <c r="C39" s="138"/>
      <c r="D39" s="138"/>
      <c r="E39" s="51"/>
      <c r="F39" s="61"/>
      <c r="G39" s="61"/>
      <c r="H39" s="140"/>
    </row>
    <row r="40" spans="1:9" ht="25.5" x14ac:dyDescent="0.2">
      <c r="A40" s="61"/>
      <c r="B40" s="49"/>
      <c r="C40" s="72" t="s">
        <v>222</v>
      </c>
      <c r="D40" s="54"/>
      <c r="E40" s="54"/>
      <c r="F40" s="54"/>
      <c r="G40" s="54"/>
      <c r="H40" s="83"/>
      <c r="I40" s="130"/>
    </row>
    <row r="41" spans="1:9" ht="15.95" customHeight="1" x14ac:dyDescent="0.2">
      <c r="A41" s="61"/>
      <c r="B41" s="49"/>
      <c r="C41" s="49" t="s">
        <v>9</v>
      </c>
      <c r="D41" s="69">
        <v>0</v>
      </c>
      <c r="E41" s="51" t="s">
        <v>225</v>
      </c>
      <c r="F41" s="51">
        <v>0</v>
      </c>
      <c r="G41" s="51" t="s">
        <v>111</v>
      </c>
      <c r="H41" s="72" t="s">
        <v>209</v>
      </c>
      <c r="I41" s="130"/>
    </row>
    <row r="42" spans="1:9" ht="15.95" customHeight="1" x14ac:dyDescent="0.2">
      <c r="A42" s="61"/>
      <c r="B42" s="49"/>
      <c r="C42" s="49" t="s">
        <v>130</v>
      </c>
      <c r="D42" s="69">
        <v>0</v>
      </c>
      <c r="E42" s="51" t="s">
        <v>225</v>
      </c>
      <c r="F42" s="51">
        <v>0</v>
      </c>
      <c r="G42" s="51" t="s">
        <v>111</v>
      </c>
      <c r="H42" s="72" t="s">
        <v>181</v>
      </c>
      <c r="I42" s="130"/>
    </row>
    <row r="43" spans="1:9" ht="15.95" customHeight="1" x14ac:dyDescent="0.2">
      <c r="A43" s="61"/>
      <c r="B43" s="61"/>
      <c r="C43" s="49" t="s">
        <v>129</v>
      </c>
      <c r="D43" s="69">
        <v>0</v>
      </c>
      <c r="E43" s="51" t="s">
        <v>225</v>
      </c>
      <c r="F43" s="51">
        <v>0</v>
      </c>
      <c r="G43" s="51" t="s">
        <v>111</v>
      </c>
      <c r="H43" s="83" t="s">
        <v>182</v>
      </c>
      <c r="I43" s="130"/>
    </row>
    <row r="44" spans="1:9" ht="15.95" customHeight="1" x14ac:dyDescent="0.2">
      <c r="A44" s="61"/>
      <c r="B44" s="61"/>
      <c r="C44" s="49" t="s">
        <v>131</v>
      </c>
      <c r="D44" s="69">
        <v>0</v>
      </c>
      <c r="E44" s="51" t="s">
        <v>225</v>
      </c>
      <c r="F44" s="51">
        <v>0</v>
      </c>
      <c r="G44" s="51" t="s">
        <v>111</v>
      </c>
      <c r="H44" s="83" t="s">
        <v>183</v>
      </c>
      <c r="I44" s="130"/>
    </row>
    <row r="45" spans="1:9" ht="15.95" customHeight="1" x14ac:dyDescent="0.2">
      <c r="A45" s="61"/>
      <c r="B45" s="61"/>
      <c r="C45" s="49" t="s">
        <v>132</v>
      </c>
      <c r="D45" s="69">
        <v>0</v>
      </c>
      <c r="E45" s="51" t="s">
        <v>225</v>
      </c>
      <c r="F45" s="51">
        <v>0</v>
      </c>
      <c r="G45" s="51" t="s">
        <v>111</v>
      </c>
      <c r="H45" s="83" t="s">
        <v>277</v>
      </c>
      <c r="I45" s="130"/>
    </row>
    <row r="46" spans="1:9" ht="15.95" customHeight="1" x14ac:dyDescent="0.2">
      <c r="A46" s="61"/>
      <c r="B46" s="61"/>
      <c r="C46" s="106" t="s">
        <v>149</v>
      </c>
      <c r="D46" s="124">
        <f>SUM(D41:D45)</f>
        <v>0</v>
      </c>
      <c r="E46" s="51" t="s">
        <v>225</v>
      </c>
      <c r="F46" s="51">
        <v>0</v>
      </c>
      <c r="G46" s="51" t="s">
        <v>111</v>
      </c>
      <c r="H46" s="139" t="s">
        <v>198</v>
      </c>
      <c r="I46" s="130"/>
    </row>
    <row r="47" spans="1:9" ht="15.95" customHeight="1" thickBot="1" x14ac:dyDescent="0.25">
      <c r="A47" s="61"/>
      <c r="B47" s="49"/>
      <c r="C47" s="49"/>
      <c r="D47" s="49"/>
      <c r="E47" s="49"/>
      <c r="F47" s="49"/>
      <c r="G47" s="49"/>
      <c r="H47" s="82"/>
      <c r="I47" s="130"/>
    </row>
    <row r="48" spans="1:9" ht="15.95" customHeight="1" thickTop="1" x14ac:dyDescent="0.2">
      <c r="A48" s="61"/>
      <c r="B48" s="134"/>
      <c r="C48" s="134"/>
      <c r="D48" s="134"/>
      <c r="E48" s="134"/>
      <c r="F48" s="134"/>
      <c r="G48" s="134"/>
      <c r="H48" s="90"/>
      <c r="I48" s="130"/>
    </row>
    <row r="49" spans="1:9" ht="18" x14ac:dyDescent="0.2">
      <c r="A49" s="61"/>
      <c r="B49" s="61"/>
      <c r="C49" s="137" t="s">
        <v>7</v>
      </c>
      <c r="D49" s="53" t="s">
        <v>33</v>
      </c>
      <c r="E49" s="54" t="s">
        <v>34</v>
      </c>
      <c r="F49" s="54" t="s">
        <v>2</v>
      </c>
      <c r="G49" s="54" t="s">
        <v>3</v>
      </c>
      <c r="H49" s="83" t="s">
        <v>35</v>
      </c>
      <c r="I49" s="130"/>
    </row>
    <row r="50" spans="1:9" ht="15.95" customHeight="1" x14ac:dyDescent="0.2">
      <c r="A50" s="61"/>
      <c r="B50" s="61"/>
      <c r="C50" s="49" t="s">
        <v>7</v>
      </c>
      <c r="D50" s="114">
        <v>0</v>
      </c>
      <c r="E50" s="63" t="s">
        <v>37</v>
      </c>
      <c r="F50" s="63">
        <v>0</v>
      </c>
      <c r="G50" s="63" t="s">
        <v>111</v>
      </c>
      <c r="H50" s="84" t="s">
        <v>203</v>
      </c>
      <c r="I50" s="130"/>
    </row>
    <row r="51" spans="1:9" ht="15.95" customHeight="1" x14ac:dyDescent="0.2">
      <c r="A51" s="61"/>
      <c r="B51" s="61"/>
      <c r="C51" s="49" t="s">
        <v>6</v>
      </c>
      <c r="D51" s="114">
        <v>0</v>
      </c>
      <c r="E51" s="63" t="s">
        <v>37</v>
      </c>
      <c r="F51" s="63">
        <v>0</v>
      </c>
      <c r="G51" s="63" t="s">
        <v>111</v>
      </c>
      <c r="H51" s="84" t="s">
        <v>184</v>
      </c>
      <c r="I51" s="130"/>
    </row>
    <row r="52" spans="1:9" ht="15.95" customHeight="1" x14ac:dyDescent="0.2">
      <c r="A52" s="61"/>
      <c r="B52" s="49"/>
      <c r="C52" s="49" t="s">
        <v>98</v>
      </c>
      <c r="D52" s="125">
        <f>('Grundläggande antaganden'!D50-'Grundläggande antaganden'!D51)/(1+'Dina indata &amp; Resultat'!D28)^'Dina indata &amp; Resultat'!D24/'Dina indata &amp; Resultat'!D18</f>
        <v>0</v>
      </c>
      <c r="E52" s="51" t="s">
        <v>0</v>
      </c>
      <c r="F52" s="63">
        <v>0</v>
      </c>
      <c r="G52" s="63" t="s">
        <v>111</v>
      </c>
      <c r="H52" s="82"/>
      <c r="I52" s="130"/>
    </row>
    <row r="53" spans="1:9" ht="15.95" customHeight="1" thickBot="1" x14ac:dyDescent="0.25">
      <c r="A53" s="61"/>
      <c r="B53" s="49"/>
      <c r="C53" s="49"/>
      <c r="D53" s="49"/>
      <c r="E53" s="49"/>
      <c r="F53" s="49"/>
      <c r="G53" s="49"/>
      <c r="H53" s="82"/>
      <c r="I53" s="130"/>
    </row>
    <row r="54" spans="1:9" ht="15.95" customHeight="1" thickTop="1" x14ac:dyDescent="0.2">
      <c r="A54" s="61"/>
      <c r="B54" s="134"/>
      <c r="C54" s="134"/>
      <c r="D54" s="134"/>
      <c r="E54" s="134"/>
      <c r="F54" s="134"/>
      <c r="G54" s="134"/>
      <c r="H54" s="90"/>
      <c r="I54" s="130"/>
    </row>
    <row r="55" spans="1:9" ht="18" x14ac:dyDescent="0.2">
      <c r="A55" s="61"/>
      <c r="B55" s="49"/>
      <c r="C55" s="136" t="s">
        <v>89</v>
      </c>
      <c r="D55" s="53" t="s">
        <v>33</v>
      </c>
      <c r="E55" s="54" t="s">
        <v>34</v>
      </c>
      <c r="F55" s="54" t="s">
        <v>2</v>
      </c>
      <c r="G55" s="54" t="s">
        <v>3</v>
      </c>
      <c r="H55" s="83" t="s">
        <v>35</v>
      </c>
      <c r="I55" s="130"/>
    </row>
    <row r="56" spans="1:9" ht="15.95" customHeight="1" x14ac:dyDescent="0.2">
      <c r="A56" s="61"/>
      <c r="B56" s="49"/>
      <c r="C56" s="49" t="s">
        <v>15</v>
      </c>
      <c r="D56" s="115">
        <v>3.0000000000000001E-3</v>
      </c>
      <c r="E56" s="51" t="s">
        <v>241</v>
      </c>
      <c r="F56" s="96">
        <v>1E-3</v>
      </c>
      <c r="G56" s="96">
        <v>5.0000000000000001E-3</v>
      </c>
      <c r="H56" s="72" t="s">
        <v>188</v>
      </c>
      <c r="I56" s="130"/>
    </row>
    <row r="57" spans="1:9" ht="15.95" customHeight="1" thickBot="1" x14ac:dyDescent="0.25">
      <c r="A57" s="61"/>
      <c r="B57" s="49"/>
      <c r="C57" s="49"/>
      <c r="D57" s="49"/>
      <c r="E57" s="49"/>
      <c r="F57" s="49"/>
      <c r="G57" s="49"/>
      <c r="H57" s="82"/>
      <c r="I57" s="130"/>
    </row>
    <row r="58" spans="1:9" ht="15.95" customHeight="1" thickTop="1" x14ac:dyDescent="0.2">
      <c r="A58" s="61"/>
      <c r="B58" s="134"/>
      <c r="C58" s="134"/>
      <c r="D58" s="134"/>
      <c r="E58" s="134"/>
      <c r="F58" s="134"/>
      <c r="G58" s="134"/>
      <c r="H58" s="90"/>
      <c r="I58" s="130"/>
    </row>
    <row r="59" spans="1:9" ht="18" x14ac:dyDescent="0.2">
      <c r="A59" s="61"/>
      <c r="B59" s="49"/>
      <c r="C59" s="136" t="s">
        <v>122</v>
      </c>
      <c r="D59" s="53" t="s">
        <v>33</v>
      </c>
      <c r="E59" s="54" t="s">
        <v>34</v>
      </c>
      <c r="F59" s="54" t="s">
        <v>2</v>
      </c>
      <c r="G59" s="54" t="s">
        <v>3</v>
      </c>
      <c r="H59" s="83" t="s">
        <v>35</v>
      </c>
      <c r="I59" s="130"/>
    </row>
    <row r="60" spans="1:9" ht="25.5" x14ac:dyDescent="0.2">
      <c r="A60" s="61"/>
      <c r="B60" s="49"/>
      <c r="C60" s="49" t="s">
        <v>21</v>
      </c>
      <c r="D60" s="116">
        <v>0.999</v>
      </c>
      <c r="E60" s="51" t="s">
        <v>4</v>
      </c>
      <c r="F60" s="75">
        <v>0.98</v>
      </c>
      <c r="G60" s="75">
        <v>1</v>
      </c>
      <c r="H60" s="82" t="s">
        <v>252</v>
      </c>
      <c r="I60" s="130"/>
    </row>
    <row r="61" spans="1:9" ht="15.95" customHeight="1" thickBot="1" x14ac:dyDescent="0.25">
      <c r="A61" s="61"/>
      <c r="B61" s="49"/>
      <c r="C61" s="49"/>
      <c r="D61" s="49"/>
      <c r="E61" s="49"/>
      <c r="F61" s="49"/>
      <c r="G61" s="49"/>
      <c r="H61" s="82"/>
      <c r="I61" s="130"/>
    </row>
    <row r="62" spans="1:9" ht="15.95" customHeight="1" thickTop="1" x14ac:dyDescent="0.2">
      <c r="A62" s="61"/>
      <c r="B62" s="134"/>
      <c r="C62" s="134"/>
      <c r="D62" s="134"/>
      <c r="E62" s="134"/>
      <c r="F62" s="134"/>
      <c r="G62" s="134"/>
      <c r="H62" s="90"/>
      <c r="I62" s="130"/>
    </row>
    <row r="63" spans="1:9" ht="18" x14ac:dyDescent="0.2">
      <c r="A63" s="61"/>
      <c r="B63" s="49"/>
      <c r="C63" s="137" t="s">
        <v>22</v>
      </c>
      <c r="D63" s="54" t="s">
        <v>33</v>
      </c>
      <c r="E63" s="54" t="s">
        <v>34</v>
      </c>
      <c r="F63" s="54" t="s">
        <v>2</v>
      </c>
      <c r="G63" s="54" t="s">
        <v>3</v>
      </c>
      <c r="H63" s="83" t="s">
        <v>35</v>
      </c>
      <c r="I63" s="130"/>
    </row>
    <row r="64" spans="1:9" ht="15.95" customHeight="1" x14ac:dyDescent="0.2">
      <c r="A64" s="61"/>
      <c r="B64" s="49"/>
      <c r="C64" s="49" t="s">
        <v>10</v>
      </c>
      <c r="D64" s="117">
        <v>15</v>
      </c>
      <c r="E64" s="51" t="s">
        <v>20</v>
      </c>
      <c r="F64" s="51">
        <v>0</v>
      </c>
      <c r="G64" s="51">
        <v>15</v>
      </c>
      <c r="H64" s="73" t="s">
        <v>185</v>
      </c>
      <c r="I64" s="130"/>
    </row>
    <row r="65" spans="1:9" ht="15.95" customHeight="1" x14ac:dyDescent="0.2">
      <c r="A65" s="61"/>
      <c r="B65" s="49"/>
      <c r="C65" s="49" t="s">
        <v>31</v>
      </c>
      <c r="D65" s="118">
        <v>0.6</v>
      </c>
      <c r="E65" s="51" t="s">
        <v>1</v>
      </c>
      <c r="F65" s="58">
        <v>0</v>
      </c>
      <c r="G65" s="102">
        <v>0.6</v>
      </c>
      <c r="H65" s="72" t="s">
        <v>186</v>
      </c>
      <c r="I65" s="130"/>
    </row>
    <row r="66" spans="1:9" ht="25.5" x14ac:dyDescent="0.2">
      <c r="A66" s="61"/>
      <c r="B66" s="49"/>
      <c r="C66" s="49" t="s">
        <v>47</v>
      </c>
      <c r="D66" s="114">
        <v>18000</v>
      </c>
      <c r="E66" s="51" t="s">
        <v>37</v>
      </c>
      <c r="F66" s="51">
        <v>0</v>
      </c>
      <c r="G66" s="56">
        <v>18000</v>
      </c>
      <c r="H66" s="72" t="s">
        <v>237</v>
      </c>
      <c r="I66" s="130"/>
    </row>
    <row r="67" spans="1:9" ht="15.95" customHeight="1" x14ac:dyDescent="0.2">
      <c r="A67" s="61"/>
      <c r="B67" s="61"/>
      <c r="C67" s="61"/>
      <c r="D67" s="61"/>
      <c r="E67" s="61"/>
      <c r="F67" s="61"/>
      <c r="G67" s="61"/>
      <c r="H67" s="61"/>
    </row>
  </sheetData>
  <dataValidations count="5">
    <dataValidation type="whole" allowBlank="1" showInputMessage="1" showErrorMessage="1" promptTitle="Tak för investeringsstöd" prompt="Högst 1,2 miljoner kr per solcellssystem" sqref="D16">
      <formula1>0</formula1>
      <formula2>1200000</formula2>
    </dataValidation>
    <dataValidation type="whole" allowBlank="1" showInputMessage="1" showErrorMessage="1" errorTitle="Antal byten av växelriktare" error="Får vara högst 3" promptTitle="Antal byten av växelriktare" prompt="Högst 3 är möjligt i denna kalkyl" sqref="D23">
      <formula1>0</formula1>
      <formula2>3</formula2>
    </dataValidation>
    <dataValidation type="whole" allowBlank="1" showInputMessage="1" showErrorMessage="1" errorTitle="Antal år med elcertifikat" error="Får vara högst 15 år" promptTitle="Antal år med elcertifikat" prompt="Högst 15 år" sqref="D64">
      <formula1>0</formula1>
      <formula2>15</formula2>
    </dataValidation>
    <dataValidation type="whole" allowBlank="1" showInputMessage="1" showErrorMessage="1" errorTitle="Tak skattereduktion" error="Högst 18 000 kr" promptTitle="Tak skattereduktion" prompt="Högst 18 000 kr" sqref="D66">
      <formula1>0</formula1>
      <formula2>18000</formula2>
    </dataValidation>
    <dataValidation type="decimal" allowBlank="1" showInputMessage="1" showErrorMessage="1" errorTitle="Skattereduktion" error="Högst 0,60 kr/kWh" promptTitle="Skattereduktion" prompt="Högst 0,60 kr/kWh" sqref="D65">
      <formula1>0</formula1>
      <formula2>0.6</formula2>
    </dataValidation>
  </dataValidations>
  <pageMargins left="0.98425196850393704" right="0.39370078740157483" top="0.47244094488188981" bottom="0.39370078740157483" header="0.31496062992125984" footer="0.31496062992125984"/>
  <pageSetup paperSize="9" scale="68" orientation="portrait" r:id="rId1"/>
  <headerFooter>
    <oddHeader>&amp;C&amp;P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N111"/>
  <sheetViews>
    <sheetView showGridLines="0" zoomScaleNormal="100" workbookViewId="0"/>
  </sheetViews>
  <sheetFormatPr defaultColWidth="9.28515625" defaultRowHeight="12.75" x14ac:dyDescent="0.2"/>
  <cols>
    <col min="1" max="1" width="8" style="12" bestFit="1" customWidth="1"/>
    <col min="2" max="2" width="23.7109375" style="15" bestFit="1" customWidth="1"/>
    <col min="3" max="3" width="15" style="15" bestFit="1" customWidth="1"/>
    <col min="4" max="4" width="12" style="15" bestFit="1" customWidth="1"/>
    <col min="5" max="5" width="19.85546875" style="15" bestFit="1" customWidth="1"/>
    <col min="6" max="6" width="25.28515625" style="15" bestFit="1" customWidth="1"/>
    <col min="7" max="7" width="16" style="15" bestFit="1" customWidth="1"/>
    <col min="8" max="8" width="14.7109375" style="15" bestFit="1" customWidth="1"/>
    <col min="9" max="9" width="10" style="15" bestFit="1" customWidth="1"/>
    <col min="10" max="10" width="19" style="15" bestFit="1" customWidth="1"/>
    <col min="11" max="11" width="10.5703125" style="15" bestFit="1" customWidth="1"/>
    <col min="12" max="12" width="18.5703125" style="15" bestFit="1" customWidth="1"/>
    <col min="13" max="13" width="15.42578125" style="15" bestFit="1" customWidth="1"/>
    <col min="14" max="14" width="14.140625" style="15" bestFit="1" customWidth="1"/>
    <col min="15" max="15" width="12.42578125" style="15" bestFit="1" customWidth="1"/>
    <col min="16" max="16" width="14.140625" style="7" bestFit="1" customWidth="1"/>
    <col min="17" max="17" width="12.42578125" style="1" bestFit="1" customWidth="1"/>
    <col min="18" max="18" width="14.140625" style="7" bestFit="1" customWidth="1"/>
    <col min="19" max="19" width="12.42578125" style="1" bestFit="1" customWidth="1"/>
    <col min="20" max="20" width="13.28515625" style="3" bestFit="1" customWidth="1"/>
    <col min="21" max="21" width="20.28515625" style="3" bestFit="1" customWidth="1"/>
    <col min="22" max="22" width="66.28515625" style="3" customWidth="1"/>
    <col min="23" max="23" width="16.28515625" style="8" bestFit="1" customWidth="1"/>
    <col min="24" max="24" width="14.7109375" style="8" bestFit="1" customWidth="1"/>
    <col min="25" max="25" width="32.28515625" style="8" bestFit="1" customWidth="1"/>
    <col min="26" max="26" width="21.42578125" style="8" bestFit="1" customWidth="1"/>
    <col min="27" max="27" width="13.28515625" style="8" bestFit="1" customWidth="1"/>
    <col min="28" max="28" width="21.7109375" style="8" bestFit="1" customWidth="1"/>
    <col min="29" max="29" width="17.28515625" style="8" bestFit="1" customWidth="1"/>
    <col min="30" max="30" width="15.42578125" style="8" bestFit="1" customWidth="1"/>
    <col min="31" max="31" width="13.42578125" style="1" bestFit="1" customWidth="1"/>
    <col min="32" max="32" width="14.28515625" style="1" bestFit="1" customWidth="1"/>
    <col min="33" max="33" width="6" style="1" bestFit="1" customWidth="1"/>
    <col min="34" max="34" width="8.7109375" style="1" bestFit="1" customWidth="1"/>
    <col min="35" max="36" width="14.28515625" style="1" bestFit="1" customWidth="1"/>
    <col min="37" max="16384" width="9.28515625" style="1"/>
  </cols>
  <sheetData>
    <row r="1" spans="1:30" ht="18" customHeight="1" x14ac:dyDescent="0.2">
      <c r="A1" s="10"/>
      <c r="B1" s="179" t="s">
        <v>58</v>
      </c>
      <c r="C1" s="179"/>
      <c r="D1" s="180" t="s">
        <v>59</v>
      </c>
      <c r="E1" s="180"/>
      <c r="F1" s="180"/>
      <c r="G1" s="180"/>
      <c r="H1" s="181" t="s">
        <v>60</v>
      </c>
      <c r="I1" s="181"/>
      <c r="J1" s="181"/>
      <c r="K1" s="181"/>
      <c r="L1" s="181"/>
      <c r="M1" s="181"/>
      <c r="N1" s="182" t="s">
        <v>61</v>
      </c>
      <c r="O1" s="182"/>
      <c r="P1" s="182"/>
      <c r="Q1" s="182"/>
      <c r="R1" s="182"/>
      <c r="S1" s="182"/>
      <c r="V1" s="9"/>
      <c r="AD1" s="1"/>
    </row>
    <row r="2" spans="1:30" s="12" customFormat="1" ht="15.75" x14ac:dyDescent="0.2">
      <c r="A2" s="25"/>
      <c r="B2" s="26"/>
      <c r="C2" s="26"/>
      <c r="D2" s="27" t="s">
        <v>53</v>
      </c>
      <c r="E2" s="27" t="s">
        <v>17</v>
      </c>
      <c r="F2" s="27" t="s">
        <v>11</v>
      </c>
      <c r="G2" s="26"/>
      <c r="H2" s="26"/>
      <c r="I2" s="26"/>
      <c r="J2" s="26"/>
      <c r="K2" s="26"/>
      <c r="L2" s="26"/>
      <c r="M2" s="26"/>
      <c r="N2" s="183" t="s">
        <v>53</v>
      </c>
      <c r="O2" s="183"/>
      <c r="P2" s="178" t="s">
        <v>17</v>
      </c>
      <c r="Q2" s="178"/>
      <c r="R2" s="178" t="s">
        <v>11</v>
      </c>
      <c r="S2" s="178"/>
      <c r="V2" s="18"/>
      <c r="W2" s="18"/>
      <c r="X2" s="18"/>
      <c r="Y2" s="18"/>
      <c r="Z2" s="18"/>
      <c r="AA2" s="18"/>
      <c r="AB2" s="18"/>
      <c r="AC2" s="18"/>
    </row>
    <row r="3" spans="1:30" x14ac:dyDescent="0.2">
      <c r="A3" s="152" t="s">
        <v>18</v>
      </c>
      <c r="B3" s="28" t="s">
        <v>62</v>
      </c>
      <c r="C3" s="28" t="s">
        <v>63</v>
      </c>
      <c r="D3" s="28" t="s">
        <v>19</v>
      </c>
      <c r="E3" s="28" t="s">
        <v>19</v>
      </c>
      <c r="F3" s="28" t="s">
        <v>19</v>
      </c>
      <c r="G3" s="28" t="s">
        <v>64</v>
      </c>
      <c r="H3" s="28" t="s">
        <v>67</v>
      </c>
      <c r="I3" s="28" t="s">
        <v>68</v>
      </c>
      <c r="J3" s="28" t="s">
        <v>69</v>
      </c>
      <c r="K3" s="28" t="s">
        <v>70</v>
      </c>
      <c r="L3" s="28" t="s">
        <v>71</v>
      </c>
      <c r="M3" s="28" t="s">
        <v>31</v>
      </c>
      <c r="N3" s="28" t="s">
        <v>65</v>
      </c>
      <c r="O3" s="28" t="s">
        <v>66</v>
      </c>
      <c r="P3" s="28" t="s">
        <v>65</v>
      </c>
      <c r="Q3" s="28" t="s">
        <v>66</v>
      </c>
      <c r="R3" s="28" t="s">
        <v>65</v>
      </c>
      <c r="S3" s="28" t="s">
        <v>66</v>
      </c>
      <c r="V3" s="9"/>
      <c r="AD3" s="1"/>
    </row>
    <row r="4" spans="1:30" s="11" customFormat="1" x14ac:dyDescent="0.2">
      <c r="A4" s="29">
        <v>0</v>
      </c>
      <c r="B4" s="30"/>
      <c r="C4" s="30"/>
      <c r="D4" s="30">
        <f>-(Investeringskostnad*Installerad_effekt+SUM('Dina indata &amp; Resultat'!D35:D38))</f>
        <v>-78000</v>
      </c>
      <c r="E4" s="30">
        <f>IF(Investeringskostnad*Installerad_effekt*ROT_avdrag&lt;=Tak_ROT_avdrag,-(Investeringskostnad*Installerad_effekt*(1-ROT_avdrag)+SUM('Dina indata &amp; Resultat'!D35:D38)),-(Investeringskostnad*Installerad_effekt-Tak_ROT_avdrag+SUM('Dina indata &amp; Resultat'!D35:D38)))</f>
        <v>-71160</v>
      </c>
      <c r="F4" s="30">
        <f>IF(Investeringskostnad*Installerad_effekt*Investeringsstöd&lt;=Tak_investeringsstöd,-(Investeringskostnad*Installerad_effekt*(1-Investeringsstöd)+SUM('Dina indata &amp; Resultat'!D35:D38)),-(Investeringskostnad*Installerad_effekt-Tak_investeringsstöd+SUM('Dina indata &amp; Resultat'!D35:D38)))</f>
        <v>-62800</v>
      </c>
      <c r="G4" s="30"/>
      <c r="H4" s="30"/>
      <c r="I4" s="30"/>
      <c r="J4" s="30"/>
      <c r="K4" s="30"/>
      <c r="L4" s="30"/>
      <c r="M4" s="30"/>
      <c r="N4" s="30">
        <f>SUM(D4,G4:M4)</f>
        <v>-78000</v>
      </c>
      <c r="O4" s="30">
        <f>N4</f>
        <v>-78000</v>
      </c>
      <c r="P4" s="31">
        <f t="shared" ref="P4:P36" si="0">SUM(E4,G4:M4)</f>
        <v>-71160</v>
      </c>
      <c r="Q4" s="32">
        <f>P4</f>
        <v>-71160</v>
      </c>
      <c r="R4" s="31">
        <f t="shared" ref="R4:R36" si="1">SUM(F4:M4)</f>
        <v>-62800</v>
      </c>
      <c r="S4" s="32">
        <f>R4</f>
        <v>-62800</v>
      </c>
      <c r="T4" s="17"/>
      <c r="U4" s="17"/>
      <c r="V4" s="9"/>
      <c r="W4" s="8"/>
      <c r="X4" s="8"/>
      <c r="Y4" s="8"/>
      <c r="Z4" s="8"/>
      <c r="AA4" s="8"/>
      <c r="AB4" s="8"/>
      <c r="AC4" s="8"/>
    </row>
    <row r="5" spans="1:30" s="11" customFormat="1" x14ac:dyDescent="0.2">
      <c r="A5" s="29">
        <v>1</v>
      </c>
      <c r="B5" s="30">
        <f t="shared" ref="B5" si="2">IF(A5&lt;=Ekonomisk_livslängd,Installerad_effekt*Tillgänglighet*Utbyte_år1*(1-Årlig_degradering)^(A5-1),0)</f>
        <v>3596.4</v>
      </c>
      <c r="C5" s="30">
        <f t="shared" ref="C5" si="3">B5/(1+Kalkylränta)^A5</f>
        <v>3525.8823529411766</v>
      </c>
      <c r="D5" s="30">
        <f t="shared" ref="D5" si="4">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E5" s="30">
        <f t="shared" ref="E5" si="5">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F5" s="30">
        <f t="shared" ref="F5" si="6">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G5" s="30">
        <f t="shared" ref="G5:G36" si="7">IF(A5&lt;=Ekonomisk_livslängd,-(Årlig_fast_driftkostnad+Årlig_rörlig_driftkostnad)/(1+Kalkylränta)^A5,0)</f>
        <v>0</v>
      </c>
      <c r="H5" s="30">
        <f t="shared" ref="H5" si="8">IF(Ekonomisk_livslängd&gt;=A5,C5*Andel_egenanvänd_el*Pris_köpt_el,0)</f>
        <v>2468.1176470588234</v>
      </c>
      <c r="I5" s="30">
        <f t="shared" ref="I5" si="9">IF(Ekonomisk_livslängd&gt;=A5,C5*(1-Andel_egenanvänd_el)*Pris_såld_el,0)</f>
        <v>881.47058823529414</v>
      </c>
      <c r="J5" s="30">
        <f t="shared" ref="J5" si="10">IF(Ekonomisk_livslängd&gt;=A5,C5*Ersättning_från_nätägare*(1-Andel_egenanvänd_el),0)</f>
        <v>88.14705882352942</v>
      </c>
      <c r="K5" s="30">
        <f t="shared" ref="K5" si="11">IF(Elcertifikatår&gt;=A5,C5*Andel_elcertifikattilldelning*(1-Kvotplikt_medelvärde)*Elcertifikatvärde,0)</f>
        <v>229.18235294117648</v>
      </c>
      <c r="L5" s="30">
        <f t="shared" ref="L5" si="12">IF(Ekonomisk_livslängd&gt;=A5,C5*Ursprungsgarantier_värde,0)</f>
        <v>17.629411764705882</v>
      </c>
      <c r="M5" s="30">
        <f t="shared" ref="M5" si="13">IF(AND(Ekonomisk_livslängd&gt;=A5,Antal_år_med_skattereduktion&gt;=A5),IF(C5*(1-Andel_egenanvänd_el)*Skattereduktion&gt;Tak_skattereduktion,18000/(1+Kalkylränta)^A5,C5*(1-Andel_egenanvänd_el)*Skattereduktion),0)</f>
        <v>1057.7647058823529</v>
      </c>
      <c r="N5" s="30">
        <f>SUM(D5,G5:M5)</f>
        <v>4742.3117647058816</v>
      </c>
      <c r="O5" s="30">
        <f t="shared" ref="O5:O36" si="14">IF(A5&lt;=Ekonomisk_livslängd,O4+N5,0)</f>
        <v>-73257.688235294117</v>
      </c>
      <c r="P5" s="31">
        <f t="shared" ref="P5" si="15">SUM(E5,G5:M5)</f>
        <v>4742.3117647058816</v>
      </c>
      <c r="Q5" s="32">
        <f t="shared" ref="Q5:Q36" si="16">IF(A5&lt;=Ekonomisk_livslängd,Q4+P5,0)</f>
        <v>-66417.688235294117</v>
      </c>
      <c r="R5" s="31">
        <f t="shared" ref="R5" si="17">SUM(F5:M5)</f>
        <v>4742.3117647058816</v>
      </c>
      <c r="S5" s="32">
        <f t="shared" ref="S5:S36" si="18">IF(A5&lt;=Ekonomisk_livslängd,S4+R5,0)</f>
        <v>-58057.688235294117</v>
      </c>
      <c r="T5" s="17"/>
      <c r="U5" s="17"/>
      <c r="V5" s="9"/>
      <c r="W5" s="8"/>
      <c r="X5" s="8"/>
      <c r="Y5" s="8"/>
      <c r="Z5" s="8"/>
      <c r="AA5" s="8"/>
      <c r="AB5" s="8"/>
      <c r="AC5" s="8"/>
    </row>
    <row r="6" spans="1:30" s="11" customFormat="1" x14ac:dyDescent="0.2">
      <c r="A6" s="29">
        <v>2</v>
      </c>
      <c r="B6" s="30">
        <f t="shared" ref="B6:B36" si="19">IF(A6&lt;=Ekonomisk_livslängd,Installerad_effekt*Tillgänglighet*Utbyte_år1*(1-Årlig_degradering)^(A6-1),0)</f>
        <v>3585.6107999999999</v>
      </c>
      <c r="C6" s="30">
        <f t="shared" ref="C6:C36" si="20">B6/(1+Kalkylränta)^A6</f>
        <v>3446.3771626297575</v>
      </c>
      <c r="D6" s="30">
        <f t="shared" ref="D6:D37" si="21">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E6" s="30">
        <f t="shared" ref="E6:E37" si="22">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F6" s="30">
        <f t="shared" ref="F6:F37" si="23">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G6" s="30">
        <f t="shared" si="7"/>
        <v>0</v>
      </c>
      <c r="H6" s="30">
        <f t="shared" ref="H6:H36" si="24">IF(Ekonomisk_livslängd&gt;=A6,C6*Andel_egenanvänd_el*Pris_köpt_el,0)</f>
        <v>2412.4640138408299</v>
      </c>
      <c r="I6" s="30">
        <f t="shared" ref="I6:I36" si="25">IF(Ekonomisk_livslängd&gt;=A6,C6*(1-Andel_egenanvänd_el)*Pris_såld_el,0)</f>
        <v>861.59429065743939</v>
      </c>
      <c r="J6" s="30">
        <f t="shared" ref="J6:J36" si="26">IF(Ekonomisk_livslängd&gt;=A6,C6*Ersättning_från_nätägare*(1-Andel_egenanvänd_el),0)</f>
        <v>86.15942906574395</v>
      </c>
      <c r="K6" s="30">
        <f t="shared" ref="K6:K36" si="27">IF(Elcertifikatår&gt;=A6,C6*Andel_elcertifikattilldelning*(1-Kvotplikt_medelvärde)*Elcertifikatvärde,0)</f>
        <v>224.01451557093424</v>
      </c>
      <c r="L6" s="30">
        <f t="shared" ref="L6:L36" si="28">IF(Ekonomisk_livslängd&gt;=A6,C6*Ursprungsgarantier_värde,0)</f>
        <v>17.231885813148789</v>
      </c>
      <c r="M6" s="30">
        <f t="shared" ref="M6:M36" si="29">IF(AND(Ekonomisk_livslängd&gt;=A6,Antal_år_med_skattereduktion&gt;=A6),IF(C6*(1-Andel_egenanvänd_el)*Skattereduktion&gt;Tak_skattereduktion,18000/(1+Kalkylränta)^A6,C6*(1-Andel_egenanvänd_el)*Skattereduktion),0)</f>
        <v>1033.9131487889272</v>
      </c>
      <c r="N6" s="30">
        <f t="shared" ref="N6:N54" si="30">SUM(D6,G6:M6)</f>
        <v>4635.3772837370234</v>
      </c>
      <c r="O6" s="30">
        <f t="shared" si="14"/>
        <v>-68622.310951557098</v>
      </c>
      <c r="P6" s="31">
        <f t="shared" si="0"/>
        <v>4635.3772837370234</v>
      </c>
      <c r="Q6" s="32">
        <f t="shared" si="16"/>
        <v>-61782.310951557098</v>
      </c>
      <c r="R6" s="31">
        <f t="shared" si="1"/>
        <v>4635.3772837370234</v>
      </c>
      <c r="S6" s="32">
        <f t="shared" si="18"/>
        <v>-53422.310951557098</v>
      </c>
      <c r="T6" s="17"/>
      <c r="U6" s="17"/>
      <c r="V6" s="9"/>
      <c r="W6" s="8"/>
      <c r="X6" s="8"/>
      <c r="Y6" s="8"/>
      <c r="Z6" s="8"/>
      <c r="AA6" s="8"/>
      <c r="AB6" s="8"/>
      <c r="AC6" s="8"/>
    </row>
    <row r="7" spans="1:30" s="11" customFormat="1" x14ac:dyDescent="0.2">
      <c r="A7" s="29">
        <v>3</v>
      </c>
      <c r="B7" s="30">
        <f t="shared" si="19"/>
        <v>3574.8539676</v>
      </c>
      <c r="C7" s="30">
        <f t="shared" si="20"/>
        <v>3368.664736413597</v>
      </c>
      <c r="D7" s="30">
        <f t="shared" si="21"/>
        <v>0</v>
      </c>
      <c r="E7" s="30">
        <f t="shared" si="22"/>
        <v>0</v>
      </c>
      <c r="F7" s="30">
        <f t="shared" si="23"/>
        <v>0</v>
      </c>
      <c r="G7" s="30">
        <f t="shared" si="7"/>
        <v>0</v>
      </c>
      <c r="H7" s="30">
        <f t="shared" si="24"/>
        <v>2358.0653154895176</v>
      </c>
      <c r="I7" s="30">
        <f t="shared" si="25"/>
        <v>842.16618410339925</v>
      </c>
      <c r="J7" s="30">
        <f t="shared" si="26"/>
        <v>84.216618410339933</v>
      </c>
      <c r="K7" s="30">
        <f t="shared" si="27"/>
        <v>218.96320786688381</v>
      </c>
      <c r="L7" s="30">
        <f t="shared" si="28"/>
        <v>16.843323682067986</v>
      </c>
      <c r="M7" s="30">
        <f t="shared" si="29"/>
        <v>1010.599420924079</v>
      </c>
      <c r="N7" s="30">
        <f t="shared" si="30"/>
        <v>4530.8540704762872</v>
      </c>
      <c r="O7" s="30">
        <f t="shared" si="14"/>
        <v>-64091.456881080812</v>
      </c>
      <c r="P7" s="31">
        <f t="shared" si="0"/>
        <v>4530.8540704762872</v>
      </c>
      <c r="Q7" s="32">
        <f t="shared" si="16"/>
        <v>-57251.456881080812</v>
      </c>
      <c r="R7" s="31">
        <f t="shared" si="1"/>
        <v>4530.8540704762872</v>
      </c>
      <c r="S7" s="32">
        <f t="shared" si="18"/>
        <v>-48891.456881080812</v>
      </c>
      <c r="T7" s="17"/>
      <c r="U7" s="17"/>
      <c r="V7" s="9"/>
      <c r="W7" s="8"/>
      <c r="X7" s="8"/>
      <c r="Y7" s="8"/>
      <c r="Z7" s="8"/>
      <c r="AA7" s="8"/>
      <c r="AB7" s="8"/>
      <c r="AC7" s="8"/>
    </row>
    <row r="8" spans="1:30" s="11" customFormat="1" x14ac:dyDescent="0.2">
      <c r="A8" s="29">
        <v>4</v>
      </c>
      <c r="B8" s="30">
        <f t="shared" si="19"/>
        <v>3564.1294056972001</v>
      </c>
      <c r="C8" s="30">
        <f t="shared" si="20"/>
        <v>3292.704649219957</v>
      </c>
      <c r="D8" s="30">
        <f t="shared" si="21"/>
        <v>0</v>
      </c>
      <c r="E8" s="30">
        <f t="shared" si="22"/>
        <v>0</v>
      </c>
      <c r="F8" s="30">
        <f t="shared" si="23"/>
        <v>0</v>
      </c>
      <c r="G8" s="30">
        <f t="shared" si="7"/>
        <v>0</v>
      </c>
      <c r="H8" s="30">
        <f t="shared" si="24"/>
        <v>2304.8932544539698</v>
      </c>
      <c r="I8" s="30">
        <f t="shared" si="25"/>
        <v>823.17616230498925</v>
      </c>
      <c r="J8" s="30">
        <f t="shared" si="26"/>
        <v>82.317616230498928</v>
      </c>
      <c r="K8" s="30">
        <f t="shared" si="27"/>
        <v>214.0258021992972</v>
      </c>
      <c r="L8" s="30">
        <f t="shared" si="28"/>
        <v>16.463523246099786</v>
      </c>
      <c r="M8" s="30">
        <f t="shared" si="29"/>
        <v>987.81139476598707</v>
      </c>
      <c r="N8" s="30">
        <f t="shared" si="30"/>
        <v>4428.6877532008421</v>
      </c>
      <c r="O8" s="30">
        <f t="shared" si="14"/>
        <v>-59662.769127879968</v>
      </c>
      <c r="P8" s="31">
        <f t="shared" si="0"/>
        <v>4428.6877532008421</v>
      </c>
      <c r="Q8" s="32">
        <f t="shared" si="16"/>
        <v>-52822.769127879968</v>
      </c>
      <c r="R8" s="31">
        <f t="shared" si="1"/>
        <v>4428.6877532008421</v>
      </c>
      <c r="S8" s="32">
        <f t="shared" si="18"/>
        <v>-44462.769127879968</v>
      </c>
      <c r="T8" s="17"/>
      <c r="U8" s="17"/>
      <c r="V8" s="9"/>
      <c r="W8" s="8"/>
      <c r="X8" s="8"/>
      <c r="Y8" s="8"/>
      <c r="Z8" s="8"/>
      <c r="AA8" s="8"/>
      <c r="AB8" s="8"/>
      <c r="AC8" s="8"/>
    </row>
    <row r="9" spans="1:30" s="11" customFormat="1" x14ac:dyDescent="0.2">
      <c r="A9" s="29">
        <v>5</v>
      </c>
      <c r="B9" s="30">
        <f t="shared" si="19"/>
        <v>3553.4370174801088</v>
      </c>
      <c r="C9" s="30">
        <f t="shared" si="20"/>
        <v>3218.4573875218598</v>
      </c>
      <c r="D9" s="30">
        <f t="shared" si="21"/>
        <v>0</v>
      </c>
      <c r="E9" s="30">
        <f t="shared" si="22"/>
        <v>0</v>
      </c>
      <c r="F9" s="30">
        <f t="shared" si="23"/>
        <v>0</v>
      </c>
      <c r="G9" s="30">
        <f t="shared" si="7"/>
        <v>0</v>
      </c>
      <c r="H9" s="30">
        <f t="shared" si="24"/>
        <v>2252.9201712653016</v>
      </c>
      <c r="I9" s="30">
        <f t="shared" si="25"/>
        <v>804.61434688046495</v>
      </c>
      <c r="J9" s="30">
        <f t="shared" si="26"/>
        <v>80.461434688046495</v>
      </c>
      <c r="K9" s="30">
        <f t="shared" si="27"/>
        <v>209.19973018892088</v>
      </c>
      <c r="L9" s="30">
        <f t="shared" si="28"/>
        <v>16.092286937609298</v>
      </c>
      <c r="M9" s="30">
        <f t="shared" si="29"/>
        <v>965.53721625655794</v>
      </c>
      <c r="N9" s="30">
        <f t="shared" si="30"/>
        <v>4328.8251862169018</v>
      </c>
      <c r="O9" s="30">
        <f t="shared" si="14"/>
        <v>-55333.943941663063</v>
      </c>
      <c r="P9" s="31">
        <f t="shared" si="0"/>
        <v>4328.8251862169018</v>
      </c>
      <c r="Q9" s="32">
        <f t="shared" si="16"/>
        <v>-48493.943941663063</v>
      </c>
      <c r="R9" s="31">
        <f t="shared" si="1"/>
        <v>4328.8251862169018</v>
      </c>
      <c r="S9" s="32">
        <f t="shared" si="18"/>
        <v>-40133.943941663063</v>
      </c>
      <c r="T9" s="17"/>
      <c r="U9" s="17"/>
      <c r="V9" s="9"/>
      <c r="W9" s="8"/>
      <c r="X9" s="8"/>
      <c r="Y9" s="8"/>
      <c r="Z9" s="8"/>
      <c r="AA9" s="8"/>
      <c r="AB9" s="8"/>
      <c r="AC9" s="8"/>
    </row>
    <row r="10" spans="1:30" s="11" customFormat="1" x14ac:dyDescent="0.2">
      <c r="A10" s="29">
        <v>6</v>
      </c>
      <c r="B10" s="30">
        <f t="shared" si="19"/>
        <v>3542.7767064276682</v>
      </c>
      <c r="C10" s="30">
        <f t="shared" si="20"/>
        <v>3145.8843287836216</v>
      </c>
      <c r="D10" s="30">
        <f t="shared" si="21"/>
        <v>0</v>
      </c>
      <c r="E10" s="30">
        <f t="shared" si="22"/>
        <v>0</v>
      </c>
      <c r="F10" s="30">
        <f t="shared" si="23"/>
        <v>0</v>
      </c>
      <c r="G10" s="30">
        <f t="shared" si="7"/>
        <v>0</v>
      </c>
      <c r="H10" s="30">
        <f t="shared" si="24"/>
        <v>2202.1190301485349</v>
      </c>
      <c r="I10" s="30">
        <f t="shared" si="25"/>
        <v>786.47108219590541</v>
      </c>
      <c r="J10" s="30">
        <f t="shared" si="26"/>
        <v>78.64710821959055</v>
      </c>
      <c r="K10" s="30">
        <f t="shared" si="27"/>
        <v>204.4824813709354</v>
      </c>
      <c r="L10" s="30">
        <f t="shared" si="28"/>
        <v>15.729421643918108</v>
      </c>
      <c r="M10" s="30">
        <f t="shared" si="29"/>
        <v>943.76529863508642</v>
      </c>
      <c r="N10" s="30">
        <f t="shared" si="30"/>
        <v>4231.2144222139705</v>
      </c>
      <c r="O10" s="30">
        <f t="shared" si="14"/>
        <v>-51102.729519449094</v>
      </c>
      <c r="P10" s="31">
        <f t="shared" si="0"/>
        <v>4231.2144222139705</v>
      </c>
      <c r="Q10" s="32">
        <f t="shared" si="16"/>
        <v>-44262.729519449094</v>
      </c>
      <c r="R10" s="31">
        <f t="shared" si="1"/>
        <v>4231.2144222139705</v>
      </c>
      <c r="S10" s="32">
        <f t="shared" si="18"/>
        <v>-35902.729519449094</v>
      </c>
      <c r="T10" s="17"/>
      <c r="U10" s="17"/>
      <c r="V10" s="9"/>
      <c r="W10" s="8"/>
      <c r="X10" s="8"/>
      <c r="Y10" s="8"/>
      <c r="Z10" s="8"/>
      <c r="AA10" s="8"/>
      <c r="AB10" s="8"/>
      <c r="AC10" s="8"/>
    </row>
    <row r="11" spans="1:30" s="11" customFormat="1" x14ac:dyDescent="0.2">
      <c r="A11" s="29">
        <v>7</v>
      </c>
      <c r="B11" s="30">
        <f t="shared" si="19"/>
        <v>3532.1483763083852</v>
      </c>
      <c r="C11" s="30">
        <f t="shared" si="20"/>
        <v>3074.9477213698738</v>
      </c>
      <c r="D11" s="30">
        <f t="shared" si="21"/>
        <v>0</v>
      </c>
      <c r="E11" s="30">
        <f t="shared" si="22"/>
        <v>0</v>
      </c>
      <c r="F11" s="30">
        <f t="shared" si="23"/>
        <v>0</v>
      </c>
      <c r="G11" s="30">
        <f t="shared" si="7"/>
        <v>0</v>
      </c>
      <c r="H11" s="30">
        <f t="shared" si="24"/>
        <v>2152.4634049589113</v>
      </c>
      <c r="I11" s="30">
        <f t="shared" si="25"/>
        <v>768.73693034246844</v>
      </c>
      <c r="J11" s="30">
        <f t="shared" si="26"/>
        <v>76.873693034246855</v>
      </c>
      <c r="K11" s="30">
        <f t="shared" si="27"/>
        <v>199.87160188904181</v>
      </c>
      <c r="L11" s="30">
        <f t="shared" si="28"/>
        <v>15.37473860684937</v>
      </c>
      <c r="M11" s="30">
        <f t="shared" si="29"/>
        <v>922.48431641096204</v>
      </c>
      <c r="N11" s="30">
        <f t="shared" si="30"/>
        <v>4135.8046852424795</v>
      </c>
      <c r="O11" s="30">
        <f t="shared" si="14"/>
        <v>-46966.924834206613</v>
      </c>
      <c r="P11" s="31">
        <f t="shared" si="0"/>
        <v>4135.8046852424795</v>
      </c>
      <c r="Q11" s="32">
        <f t="shared" si="16"/>
        <v>-40126.924834206613</v>
      </c>
      <c r="R11" s="31">
        <f t="shared" si="1"/>
        <v>4135.8046852424795</v>
      </c>
      <c r="S11" s="32">
        <f t="shared" si="18"/>
        <v>-31766.924834206613</v>
      </c>
      <c r="T11" s="17"/>
      <c r="U11" s="17"/>
      <c r="V11" s="9"/>
      <c r="W11" s="8"/>
      <c r="X11" s="8"/>
      <c r="Y11" s="8"/>
      <c r="Z11" s="8"/>
      <c r="AA11" s="8"/>
      <c r="AB11" s="8"/>
      <c r="AC11" s="8"/>
    </row>
    <row r="12" spans="1:30" s="11" customFormat="1" x14ac:dyDescent="0.2">
      <c r="A12" s="29">
        <v>8</v>
      </c>
      <c r="B12" s="30">
        <f t="shared" si="19"/>
        <v>3521.5519311794601</v>
      </c>
      <c r="C12" s="30">
        <f t="shared" si="20"/>
        <v>3005.6106649076119</v>
      </c>
      <c r="D12" s="30">
        <f t="shared" si="21"/>
        <v>0</v>
      </c>
      <c r="E12" s="30">
        <f t="shared" si="22"/>
        <v>0</v>
      </c>
      <c r="F12" s="30">
        <f t="shared" si="23"/>
        <v>0</v>
      </c>
      <c r="G12" s="30">
        <f t="shared" si="7"/>
        <v>0</v>
      </c>
      <c r="H12" s="30">
        <f t="shared" si="24"/>
        <v>2103.927465435328</v>
      </c>
      <c r="I12" s="30">
        <f t="shared" si="25"/>
        <v>751.40266622690297</v>
      </c>
      <c r="J12" s="30">
        <f t="shared" si="26"/>
        <v>75.140266622690305</v>
      </c>
      <c r="K12" s="30">
        <f t="shared" si="27"/>
        <v>195.36469321899477</v>
      </c>
      <c r="L12" s="30">
        <f t="shared" si="28"/>
        <v>15.02805332453806</v>
      </c>
      <c r="M12" s="30">
        <f t="shared" si="29"/>
        <v>901.68319947228349</v>
      </c>
      <c r="N12" s="30">
        <f t="shared" si="30"/>
        <v>4042.5463443007379</v>
      </c>
      <c r="O12" s="30">
        <f t="shared" si="14"/>
        <v>-42924.378489905874</v>
      </c>
      <c r="P12" s="31">
        <f t="shared" si="0"/>
        <v>4042.5463443007379</v>
      </c>
      <c r="Q12" s="32">
        <f t="shared" si="16"/>
        <v>-36084.378489905874</v>
      </c>
      <c r="R12" s="31">
        <f t="shared" si="1"/>
        <v>4042.5463443007379</v>
      </c>
      <c r="S12" s="32">
        <f t="shared" si="18"/>
        <v>-27724.378489905874</v>
      </c>
      <c r="T12" s="17"/>
      <c r="U12" s="17"/>
      <c r="V12" s="9"/>
      <c r="W12" s="8"/>
      <c r="X12" s="8"/>
      <c r="Y12" s="8"/>
      <c r="Z12" s="8"/>
      <c r="AA12" s="8"/>
      <c r="AB12" s="8"/>
      <c r="AC12" s="8"/>
    </row>
    <row r="13" spans="1:30" s="11" customFormat="1" x14ac:dyDescent="0.2">
      <c r="A13" s="29">
        <v>9</v>
      </c>
      <c r="B13" s="30">
        <f t="shared" si="19"/>
        <v>3510.9872753859217</v>
      </c>
      <c r="C13" s="30">
        <f t="shared" si="20"/>
        <v>2937.8370910910676</v>
      </c>
      <c r="D13" s="30">
        <f t="shared" si="21"/>
        <v>0</v>
      </c>
      <c r="E13" s="30">
        <f t="shared" si="22"/>
        <v>0</v>
      </c>
      <c r="F13" s="30">
        <f t="shared" si="23"/>
        <v>0</v>
      </c>
      <c r="G13" s="30">
        <f t="shared" si="7"/>
        <v>0</v>
      </c>
      <c r="H13" s="30">
        <f t="shared" si="24"/>
        <v>2056.4859637637473</v>
      </c>
      <c r="I13" s="30">
        <f t="shared" si="25"/>
        <v>734.45927277276689</v>
      </c>
      <c r="J13" s="30">
        <f t="shared" si="26"/>
        <v>73.445927277276695</v>
      </c>
      <c r="K13" s="30">
        <f t="shared" si="27"/>
        <v>190.9594109209194</v>
      </c>
      <c r="L13" s="30">
        <f t="shared" si="28"/>
        <v>14.689185455455338</v>
      </c>
      <c r="M13" s="30">
        <f t="shared" si="29"/>
        <v>881.35112732732023</v>
      </c>
      <c r="N13" s="30">
        <f t="shared" si="30"/>
        <v>3951.3908875174852</v>
      </c>
      <c r="O13" s="30">
        <f t="shared" si="14"/>
        <v>-38972.987602388392</v>
      </c>
      <c r="P13" s="31">
        <f t="shared" si="0"/>
        <v>3951.3908875174852</v>
      </c>
      <c r="Q13" s="32">
        <f t="shared" si="16"/>
        <v>-32132.987602388388</v>
      </c>
      <c r="R13" s="31">
        <f t="shared" si="1"/>
        <v>3951.3908875174852</v>
      </c>
      <c r="S13" s="32">
        <f t="shared" si="18"/>
        <v>-23772.987602388388</v>
      </c>
      <c r="T13" s="17"/>
      <c r="U13" s="17"/>
      <c r="V13" s="9"/>
      <c r="W13" s="8"/>
      <c r="X13" s="8"/>
      <c r="Y13" s="8"/>
      <c r="Z13" s="8"/>
      <c r="AA13" s="8"/>
      <c r="AB13" s="8"/>
      <c r="AC13" s="8"/>
    </row>
    <row r="14" spans="1:30" s="11" customFormat="1" x14ac:dyDescent="0.2">
      <c r="A14" s="29">
        <v>10</v>
      </c>
      <c r="B14" s="30">
        <f t="shared" si="19"/>
        <v>3500.4543135597642</v>
      </c>
      <c r="C14" s="30">
        <f t="shared" si="20"/>
        <v>2871.5917449194062</v>
      </c>
      <c r="D14" s="30">
        <f t="shared" si="21"/>
        <v>0</v>
      </c>
      <c r="E14" s="30">
        <f t="shared" si="22"/>
        <v>0</v>
      </c>
      <c r="F14" s="30">
        <f t="shared" si="23"/>
        <v>0</v>
      </c>
      <c r="G14" s="30">
        <f t="shared" si="7"/>
        <v>0</v>
      </c>
      <c r="H14" s="30">
        <f t="shared" si="24"/>
        <v>2010.1142214435843</v>
      </c>
      <c r="I14" s="30">
        <f t="shared" si="25"/>
        <v>717.89793622985155</v>
      </c>
      <c r="J14" s="30">
        <f t="shared" si="26"/>
        <v>71.789793622985158</v>
      </c>
      <c r="K14" s="30">
        <f t="shared" si="27"/>
        <v>186.65346341976141</v>
      </c>
      <c r="L14" s="30">
        <f t="shared" si="28"/>
        <v>14.357958724597031</v>
      </c>
      <c r="M14" s="30">
        <f t="shared" si="29"/>
        <v>861.47752347582184</v>
      </c>
      <c r="N14" s="30">
        <f t="shared" si="30"/>
        <v>3862.2908969166015</v>
      </c>
      <c r="O14" s="30">
        <f t="shared" si="14"/>
        <v>-35110.69670547179</v>
      </c>
      <c r="P14" s="31">
        <f t="shared" si="0"/>
        <v>3862.2908969166015</v>
      </c>
      <c r="Q14" s="32">
        <f t="shared" si="16"/>
        <v>-28270.696705471786</v>
      </c>
      <c r="R14" s="31">
        <f t="shared" si="1"/>
        <v>3862.2908969166015</v>
      </c>
      <c r="S14" s="32">
        <f t="shared" si="18"/>
        <v>-19910.696705471786</v>
      </c>
      <c r="T14" s="17"/>
      <c r="U14" s="17"/>
      <c r="V14" s="9"/>
      <c r="W14" s="8"/>
      <c r="X14" s="8"/>
      <c r="Y14" s="8"/>
      <c r="Z14" s="8"/>
      <c r="AA14" s="8"/>
      <c r="AB14" s="8"/>
      <c r="AC14" s="8"/>
    </row>
    <row r="15" spans="1:30" s="11" customFormat="1" x14ac:dyDescent="0.2">
      <c r="A15" s="29">
        <v>11</v>
      </c>
      <c r="B15" s="30">
        <f t="shared" si="19"/>
        <v>3489.9529506190852</v>
      </c>
      <c r="C15" s="30">
        <f t="shared" si="20"/>
        <v>2806.8401663574987</v>
      </c>
      <c r="D15" s="30">
        <f t="shared" si="21"/>
        <v>0</v>
      </c>
      <c r="E15" s="30">
        <f t="shared" si="22"/>
        <v>0</v>
      </c>
      <c r="F15" s="30">
        <f t="shared" si="23"/>
        <v>0</v>
      </c>
      <c r="G15" s="30">
        <f t="shared" si="7"/>
        <v>0</v>
      </c>
      <c r="H15" s="30">
        <f t="shared" si="24"/>
        <v>1964.7881164502489</v>
      </c>
      <c r="I15" s="30">
        <f t="shared" si="25"/>
        <v>701.71004158937467</v>
      </c>
      <c r="J15" s="30">
        <f t="shared" si="26"/>
        <v>70.171004158937464</v>
      </c>
      <c r="K15" s="30">
        <f t="shared" si="27"/>
        <v>182.44461081323743</v>
      </c>
      <c r="L15" s="30">
        <f t="shared" si="28"/>
        <v>14.034200831787494</v>
      </c>
      <c r="M15" s="30">
        <f t="shared" si="29"/>
        <v>842.05204990724962</v>
      </c>
      <c r="N15" s="30">
        <f t="shared" si="30"/>
        <v>3775.2000237508355</v>
      </c>
      <c r="O15" s="30">
        <f t="shared" si="14"/>
        <v>-31335.496681720953</v>
      </c>
      <c r="P15" s="31">
        <f t="shared" si="0"/>
        <v>3775.2000237508355</v>
      </c>
      <c r="Q15" s="32">
        <f t="shared" si="16"/>
        <v>-24495.49668172095</v>
      </c>
      <c r="R15" s="31">
        <f t="shared" si="1"/>
        <v>3775.2000237508355</v>
      </c>
      <c r="S15" s="32">
        <f t="shared" si="18"/>
        <v>-16135.49668172095</v>
      </c>
      <c r="T15" s="17"/>
      <c r="U15" s="17"/>
      <c r="V15" s="9"/>
      <c r="W15" s="8"/>
      <c r="X15" s="8"/>
      <c r="Y15" s="8"/>
      <c r="Z15" s="8"/>
      <c r="AA15" s="8"/>
      <c r="AB15" s="8"/>
      <c r="AC15" s="8"/>
    </row>
    <row r="16" spans="1:30" s="11" customFormat="1" x14ac:dyDescent="0.2">
      <c r="A16" s="29">
        <v>12</v>
      </c>
      <c r="B16" s="30">
        <f t="shared" si="19"/>
        <v>3479.4830917672275</v>
      </c>
      <c r="C16" s="30">
        <f t="shared" si="20"/>
        <v>2743.5486724102211</v>
      </c>
      <c r="D16" s="30">
        <f t="shared" si="21"/>
        <v>0</v>
      </c>
      <c r="E16" s="30">
        <f t="shared" si="22"/>
        <v>0</v>
      </c>
      <c r="F16" s="30">
        <f t="shared" si="23"/>
        <v>0</v>
      </c>
      <c r="G16" s="30">
        <f t="shared" si="7"/>
        <v>0</v>
      </c>
      <c r="H16" s="30">
        <f t="shared" si="24"/>
        <v>1920.4840706871546</v>
      </c>
      <c r="I16" s="30">
        <f t="shared" si="25"/>
        <v>685.88716810255528</v>
      </c>
      <c r="J16" s="30">
        <f t="shared" si="26"/>
        <v>68.588716810255534</v>
      </c>
      <c r="K16" s="30">
        <f t="shared" si="27"/>
        <v>178.33066370666438</v>
      </c>
      <c r="L16" s="30">
        <f t="shared" si="28"/>
        <v>13.717743362051106</v>
      </c>
      <c r="M16" s="30">
        <f t="shared" si="29"/>
        <v>823.06460172306629</v>
      </c>
      <c r="N16" s="30">
        <f t="shared" si="30"/>
        <v>3690.0729643917466</v>
      </c>
      <c r="O16" s="30">
        <f t="shared" si="14"/>
        <v>-27645.423717329206</v>
      </c>
      <c r="P16" s="31">
        <f t="shared" si="0"/>
        <v>3690.0729643917466</v>
      </c>
      <c r="Q16" s="32">
        <f t="shared" si="16"/>
        <v>-20805.423717329202</v>
      </c>
      <c r="R16" s="31">
        <f t="shared" si="1"/>
        <v>3690.0729643917466</v>
      </c>
      <c r="S16" s="32">
        <f t="shared" si="18"/>
        <v>-12445.423717329202</v>
      </c>
      <c r="T16" s="17"/>
      <c r="U16" s="17"/>
      <c r="V16" s="9"/>
      <c r="W16" s="8"/>
      <c r="X16" s="8"/>
      <c r="Y16" s="8"/>
      <c r="Z16" s="8"/>
      <c r="AA16" s="8"/>
      <c r="AB16" s="8"/>
      <c r="AC16" s="8"/>
    </row>
    <row r="17" spans="1:38" s="11" customFormat="1" x14ac:dyDescent="0.2">
      <c r="A17" s="29">
        <v>13</v>
      </c>
      <c r="B17" s="30">
        <f t="shared" si="19"/>
        <v>3469.044642491926</v>
      </c>
      <c r="C17" s="30">
        <f t="shared" si="20"/>
        <v>2681.6843396009713</v>
      </c>
      <c r="D17" s="30">
        <f t="shared" si="21"/>
        <v>0</v>
      </c>
      <c r="E17" s="30">
        <f t="shared" si="22"/>
        <v>0</v>
      </c>
      <c r="F17" s="30">
        <f t="shared" si="23"/>
        <v>0</v>
      </c>
      <c r="G17" s="30">
        <f t="shared" si="7"/>
        <v>0</v>
      </c>
      <c r="H17" s="30">
        <f t="shared" si="24"/>
        <v>1877.1790377206798</v>
      </c>
      <c r="I17" s="30">
        <f t="shared" si="25"/>
        <v>670.42108490024282</v>
      </c>
      <c r="J17" s="30">
        <f t="shared" si="26"/>
        <v>67.04210849002429</v>
      </c>
      <c r="K17" s="30">
        <f t="shared" si="27"/>
        <v>174.30948207406314</v>
      </c>
      <c r="L17" s="30">
        <f t="shared" si="28"/>
        <v>13.408421698004856</v>
      </c>
      <c r="M17" s="30">
        <f t="shared" si="29"/>
        <v>804.50530188029131</v>
      </c>
      <c r="N17" s="30">
        <f t="shared" si="30"/>
        <v>3606.8654367633067</v>
      </c>
      <c r="O17" s="30">
        <f t="shared" si="14"/>
        <v>-24038.5582805659</v>
      </c>
      <c r="P17" s="31">
        <f t="shared" si="0"/>
        <v>3606.8654367633067</v>
      </c>
      <c r="Q17" s="32">
        <f t="shared" si="16"/>
        <v>-17198.558280565896</v>
      </c>
      <c r="R17" s="31">
        <f t="shared" si="1"/>
        <v>3606.8654367633067</v>
      </c>
      <c r="S17" s="32">
        <f t="shared" si="18"/>
        <v>-8838.558280565896</v>
      </c>
      <c r="T17" s="17"/>
      <c r="U17" s="17"/>
      <c r="V17" s="9"/>
      <c r="W17" s="8"/>
      <c r="X17" s="8"/>
      <c r="Y17" s="8"/>
      <c r="Z17" s="8"/>
      <c r="AA17" s="8"/>
      <c r="AB17" s="8"/>
      <c r="AC17" s="8"/>
    </row>
    <row r="18" spans="1:38" s="11" customFormat="1" x14ac:dyDescent="0.2">
      <c r="A18" s="29">
        <v>14</v>
      </c>
      <c r="B18" s="30">
        <f t="shared" si="19"/>
        <v>3458.6375085644499</v>
      </c>
      <c r="C18" s="30">
        <f t="shared" si="20"/>
        <v>2621.2149868452625</v>
      </c>
      <c r="D18" s="30">
        <f t="shared" si="21"/>
        <v>0</v>
      </c>
      <c r="E18" s="30">
        <f t="shared" si="22"/>
        <v>0</v>
      </c>
      <c r="F18" s="30">
        <f t="shared" si="23"/>
        <v>0</v>
      </c>
      <c r="G18" s="30">
        <f t="shared" si="7"/>
        <v>0</v>
      </c>
      <c r="H18" s="30">
        <f t="shared" si="24"/>
        <v>1834.8504907916836</v>
      </c>
      <c r="I18" s="30">
        <f t="shared" si="25"/>
        <v>655.30374671131563</v>
      </c>
      <c r="J18" s="30">
        <f t="shared" si="26"/>
        <v>65.530374671131568</v>
      </c>
      <c r="K18" s="30">
        <f t="shared" si="27"/>
        <v>170.37897414494208</v>
      </c>
      <c r="L18" s="30">
        <f t="shared" si="28"/>
        <v>13.106074934226314</v>
      </c>
      <c r="M18" s="30">
        <f t="shared" si="29"/>
        <v>786.3644960535787</v>
      </c>
      <c r="N18" s="30">
        <f t="shared" si="30"/>
        <v>3525.5341573068781</v>
      </c>
      <c r="O18" s="30">
        <f t="shared" si="14"/>
        <v>-20513.02412325902</v>
      </c>
      <c r="P18" s="31">
        <f t="shared" si="0"/>
        <v>3525.5341573068781</v>
      </c>
      <c r="Q18" s="32">
        <f t="shared" si="16"/>
        <v>-13673.024123259018</v>
      </c>
      <c r="R18" s="31">
        <f t="shared" si="1"/>
        <v>3525.5341573068781</v>
      </c>
      <c r="S18" s="32">
        <f t="shared" si="18"/>
        <v>-5313.0241232590179</v>
      </c>
      <c r="T18" s="17"/>
      <c r="U18" s="17"/>
      <c r="V18" s="9"/>
      <c r="W18" s="8"/>
      <c r="X18" s="8"/>
      <c r="Y18" s="8"/>
      <c r="Z18" s="8"/>
      <c r="AA18" s="8"/>
      <c r="AB18" s="8"/>
      <c r="AC18" s="8"/>
    </row>
    <row r="19" spans="1:38" s="11" customFormat="1" x14ac:dyDescent="0.2">
      <c r="A19" s="29">
        <v>15</v>
      </c>
      <c r="B19" s="30">
        <f t="shared" si="19"/>
        <v>3448.261596038757</v>
      </c>
      <c r="C19" s="30">
        <f t="shared" si="20"/>
        <v>2562.1091587105175</v>
      </c>
      <c r="D19" s="30">
        <f t="shared" si="21"/>
        <v>-11145.22094982779</v>
      </c>
      <c r="E19" s="30">
        <f t="shared" si="22"/>
        <v>-11145.22094982779</v>
      </c>
      <c r="F19" s="30">
        <f t="shared" si="23"/>
        <v>-11145.22094982779</v>
      </c>
      <c r="G19" s="30">
        <f t="shared" si="7"/>
        <v>0</v>
      </c>
      <c r="H19" s="30">
        <f t="shared" si="24"/>
        <v>1793.4764110973622</v>
      </c>
      <c r="I19" s="30">
        <f t="shared" si="25"/>
        <v>640.52728967762937</v>
      </c>
      <c r="J19" s="30">
        <f t="shared" si="26"/>
        <v>64.052728967762945</v>
      </c>
      <c r="K19" s="30">
        <f t="shared" si="27"/>
        <v>166.53709531618364</v>
      </c>
      <c r="L19" s="30">
        <f t="shared" si="28"/>
        <v>12.810545793552588</v>
      </c>
      <c r="M19" s="30">
        <f t="shared" si="29"/>
        <v>768.63274761315517</v>
      </c>
      <c r="N19" s="30">
        <f t="shared" si="30"/>
        <v>-7699.1841313621426</v>
      </c>
      <c r="O19" s="30">
        <f t="shared" si="14"/>
        <v>-28212.20825462116</v>
      </c>
      <c r="P19" s="31">
        <f t="shared" si="0"/>
        <v>-7699.1841313621426</v>
      </c>
      <c r="Q19" s="32">
        <f t="shared" si="16"/>
        <v>-21372.20825462116</v>
      </c>
      <c r="R19" s="31">
        <f t="shared" si="1"/>
        <v>-7699.1841313621426</v>
      </c>
      <c r="S19" s="32">
        <f t="shared" si="18"/>
        <v>-13012.20825462116</v>
      </c>
      <c r="T19" s="17"/>
      <c r="U19" s="17"/>
      <c r="V19" s="9"/>
      <c r="W19" s="8"/>
      <c r="X19" s="8"/>
      <c r="Y19" s="8"/>
      <c r="Z19" s="8"/>
      <c r="AA19" s="8"/>
      <c r="AB19" s="8"/>
      <c r="AC19" s="8"/>
    </row>
    <row r="20" spans="1:38" s="11" customFormat="1" x14ac:dyDescent="0.2">
      <c r="A20" s="29">
        <v>16</v>
      </c>
      <c r="B20" s="30">
        <f t="shared" si="19"/>
        <v>3437.9168112506409</v>
      </c>
      <c r="C20" s="30">
        <f t="shared" si="20"/>
        <v>2504.3361090533194</v>
      </c>
      <c r="D20" s="30">
        <f t="shared" si="21"/>
        <v>0</v>
      </c>
      <c r="E20" s="30">
        <f t="shared" si="22"/>
        <v>0</v>
      </c>
      <c r="F20" s="30">
        <f t="shared" si="23"/>
        <v>0</v>
      </c>
      <c r="G20" s="30">
        <f t="shared" si="7"/>
        <v>0</v>
      </c>
      <c r="H20" s="30">
        <f t="shared" si="24"/>
        <v>1753.0352763373235</v>
      </c>
      <c r="I20" s="30">
        <f t="shared" si="25"/>
        <v>626.08402726332986</v>
      </c>
      <c r="J20" s="30">
        <f t="shared" si="26"/>
        <v>62.60840272633299</v>
      </c>
      <c r="K20" s="30">
        <f t="shared" si="27"/>
        <v>0</v>
      </c>
      <c r="L20" s="30">
        <f t="shared" si="28"/>
        <v>12.521680545266598</v>
      </c>
      <c r="M20" s="30">
        <f t="shared" si="29"/>
        <v>0</v>
      </c>
      <c r="N20" s="30">
        <f t="shared" si="30"/>
        <v>2454.2493868722527</v>
      </c>
      <c r="O20" s="30">
        <f t="shared" si="14"/>
        <v>-25757.958867748908</v>
      </c>
      <c r="P20" s="31">
        <f t="shared" si="0"/>
        <v>2454.2493868722527</v>
      </c>
      <c r="Q20" s="32">
        <f t="shared" si="16"/>
        <v>-18917.958867748908</v>
      </c>
      <c r="R20" s="31">
        <f t="shared" si="1"/>
        <v>2454.2493868722527</v>
      </c>
      <c r="S20" s="32">
        <f t="shared" si="18"/>
        <v>-10557.958867748908</v>
      </c>
      <c r="T20" s="17"/>
      <c r="U20" s="17"/>
      <c r="V20" s="9"/>
      <c r="W20" s="8"/>
      <c r="X20" s="8"/>
      <c r="Y20" s="8"/>
      <c r="Z20" s="8"/>
      <c r="AA20" s="8"/>
      <c r="AB20" s="8"/>
      <c r="AC20" s="8"/>
    </row>
    <row r="21" spans="1:38" s="11" customFormat="1" x14ac:dyDescent="0.2">
      <c r="A21" s="29">
        <v>17</v>
      </c>
      <c r="B21" s="30">
        <f t="shared" si="19"/>
        <v>3427.603060816889</v>
      </c>
      <c r="C21" s="30">
        <f t="shared" si="20"/>
        <v>2447.8657850256463</v>
      </c>
      <c r="D21" s="30">
        <f t="shared" si="21"/>
        <v>0</v>
      </c>
      <c r="E21" s="30">
        <f t="shared" si="22"/>
        <v>0</v>
      </c>
      <c r="F21" s="30">
        <f t="shared" si="23"/>
        <v>0</v>
      </c>
      <c r="G21" s="30">
        <f t="shared" si="7"/>
        <v>0</v>
      </c>
      <c r="H21" s="30">
        <f t="shared" si="24"/>
        <v>1713.5060495179523</v>
      </c>
      <c r="I21" s="30">
        <f t="shared" si="25"/>
        <v>611.96644625641159</v>
      </c>
      <c r="J21" s="30">
        <f t="shared" si="26"/>
        <v>61.196644625641163</v>
      </c>
      <c r="K21" s="30">
        <f t="shared" si="27"/>
        <v>0</v>
      </c>
      <c r="L21" s="30">
        <f t="shared" si="28"/>
        <v>12.239328925128232</v>
      </c>
      <c r="M21" s="30">
        <f t="shared" si="29"/>
        <v>0</v>
      </c>
      <c r="N21" s="30">
        <f t="shared" si="30"/>
        <v>2398.908469325133</v>
      </c>
      <c r="O21" s="30">
        <f t="shared" si="14"/>
        <v>-23359.050398423777</v>
      </c>
      <c r="P21" s="31">
        <f t="shared" si="0"/>
        <v>2398.908469325133</v>
      </c>
      <c r="Q21" s="32">
        <f t="shared" si="16"/>
        <v>-16519.050398423777</v>
      </c>
      <c r="R21" s="31">
        <f t="shared" si="1"/>
        <v>2398.908469325133</v>
      </c>
      <c r="S21" s="32">
        <f t="shared" si="18"/>
        <v>-8159.0503984237748</v>
      </c>
      <c r="T21" s="17"/>
      <c r="U21" s="17"/>
      <c r="V21" s="9"/>
      <c r="W21" s="8"/>
      <c r="X21" s="8"/>
      <c r="Y21" s="8"/>
      <c r="Z21" s="8"/>
      <c r="AA21" s="8"/>
      <c r="AB21" s="8"/>
      <c r="AC21" s="8"/>
    </row>
    <row r="22" spans="1:38" s="11" customFormat="1" x14ac:dyDescent="0.2">
      <c r="A22" s="29">
        <v>18</v>
      </c>
      <c r="B22" s="30">
        <f t="shared" si="19"/>
        <v>3417.3202516344381</v>
      </c>
      <c r="C22" s="30">
        <f t="shared" si="20"/>
        <v>2392.6688114417348</v>
      </c>
      <c r="D22" s="30">
        <f t="shared" si="21"/>
        <v>0</v>
      </c>
      <c r="E22" s="30">
        <f t="shared" si="22"/>
        <v>0</v>
      </c>
      <c r="F22" s="30">
        <f t="shared" si="23"/>
        <v>0</v>
      </c>
      <c r="G22" s="30">
        <f t="shared" si="7"/>
        <v>0</v>
      </c>
      <c r="H22" s="30">
        <f t="shared" si="24"/>
        <v>1674.8681680092143</v>
      </c>
      <c r="I22" s="30">
        <f t="shared" si="25"/>
        <v>598.16720286043369</v>
      </c>
      <c r="J22" s="30">
        <f t="shared" si="26"/>
        <v>59.81672028604337</v>
      </c>
      <c r="K22" s="30">
        <f t="shared" si="27"/>
        <v>0</v>
      </c>
      <c r="L22" s="30">
        <f t="shared" si="28"/>
        <v>11.963344057208674</v>
      </c>
      <c r="M22" s="30">
        <f t="shared" si="29"/>
        <v>0</v>
      </c>
      <c r="N22" s="30">
        <f t="shared" si="30"/>
        <v>2344.8154352129</v>
      </c>
      <c r="O22" s="30">
        <f t="shared" si="14"/>
        <v>-21014.234963210878</v>
      </c>
      <c r="P22" s="31">
        <f t="shared" si="0"/>
        <v>2344.8154352129</v>
      </c>
      <c r="Q22" s="32">
        <f t="shared" si="16"/>
        <v>-14174.234963210876</v>
      </c>
      <c r="R22" s="31">
        <f t="shared" si="1"/>
        <v>2344.8154352129</v>
      </c>
      <c r="S22" s="32">
        <f t="shared" si="18"/>
        <v>-5814.2349632108744</v>
      </c>
      <c r="T22" s="17"/>
      <c r="U22" s="17"/>
      <c r="V22" s="9"/>
      <c r="W22" s="8"/>
      <c r="X22" s="8"/>
      <c r="Y22" s="8"/>
      <c r="Z22" s="8"/>
      <c r="AA22" s="8"/>
      <c r="AB22" s="8"/>
      <c r="AC22" s="8"/>
    </row>
    <row r="23" spans="1:38" s="11" customFormat="1" x14ac:dyDescent="0.2">
      <c r="A23" s="29">
        <v>19</v>
      </c>
      <c r="B23" s="30">
        <f t="shared" si="19"/>
        <v>3407.0682908795352</v>
      </c>
      <c r="C23" s="30">
        <f t="shared" si="20"/>
        <v>2338.7164754974606</v>
      </c>
      <c r="D23" s="30">
        <f t="shared" si="21"/>
        <v>0</v>
      </c>
      <c r="E23" s="30">
        <f t="shared" si="22"/>
        <v>0</v>
      </c>
      <c r="F23" s="30">
        <f t="shared" si="23"/>
        <v>0</v>
      </c>
      <c r="G23" s="30">
        <f t="shared" si="7"/>
        <v>0</v>
      </c>
      <c r="H23" s="30">
        <f t="shared" si="24"/>
        <v>1637.1015328482224</v>
      </c>
      <c r="I23" s="30">
        <f t="shared" si="25"/>
        <v>584.67911887436514</v>
      </c>
      <c r="J23" s="30">
        <f t="shared" si="26"/>
        <v>58.467911887436514</v>
      </c>
      <c r="K23" s="30">
        <f t="shared" si="27"/>
        <v>0</v>
      </c>
      <c r="L23" s="30">
        <f t="shared" si="28"/>
        <v>11.693582377487303</v>
      </c>
      <c r="M23" s="30">
        <f t="shared" si="29"/>
        <v>0</v>
      </c>
      <c r="N23" s="30">
        <f t="shared" si="30"/>
        <v>2291.9421459875116</v>
      </c>
      <c r="O23" s="30">
        <f t="shared" si="14"/>
        <v>-18722.292817223366</v>
      </c>
      <c r="P23" s="31">
        <f t="shared" si="0"/>
        <v>2291.9421459875116</v>
      </c>
      <c r="Q23" s="32">
        <f t="shared" si="16"/>
        <v>-11882.292817223364</v>
      </c>
      <c r="R23" s="31">
        <f t="shared" si="1"/>
        <v>2291.9421459875116</v>
      </c>
      <c r="S23" s="32">
        <f t="shared" si="18"/>
        <v>-3522.2928172233628</v>
      </c>
      <c r="T23" s="17"/>
      <c r="U23" s="17"/>
      <c r="V23" s="9"/>
      <c r="W23" s="8"/>
      <c r="X23" s="8"/>
      <c r="Y23" s="8"/>
      <c r="Z23" s="8"/>
      <c r="AA23" s="8"/>
      <c r="AB23" s="8"/>
      <c r="AC23" s="8"/>
    </row>
    <row r="24" spans="1:38" s="11" customFormat="1" x14ac:dyDescent="0.2">
      <c r="A24" s="29">
        <v>20</v>
      </c>
      <c r="B24" s="30">
        <f t="shared" si="19"/>
        <v>3396.8470860068965</v>
      </c>
      <c r="C24" s="30">
        <f t="shared" si="20"/>
        <v>2285.9807118342824</v>
      </c>
      <c r="D24" s="30">
        <f t="shared" si="21"/>
        <v>0</v>
      </c>
      <c r="E24" s="30">
        <f t="shared" si="22"/>
        <v>0</v>
      </c>
      <c r="F24" s="30">
        <f t="shared" si="23"/>
        <v>0</v>
      </c>
      <c r="G24" s="30">
        <f t="shared" si="7"/>
        <v>0</v>
      </c>
      <c r="H24" s="30">
        <f t="shared" si="24"/>
        <v>1600.1864982839975</v>
      </c>
      <c r="I24" s="30">
        <f t="shared" si="25"/>
        <v>571.49517795857059</v>
      </c>
      <c r="J24" s="30">
        <f t="shared" si="26"/>
        <v>57.149517795857065</v>
      </c>
      <c r="K24" s="30">
        <f t="shared" si="27"/>
        <v>0</v>
      </c>
      <c r="L24" s="30">
        <f t="shared" si="28"/>
        <v>11.429903559171413</v>
      </c>
      <c r="M24" s="30">
        <f t="shared" si="29"/>
        <v>0</v>
      </c>
      <c r="N24" s="30">
        <f t="shared" si="30"/>
        <v>2240.2610975975967</v>
      </c>
      <c r="O24" s="30">
        <f t="shared" si="14"/>
        <v>-16482.031719625767</v>
      </c>
      <c r="P24" s="31">
        <f t="shared" si="0"/>
        <v>2240.2610975975967</v>
      </c>
      <c r="Q24" s="32">
        <f t="shared" si="16"/>
        <v>-9642.0317196257674</v>
      </c>
      <c r="R24" s="31">
        <f t="shared" si="1"/>
        <v>2240.2610975975967</v>
      </c>
      <c r="S24" s="32">
        <f t="shared" si="18"/>
        <v>-1282.0317196257661</v>
      </c>
      <c r="T24" s="17"/>
      <c r="U24" s="17"/>
      <c r="V24" s="9"/>
      <c r="W24" s="8"/>
      <c r="X24" s="8"/>
      <c r="Y24" s="8"/>
      <c r="Z24" s="8"/>
      <c r="AA24" s="8"/>
      <c r="AB24" s="8"/>
      <c r="AC24" s="8"/>
    </row>
    <row r="25" spans="1:38" s="11" customFormat="1" x14ac:dyDescent="0.2">
      <c r="A25" s="29">
        <v>21</v>
      </c>
      <c r="B25" s="30">
        <f t="shared" si="19"/>
        <v>3386.6565447488756</v>
      </c>
      <c r="C25" s="30">
        <f t="shared" si="20"/>
        <v>2234.4340879399801</v>
      </c>
      <c r="D25" s="30">
        <f t="shared" si="21"/>
        <v>0</v>
      </c>
      <c r="E25" s="30">
        <f t="shared" si="22"/>
        <v>0</v>
      </c>
      <c r="F25" s="30">
        <f t="shared" si="23"/>
        <v>0</v>
      </c>
      <c r="G25" s="30">
        <f t="shared" si="7"/>
        <v>0</v>
      </c>
      <c r="H25" s="30">
        <f t="shared" si="24"/>
        <v>1564.103861557986</v>
      </c>
      <c r="I25" s="30">
        <f t="shared" si="25"/>
        <v>558.60852198499504</v>
      </c>
      <c r="J25" s="30">
        <f t="shared" si="26"/>
        <v>55.860852198499508</v>
      </c>
      <c r="K25" s="30">
        <f t="shared" si="27"/>
        <v>0</v>
      </c>
      <c r="L25" s="30">
        <f t="shared" si="28"/>
        <v>11.172170439699901</v>
      </c>
      <c r="M25" s="30">
        <f t="shared" si="29"/>
        <v>0</v>
      </c>
      <c r="N25" s="30">
        <f t="shared" si="30"/>
        <v>2189.7454061811804</v>
      </c>
      <c r="O25" s="30">
        <f t="shared" si="14"/>
        <v>-14292.286313444587</v>
      </c>
      <c r="P25" s="31">
        <f t="shared" si="0"/>
        <v>2189.7454061811804</v>
      </c>
      <c r="Q25" s="32">
        <f t="shared" si="16"/>
        <v>-7452.286313444587</v>
      </c>
      <c r="R25" s="31">
        <f t="shared" si="1"/>
        <v>2189.7454061811804</v>
      </c>
      <c r="S25" s="32">
        <f t="shared" si="18"/>
        <v>907.71368655541437</v>
      </c>
      <c r="T25" s="17"/>
      <c r="U25" s="17"/>
      <c r="V25" s="9"/>
      <c r="W25" s="8"/>
      <c r="X25" s="8"/>
      <c r="Y25" s="8"/>
      <c r="Z25" s="8"/>
      <c r="AA25" s="8"/>
      <c r="AB25" s="8"/>
      <c r="AC25" s="8"/>
    </row>
    <row r="26" spans="1:38" s="11" customFormat="1" x14ac:dyDescent="0.2">
      <c r="A26" s="29">
        <v>22</v>
      </c>
      <c r="B26" s="30">
        <f t="shared" si="19"/>
        <v>3376.4965751146292</v>
      </c>
      <c r="C26" s="30">
        <f t="shared" si="20"/>
        <v>2184.0497898785884</v>
      </c>
      <c r="D26" s="30">
        <f t="shared" si="21"/>
        <v>0</v>
      </c>
      <c r="E26" s="30">
        <f t="shared" si="22"/>
        <v>0</v>
      </c>
      <c r="F26" s="30">
        <f t="shared" si="23"/>
        <v>0</v>
      </c>
      <c r="G26" s="30">
        <f t="shared" si="7"/>
        <v>0</v>
      </c>
      <c r="H26" s="30">
        <f t="shared" si="24"/>
        <v>1528.8348529150119</v>
      </c>
      <c r="I26" s="30">
        <f t="shared" si="25"/>
        <v>546.0124474696471</v>
      </c>
      <c r="J26" s="30">
        <f t="shared" si="26"/>
        <v>54.60124474696471</v>
      </c>
      <c r="K26" s="30">
        <f t="shared" si="27"/>
        <v>0</v>
      </c>
      <c r="L26" s="30">
        <f t="shared" si="28"/>
        <v>10.920248949392942</v>
      </c>
      <c r="M26" s="30">
        <f t="shared" si="29"/>
        <v>0</v>
      </c>
      <c r="N26" s="30">
        <f t="shared" si="30"/>
        <v>2140.3687940810164</v>
      </c>
      <c r="O26" s="30">
        <f t="shared" si="14"/>
        <v>-12151.917519363571</v>
      </c>
      <c r="P26" s="31">
        <f t="shared" si="0"/>
        <v>2140.3687940810164</v>
      </c>
      <c r="Q26" s="32">
        <f t="shared" si="16"/>
        <v>-5311.917519363571</v>
      </c>
      <c r="R26" s="31">
        <f t="shared" si="1"/>
        <v>2140.3687940810164</v>
      </c>
      <c r="S26" s="32">
        <f t="shared" si="18"/>
        <v>3048.0824806364308</v>
      </c>
      <c r="T26" s="17"/>
      <c r="U26" s="17"/>
      <c r="V26" s="9"/>
      <c r="W26" s="8"/>
      <c r="X26" s="8"/>
      <c r="Y26" s="8"/>
      <c r="Z26" s="8"/>
      <c r="AA26" s="8"/>
      <c r="AB26" s="8"/>
      <c r="AC26" s="8"/>
    </row>
    <row r="27" spans="1:38" s="11" customFormat="1" x14ac:dyDescent="0.2">
      <c r="A27" s="29">
        <v>23</v>
      </c>
      <c r="B27" s="30">
        <f t="shared" si="19"/>
        <v>3366.3670853892854</v>
      </c>
      <c r="C27" s="30">
        <f t="shared" si="20"/>
        <v>2134.8016083421107</v>
      </c>
      <c r="D27" s="30">
        <f t="shared" si="21"/>
        <v>0</v>
      </c>
      <c r="E27" s="30">
        <f t="shared" si="22"/>
        <v>0</v>
      </c>
      <c r="F27" s="30">
        <f t="shared" si="23"/>
        <v>0</v>
      </c>
      <c r="G27" s="30">
        <f t="shared" si="7"/>
        <v>0</v>
      </c>
      <c r="H27" s="30">
        <f t="shared" si="24"/>
        <v>1494.3611258394774</v>
      </c>
      <c r="I27" s="30">
        <f t="shared" si="25"/>
        <v>533.70040208552768</v>
      </c>
      <c r="J27" s="30">
        <f t="shared" si="26"/>
        <v>53.370040208552773</v>
      </c>
      <c r="K27" s="30">
        <f t="shared" si="27"/>
        <v>0</v>
      </c>
      <c r="L27" s="30">
        <f t="shared" si="28"/>
        <v>10.674008041710554</v>
      </c>
      <c r="M27" s="30">
        <f t="shared" si="29"/>
        <v>0</v>
      </c>
      <c r="N27" s="30">
        <f t="shared" si="30"/>
        <v>2092.1055761752687</v>
      </c>
      <c r="O27" s="30">
        <f t="shared" si="14"/>
        <v>-10059.811943188302</v>
      </c>
      <c r="P27" s="31">
        <f t="shared" si="0"/>
        <v>2092.1055761752687</v>
      </c>
      <c r="Q27" s="32">
        <f t="shared" si="16"/>
        <v>-3219.8119431883024</v>
      </c>
      <c r="R27" s="31">
        <f t="shared" si="1"/>
        <v>2092.1055761752687</v>
      </c>
      <c r="S27" s="32">
        <f t="shared" si="18"/>
        <v>5140.1880568116994</v>
      </c>
      <c r="T27" s="17"/>
      <c r="U27" s="17"/>
      <c r="V27" s="9"/>
      <c r="W27" s="8"/>
      <c r="X27" s="8"/>
      <c r="Y27" s="8"/>
      <c r="Z27" s="8"/>
      <c r="AA27" s="8"/>
      <c r="AB27" s="8"/>
      <c r="AC27" s="8"/>
    </row>
    <row r="28" spans="1:38" s="11" customFormat="1" x14ac:dyDescent="0.2">
      <c r="A28" s="29">
        <v>24</v>
      </c>
      <c r="B28" s="30">
        <f t="shared" si="19"/>
        <v>3356.2679841331178</v>
      </c>
      <c r="C28" s="30">
        <f t="shared" si="20"/>
        <v>2086.6639250167495</v>
      </c>
      <c r="D28" s="30">
        <f t="shared" si="21"/>
        <v>0</v>
      </c>
      <c r="E28" s="30">
        <f t="shared" si="22"/>
        <v>0</v>
      </c>
      <c r="F28" s="30">
        <f t="shared" si="23"/>
        <v>0</v>
      </c>
      <c r="G28" s="30">
        <f t="shared" si="7"/>
        <v>0</v>
      </c>
      <c r="H28" s="30">
        <f t="shared" si="24"/>
        <v>1460.6647475117245</v>
      </c>
      <c r="I28" s="30">
        <f t="shared" si="25"/>
        <v>521.66598125418739</v>
      </c>
      <c r="J28" s="30">
        <f t="shared" si="26"/>
        <v>52.166598125418744</v>
      </c>
      <c r="K28" s="30">
        <f t="shared" si="27"/>
        <v>0</v>
      </c>
      <c r="L28" s="30">
        <f t="shared" si="28"/>
        <v>10.433319625083747</v>
      </c>
      <c r="M28" s="30">
        <f t="shared" si="29"/>
        <v>0</v>
      </c>
      <c r="N28" s="30">
        <f t="shared" si="30"/>
        <v>2044.9306465164141</v>
      </c>
      <c r="O28" s="30">
        <f t="shared" si="14"/>
        <v>-8014.8812966718888</v>
      </c>
      <c r="P28" s="31">
        <f t="shared" si="0"/>
        <v>2044.9306465164141</v>
      </c>
      <c r="Q28" s="32">
        <f t="shared" si="16"/>
        <v>-1174.8812966718883</v>
      </c>
      <c r="R28" s="31">
        <f t="shared" si="1"/>
        <v>2044.9306465164141</v>
      </c>
      <c r="S28" s="32">
        <f t="shared" si="18"/>
        <v>7185.118703328113</v>
      </c>
      <c r="T28" s="17"/>
      <c r="U28" s="17"/>
      <c r="V28" s="9"/>
      <c r="W28" s="8"/>
      <c r="X28" s="8"/>
      <c r="Y28" s="8"/>
      <c r="Z28" s="8"/>
      <c r="AA28" s="8"/>
      <c r="AB28" s="8"/>
      <c r="AC28" s="8"/>
    </row>
    <row r="29" spans="1:38" s="11" customFormat="1" x14ac:dyDescent="0.2">
      <c r="A29" s="29">
        <v>25</v>
      </c>
      <c r="B29" s="30">
        <f t="shared" si="19"/>
        <v>3346.199180180718</v>
      </c>
      <c r="C29" s="30">
        <f t="shared" si="20"/>
        <v>2039.6116992565676</v>
      </c>
      <c r="D29" s="30">
        <f t="shared" si="21"/>
        <v>0</v>
      </c>
      <c r="E29" s="30">
        <f t="shared" si="22"/>
        <v>0</v>
      </c>
      <c r="F29" s="30">
        <f t="shared" si="23"/>
        <v>0</v>
      </c>
      <c r="G29" s="30">
        <f t="shared" si="7"/>
        <v>0</v>
      </c>
      <c r="H29" s="30">
        <f t="shared" si="24"/>
        <v>1427.7281894795972</v>
      </c>
      <c r="I29" s="30">
        <f t="shared" si="25"/>
        <v>509.9029248141419</v>
      </c>
      <c r="J29" s="30">
        <f t="shared" si="26"/>
        <v>50.990292481414194</v>
      </c>
      <c r="K29" s="30">
        <f t="shared" si="27"/>
        <v>0</v>
      </c>
      <c r="L29" s="30">
        <f t="shared" si="28"/>
        <v>10.198058496282838</v>
      </c>
      <c r="M29" s="30">
        <f t="shared" si="29"/>
        <v>0</v>
      </c>
      <c r="N29" s="30">
        <f t="shared" si="30"/>
        <v>1998.819465271436</v>
      </c>
      <c r="O29" s="30">
        <f t="shared" si="14"/>
        <v>-6016.0618314004532</v>
      </c>
      <c r="P29" s="31">
        <f t="shared" si="0"/>
        <v>1998.819465271436</v>
      </c>
      <c r="Q29" s="32">
        <f t="shared" si="16"/>
        <v>823.93816859954768</v>
      </c>
      <c r="R29" s="31">
        <f t="shared" si="1"/>
        <v>1998.819465271436</v>
      </c>
      <c r="S29" s="32">
        <f t="shared" si="18"/>
        <v>9183.9381685995486</v>
      </c>
      <c r="T29" s="17"/>
      <c r="U29" s="17"/>
      <c r="V29" s="9"/>
      <c r="W29" s="8"/>
      <c r="X29" s="8"/>
      <c r="Y29" s="8"/>
      <c r="Z29" s="8"/>
      <c r="AA29" s="8"/>
      <c r="AB29" s="8"/>
      <c r="AC29" s="8"/>
    </row>
    <row r="30" spans="1:38" s="11" customFormat="1" x14ac:dyDescent="0.2">
      <c r="A30" s="29">
        <v>26</v>
      </c>
      <c r="B30" s="30">
        <f t="shared" si="19"/>
        <v>3336.1605826401756</v>
      </c>
      <c r="C30" s="30">
        <f t="shared" si="20"/>
        <v>1993.6204550576447</v>
      </c>
      <c r="D30" s="30">
        <f t="shared" si="21"/>
        <v>0</v>
      </c>
      <c r="E30" s="30">
        <f t="shared" si="22"/>
        <v>0</v>
      </c>
      <c r="F30" s="30">
        <f t="shared" si="23"/>
        <v>0</v>
      </c>
      <c r="G30" s="30">
        <f t="shared" si="7"/>
        <v>0</v>
      </c>
      <c r="H30" s="30">
        <f t="shared" si="24"/>
        <v>1395.5343185403513</v>
      </c>
      <c r="I30" s="30">
        <f t="shared" si="25"/>
        <v>498.40511376441117</v>
      </c>
      <c r="J30" s="30">
        <f t="shared" si="26"/>
        <v>49.840511376441121</v>
      </c>
      <c r="K30" s="30">
        <f t="shared" si="27"/>
        <v>0</v>
      </c>
      <c r="L30" s="30">
        <f t="shared" si="28"/>
        <v>9.9681022752882242</v>
      </c>
      <c r="M30" s="30">
        <f t="shared" si="29"/>
        <v>0</v>
      </c>
      <c r="N30" s="30">
        <f t="shared" si="30"/>
        <v>1953.7480459564918</v>
      </c>
      <c r="O30" s="30">
        <f t="shared" si="14"/>
        <v>-4062.3137854439615</v>
      </c>
      <c r="P30" s="31">
        <f t="shared" si="0"/>
        <v>1953.7480459564918</v>
      </c>
      <c r="Q30" s="32">
        <f t="shared" si="16"/>
        <v>2777.6862145560394</v>
      </c>
      <c r="R30" s="31">
        <f t="shared" si="1"/>
        <v>1953.7480459564918</v>
      </c>
      <c r="S30" s="32">
        <f t="shared" si="18"/>
        <v>11137.686214556041</v>
      </c>
      <c r="T30" s="17"/>
      <c r="U30" s="17"/>
      <c r="V30" s="9"/>
      <c r="W30" s="8"/>
      <c r="X30" s="8"/>
      <c r="Y30" s="8"/>
      <c r="Z30" s="8"/>
      <c r="AA30" s="8"/>
      <c r="AB30" s="8"/>
      <c r="AC30" s="8"/>
      <c r="AD30" s="17"/>
      <c r="AE30" s="17"/>
      <c r="AF30" s="17"/>
      <c r="AG30" s="17"/>
      <c r="AH30" s="17"/>
      <c r="AI30" s="17"/>
      <c r="AJ30" s="17"/>
      <c r="AK30" s="17"/>
      <c r="AL30" s="17"/>
    </row>
    <row r="31" spans="1:38" s="11" customFormat="1" x14ac:dyDescent="0.2">
      <c r="A31" s="29">
        <v>27</v>
      </c>
      <c r="B31" s="30">
        <f t="shared" si="19"/>
        <v>3326.1521008922559</v>
      </c>
      <c r="C31" s="30">
        <f t="shared" si="20"/>
        <v>1948.6662683259535</v>
      </c>
      <c r="D31" s="30">
        <f t="shared" si="21"/>
        <v>0</v>
      </c>
      <c r="E31" s="30">
        <f t="shared" si="22"/>
        <v>0</v>
      </c>
      <c r="F31" s="30">
        <f t="shared" si="23"/>
        <v>0</v>
      </c>
      <c r="G31" s="30">
        <f t="shared" si="7"/>
        <v>0</v>
      </c>
      <c r="H31" s="30">
        <f t="shared" si="24"/>
        <v>1364.0663878281673</v>
      </c>
      <c r="I31" s="30">
        <f t="shared" si="25"/>
        <v>487.16656708148838</v>
      </c>
      <c r="J31" s="30">
        <f t="shared" si="26"/>
        <v>48.71665670814884</v>
      </c>
      <c r="K31" s="30">
        <f t="shared" si="27"/>
        <v>0</v>
      </c>
      <c r="L31" s="30">
        <f t="shared" si="28"/>
        <v>9.7433313416297676</v>
      </c>
      <c r="M31" s="30">
        <f t="shared" si="29"/>
        <v>0</v>
      </c>
      <c r="N31" s="30">
        <f t="shared" si="30"/>
        <v>1909.6929429594343</v>
      </c>
      <c r="O31" s="30">
        <f t="shared" si="14"/>
        <v>-2152.6208424845272</v>
      </c>
      <c r="P31" s="31">
        <f t="shared" si="0"/>
        <v>1909.6929429594343</v>
      </c>
      <c r="Q31" s="32">
        <f t="shared" si="16"/>
        <v>4687.3791575154737</v>
      </c>
      <c r="R31" s="31">
        <f t="shared" si="1"/>
        <v>1909.6929429594343</v>
      </c>
      <c r="S31" s="32">
        <f t="shared" si="18"/>
        <v>13047.379157515476</v>
      </c>
      <c r="T31" s="17"/>
      <c r="U31" s="17"/>
      <c r="V31" s="9"/>
      <c r="W31" s="8"/>
      <c r="X31" s="8"/>
      <c r="Y31" s="8"/>
      <c r="Z31" s="8"/>
      <c r="AA31" s="8"/>
      <c r="AB31" s="8"/>
      <c r="AC31" s="8"/>
      <c r="AD31" s="17"/>
      <c r="AE31" s="17"/>
      <c r="AF31" s="17"/>
      <c r="AG31" s="17"/>
      <c r="AH31" s="17"/>
      <c r="AI31" s="17"/>
      <c r="AJ31" s="17"/>
      <c r="AK31" s="17"/>
      <c r="AL31" s="17"/>
    </row>
    <row r="32" spans="1:38" s="11" customFormat="1" x14ac:dyDescent="0.2">
      <c r="A32" s="29">
        <v>28</v>
      </c>
      <c r="B32" s="30">
        <f t="shared" si="19"/>
        <v>3316.173644589579</v>
      </c>
      <c r="C32" s="30">
        <f t="shared" si="20"/>
        <v>1904.7257544323286</v>
      </c>
      <c r="D32" s="30">
        <f t="shared" si="21"/>
        <v>0</v>
      </c>
      <c r="E32" s="30">
        <f t="shared" si="22"/>
        <v>0</v>
      </c>
      <c r="F32" s="30">
        <f t="shared" si="23"/>
        <v>0</v>
      </c>
      <c r="G32" s="30">
        <f t="shared" si="7"/>
        <v>0</v>
      </c>
      <c r="H32" s="30">
        <f t="shared" si="24"/>
        <v>1333.30802810263</v>
      </c>
      <c r="I32" s="30">
        <f t="shared" si="25"/>
        <v>476.18143860808215</v>
      </c>
      <c r="J32" s="30">
        <f t="shared" si="26"/>
        <v>47.618143860808217</v>
      </c>
      <c r="K32" s="30">
        <f t="shared" si="27"/>
        <v>0</v>
      </c>
      <c r="L32" s="30">
        <f t="shared" si="28"/>
        <v>9.5236287721616435</v>
      </c>
      <c r="M32" s="30">
        <f t="shared" si="29"/>
        <v>0</v>
      </c>
      <c r="N32" s="30">
        <f t="shared" si="30"/>
        <v>1866.631239343682</v>
      </c>
      <c r="O32" s="30">
        <f t="shared" si="14"/>
        <v>-285.98960314084525</v>
      </c>
      <c r="P32" s="31">
        <f t="shared" si="0"/>
        <v>1866.631239343682</v>
      </c>
      <c r="Q32" s="32">
        <f t="shared" si="16"/>
        <v>6554.0103968591557</v>
      </c>
      <c r="R32" s="31">
        <f t="shared" si="1"/>
        <v>1866.631239343682</v>
      </c>
      <c r="S32" s="32">
        <f t="shared" si="18"/>
        <v>14914.010396859157</v>
      </c>
      <c r="T32" s="17"/>
      <c r="U32" s="17"/>
      <c r="V32" s="9"/>
      <c r="W32" s="8"/>
      <c r="X32" s="8"/>
      <c r="Y32" s="8"/>
      <c r="Z32" s="8"/>
      <c r="AA32" s="8"/>
      <c r="AB32" s="8"/>
      <c r="AC32" s="8"/>
      <c r="AD32" s="17"/>
      <c r="AE32" s="17"/>
      <c r="AF32" s="17"/>
      <c r="AG32" s="17"/>
      <c r="AH32" s="17"/>
      <c r="AI32" s="17"/>
      <c r="AJ32" s="17"/>
      <c r="AK32" s="17"/>
      <c r="AL32" s="17"/>
    </row>
    <row r="33" spans="1:38" s="17" customFormat="1" x14ac:dyDescent="0.2">
      <c r="A33" s="29">
        <v>29</v>
      </c>
      <c r="B33" s="30">
        <f t="shared" si="19"/>
        <v>3306.22512365581</v>
      </c>
      <c r="C33" s="30">
        <f t="shared" si="20"/>
        <v>1861.7760560480704</v>
      </c>
      <c r="D33" s="30">
        <f t="shared" si="21"/>
        <v>0</v>
      </c>
      <c r="E33" s="30">
        <f t="shared" si="22"/>
        <v>0</v>
      </c>
      <c r="F33" s="30">
        <f t="shared" si="23"/>
        <v>0</v>
      </c>
      <c r="G33" s="30">
        <f t="shared" si="7"/>
        <v>0</v>
      </c>
      <c r="H33" s="30">
        <f t="shared" si="24"/>
        <v>1303.2432392336491</v>
      </c>
      <c r="I33" s="30">
        <f t="shared" si="25"/>
        <v>465.44401401201759</v>
      </c>
      <c r="J33" s="30">
        <f t="shared" si="26"/>
        <v>46.54440140120176</v>
      </c>
      <c r="K33" s="30">
        <f t="shared" si="27"/>
        <v>0</v>
      </c>
      <c r="L33" s="30">
        <f t="shared" si="28"/>
        <v>9.3088802802403521</v>
      </c>
      <c r="M33" s="30">
        <f t="shared" si="29"/>
        <v>0</v>
      </c>
      <c r="N33" s="30">
        <f t="shared" si="30"/>
        <v>1824.5405349271089</v>
      </c>
      <c r="O33" s="30">
        <f t="shared" si="14"/>
        <v>1538.5509317862636</v>
      </c>
      <c r="P33" s="31">
        <f t="shared" si="0"/>
        <v>1824.5405349271089</v>
      </c>
      <c r="Q33" s="32">
        <f t="shared" si="16"/>
        <v>8378.5509317862652</v>
      </c>
      <c r="R33" s="31">
        <f t="shared" si="1"/>
        <v>1824.5405349271089</v>
      </c>
      <c r="S33" s="32">
        <f t="shared" si="18"/>
        <v>16738.550931786267</v>
      </c>
      <c r="AD33" s="19"/>
      <c r="AF33" s="19"/>
      <c r="AG33" s="19"/>
    </row>
    <row r="34" spans="1:38" s="17" customFormat="1" x14ac:dyDescent="0.2">
      <c r="A34" s="29">
        <v>30</v>
      </c>
      <c r="B34" s="30">
        <f t="shared" si="19"/>
        <v>3296.3064482848426</v>
      </c>
      <c r="C34" s="30">
        <f t="shared" si="20"/>
        <v>1819.7948312548294</v>
      </c>
      <c r="D34" s="30">
        <f t="shared" si="21"/>
        <v>0</v>
      </c>
      <c r="E34" s="30">
        <f t="shared" si="22"/>
        <v>0</v>
      </c>
      <c r="F34" s="30">
        <f t="shared" si="23"/>
        <v>0</v>
      </c>
      <c r="G34" s="30">
        <f t="shared" si="7"/>
        <v>0</v>
      </c>
      <c r="H34" s="30">
        <f t="shared" si="24"/>
        <v>1273.8563818783805</v>
      </c>
      <c r="I34" s="30">
        <f t="shared" si="25"/>
        <v>454.94870781370736</v>
      </c>
      <c r="J34" s="30">
        <f t="shared" si="26"/>
        <v>45.494870781370736</v>
      </c>
      <c r="K34" s="30">
        <f t="shared" si="27"/>
        <v>0</v>
      </c>
      <c r="L34" s="30">
        <f t="shared" si="28"/>
        <v>9.0989741562741475</v>
      </c>
      <c r="M34" s="30">
        <f t="shared" si="29"/>
        <v>0</v>
      </c>
      <c r="N34" s="30">
        <f t="shared" si="30"/>
        <v>1783.3989346297328</v>
      </c>
      <c r="O34" s="30">
        <f t="shared" si="14"/>
        <v>3321.9498664159964</v>
      </c>
      <c r="P34" s="31">
        <f t="shared" si="0"/>
        <v>1783.3989346297328</v>
      </c>
      <c r="Q34" s="32">
        <f t="shared" si="16"/>
        <v>10161.949866415998</v>
      </c>
      <c r="R34" s="31">
        <f t="shared" si="1"/>
        <v>1783.3989346297328</v>
      </c>
      <c r="S34" s="32">
        <f t="shared" si="18"/>
        <v>18521.949866415998</v>
      </c>
      <c r="AD34" s="19"/>
      <c r="AF34" s="19"/>
      <c r="AG34" s="19"/>
    </row>
    <row r="35" spans="1:38" s="17" customFormat="1" x14ac:dyDescent="0.2">
      <c r="A35" s="29">
        <v>31</v>
      </c>
      <c r="B35" s="30">
        <f t="shared" si="19"/>
        <v>0</v>
      </c>
      <c r="C35" s="30">
        <f t="shared" si="20"/>
        <v>0</v>
      </c>
      <c r="D35" s="30">
        <f t="shared" si="21"/>
        <v>0</v>
      </c>
      <c r="E35" s="30">
        <f t="shared" si="22"/>
        <v>0</v>
      </c>
      <c r="F35" s="30">
        <f t="shared" si="23"/>
        <v>0</v>
      </c>
      <c r="G35" s="30">
        <f t="shared" si="7"/>
        <v>0</v>
      </c>
      <c r="H35" s="30">
        <f t="shared" si="24"/>
        <v>0</v>
      </c>
      <c r="I35" s="30">
        <f t="shared" si="25"/>
        <v>0</v>
      </c>
      <c r="J35" s="30">
        <f t="shared" si="26"/>
        <v>0</v>
      </c>
      <c r="K35" s="30">
        <f t="shared" si="27"/>
        <v>0</v>
      </c>
      <c r="L35" s="30">
        <f t="shared" si="28"/>
        <v>0</v>
      </c>
      <c r="M35" s="30">
        <f t="shared" si="29"/>
        <v>0</v>
      </c>
      <c r="N35" s="30">
        <f t="shared" si="30"/>
        <v>0</v>
      </c>
      <c r="O35" s="30">
        <f t="shared" si="14"/>
        <v>0</v>
      </c>
      <c r="P35" s="31">
        <f t="shared" si="0"/>
        <v>0</v>
      </c>
      <c r="Q35" s="32">
        <f t="shared" si="16"/>
        <v>0</v>
      </c>
      <c r="R35" s="31">
        <f t="shared" si="1"/>
        <v>0</v>
      </c>
      <c r="S35" s="32">
        <f t="shared" si="18"/>
        <v>0</v>
      </c>
      <c r="AD35" s="19"/>
      <c r="AF35" s="19"/>
      <c r="AG35" s="19"/>
    </row>
    <row r="36" spans="1:38" s="11" customFormat="1" x14ac:dyDescent="0.2">
      <c r="A36" s="29">
        <v>32</v>
      </c>
      <c r="B36" s="30">
        <f t="shared" si="19"/>
        <v>0</v>
      </c>
      <c r="C36" s="30">
        <f t="shared" si="20"/>
        <v>0</v>
      </c>
      <c r="D36" s="30">
        <f t="shared" si="21"/>
        <v>0</v>
      </c>
      <c r="E36" s="30">
        <f t="shared" si="22"/>
        <v>0</v>
      </c>
      <c r="F36" s="30">
        <f t="shared" si="23"/>
        <v>0</v>
      </c>
      <c r="G36" s="30">
        <f t="shared" si="7"/>
        <v>0</v>
      </c>
      <c r="H36" s="30">
        <f t="shared" si="24"/>
        <v>0</v>
      </c>
      <c r="I36" s="30">
        <f t="shared" si="25"/>
        <v>0</v>
      </c>
      <c r="J36" s="30">
        <f t="shared" si="26"/>
        <v>0</v>
      </c>
      <c r="K36" s="30">
        <f t="shared" si="27"/>
        <v>0</v>
      </c>
      <c r="L36" s="30">
        <f t="shared" si="28"/>
        <v>0</v>
      </c>
      <c r="M36" s="30">
        <f t="shared" si="29"/>
        <v>0</v>
      </c>
      <c r="N36" s="30">
        <f t="shared" si="30"/>
        <v>0</v>
      </c>
      <c r="O36" s="30">
        <f t="shared" si="14"/>
        <v>0</v>
      </c>
      <c r="P36" s="31">
        <f t="shared" si="0"/>
        <v>0</v>
      </c>
      <c r="Q36" s="32">
        <f t="shared" si="16"/>
        <v>0</v>
      </c>
      <c r="R36" s="31">
        <f t="shared" si="1"/>
        <v>0</v>
      </c>
      <c r="S36" s="32">
        <f t="shared" si="18"/>
        <v>0</v>
      </c>
      <c r="T36" s="17"/>
      <c r="U36" s="17"/>
      <c r="V36" s="9"/>
      <c r="W36" s="8"/>
      <c r="X36" s="8"/>
      <c r="Y36" s="8"/>
      <c r="Z36" s="8"/>
      <c r="AA36" s="8"/>
      <c r="AB36" s="8"/>
      <c r="AC36" s="8"/>
      <c r="AD36" s="19"/>
      <c r="AE36" s="17"/>
      <c r="AF36" s="19"/>
      <c r="AG36" s="19"/>
      <c r="AH36" s="17"/>
      <c r="AI36" s="17"/>
      <c r="AJ36" s="17"/>
      <c r="AK36" s="17"/>
      <c r="AL36" s="17"/>
    </row>
    <row r="37" spans="1:38" s="11" customFormat="1" x14ac:dyDescent="0.2">
      <c r="A37" s="29">
        <v>33</v>
      </c>
      <c r="B37" s="30">
        <f t="shared" ref="B37:B54" si="31">IF(A37&lt;=Ekonomisk_livslängd,Installerad_effekt*Tillgänglighet*Utbyte_år1*(1-Årlig_degradering)^(A37-1),0)</f>
        <v>0</v>
      </c>
      <c r="C37" s="30">
        <f t="shared" ref="C37:C54" si="32">B37/(1+Kalkylränta)^A37</f>
        <v>0</v>
      </c>
      <c r="D37" s="30">
        <f t="shared" si="21"/>
        <v>0</v>
      </c>
      <c r="E37" s="30">
        <f t="shared" si="22"/>
        <v>0</v>
      </c>
      <c r="F37" s="30">
        <f t="shared" si="23"/>
        <v>0</v>
      </c>
      <c r="G37" s="30">
        <f t="shared" ref="G37:G54" si="33">IF(A37&lt;=Ekonomisk_livslängd,-(Årlig_fast_driftkostnad+Årlig_rörlig_driftkostnad)/(1+Kalkylränta)^A37,0)</f>
        <v>0</v>
      </c>
      <c r="H37" s="30">
        <f t="shared" ref="H37:H54" si="34">IF(Ekonomisk_livslängd&gt;=A37,C37*Andel_egenanvänd_el*Pris_köpt_el,0)</f>
        <v>0</v>
      </c>
      <c r="I37" s="30">
        <f t="shared" ref="I37:I54" si="35">IF(Ekonomisk_livslängd&gt;=A37,C37*(1-Andel_egenanvänd_el)*Pris_såld_el,0)</f>
        <v>0</v>
      </c>
      <c r="J37" s="30">
        <f t="shared" ref="J37:J54" si="36">IF(Ekonomisk_livslängd&gt;=A37,C37*Ersättning_från_nätägare*(1-Andel_egenanvänd_el),0)</f>
        <v>0</v>
      </c>
      <c r="K37" s="30">
        <f t="shared" ref="K37:K54" si="37">IF(Elcertifikatår&gt;=A37,C37*Andel_elcertifikattilldelning*(1-Kvotplikt_medelvärde)*Elcertifikatvärde,0)</f>
        <v>0</v>
      </c>
      <c r="L37" s="30">
        <f t="shared" ref="L37:L54" si="38">IF(Ekonomisk_livslängd&gt;=A37,C37*Ursprungsgarantier_värde,0)</f>
        <v>0</v>
      </c>
      <c r="M37" s="30">
        <f t="shared" ref="M37:M54" si="39">IF(AND(Ekonomisk_livslängd&gt;=A37,Antal_år_med_skattereduktion&gt;=A37),IF(C37*(1-Andel_egenanvänd_el)*Skattereduktion&gt;Tak_skattereduktion,18000/(1+Kalkylränta)^A37,C37*(1-Andel_egenanvänd_el)*Skattereduktion),0)</f>
        <v>0</v>
      </c>
      <c r="N37" s="30">
        <f t="shared" si="30"/>
        <v>0</v>
      </c>
      <c r="O37" s="30">
        <f t="shared" ref="O37:O54" si="40">IF(A37&lt;=Ekonomisk_livslängd,O36+N37,0)</f>
        <v>0</v>
      </c>
      <c r="P37" s="31">
        <f t="shared" ref="P37:P54" si="41">SUM(E37,G37:M37)</f>
        <v>0</v>
      </c>
      <c r="Q37" s="32">
        <f t="shared" ref="Q37:Q54" si="42">IF(A37&lt;=Ekonomisk_livslängd,Q36+P37,0)</f>
        <v>0</v>
      </c>
      <c r="R37" s="31">
        <f t="shared" ref="R37:R54" si="43">SUM(F37:M37)</f>
        <v>0</v>
      </c>
      <c r="S37" s="32">
        <f t="shared" ref="S37:S54" si="44">IF(A37&lt;=Ekonomisk_livslängd,S36+R37,0)</f>
        <v>0</v>
      </c>
      <c r="T37" s="17"/>
      <c r="U37" s="17"/>
      <c r="V37" s="9"/>
      <c r="W37" s="8"/>
      <c r="X37" s="8"/>
      <c r="Y37" s="8"/>
      <c r="Z37" s="8"/>
      <c r="AA37" s="8"/>
      <c r="AB37" s="8"/>
      <c r="AC37" s="8"/>
    </row>
    <row r="38" spans="1:38" s="11" customFormat="1" x14ac:dyDescent="0.2">
      <c r="A38" s="29">
        <v>34</v>
      </c>
      <c r="B38" s="30">
        <f t="shared" si="31"/>
        <v>0</v>
      </c>
      <c r="C38" s="30">
        <f t="shared" si="32"/>
        <v>0</v>
      </c>
      <c r="D38" s="30">
        <f t="shared" ref="D38:D54" si="45">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E38" s="30">
        <f t="shared" ref="E38:E54" si="46">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F38" s="30">
        <f t="shared" ref="F38:F54" si="47">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G38" s="30">
        <f t="shared" si="33"/>
        <v>0</v>
      </c>
      <c r="H38" s="30">
        <f t="shared" si="34"/>
        <v>0</v>
      </c>
      <c r="I38" s="30">
        <f t="shared" si="35"/>
        <v>0</v>
      </c>
      <c r="J38" s="30">
        <f t="shared" si="36"/>
        <v>0</v>
      </c>
      <c r="K38" s="30">
        <f t="shared" si="37"/>
        <v>0</v>
      </c>
      <c r="L38" s="30">
        <f t="shared" si="38"/>
        <v>0</v>
      </c>
      <c r="M38" s="30">
        <f t="shared" si="39"/>
        <v>0</v>
      </c>
      <c r="N38" s="30">
        <f t="shared" si="30"/>
        <v>0</v>
      </c>
      <c r="O38" s="30">
        <f t="shared" si="40"/>
        <v>0</v>
      </c>
      <c r="P38" s="31">
        <f t="shared" si="41"/>
        <v>0</v>
      </c>
      <c r="Q38" s="32">
        <f t="shared" si="42"/>
        <v>0</v>
      </c>
      <c r="R38" s="31">
        <f t="shared" si="43"/>
        <v>0</v>
      </c>
      <c r="S38" s="32">
        <f t="shared" si="44"/>
        <v>0</v>
      </c>
      <c r="T38" s="17"/>
      <c r="U38" s="17"/>
      <c r="V38" s="17"/>
    </row>
    <row r="39" spans="1:38" s="11" customFormat="1" x14ac:dyDescent="0.2">
      <c r="A39" s="29">
        <v>35</v>
      </c>
      <c r="B39" s="30">
        <f t="shared" si="31"/>
        <v>0</v>
      </c>
      <c r="C39" s="30">
        <f t="shared" si="32"/>
        <v>0</v>
      </c>
      <c r="D39" s="30">
        <f t="shared" si="45"/>
        <v>0</v>
      </c>
      <c r="E39" s="30">
        <f t="shared" si="46"/>
        <v>0</v>
      </c>
      <c r="F39" s="30">
        <f t="shared" si="47"/>
        <v>0</v>
      </c>
      <c r="G39" s="30">
        <f t="shared" si="33"/>
        <v>0</v>
      </c>
      <c r="H39" s="30">
        <f t="shared" si="34"/>
        <v>0</v>
      </c>
      <c r="I39" s="30">
        <f t="shared" si="35"/>
        <v>0</v>
      </c>
      <c r="J39" s="30">
        <f t="shared" si="36"/>
        <v>0</v>
      </c>
      <c r="K39" s="30">
        <f t="shared" si="37"/>
        <v>0</v>
      </c>
      <c r="L39" s="30">
        <f t="shared" si="38"/>
        <v>0</v>
      </c>
      <c r="M39" s="30">
        <f t="shared" si="39"/>
        <v>0</v>
      </c>
      <c r="N39" s="30">
        <f t="shared" si="30"/>
        <v>0</v>
      </c>
      <c r="O39" s="30">
        <f t="shared" si="40"/>
        <v>0</v>
      </c>
      <c r="P39" s="31">
        <f t="shared" si="41"/>
        <v>0</v>
      </c>
      <c r="Q39" s="32">
        <f t="shared" si="42"/>
        <v>0</v>
      </c>
      <c r="R39" s="31">
        <f t="shared" si="43"/>
        <v>0</v>
      </c>
      <c r="S39" s="32">
        <f t="shared" si="44"/>
        <v>0</v>
      </c>
      <c r="T39" s="17"/>
      <c r="U39" s="17"/>
      <c r="V39" s="17"/>
    </row>
    <row r="40" spans="1:38" s="21" customFormat="1" x14ac:dyDescent="0.2">
      <c r="A40" s="29">
        <v>36</v>
      </c>
      <c r="B40" s="30">
        <f t="shared" si="31"/>
        <v>0</v>
      </c>
      <c r="C40" s="30">
        <f t="shared" si="32"/>
        <v>0</v>
      </c>
      <c r="D40" s="30">
        <f t="shared" si="45"/>
        <v>0</v>
      </c>
      <c r="E40" s="30">
        <f t="shared" si="46"/>
        <v>0</v>
      </c>
      <c r="F40" s="30">
        <f t="shared" si="47"/>
        <v>0</v>
      </c>
      <c r="G40" s="30">
        <f t="shared" si="33"/>
        <v>0</v>
      </c>
      <c r="H40" s="30">
        <f t="shared" si="34"/>
        <v>0</v>
      </c>
      <c r="I40" s="30">
        <f t="shared" si="35"/>
        <v>0</v>
      </c>
      <c r="J40" s="30">
        <f t="shared" si="36"/>
        <v>0</v>
      </c>
      <c r="K40" s="30">
        <f t="shared" si="37"/>
        <v>0</v>
      </c>
      <c r="L40" s="30">
        <f t="shared" si="38"/>
        <v>0</v>
      </c>
      <c r="M40" s="30">
        <f t="shared" si="39"/>
        <v>0</v>
      </c>
      <c r="N40" s="30">
        <f t="shared" si="30"/>
        <v>0</v>
      </c>
      <c r="O40" s="30">
        <f t="shared" si="40"/>
        <v>0</v>
      </c>
      <c r="P40" s="31">
        <f t="shared" si="41"/>
        <v>0</v>
      </c>
      <c r="Q40" s="32">
        <f t="shared" si="42"/>
        <v>0</v>
      </c>
      <c r="R40" s="31">
        <f t="shared" si="43"/>
        <v>0</v>
      </c>
      <c r="S40" s="32">
        <f t="shared" si="44"/>
        <v>0</v>
      </c>
      <c r="T40" s="20"/>
      <c r="U40" s="20"/>
      <c r="V40" s="20"/>
    </row>
    <row r="41" spans="1:38" s="21" customFormat="1" x14ac:dyDescent="0.2">
      <c r="A41" s="29">
        <v>37</v>
      </c>
      <c r="B41" s="30">
        <f t="shared" si="31"/>
        <v>0</v>
      </c>
      <c r="C41" s="30">
        <f t="shared" si="32"/>
        <v>0</v>
      </c>
      <c r="D41" s="30">
        <f t="shared" si="45"/>
        <v>0</v>
      </c>
      <c r="E41" s="30">
        <f t="shared" si="46"/>
        <v>0</v>
      </c>
      <c r="F41" s="30">
        <f t="shared" si="47"/>
        <v>0</v>
      </c>
      <c r="G41" s="30">
        <f t="shared" si="33"/>
        <v>0</v>
      </c>
      <c r="H41" s="30">
        <f t="shared" si="34"/>
        <v>0</v>
      </c>
      <c r="I41" s="30">
        <f t="shared" si="35"/>
        <v>0</v>
      </c>
      <c r="J41" s="30">
        <f t="shared" si="36"/>
        <v>0</v>
      </c>
      <c r="K41" s="30">
        <f t="shared" si="37"/>
        <v>0</v>
      </c>
      <c r="L41" s="30">
        <f t="shared" si="38"/>
        <v>0</v>
      </c>
      <c r="M41" s="30">
        <f t="shared" si="39"/>
        <v>0</v>
      </c>
      <c r="N41" s="30">
        <f t="shared" si="30"/>
        <v>0</v>
      </c>
      <c r="O41" s="30">
        <f t="shared" si="40"/>
        <v>0</v>
      </c>
      <c r="P41" s="31">
        <f t="shared" si="41"/>
        <v>0</v>
      </c>
      <c r="Q41" s="32">
        <f t="shared" si="42"/>
        <v>0</v>
      </c>
      <c r="R41" s="31">
        <f t="shared" si="43"/>
        <v>0</v>
      </c>
      <c r="S41" s="32">
        <f t="shared" si="44"/>
        <v>0</v>
      </c>
      <c r="T41" s="20"/>
      <c r="U41" s="20"/>
      <c r="V41" s="20"/>
    </row>
    <row r="42" spans="1:38" s="21" customFormat="1" x14ac:dyDescent="0.2">
      <c r="A42" s="29">
        <v>38</v>
      </c>
      <c r="B42" s="30">
        <f t="shared" si="31"/>
        <v>0</v>
      </c>
      <c r="C42" s="30">
        <f t="shared" si="32"/>
        <v>0</v>
      </c>
      <c r="D42" s="30">
        <f t="shared" si="45"/>
        <v>0</v>
      </c>
      <c r="E42" s="30">
        <f t="shared" si="46"/>
        <v>0</v>
      </c>
      <c r="F42" s="30">
        <f t="shared" si="47"/>
        <v>0</v>
      </c>
      <c r="G42" s="30">
        <f t="shared" si="33"/>
        <v>0</v>
      </c>
      <c r="H42" s="30">
        <f t="shared" si="34"/>
        <v>0</v>
      </c>
      <c r="I42" s="30">
        <f t="shared" si="35"/>
        <v>0</v>
      </c>
      <c r="J42" s="30">
        <f t="shared" si="36"/>
        <v>0</v>
      </c>
      <c r="K42" s="30">
        <f t="shared" si="37"/>
        <v>0</v>
      </c>
      <c r="L42" s="30">
        <f t="shared" si="38"/>
        <v>0</v>
      </c>
      <c r="M42" s="30">
        <f t="shared" si="39"/>
        <v>0</v>
      </c>
      <c r="N42" s="30">
        <f t="shared" si="30"/>
        <v>0</v>
      </c>
      <c r="O42" s="30">
        <f t="shared" si="40"/>
        <v>0</v>
      </c>
      <c r="P42" s="31">
        <f t="shared" si="41"/>
        <v>0</v>
      </c>
      <c r="Q42" s="32">
        <f t="shared" si="42"/>
        <v>0</v>
      </c>
      <c r="R42" s="31">
        <f t="shared" si="43"/>
        <v>0</v>
      </c>
      <c r="S42" s="32">
        <f t="shared" si="44"/>
        <v>0</v>
      </c>
      <c r="T42" s="20"/>
      <c r="U42" s="20"/>
      <c r="V42" s="20"/>
    </row>
    <row r="43" spans="1:38" s="11" customFormat="1" x14ac:dyDescent="0.2">
      <c r="A43" s="29">
        <v>39</v>
      </c>
      <c r="B43" s="30">
        <f t="shared" si="31"/>
        <v>0</v>
      </c>
      <c r="C43" s="30">
        <f t="shared" si="32"/>
        <v>0</v>
      </c>
      <c r="D43" s="30">
        <f t="shared" si="45"/>
        <v>0</v>
      </c>
      <c r="E43" s="30">
        <f t="shared" si="46"/>
        <v>0</v>
      </c>
      <c r="F43" s="30">
        <f t="shared" si="47"/>
        <v>0</v>
      </c>
      <c r="G43" s="30">
        <f t="shared" si="33"/>
        <v>0</v>
      </c>
      <c r="H43" s="30">
        <f t="shared" si="34"/>
        <v>0</v>
      </c>
      <c r="I43" s="30">
        <f t="shared" si="35"/>
        <v>0</v>
      </c>
      <c r="J43" s="30">
        <f t="shared" si="36"/>
        <v>0</v>
      </c>
      <c r="K43" s="30">
        <f t="shared" si="37"/>
        <v>0</v>
      </c>
      <c r="L43" s="30">
        <f t="shared" si="38"/>
        <v>0</v>
      </c>
      <c r="M43" s="30">
        <f t="shared" si="39"/>
        <v>0</v>
      </c>
      <c r="N43" s="30">
        <f t="shared" si="30"/>
        <v>0</v>
      </c>
      <c r="O43" s="30">
        <f t="shared" si="40"/>
        <v>0</v>
      </c>
      <c r="P43" s="31">
        <f t="shared" si="41"/>
        <v>0</v>
      </c>
      <c r="Q43" s="32">
        <f t="shared" si="42"/>
        <v>0</v>
      </c>
      <c r="R43" s="31">
        <f t="shared" si="43"/>
        <v>0</v>
      </c>
      <c r="S43" s="32">
        <f t="shared" si="44"/>
        <v>0</v>
      </c>
      <c r="T43" s="17"/>
      <c r="U43" s="17"/>
      <c r="V43" s="17"/>
    </row>
    <row r="44" spans="1:38" s="11" customFormat="1" x14ac:dyDescent="0.2">
      <c r="A44" s="29">
        <v>40</v>
      </c>
      <c r="B44" s="30">
        <f t="shared" si="31"/>
        <v>0</v>
      </c>
      <c r="C44" s="30">
        <f t="shared" si="32"/>
        <v>0</v>
      </c>
      <c r="D44" s="30">
        <f t="shared" si="45"/>
        <v>0</v>
      </c>
      <c r="E44" s="30">
        <f t="shared" si="46"/>
        <v>0</v>
      </c>
      <c r="F44" s="30">
        <f t="shared" si="47"/>
        <v>0</v>
      </c>
      <c r="G44" s="30">
        <f t="shared" si="33"/>
        <v>0</v>
      </c>
      <c r="H44" s="30">
        <f t="shared" si="34"/>
        <v>0</v>
      </c>
      <c r="I44" s="30">
        <f t="shared" si="35"/>
        <v>0</v>
      </c>
      <c r="J44" s="30">
        <f t="shared" si="36"/>
        <v>0</v>
      </c>
      <c r="K44" s="30">
        <f t="shared" si="37"/>
        <v>0</v>
      </c>
      <c r="L44" s="30">
        <f t="shared" si="38"/>
        <v>0</v>
      </c>
      <c r="M44" s="30">
        <f t="shared" si="39"/>
        <v>0</v>
      </c>
      <c r="N44" s="30">
        <f t="shared" si="30"/>
        <v>0</v>
      </c>
      <c r="O44" s="30">
        <f t="shared" si="40"/>
        <v>0</v>
      </c>
      <c r="P44" s="31">
        <f t="shared" si="41"/>
        <v>0</v>
      </c>
      <c r="Q44" s="32">
        <f t="shared" si="42"/>
        <v>0</v>
      </c>
      <c r="R44" s="31">
        <f t="shared" si="43"/>
        <v>0</v>
      </c>
      <c r="S44" s="32">
        <f t="shared" si="44"/>
        <v>0</v>
      </c>
      <c r="T44" s="17"/>
      <c r="U44" s="17"/>
      <c r="V44" s="17"/>
    </row>
    <row r="45" spans="1:38" s="11" customFormat="1" x14ac:dyDescent="0.2">
      <c r="A45" s="29">
        <v>41</v>
      </c>
      <c r="B45" s="30">
        <f t="shared" si="31"/>
        <v>0</v>
      </c>
      <c r="C45" s="30">
        <f t="shared" si="32"/>
        <v>0</v>
      </c>
      <c r="D45" s="30">
        <f t="shared" si="45"/>
        <v>0</v>
      </c>
      <c r="E45" s="30">
        <f t="shared" si="46"/>
        <v>0</v>
      </c>
      <c r="F45" s="30">
        <f t="shared" si="47"/>
        <v>0</v>
      </c>
      <c r="G45" s="30">
        <f t="shared" si="33"/>
        <v>0</v>
      </c>
      <c r="H45" s="30">
        <f t="shared" si="34"/>
        <v>0</v>
      </c>
      <c r="I45" s="30">
        <f t="shared" si="35"/>
        <v>0</v>
      </c>
      <c r="J45" s="30">
        <f t="shared" si="36"/>
        <v>0</v>
      </c>
      <c r="K45" s="30">
        <f t="shared" si="37"/>
        <v>0</v>
      </c>
      <c r="L45" s="30">
        <f t="shared" si="38"/>
        <v>0</v>
      </c>
      <c r="M45" s="30">
        <f t="shared" si="39"/>
        <v>0</v>
      </c>
      <c r="N45" s="30">
        <f t="shared" si="30"/>
        <v>0</v>
      </c>
      <c r="O45" s="30">
        <f t="shared" si="40"/>
        <v>0</v>
      </c>
      <c r="P45" s="31">
        <f t="shared" si="41"/>
        <v>0</v>
      </c>
      <c r="Q45" s="32">
        <f t="shared" si="42"/>
        <v>0</v>
      </c>
      <c r="R45" s="31">
        <f t="shared" si="43"/>
        <v>0</v>
      </c>
      <c r="S45" s="32">
        <f t="shared" si="44"/>
        <v>0</v>
      </c>
      <c r="T45" s="17"/>
      <c r="U45" s="17"/>
      <c r="V45" s="17"/>
    </row>
    <row r="46" spans="1:38" s="11" customFormat="1" x14ac:dyDescent="0.2">
      <c r="A46" s="29">
        <v>42</v>
      </c>
      <c r="B46" s="30">
        <f t="shared" si="31"/>
        <v>0</v>
      </c>
      <c r="C46" s="30">
        <f t="shared" si="32"/>
        <v>0</v>
      </c>
      <c r="D46" s="30">
        <f t="shared" si="45"/>
        <v>0</v>
      </c>
      <c r="E46" s="30">
        <f t="shared" si="46"/>
        <v>0</v>
      </c>
      <c r="F46" s="30">
        <f t="shared" si="47"/>
        <v>0</v>
      </c>
      <c r="G46" s="30">
        <f t="shared" si="33"/>
        <v>0</v>
      </c>
      <c r="H46" s="30">
        <f t="shared" si="34"/>
        <v>0</v>
      </c>
      <c r="I46" s="30">
        <f t="shared" si="35"/>
        <v>0</v>
      </c>
      <c r="J46" s="30">
        <f t="shared" si="36"/>
        <v>0</v>
      </c>
      <c r="K46" s="30">
        <f t="shared" si="37"/>
        <v>0</v>
      </c>
      <c r="L46" s="30">
        <f t="shared" si="38"/>
        <v>0</v>
      </c>
      <c r="M46" s="30">
        <f t="shared" si="39"/>
        <v>0</v>
      </c>
      <c r="N46" s="30">
        <f t="shared" si="30"/>
        <v>0</v>
      </c>
      <c r="O46" s="30">
        <f t="shared" si="40"/>
        <v>0</v>
      </c>
      <c r="P46" s="31">
        <f t="shared" si="41"/>
        <v>0</v>
      </c>
      <c r="Q46" s="32">
        <f t="shared" si="42"/>
        <v>0</v>
      </c>
      <c r="R46" s="31">
        <f t="shared" si="43"/>
        <v>0</v>
      </c>
      <c r="S46" s="32">
        <f t="shared" si="44"/>
        <v>0</v>
      </c>
      <c r="T46" s="17"/>
      <c r="U46" s="17"/>
      <c r="V46" s="17"/>
    </row>
    <row r="47" spans="1:38" s="11" customFormat="1" x14ac:dyDescent="0.2">
      <c r="A47" s="29">
        <v>43</v>
      </c>
      <c r="B47" s="30">
        <f t="shared" si="31"/>
        <v>0</v>
      </c>
      <c r="C47" s="30">
        <f t="shared" si="32"/>
        <v>0</v>
      </c>
      <c r="D47" s="30">
        <f t="shared" si="45"/>
        <v>0</v>
      </c>
      <c r="E47" s="30">
        <f t="shared" si="46"/>
        <v>0</v>
      </c>
      <c r="F47" s="30">
        <f t="shared" si="47"/>
        <v>0</v>
      </c>
      <c r="G47" s="30">
        <f t="shared" si="33"/>
        <v>0</v>
      </c>
      <c r="H47" s="30">
        <f t="shared" si="34"/>
        <v>0</v>
      </c>
      <c r="I47" s="30">
        <f t="shared" si="35"/>
        <v>0</v>
      </c>
      <c r="J47" s="30">
        <f t="shared" si="36"/>
        <v>0</v>
      </c>
      <c r="K47" s="30">
        <f t="shared" si="37"/>
        <v>0</v>
      </c>
      <c r="L47" s="30">
        <f t="shared" si="38"/>
        <v>0</v>
      </c>
      <c r="M47" s="30">
        <f t="shared" si="39"/>
        <v>0</v>
      </c>
      <c r="N47" s="30">
        <f t="shared" si="30"/>
        <v>0</v>
      </c>
      <c r="O47" s="30">
        <f t="shared" si="40"/>
        <v>0</v>
      </c>
      <c r="P47" s="31">
        <f t="shared" si="41"/>
        <v>0</v>
      </c>
      <c r="Q47" s="32">
        <f t="shared" si="42"/>
        <v>0</v>
      </c>
      <c r="R47" s="31">
        <f t="shared" si="43"/>
        <v>0</v>
      </c>
      <c r="S47" s="32">
        <f t="shared" si="44"/>
        <v>0</v>
      </c>
      <c r="T47" s="17"/>
      <c r="U47" s="17"/>
      <c r="V47" s="17"/>
    </row>
    <row r="48" spans="1:38" s="11" customFormat="1" x14ac:dyDescent="0.2">
      <c r="A48" s="29">
        <v>44</v>
      </c>
      <c r="B48" s="30">
        <f t="shared" si="31"/>
        <v>0</v>
      </c>
      <c r="C48" s="30">
        <f t="shared" si="32"/>
        <v>0</v>
      </c>
      <c r="D48" s="30">
        <f t="shared" si="45"/>
        <v>0</v>
      </c>
      <c r="E48" s="30">
        <f t="shared" si="46"/>
        <v>0</v>
      </c>
      <c r="F48" s="30">
        <f t="shared" si="47"/>
        <v>0</v>
      </c>
      <c r="G48" s="30">
        <f t="shared" si="33"/>
        <v>0</v>
      </c>
      <c r="H48" s="30">
        <f t="shared" si="34"/>
        <v>0</v>
      </c>
      <c r="I48" s="30">
        <f t="shared" si="35"/>
        <v>0</v>
      </c>
      <c r="J48" s="30">
        <f t="shared" si="36"/>
        <v>0</v>
      </c>
      <c r="K48" s="30">
        <f t="shared" si="37"/>
        <v>0</v>
      </c>
      <c r="L48" s="30">
        <f t="shared" si="38"/>
        <v>0</v>
      </c>
      <c r="M48" s="30">
        <f t="shared" si="39"/>
        <v>0</v>
      </c>
      <c r="N48" s="30">
        <f t="shared" si="30"/>
        <v>0</v>
      </c>
      <c r="O48" s="30">
        <f t="shared" si="40"/>
        <v>0</v>
      </c>
      <c r="P48" s="31">
        <f t="shared" si="41"/>
        <v>0</v>
      </c>
      <c r="Q48" s="32">
        <f t="shared" si="42"/>
        <v>0</v>
      </c>
      <c r="R48" s="31">
        <f t="shared" si="43"/>
        <v>0</v>
      </c>
      <c r="S48" s="32">
        <f t="shared" si="44"/>
        <v>0</v>
      </c>
      <c r="T48" s="17"/>
      <c r="U48" s="17"/>
      <c r="V48" s="17"/>
    </row>
    <row r="49" spans="1:38" s="11" customFormat="1" x14ac:dyDescent="0.2">
      <c r="A49" s="29">
        <v>45</v>
      </c>
      <c r="B49" s="30">
        <f t="shared" si="31"/>
        <v>0</v>
      </c>
      <c r="C49" s="30">
        <f t="shared" si="32"/>
        <v>0</v>
      </c>
      <c r="D49" s="30">
        <f t="shared" si="45"/>
        <v>0</v>
      </c>
      <c r="E49" s="30">
        <f t="shared" si="46"/>
        <v>0</v>
      </c>
      <c r="F49" s="30">
        <f t="shared" si="47"/>
        <v>0</v>
      </c>
      <c r="G49" s="30">
        <f t="shared" si="33"/>
        <v>0</v>
      </c>
      <c r="H49" s="30">
        <f t="shared" si="34"/>
        <v>0</v>
      </c>
      <c r="I49" s="30">
        <f t="shared" si="35"/>
        <v>0</v>
      </c>
      <c r="J49" s="30">
        <f t="shared" si="36"/>
        <v>0</v>
      </c>
      <c r="K49" s="30">
        <f t="shared" si="37"/>
        <v>0</v>
      </c>
      <c r="L49" s="30">
        <f t="shared" si="38"/>
        <v>0</v>
      </c>
      <c r="M49" s="30">
        <f t="shared" si="39"/>
        <v>0</v>
      </c>
      <c r="N49" s="30">
        <f t="shared" si="30"/>
        <v>0</v>
      </c>
      <c r="O49" s="30">
        <f t="shared" si="40"/>
        <v>0</v>
      </c>
      <c r="P49" s="31">
        <f t="shared" si="41"/>
        <v>0</v>
      </c>
      <c r="Q49" s="32">
        <f t="shared" si="42"/>
        <v>0</v>
      </c>
      <c r="R49" s="31">
        <f t="shared" si="43"/>
        <v>0</v>
      </c>
      <c r="S49" s="32">
        <f t="shared" si="44"/>
        <v>0</v>
      </c>
      <c r="T49" s="17"/>
      <c r="U49" s="17"/>
      <c r="V49" s="17"/>
    </row>
    <row r="50" spans="1:38" s="11" customFormat="1" x14ac:dyDescent="0.2">
      <c r="A50" s="29">
        <v>46</v>
      </c>
      <c r="B50" s="30">
        <f t="shared" si="31"/>
        <v>0</v>
      </c>
      <c r="C50" s="30">
        <f t="shared" si="32"/>
        <v>0</v>
      </c>
      <c r="D50" s="30">
        <f t="shared" si="45"/>
        <v>0</v>
      </c>
      <c r="E50" s="30">
        <f t="shared" si="46"/>
        <v>0</v>
      </c>
      <c r="F50" s="30">
        <f t="shared" si="47"/>
        <v>0</v>
      </c>
      <c r="G50" s="30">
        <f t="shared" si="33"/>
        <v>0</v>
      </c>
      <c r="H50" s="30">
        <f t="shared" si="34"/>
        <v>0</v>
      </c>
      <c r="I50" s="30">
        <f t="shared" si="35"/>
        <v>0</v>
      </c>
      <c r="J50" s="30">
        <f t="shared" si="36"/>
        <v>0</v>
      </c>
      <c r="K50" s="30">
        <f t="shared" si="37"/>
        <v>0</v>
      </c>
      <c r="L50" s="30">
        <f t="shared" si="38"/>
        <v>0</v>
      </c>
      <c r="M50" s="30">
        <f t="shared" si="39"/>
        <v>0</v>
      </c>
      <c r="N50" s="30">
        <f t="shared" si="30"/>
        <v>0</v>
      </c>
      <c r="O50" s="30">
        <f t="shared" si="40"/>
        <v>0</v>
      </c>
      <c r="P50" s="31">
        <f t="shared" si="41"/>
        <v>0</v>
      </c>
      <c r="Q50" s="32">
        <f t="shared" si="42"/>
        <v>0</v>
      </c>
      <c r="R50" s="31">
        <f t="shared" si="43"/>
        <v>0</v>
      </c>
      <c r="S50" s="32">
        <f t="shared" si="44"/>
        <v>0</v>
      </c>
      <c r="T50" s="17"/>
      <c r="U50" s="17"/>
      <c r="V50" s="17"/>
    </row>
    <row r="51" spans="1:38" s="11" customFormat="1" x14ac:dyDescent="0.2">
      <c r="A51" s="29">
        <v>47</v>
      </c>
      <c r="B51" s="30">
        <f t="shared" si="31"/>
        <v>0</v>
      </c>
      <c r="C51" s="30">
        <f t="shared" si="32"/>
        <v>0</v>
      </c>
      <c r="D51" s="30">
        <f t="shared" si="45"/>
        <v>0</v>
      </c>
      <c r="E51" s="30">
        <f t="shared" si="46"/>
        <v>0</v>
      </c>
      <c r="F51" s="30">
        <f t="shared" si="47"/>
        <v>0</v>
      </c>
      <c r="G51" s="30">
        <f t="shared" si="33"/>
        <v>0</v>
      </c>
      <c r="H51" s="30">
        <f t="shared" si="34"/>
        <v>0</v>
      </c>
      <c r="I51" s="30">
        <f t="shared" si="35"/>
        <v>0</v>
      </c>
      <c r="J51" s="30">
        <f t="shared" si="36"/>
        <v>0</v>
      </c>
      <c r="K51" s="30">
        <f t="shared" si="37"/>
        <v>0</v>
      </c>
      <c r="L51" s="30">
        <f t="shared" si="38"/>
        <v>0</v>
      </c>
      <c r="M51" s="30">
        <f t="shared" si="39"/>
        <v>0</v>
      </c>
      <c r="N51" s="30">
        <f t="shared" si="30"/>
        <v>0</v>
      </c>
      <c r="O51" s="30">
        <f t="shared" si="40"/>
        <v>0</v>
      </c>
      <c r="P51" s="31">
        <f t="shared" si="41"/>
        <v>0</v>
      </c>
      <c r="Q51" s="32">
        <f t="shared" si="42"/>
        <v>0</v>
      </c>
      <c r="R51" s="31">
        <f t="shared" si="43"/>
        <v>0</v>
      </c>
      <c r="S51" s="32">
        <f t="shared" si="44"/>
        <v>0</v>
      </c>
      <c r="T51" s="17"/>
      <c r="U51" s="17"/>
      <c r="V51" s="17"/>
      <c r="AD51" s="19"/>
      <c r="AE51" s="17"/>
      <c r="AF51" s="19"/>
      <c r="AG51" s="19"/>
      <c r="AH51" s="17"/>
      <c r="AI51" s="17"/>
      <c r="AJ51" s="17"/>
      <c r="AK51" s="17"/>
      <c r="AL51" s="17"/>
    </row>
    <row r="52" spans="1:38" s="11" customFormat="1" x14ac:dyDescent="0.2">
      <c r="A52" s="29">
        <v>48</v>
      </c>
      <c r="B52" s="30">
        <f t="shared" si="31"/>
        <v>0</v>
      </c>
      <c r="C52" s="30">
        <f t="shared" si="32"/>
        <v>0</v>
      </c>
      <c r="D52" s="30">
        <f t="shared" si="45"/>
        <v>0</v>
      </c>
      <c r="E52" s="30">
        <f t="shared" si="46"/>
        <v>0</v>
      </c>
      <c r="F52" s="30">
        <f t="shared" si="47"/>
        <v>0</v>
      </c>
      <c r="G52" s="30">
        <f t="shared" si="33"/>
        <v>0</v>
      </c>
      <c r="H52" s="30">
        <f t="shared" si="34"/>
        <v>0</v>
      </c>
      <c r="I52" s="30">
        <f t="shared" si="35"/>
        <v>0</v>
      </c>
      <c r="J52" s="30">
        <f t="shared" si="36"/>
        <v>0</v>
      </c>
      <c r="K52" s="30">
        <f t="shared" si="37"/>
        <v>0</v>
      </c>
      <c r="L52" s="30">
        <f t="shared" si="38"/>
        <v>0</v>
      </c>
      <c r="M52" s="30">
        <f t="shared" si="39"/>
        <v>0</v>
      </c>
      <c r="N52" s="30">
        <f t="shared" si="30"/>
        <v>0</v>
      </c>
      <c r="O52" s="30">
        <f t="shared" si="40"/>
        <v>0</v>
      </c>
      <c r="P52" s="31">
        <f t="shared" si="41"/>
        <v>0</v>
      </c>
      <c r="Q52" s="32">
        <f t="shared" si="42"/>
        <v>0</v>
      </c>
      <c r="R52" s="31">
        <f t="shared" si="43"/>
        <v>0</v>
      </c>
      <c r="S52" s="32">
        <f t="shared" si="44"/>
        <v>0</v>
      </c>
      <c r="T52" s="17"/>
      <c r="U52" s="17"/>
      <c r="V52" s="17"/>
      <c r="AD52" s="19"/>
      <c r="AE52" s="17"/>
      <c r="AF52" s="19"/>
      <c r="AG52" s="19"/>
      <c r="AH52" s="17"/>
      <c r="AI52" s="17"/>
      <c r="AJ52" s="17"/>
      <c r="AK52" s="17"/>
      <c r="AL52" s="17"/>
    </row>
    <row r="53" spans="1:38" s="11" customFormat="1" x14ac:dyDescent="0.2">
      <c r="A53" s="29">
        <v>49</v>
      </c>
      <c r="B53" s="30">
        <f t="shared" si="31"/>
        <v>0</v>
      </c>
      <c r="C53" s="30">
        <f t="shared" si="32"/>
        <v>0</v>
      </c>
      <c r="D53" s="30">
        <f t="shared" si="45"/>
        <v>0</v>
      </c>
      <c r="E53" s="30">
        <f t="shared" si="46"/>
        <v>0</v>
      </c>
      <c r="F53" s="30">
        <f t="shared" si="47"/>
        <v>0</v>
      </c>
      <c r="G53" s="30">
        <f t="shared" si="33"/>
        <v>0</v>
      </c>
      <c r="H53" s="30">
        <f t="shared" si="34"/>
        <v>0</v>
      </c>
      <c r="I53" s="30">
        <f t="shared" si="35"/>
        <v>0</v>
      </c>
      <c r="J53" s="30">
        <f t="shared" si="36"/>
        <v>0</v>
      </c>
      <c r="K53" s="30">
        <f t="shared" si="37"/>
        <v>0</v>
      </c>
      <c r="L53" s="30">
        <f t="shared" si="38"/>
        <v>0</v>
      </c>
      <c r="M53" s="30">
        <f t="shared" si="39"/>
        <v>0</v>
      </c>
      <c r="N53" s="30">
        <f t="shared" si="30"/>
        <v>0</v>
      </c>
      <c r="O53" s="30">
        <f t="shared" si="40"/>
        <v>0</v>
      </c>
      <c r="P53" s="31">
        <f t="shared" si="41"/>
        <v>0</v>
      </c>
      <c r="Q53" s="32">
        <f t="shared" si="42"/>
        <v>0</v>
      </c>
      <c r="R53" s="31">
        <f t="shared" si="43"/>
        <v>0</v>
      </c>
      <c r="S53" s="32">
        <f t="shared" si="44"/>
        <v>0</v>
      </c>
      <c r="T53" s="17"/>
      <c r="U53" s="17"/>
      <c r="V53" s="17"/>
      <c r="AD53" s="19"/>
      <c r="AE53" s="17"/>
      <c r="AF53" s="19"/>
      <c r="AG53" s="19"/>
      <c r="AH53" s="17"/>
      <c r="AI53" s="17"/>
      <c r="AJ53" s="17"/>
      <c r="AK53" s="17"/>
      <c r="AL53" s="17"/>
    </row>
    <row r="54" spans="1:38" s="11" customFormat="1" x14ac:dyDescent="0.2">
      <c r="A54" s="29">
        <v>50</v>
      </c>
      <c r="B54" s="30">
        <f t="shared" si="31"/>
        <v>0</v>
      </c>
      <c r="C54" s="30">
        <f t="shared" si="32"/>
        <v>0</v>
      </c>
      <c r="D54" s="30">
        <f t="shared" si="45"/>
        <v>0</v>
      </c>
      <c r="E54" s="30">
        <f t="shared" si="46"/>
        <v>0</v>
      </c>
      <c r="F54" s="30">
        <f t="shared" si="47"/>
        <v>0</v>
      </c>
      <c r="G54" s="30">
        <f t="shared" si="33"/>
        <v>0</v>
      </c>
      <c r="H54" s="30">
        <f t="shared" si="34"/>
        <v>0</v>
      </c>
      <c r="I54" s="30">
        <f t="shared" si="35"/>
        <v>0</v>
      </c>
      <c r="J54" s="30">
        <f t="shared" si="36"/>
        <v>0</v>
      </c>
      <c r="K54" s="30">
        <f t="shared" si="37"/>
        <v>0</v>
      </c>
      <c r="L54" s="30">
        <f t="shared" si="38"/>
        <v>0</v>
      </c>
      <c r="M54" s="30">
        <f t="shared" si="39"/>
        <v>0</v>
      </c>
      <c r="N54" s="30">
        <f t="shared" si="30"/>
        <v>0</v>
      </c>
      <c r="O54" s="30">
        <f t="shared" si="40"/>
        <v>0</v>
      </c>
      <c r="P54" s="31">
        <f t="shared" si="41"/>
        <v>0</v>
      </c>
      <c r="Q54" s="32">
        <f t="shared" si="42"/>
        <v>0</v>
      </c>
      <c r="R54" s="31">
        <f t="shared" si="43"/>
        <v>0</v>
      </c>
      <c r="S54" s="32">
        <f t="shared" si="44"/>
        <v>0</v>
      </c>
      <c r="T54" s="17"/>
      <c r="U54" s="17"/>
      <c r="V54" s="17"/>
      <c r="AD54" s="19"/>
      <c r="AE54" s="17"/>
      <c r="AF54" s="19"/>
      <c r="AG54" s="19"/>
      <c r="AH54" s="17"/>
      <c r="AI54" s="17"/>
      <c r="AJ54" s="17"/>
      <c r="AK54" s="17"/>
      <c r="AL54" s="17"/>
    </row>
    <row r="55" spans="1:38" s="38" customFormat="1" x14ac:dyDescent="0.2">
      <c r="A55" s="34" t="s">
        <v>43</v>
      </c>
      <c r="B55" s="28">
        <f t="shared" ref="B55:R55" si="48">SUM(B4:B54)</f>
        <v>103327.49035333761</v>
      </c>
      <c r="C55" s="28">
        <f t="shared" si="48"/>
        <v>77481.06753212765</v>
      </c>
      <c r="D55" s="35">
        <f t="shared" si="48"/>
        <v>-89145.220949827795</v>
      </c>
      <c r="E55" s="35">
        <f t="shared" si="48"/>
        <v>-82305.220949827795</v>
      </c>
      <c r="F55" s="35">
        <f t="shared" si="48"/>
        <v>-73945.220949827795</v>
      </c>
      <c r="G55" s="35">
        <f t="shared" si="48"/>
        <v>0</v>
      </c>
      <c r="H55" s="35">
        <f t="shared" si="48"/>
        <v>54236.747272489367</v>
      </c>
      <c r="I55" s="35">
        <f t="shared" si="48"/>
        <v>19370.266883031913</v>
      </c>
      <c r="J55" s="35">
        <f t="shared" si="48"/>
        <v>1937.0266883031916</v>
      </c>
      <c r="K55" s="35">
        <f t="shared" si="48"/>
        <v>2944.7180856419563</v>
      </c>
      <c r="L55" s="35">
        <f t="shared" si="48"/>
        <v>387.40533766063845</v>
      </c>
      <c r="M55" s="35">
        <f t="shared" si="48"/>
        <v>13591.006549116721</v>
      </c>
      <c r="N55" s="35">
        <f t="shared" si="48"/>
        <v>3321.9498664159964</v>
      </c>
      <c r="O55" s="35"/>
      <c r="P55" s="35">
        <f t="shared" si="48"/>
        <v>10161.949866415998</v>
      </c>
      <c r="Q55" s="36"/>
      <c r="R55" s="35">
        <f t="shared" si="48"/>
        <v>18521.949866415998</v>
      </c>
      <c r="S55" s="36"/>
      <c r="T55" s="37"/>
      <c r="U55" s="37"/>
      <c r="V55" s="37"/>
      <c r="AD55" s="39"/>
      <c r="AE55" s="37"/>
      <c r="AF55" s="39"/>
      <c r="AG55" s="39"/>
      <c r="AH55" s="37"/>
      <c r="AI55" s="37"/>
      <c r="AJ55" s="37"/>
      <c r="AK55" s="37"/>
      <c r="AL55" s="37"/>
    </row>
    <row r="56" spans="1:38" x14ac:dyDescent="0.2">
      <c r="B56" s="14"/>
      <c r="C56" s="14"/>
      <c r="D56" s="22"/>
      <c r="E56" s="14"/>
      <c r="F56" s="14"/>
      <c r="G56" s="14"/>
      <c r="H56" s="14"/>
      <c r="I56" s="14"/>
      <c r="J56" s="14"/>
      <c r="K56" s="14"/>
      <c r="L56" s="16"/>
      <c r="M56" s="16"/>
      <c r="N56" s="16"/>
      <c r="O56" s="16"/>
      <c r="P56" s="13"/>
      <c r="Q56" s="3"/>
      <c r="R56" s="13"/>
      <c r="S56" s="3"/>
      <c r="W56" s="1"/>
      <c r="X56" s="1"/>
      <c r="Y56" s="1"/>
      <c r="Z56" s="1"/>
      <c r="AA56" s="1"/>
      <c r="AB56" s="1"/>
      <c r="AC56" s="1"/>
      <c r="AD56" s="6"/>
      <c r="AE56" s="3"/>
      <c r="AF56" s="6"/>
      <c r="AG56" s="5"/>
      <c r="AH56" s="3"/>
      <c r="AI56" s="3"/>
      <c r="AJ56" s="3"/>
      <c r="AK56" s="3"/>
      <c r="AL56" s="3"/>
    </row>
    <row r="57" spans="1:38" ht="18" x14ac:dyDescent="0.2">
      <c r="A57" s="10"/>
      <c r="B57" s="179" t="s">
        <v>58</v>
      </c>
      <c r="C57" s="179"/>
      <c r="D57" s="180" t="s">
        <v>267</v>
      </c>
      <c r="E57" s="180"/>
      <c r="F57" s="180"/>
      <c r="G57" s="180"/>
      <c r="H57" s="181" t="s">
        <v>268</v>
      </c>
      <c r="I57" s="181"/>
      <c r="J57" s="181"/>
      <c r="K57" s="181"/>
      <c r="L57" s="181"/>
      <c r="M57" s="181"/>
      <c r="N57" s="182" t="s">
        <v>266</v>
      </c>
      <c r="O57" s="182"/>
      <c r="P57" s="182"/>
      <c r="Q57" s="182"/>
      <c r="R57" s="182"/>
      <c r="S57" s="182"/>
      <c r="W57" s="1"/>
      <c r="X57" s="1"/>
      <c r="Y57" s="1"/>
      <c r="Z57" s="1"/>
      <c r="AA57" s="1"/>
      <c r="AB57" s="1"/>
      <c r="AC57" s="1"/>
      <c r="AD57" s="6"/>
      <c r="AE57" s="3"/>
      <c r="AF57" s="6"/>
      <c r="AG57" s="5"/>
      <c r="AH57" s="3"/>
    </row>
    <row r="58" spans="1:38" ht="15.75" x14ac:dyDescent="0.2">
      <c r="A58" s="25"/>
      <c r="B58" s="26"/>
      <c r="C58" s="14"/>
      <c r="D58" s="172" t="s">
        <v>53</v>
      </c>
      <c r="E58" s="172" t="s">
        <v>17</v>
      </c>
      <c r="F58" s="172" t="s">
        <v>11</v>
      </c>
      <c r="G58" s="26"/>
      <c r="H58" s="26"/>
      <c r="I58" s="26"/>
      <c r="J58" s="26"/>
      <c r="K58" s="26"/>
      <c r="L58" s="26"/>
      <c r="M58" s="26"/>
      <c r="N58" s="183" t="s">
        <v>53</v>
      </c>
      <c r="O58" s="183"/>
      <c r="P58" s="178" t="s">
        <v>17</v>
      </c>
      <c r="Q58" s="178"/>
      <c r="R58" s="178" t="s">
        <v>11</v>
      </c>
      <c r="S58" s="178"/>
      <c r="W58" s="1"/>
      <c r="X58" s="1"/>
      <c r="Y58" s="1"/>
      <c r="Z58" s="1"/>
      <c r="AA58" s="1"/>
      <c r="AB58" s="1"/>
      <c r="AC58" s="1"/>
      <c r="AD58" s="6"/>
      <c r="AE58" s="3"/>
      <c r="AF58" s="6"/>
      <c r="AG58" s="5"/>
      <c r="AH58" s="3"/>
      <c r="AI58" s="3"/>
      <c r="AJ58" s="3"/>
      <c r="AK58" s="3"/>
      <c r="AL58" s="3"/>
    </row>
    <row r="59" spans="1:38" x14ac:dyDescent="0.2">
      <c r="A59" s="152" t="s">
        <v>18</v>
      </c>
      <c r="B59" s="28" t="s">
        <v>62</v>
      </c>
      <c r="C59" s="14"/>
      <c r="D59" s="28" t="s">
        <v>19</v>
      </c>
      <c r="E59" s="28" t="s">
        <v>19</v>
      </c>
      <c r="F59" s="28" t="s">
        <v>19</v>
      </c>
      <c r="G59" s="28" t="s">
        <v>64</v>
      </c>
      <c r="H59" s="28" t="s">
        <v>67</v>
      </c>
      <c r="I59" s="28" t="s">
        <v>68</v>
      </c>
      <c r="J59" s="28" t="s">
        <v>69</v>
      </c>
      <c r="K59" s="28" t="s">
        <v>70</v>
      </c>
      <c r="L59" s="28" t="s">
        <v>71</v>
      </c>
      <c r="M59" s="28" t="s">
        <v>31</v>
      </c>
      <c r="N59" s="28" t="s">
        <v>65</v>
      </c>
      <c r="O59" s="28" t="s">
        <v>66</v>
      </c>
      <c r="P59" s="28" t="s">
        <v>65</v>
      </c>
      <c r="Q59" s="28" t="s">
        <v>66</v>
      </c>
      <c r="R59" s="28" t="s">
        <v>65</v>
      </c>
      <c r="S59" s="28" t="s">
        <v>66</v>
      </c>
      <c r="W59" s="1"/>
      <c r="X59" s="1"/>
      <c r="Y59" s="1"/>
      <c r="Z59" s="1"/>
      <c r="AA59" s="1"/>
      <c r="AB59" s="1"/>
      <c r="AC59" s="1"/>
      <c r="AD59" s="6"/>
      <c r="AE59" s="3"/>
      <c r="AF59" s="6"/>
      <c r="AG59" s="5"/>
      <c r="AH59" s="3"/>
    </row>
    <row r="60" spans="1:38" x14ac:dyDescent="0.2">
      <c r="A60" s="29">
        <f>A4</f>
        <v>0</v>
      </c>
      <c r="B60" s="29">
        <f>B4</f>
        <v>0</v>
      </c>
      <c r="C60" s="14"/>
      <c r="D60" s="30">
        <f>D4</f>
        <v>-78000</v>
      </c>
      <c r="E60" s="30">
        <f t="shared" ref="E60:F60" si="49">E4</f>
        <v>-71160</v>
      </c>
      <c r="F60" s="30">
        <f t="shared" si="49"/>
        <v>-62800</v>
      </c>
      <c r="G60" s="30">
        <f t="shared" ref="G60:G91" si="50">IF(A60&lt;=Ekonomisk_livslängd,-(Årlig_fast_driftkostnad+Årlig_rörlig_driftkostnad),0)</f>
        <v>0</v>
      </c>
      <c r="H60" s="30">
        <f t="shared" ref="H60:H92" si="51">IF(Ekonomisk_livslängd&gt;=A60,B60*Andel_egenanvänd_el*Pris_köpt_el,0)</f>
        <v>0</v>
      </c>
      <c r="I60" s="30">
        <f t="shared" ref="I60:I92" si="52">IF(Ekonomisk_livslängd&gt;=A60,B60*(1-Andel_egenanvänd_el)*Pris_såld_el,0)</f>
        <v>0</v>
      </c>
      <c r="J60" s="30">
        <f t="shared" ref="J60:J92" si="53">IF(Ekonomisk_livslängd&gt;=A60,B60*Ersättning_från_nätägare*(1-Andel_egenanvänd_el),0)</f>
        <v>0</v>
      </c>
      <c r="K60" s="30">
        <f t="shared" ref="K60:K92" si="54">IF(Elcertifikatår&gt;=A60,B60*Andel_elcertifikattilldelning*(1-Kvotplikt_medelvärde)*Elcertifikatvärde,0)</f>
        <v>0</v>
      </c>
      <c r="L60" s="30">
        <f t="shared" ref="L60:L92" si="55">IF(Ekonomisk_livslängd&gt;=A60,B60*Ursprungsgarantier_värde,0)</f>
        <v>0</v>
      </c>
      <c r="M60" s="30">
        <f t="shared" ref="M60:M92" si="56">IF(AND(Ekonomisk_livslängd&gt;=A60,Antal_år_med_skattereduktion&gt;=A60),IF(B60*(1-Andel_egenanvänd_el)*Skattereduktion&gt;Tak_skattereduktion,18000/(1+Kalkylränta)^A60,B60*(1-Andel_egenanvänd_el)*Skattereduktion),0)</f>
        <v>0</v>
      </c>
      <c r="N60" s="30">
        <f>SUM(D60,G60:M60)</f>
        <v>-78000</v>
      </c>
      <c r="O60" s="30">
        <f>N60</f>
        <v>-78000</v>
      </c>
      <c r="P60" s="31">
        <f t="shared" ref="P60:P62" si="57">SUM(E60,G60:M60)</f>
        <v>-71160</v>
      </c>
      <c r="Q60" s="32">
        <f>P60</f>
        <v>-71160</v>
      </c>
      <c r="R60" s="31">
        <f t="shared" ref="R60:R62" si="58">SUM(F60:M60)</f>
        <v>-62800</v>
      </c>
      <c r="S60" s="32">
        <f>R60</f>
        <v>-62800</v>
      </c>
      <c r="W60" s="1"/>
      <c r="X60" s="1"/>
      <c r="Y60" s="1"/>
      <c r="Z60" s="1"/>
      <c r="AA60" s="1"/>
      <c r="AB60" s="1"/>
      <c r="AC60" s="1"/>
      <c r="AD60" s="6"/>
      <c r="AE60" s="3"/>
      <c r="AF60" s="6"/>
      <c r="AG60" s="5"/>
      <c r="AH60" s="3"/>
    </row>
    <row r="61" spans="1:38" x14ac:dyDescent="0.2">
      <c r="A61" s="29">
        <f t="shared" ref="A61:B62" si="59">A5</f>
        <v>1</v>
      </c>
      <c r="B61" s="29">
        <f t="shared" si="59"/>
        <v>3596.4</v>
      </c>
      <c r="C61" s="14"/>
      <c r="D61" s="30">
        <f t="shared" ref="D61:D92" si="60">IF(AND(A5/Antal_år_till_byte_av_växelriktare&lt;=Antal_byten_av_växelriktare,A5&lt;Ekonomisk_livslängd,OR(A5/Antal_år_till_byte_av_växelriktare=1,A5/Antal_år_till_byte_av_växelriktare=2,A5/Antal_år_till_byte_av_växelriktare=3)),-(Kostnad_växelriktarbyte*Installerad_effekt),0)+IF(A5=Ekonomisk_livslängd,(Restvärde-Rivningskostnad),0)</f>
        <v>0</v>
      </c>
      <c r="E61" s="30">
        <f t="shared" ref="E61:E92" si="61">IF(AND(A5/Antal_år_till_byte_av_växelriktare&lt;=Antal_byten_av_växelriktare,A5&lt;Ekonomisk_livslängd,OR(A5/Antal_år_till_byte_av_växelriktare=1,A5/Antal_år_till_byte_av_växelriktare=2,A5/Antal_år_till_byte_av_växelriktare=3)),-(Kostnad_växelriktarbyte*Installerad_effekt),0)+IF(A5=Ekonomisk_livslängd,(Restvärde-Rivningskostnad),0)</f>
        <v>0</v>
      </c>
      <c r="F61" s="30">
        <f t="shared" ref="F61:F92" si="62">IF(AND(A5/Antal_år_till_byte_av_växelriktare&lt;=Antal_byten_av_växelriktare,A5&lt;Ekonomisk_livslängd,OR(A5/Antal_år_till_byte_av_växelriktare=1,A5/Antal_år_till_byte_av_växelriktare=2,A5/Antal_år_till_byte_av_växelriktare=3)),-(Kostnad_växelriktarbyte*Installerad_effekt),0)+IF(A5=Ekonomisk_livslängd,(Restvärde-Rivningskostnad),0)</f>
        <v>0</v>
      </c>
      <c r="G61" s="30">
        <f t="shared" si="50"/>
        <v>0</v>
      </c>
      <c r="H61" s="30">
        <f t="shared" ref="H61" si="63">IF(Ekonomisk_livslängd&gt;=A61,B61*Andel_egenanvänd_el*Pris_köpt_el,0)</f>
        <v>2517.48</v>
      </c>
      <c r="I61" s="30">
        <f t="shared" ref="I61" si="64">IF(Ekonomisk_livslängd&gt;=A61,B61*(1-Andel_egenanvänd_el)*Pris_såld_el,0)</f>
        <v>899.1</v>
      </c>
      <c r="J61" s="30">
        <f t="shared" ref="J61" si="65">IF(Ekonomisk_livslängd&gt;=A61,B61*Ersättning_från_nätägare*(1-Andel_egenanvänd_el),0)</f>
        <v>89.910000000000011</v>
      </c>
      <c r="K61" s="30">
        <f t="shared" ref="K61" si="66">IF(Elcertifikatår&gt;=A61,B61*Andel_elcertifikattilldelning*(1-Kvotplikt_medelvärde)*Elcertifikatvärde,0)</f>
        <v>233.76600000000002</v>
      </c>
      <c r="L61" s="30">
        <f t="shared" ref="L61" si="67">IF(Ekonomisk_livslängd&gt;=A61,B61*Ursprungsgarantier_värde,0)</f>
        <v>17.981999999999999</v>
      </c>
      <c r="M61" s="30">
        <f t="shared" ref="M61" si="68">IF(AND(Ekonomisk_livslängd&gt;=A61,Antal_år_med_skattereduktion&gt;=A61),IF(B61*(1-Andel_egenanvänd_el)*Skattereduktion&gt;Tak_skattereduktion,18000/(1+Kalkylränta)^A61,B61*(1-Andel_egenanvänd_el)*Skattereduktion),0)</f>
        <v>1078.92</v>
      </c>
      <c r="N61" s="30">
        <f t="shared" ref="N61" si="69">SUM(D61,G61:M61)</f>
        <v>4837.1579999999994</v>
      </c>
      <c r="O61" s="30">
        <f t="shared" ref="O61:O92" si="70">IF(A61&lt;=Ekonomisk_livslängd,O60+N61,0)</f>
        <v>-73162.842000000004</v>
      </c>
      <c r="P61" s="31">
        <f t="shared" ref="P61" si="71">SUM(E61,G61:M61)</f>
        <v>4837.1579999999994</v>
      </c>
      <c r="Q61" s="32">
        <f t="shared" ref="Q61:Q92" si="72">IF(A61&lt;=Ekonomisk_livslängd,Q60+P61,0)</f>
        <v>-66322.842000000004</v>
      </c>
      <c r="R61" s="31">
        <f t="shared" ref="R61" si="73">SUM(F61:M61)</f>
        <v>4837.1579999999994</v>
      </c>
      <c r="S61" s="32">
        <f t="shared" ref="S61:S92" si="74">IF(A61&lt;=Ekonomisk_livslängd,S60+R61,0)</f>
        <v>-57962.842000000004</v>
      </c>
      <c r="W61" s="1"/>
      <c r="X61" s="1"/>
      <c r="Y61" s="1"/>
      <c r="Z61" s="1"/>
      <c r="AA61" s="1"/>
      <c r="AB61" s="1"/>
      <c r="AC61" s="1"/>
      <c r="AD61" s="6"/>
      <c r="AE61" s="3"/>
      <c r="AF61" s="6"/>
      <c r="AG61" s="5"/>
      <c r="AH61" s="3"/>
    </row>
    <row r="62" spans="1:38" x14ac:dyDescent="0.2">
      <c r="A62" s="29">
        <f t="shared" si="59"/>
        <v>2</v>
      </c>
      <c r="B62" s="29">
        <f t="shared" si="59"/>
        <v>3585.6107999999999</v>
      </c>
      <c r="C62" s="14"/>
      <c r="D62" s="30">
        <f t="shared" si="60"/>
        <v>0</v>
      </c>
      <c r="E62" s="30">
        <f t="shared" si="61"/>
        <v>0</v>
      </c>
      <c r="F62" s="30">
        <f t="shared" si="62"/>
        <v>0</v>
      </c>
      <c r="G62" s="30">
        <f t="shared" si="50"/>
        <v>0</v>
      </c>
      <c r="H62" s="30">
        <f t="shared" si="51"/>
        <v>2509.9275599999996</v>
      </c>
      <c r="I62" s="30">
        <f t="shared" si="52"/>
        <v>896.40269999999998</v>
      </c>
      <c r="J62" s="30">
        <f t="shared" si="53"/>
        <v>89.640270000000001</v>
      </c>
      <c r="K62" s="30">
        <f t="shared" si="54"/>
        <v>233.06470200000001</v>
      </c>
      <c r="L62" s="30">
        <f t="shared" si="55"/>
        <v>17.928053999999999</v>
      </c>
      <c r="M62" s="30">
        <f t="shared" si="56"/>
        <v>1075.6832399999998</v>
      </c>
      <c r="N62" s="30">
        <f t="shared" ref="N62" si="75">SUM(D62,G62:M62)</f>
        <v>4822.6465259999995</v>
      </c>
      <c r="O62" s="30">
        <f t="shared" si="70"/>
        <v>-68340.195474000007</v>
      </c>
      <c r="P62" s="31">
        <f t="shared" si="57"/>
        <v>4822.6465259999995</v>
      </c>
      <c r="Q62" s="32">
        <f t="shared" si="72"/>
        <v>-61500.195474000007</v>
      </c>
      <c r="R62" s="31">
        <f t="shared" si="58"/>
        <v>4822.6465259999995</v>
      </c>
      <c r="S62" s="32">
        <f t="shared" si="74"/>
        <v>-53140.195474000007</v>
      </c>
      <c r="W62" s="1"/>
      <c r="X62" s="1"/>
      <c r="Y62" s="1"/>
      <c r="Z62" s="1"/>
      <c r="AA62" s="1"/>
      <c r="AB62" s="1"/>
      <c r="AC62" s="1"/>
      <c r="AD62" s="6"/>
      <c r="AE62" s="3"/>
      <c r="AF62" s="6"/>
      <c r="AG62" s="5"/>
      <c r="AH62" s="3"/>
    </row>
    <row r="63" spans="1:38" x14ac:dyDescent="0.2">
      <c r="A63" s="29">
        <f t="shared" ref="A63:B63" si="76">A7</f>
        <v>3</v>
      </c>
      <c r="B63" s="29">
        <f t="shared" si="76"/>
        <v>3574.8539676</v>
      </c>
      <c r="C63" s="14"/>
      <c r="D63" s="30">
        <f t="shared" si="60"/>
        <v>0</v>
      </c>
      <c r="E63" s="30">
        <f t="shared" si="61"/>
        <v>0</v>
      </c>
      <c r="F63" s="30">
        <f t="shared" si="62"/>
        <v>0</v>
      </c>
      <c r="G63" s="30">
        <f t="shared" si="50"/>
        <v>0</v>
      </c>
      <c r="H63" s="30">
        <f t="shared" si="51"/>
        <v>2502.3977773199999</v>
      </c>
      <c r="I63" s="30">
        <f t="shared" si="52"/>
        <v>893.71349190000001</v>
      </c>
      <c r="J63" s="30">
        <f t="shared" si="53"/>
        <v>89.371349190000004</v>
      </c>
      <c r="K63" s="30">
        <f t="shared" si="54"/>
        <v>232.36550789400002</v>
      </c>
      <c r="L63" s="30">
        <f t="shared" si="55"/>
        <v>17.874269838</v>
      </c>
      <c r="M63" s="30">
        <f t="shared" si="56"/>
        <v>1072.4561902799999</v>
      </c>
      <c r="N63" s="30">
        <f t="shared" ref="N63:N110" si="77">SUM(D63,G63:M63)</f>
        <v>4808.1785864220001</v>
      </c>
      <c r="O63" s="30">
        <f t="shared" si="70"/>
        <v>-63532.016887578007</v>
      </c>
      <c r="P63" s="31">
        <f t="shared" ref="P63:P110" si="78">SUM(E63,G63:M63)</f>
        <v>4808.1785864220001</v>
      </c>
      <c r="Q63" s="32">
        <f t="shared" si="72"/>
        <v>-56692.016887578007</v>
      </c>
      <c r="R63" s="31">
        <f t="shared" ref="R63:R110" si="79">SUM(F63:M63)</f>
        <v>4808.1785864220001</v>
      </c>
      <c r="S63" s="32">
        <f t="shared" si="74"/>
        <v>-48332.016887578007</v>
      </c>
      <c r="W63" s="1"/>
      <c r="X63" s="1"/>
      <c r="Y63" s="1"/>
      <c r="Z63" s="1"/>
      <c r="AA63" s="1"/>
      <c r="AB63" s="1"/>
      <c r="AC63" s="1"/>
      <c r="AD63" s="6"/>
      <c r="AE63" s="3"/>
      <c r="AF63" s="6"/>
      <c r="AG63" s="5"/>
      <c r="AH63" s="3"/>
      <c r="AI63" s="3"/>
      <c r="AJ63" s="3"/>
      <c r="AK63" s="3"/>
      <c r="AL63" s="3"/>
    </row>
    <row r="64" spans="1:38" x14ac:dyDescent="0.2">
      <c r="A64" s="29">
        <f t="shared" ref="A64:B64" si="80">A8</f>
        <v>4</v>
      </c>
      <c r="B64" s="29">
        <f t="shared" si="80"/>
        <v>3564.1294056972001</v>
      </c>
      <c r="C64" s="14"/>
      <c r="D64" s="30">
        <f t="shared" si="60"/>
        <v>0</v>
      </c>
      <c r="E64" s="30">
        <f t="shared" si="61"/>
        <v>0</v>
      </c>
      <c r="F64" s="30">
        <f t="shared" si="62"/>
        <v>0</v>
      </c>
      <c r="G64" s="30">
        <f t="shared" si="50"/>
        <v>0</v>
      </c>
      <c r="H64" s="30">
        <f t="shared" si="51"/>
        <v>2494.8905839880399</v>
      </c>
      <c r="I64" s="30">
        <f t="shared" si="52"/>
        <v>891.03235142430003</v>
      </c>
      <c r="J64" s="30">
        <f t="shared" si="53"/>
        <v>89.103235142430009</v>
      </c>
      <c r="K64" s="30">
        <f t="shared" si="54"/>
        <v>231.66841137031801</v>
      </c>
      <c r="L64" s="30">
        <f t="shared" si="55"/>
        <v>17.820647028486</v>
      </c>
      <c r="M64" s="30">
        <f t="shared" si="56"/>
        <v>1069.23882170916</v>
      </c>
      <c r="N64" s="30">
        <f t="shared" si="77"/>
        <v>4793.7540506627338</v>
      </c>
      <c r="O64" s="30">
        <f t="shared" si="70"/>
        <v>-58738.262836915274</v>
      </c>
      <c r="P64" s="31">
        <f t="shared" si="78"/>
        <v>4793.7540506627338</v>
      </c>
      <c r="Q64" s="32">
        <f t="shared" si="72"/>
        <v>-51898.262836915274</v>
      </c>
      <c r="R64" s="31">
        <f t="shared" si="79"/>
        <v>4793.7540506627338</v>
      </c>
      <c r="S64" s="32">
        <f t="shared" si="74"/>
        <v>-43538.262836915274</v>
      </c>
      <c r="W64" s="1"/>
      <c r="X64" s="1"/>
      <c r="Y64" s="1"/>
      <c r="Z64" s="1"/>
      <c r="AA64" s="1"/>
      <c r="AB64" s="1"/>
      <c r="AC64" s="1"/>
      <c r="AD64" s="6"/>
      <c r="AE64" s="3"/>
      <c r="AF64" s="6"/>
      <c r="AG64" s="5"/>
      <c r="AH64" s="3"/>
    </row>
    <row r="65" spans="1:40" x14ac:dyDescent="0.2">
      <c r="A65" s="29">
        <f t="shared" ref="A65:B65" si="81">A9</f>
        <v>5</v>
      </c>
      <c r="B65" s="29">
        <f t="shared" si="81"/>
        <v>3553.4370174801088</v>
      </c>
      <c r="C65" s="14"/>
      <c r="D65" s="30">
        <f t="shared" si="60"/>
        <v>0</v>
      </c>
      <c r="E65" s="30">
        <f t="shared" si="61"/>
        <v>0</v>
      </c>
      <c r="F65" s="30">
        <f t="shared" si="62"/>
        <v>0</v>
      </c>
      <c r="G65" s="30">
        <f t="shared" si="50"/>
        <v>0</v>
      </c>
      <c r="H65" s="30">
        <f t="shared" si="51"/>
        <v>2487.4059122360759</v>
      </c>
      <c r="I65" s="30">
        <f t="shared" si="52"/>
        <v>888.3592543700272</v>
      </c>
      <c r="J65" s="30">
        <f t="shared" si="53"/>
        <v>88.835925437002729</v>
      </c>
      <c r="K65" s="30">
        <f t="shared" si="54"/>
        <v>230.97340613620707</v>
      </c>
      <c r="L65" s="30">
        <f t="shared" si="55"/>
        <v>17.767185087400545</v>
      </c>
      <c r="M65" s="30">
        <f t="shared" si="56"/>
        <v>1066.0311052440327</v>
      </c>
      <c r="N65" s="30">
        <f t="shared" si="77"/>
        <v>4779.3727885107455</v>
      </c>
      <c r="O65" s="30">
        <f t="shared" si="70"/>
        <v>-53958.89004840453</v>
      </c>
      <c r="P65" s="31">
        <f t="shared" si="78"/>
        <v>4779.3727885107455</v>
      </c>
      <c r="Q65" s="32">
        <f t="shared" si="72"/>
        <v>-47118.89004840453</v>
      </c>
      <c r="R65" s="31">
        <f t="shared" si="79"/>
        <v>4779.3727885107455</v>
      </c>
      <c r="S65" s="32">
        <f t="shared" si="74"/>
        <v>-38758.89004840453</v>
      </c>
      <c r="W65" s="1"/>
      <c r="X65" s="1"/>
      <c r="Y65" s="1"/>
      <c r="Z65" s="1"/>
      <c r="AA65" s="1"/>
      <c r="AB65" s="1"/>
      <c r="AC65" s="1"/>
      <c r="AD65" s="1"/>
    </row>
    <row r="66" spans="1:40" x14ac:dyDescent="0.2">
      <c r="A66" s="29">
        <f t="shared" ref="A66:B66" si="82">A10</f>
        <v>6</v>
      </c>
      <c r="B66" s="29">
        <f t="shared" si="82"/>
        <v>3542.7767064276682</v>
      </c>
      <c r="C66" s="14"/>
      <c r="D66" s="30">
        <f t="shared" si="60"/>
        <v>0</v>
      </c>
      <c r="E66" s="30">
        <f t="shared" si="61"/>
        <v>0</v>
      </c>
      <c r="F66" s="30">
        <f t="shared" si="62"/>
        <v>0</v>
      </c>
      <c r="G66" s="30">
        <f t="shared" si="50"/>
        <v>0</v>
      </c>
      <c r="H66" s="30">
        <f t="shared" si="51"/>
        <v>2479.9436944993677</v>
      </c>
      <c r="I66" s="30">
        <f t="shared" si="52"/>
        <v>885.69417660691704</v>
      </c>
      <c r="J66" s="30">
        <f t="shared" si="53"/>
        <v>88.569417660691713</v>
      </c>
      <c r="K66" s="30">
        <f t="shared" si="54"/>
        <v>230.28048591779844</v>
      </c>
      <c r="L66" s="30">
        <f t="shared" si="55"/>
        <v>17.71388353213834</v>
      </c>
      <c r="M66" s="30">
        <f t="shared" si="56"/>
        <v>1062.8330119283005</v>
      </c>
      <c r="N66" s="30">
        <f t="shared" si="77"/>
        <v>4765.0346701452145</v>
      </c>
      <c r="O66" s="30">
        <f t="shared" si="70"/>
        <v>-49193.855378259315</v>
      </c>
      <c r="P66" s="31">
        <f t="shared" si="78"/>
        <v>4765.0346701452145</v>
      </c>
      <c r="Q66" s="32">
        <f t="shared" si="72"/>
        <v>-42353.855378259315</v>
      </c>
      <c r="R66" s="31">
        <f t="shared" si="79"/>
        <v>4765.0346701452145</v>
      </c>
      <c r="S66" s="32">
        <f t="shared" si="74"/>
        <v>-33993.855378259315</v>
      </c>
      <c r="W66" s="1"/>
      <c r="X66" s="1"/>
      <c r="Y66" s="1"/>
      <c r="Z66" s="1"/>
      <c r="AA66" s="1"/>
      <c r="AB66" s="1"/>
      <c r="AC66" s="1"/>
      <c r="AD66" s="6"/>
      <c r="AE66" s="3"/>
      <c r="AF66" s="6"/>
      <c r="AG66" s="5"/>
      <c r="AH66" s="3"/>
      <c r="AI66" s="3"/>
      <c r="AJ66" s="3"/>
      <c r="AK66" s="3"/>
      <c r="AL66" s="3"/>
    </row>
    <row r="67" spans="1:40" s="3" customFormat="1" x14ac:dyDescent="0.2">
      <c r="A67" s="29">
        <f t="shared" ref="A67:B67" si="83">A11</f>
        <v>7</v>
      </c>
      <c r="B67" s="29">
        <f t="shared" si="83"/>
        <v>3532.1483763083852</v>
      </c>
      <c r="C67" s="14"/>
      <c r="D67" s="30">
        <f t="shared" si="60"/>
        <v>0</v>
      </c>
      <c r="E67" s="30">
        <f t="shared" si="61"/>
        <v>0</v>
      </c>
      <c r="F67" s="30">
        <f t="shared" si="62"/>
        <v>0</v>
      </c>
      <c r="G67" s="30">
        <f t="shared" si="50"/>
        <v>0</v>
      </c>
      <c r="H67" s="30">
        <f t="shared" si="51"/>
        <v>2472.5038634158695</v>
      </c>
      <c r="I67" s="30">
        <f t="shared" si="52"/>
        <v>883.0370940770963</v>
      </c>
      <c r="J67" s="30">
        <f t="shared" si="53"/>
        <v>88.303709407709633</v>
      </c>
      <c r="K67" s="30">
        <f t="shared" si="54"/>
        <v>229.58964446004504</v>
      </c>
      <c r="L67" s="30">
        <f t="shared" si="55"/>
        <v>17.660741881541927</v>
      </c>
      <c r="M67" s="30">
        <f t="shared" si="56"/>
        <v>1059.6445128925154</v>
      </c>
      <c r="N67" s="30">
        <f t="shared" si="77"/>
        <v>4750.7395661347773</v>
      </c>
      <c r="O67" s="30">
        <f t="shared" si="70"/>
        <v>-44443.115812124539</v>
      </c>
      <c r="P67" s="31">
        <f t="shared" si="78"/>
        <v>4750.7395661347773</v>
      </c>
      <c r="Q67" s="32">
        <f t="shared" si="72"/>
        <v>-37603.115812124539</v>
      </c>
      <c r="R67" s="31">
        <f t="shared" si="79"/>
        <v>4750.7395661347773</v>
      </c>
      <c r="S67" s="32">
        <f t="shared" si="74"/>
        <v>-29243.115812124539</v>
      </c>
    </row>
    <row r="68" spans="1:40" s="3" customFormat="1" x14ac:dyDescent="0.2">
      <c r="A68" s="29">
        <f t="shared" ref="A68:B68" si="84">A12</f>
        <v>8</v>
      </c>
      <c r="B68" s="29">
        <f t="shared" si="84"/>
        <v>3521.5519311794601</v>
      </c>
      <c r="C68" s="14"/>
      <c r="D68" s="30">
        <f t="shared" si="60"/>
        <v>0</v>
      </c>
      <c r="E68" s="30">
        <f t="shared" si="61"/>
        <v>0</v>
      </c>
      <c r="F68" s="30">
        <f t="shared" si="62"/>
        <v>0</v>
      </c>
      <c r="G68" s="30">
        <f t="shared" si="50"/>
        <v>0</v>
      </c>
      <c r="H68" s="30">
        <f t="shared" si="51"/>
        <v>2465.0863518256219</v>
      </c>
      <c r="I68" s="30">
        <f t="shared" si="52"/>
        <v>880.38798279486502</v>
      </c>
      <c r="J68" s="30">
        <f t="shared" si="53"/>
        <v>88.038798279486514</v>
      </c>
      <c r="K68" s="30">
        <f t="shared" si="54"/>
        <v>228.90087552666492</v>
      </c>
      <c r="L68" s="30">
        <f t="shared" si="55"/>
        <v>17.607759655897301</v>
      </c>
      <c r="M68" s="30">
        <f t="shared" si="56"/>
        <v>1056.4655793538379</v>
      </c>
      <c r="N68" s="30">
        <f t="shared" si="77"/>
        <v>4736.4873474363731</v>
      </c>
      <c r="O68" s="30">
        <f t="shared" si="70"/>
        <v>-39706.628464688169</v>
      </c>
      <c r="P68" s="31">
        <f t="shared" si="78"/>
        <v>4736.4873474363731</v>
      </c>
      <c r="Q68" s="32">
        <f t="shared" si="72"/>
        <v>-32866.628464688169</v>
      </c>
      <c r="R68" s="31">
        <f t="shared" si="79"/>
        <v>4736.4873474363731</v>
      </c>
      <c r="S68" s="32">
        <f t="shared" si="74"/>
        <v>-24506.628464688165</v>
      </c>
    </row>
    <row r="69" spans="1:40" x14ac:dyDescent="0.2">
      <c r="A69" s="29">
        <f t="shared" ref="A69:B69" si="85">A13</f>
        <v>9</v>
      </c>
      <c r="B69" s="29">
        <f t="shared" si="85"/>
        <v>3510.9872753859217</v>
      </c>
      <c r="C69" s="14"/>
      <c r="D69" s="30">
        <f t="shared" si="60"/>
        <v>0</v>
      </c>
      <c r="E69" s="30">
        <f t="shared" si="61"/>
        <v>0</v>
      </c>
      <c r="F69" s="30">
        <f t="shared" si="62"/>
        <v>0</v>
      </c>
      <c r="G69" s="30">
        <f t="shared" si="50"/>
        <v>0</v>
      </c>
      <c r="H69" s="30">
        <f t="shared" si="51"/>
        <v>2457.6910927701451</v>
      </c>
      <c r="I69" s="30">
        <f t="shared" si="52"/>
        <v>877.74681884648044</v>
      </c>
      <c r="J69" s="30">
        <f t="shared" si="53"/>
        <v>87.774681884648047</v>
      </c>
      <c r="K69" s="30">
        <f t="shared" si="54"/>
        <v>228.21417290008492</v>
      </c>
      <c r="L69" s="30">
        <f t="shared" si="55"/>
        <v>17.554936376929611</v>
      </c>
      <c r="M69" s="30">
        <f t="shared" si="56"/>
        <v>1053.2961826157764</v>
      </c>
      <c r="N69" s="30">
        <f t="shared" si="77"/>
        <v>4722.2778853940645</v>
      </c>
      <c r="O69" s="30">
        <f t="shared" si="70"/>
        <v>-34984.350579294107</v>
      </c>
      <c r="P69" s="31">
        <f t="shared" si="78"/>
        <v>4722.2778853940645</v>
      </c>
      <c r="Q69" s="32">
        <f t="shared" si="72"/>
        <v>-28144.350579294103</v>
      </c>
      <c r="R69" s="31">
        <f t="shared" si="79"/>
        <v>4722.2778853940645</v>
      </c>
      <c r="S69" s="32">
        <f t="shared" si="74"/>
        <v>-19784.3505792941</v>
      </c>
      <c r="W69" s="1"/>
      <c r="X69" s="1"/>
      <c r="Y69" s="1"/>
      <c r="Z69" s="1"/>
      <c r="AA69" s="1"/>
      <c r="AB69" s="1"/>
      <c r="AC69" s="1"/>
      <c r="AD69" s="6"/>
      <c r="AE69" s="3"/>
      <c r="AF69" s="6"/>
      <c r="AG69" s="5"/>
      <c r="AH69" s="3"/>
    </row>
    <row r="70" spans="1:40" x14ac:dyDescent="0.2">
      <c r="A70" s="29">
        <f t="shared" ref="A70:B70" si="86">A14</f>
        <v>10</v>
      </c>
      <c r="B70" s="29">
        <f t="shared" si="86"/>
        <v>3500.4543135597642</v>
      </c>
      <c r="C70" s="14"/>
      <c r="D70" s="30">
        <f t="shared" si="60"/>
        <v>0</v>
      </c>
      <c r="E70" s="30">
        <f t="shared" si="61"/>
        <v>0</v>
      </c>
      <c r="F70" s="30">
        <f t="shared" si="62"/>
        <v>0</v>
      </c>
      <c r="G70" s="30">
        <f t="shared" si="50"/>
        <v>0</v>
      </c>
      <c r="H70" s="30">
        <f t="shared" si="51"/>
        <v>2450.3180194918345</v>
      </c>
      <c r="I70" s="30">
        <f t="shared" si="52"/>
        <v>875.11357838994104</v>
      </c>
      <c r="J70" s="30">
        <f t="shared" si="53"/>
        <v>87.511357838994115</v>
      </c>
      <c r="K70" s="30">
        <f t="shared" si="54"/>
        <v>227.52953038138469</v>
      </c>
      <c r="L70" s="30">
        <f t="shared" si="55"/>
        <v>17.502271567798822</v>
      </c>
      <c r="M70" s="30">
        <f t="shared" si="56"/>
        <v>1050.1362940679292</v>
      </c>
      <c r="N70" s="30">
        <f t="shared" si="77"/>
        <v>4708.111051737882</v>
      </c>
      <c r="O70" s="30">
        <f t="shared" si="70"/>
        <v>-30276.239527556223</v>
      </c>
      <c r="P70" s="31">
        <f t="shared" si="78"/>
        <v>4708.111051737882</v>
      </c>
      <c r="Q70" s="32">
        <f t="shared" si="72"/>
        <v>-23436.239527556223</v>
      </c>
      <c r="R70" s="31">
        <f t="shared" si="79"/>
        <v>4708.111051737882</v>
      </c>
      <c r="S70" s="32">
        <f t="shared" si="74"/>
        <v>-15076.239527556218</v>
      </c>
      <c r="W70" s="1"/>
      <c r="X70" s="1"/>
      <c r="Y70" s="1"/>
      <c r="Z70" s="1"/>
      <c r="AA70" s="1"/>
      <c r="AB70" s="1"/>
      <c r="AC70" s="1"/>
      <c r="AD70" s="6"/>
      <c r="AE70" s="3"/>
      <c r="AF70" s="6"/>
      <c r="AG70" s="5"/>
      <c r="AH70" s="3"/>
    </row>
    <row r="71" spans="1:40" x14ac:dyDescent="0.2">
      <c r="A71" s="29">
        <f t="shared" ref="A71:B71" si="87">A15</f>
        <v>11</v>
      </c>
      <c r="B71" s="29">
        <f t="shared" si="87"/>
        <v>3489.9529506190852</v>
      </c>
      <c r="D71" s="30">
        <f t="shared" si="60"/>
        <v>0</v>
      </c>
      <c r="E71" s="30">
        <f t="shared" si="61"/>
        <v>0</v>
      </c>
      <c r="F71" s="30">
        <f t="shared" si="62"/>
        <v>0</v>
      </c>
      <c r="G71" s="30">
        <f t="shared" si="50"/>
        <v>0</v>
      </c>
      <c r="H71" s="30">
        <f t="shared" si="51"/>
        <v>2442.9670654333595</v>
      </c>
      <c r="I71" s="30">
        <f t="shared" si="52"/>
        <v>872.4882376547713</v>
      </c>
      <c r="J71" s="30">
        <f t="shared" si="53"/>
        <v>87.248823765477141</v>
      </c>
      <c r="K71" s="30">
        <f t="shared" si="54"/>
        <v>226.84694179024055</v>
      </c>
      <c r="L71" s="30">
        <f t="shared" si="55"/>
        <v>17.449764753095426</v>
      </c>
      <c r="M71" s="30">
        <f t="shared" si="56"/>
        <v>1046.9858851857255</v>
      </c>
      <c r="N71" s="30">
        <f t="shared" si="77"/>
        <v>4693.9867185826688</v>
      </c>
      <c r="O71" s="30">
        <f t="shared" si="70"/>
        <v>-25582.252808973553</v>
      </c>
      <c r="P71" s="31">
        <f t="shared" si="78"/>
        <v>4693.9867185826688</v>
      </c>
      <c r="Q71" s="32">
        <f t="shared" si="72"/>
        <v>-18742.252808973553</v>
      </c>
      <c r="R71" s="31">
        <f t="shared" si="79"/>
        <v>4693.9867185826688</v>
      </c>
      <c r="S71" s="32">
        <f t="shared" si="74"/>
        <v>-10382.25280897355</v>
      </c>
      <c r="T71" s="1"/>
      <c r="U71" s="1"/>
      <c r="V71" s="2"/>
      <c r="W71" s="1"/>
      <c r="X71" s="3"/>
      <c r="Y71" s="3"/>
      <c r="Z71" s="3"/>
      <c r="AA71" s="3"/>
      <c r="AB71" s="3"/>
      <c r="AC71" s="3"/>
      <c r="AD71" s="3"/>
      <c r="AE71" s="3"/>
      <c r="AF71" s="3"/>
      <c r="AG71" s="8"/>
      <c r="AH71" s="8"/>
      <c r="AI71" s="8"/>
      <c r="AJ71" s="8"/>
      <c r="AK71" s="8"/>
      <c r="AL71" s="8"/>
      <c r="AM71" s="8"/>
      <c r="AN71" s="8"/>
    </row>
    <row r="72" spans="1:40" x14ac:dyDescent="0.2">
      <c r="A72" s="29">
        <f t="shared" ref="A72:B72" si="88">A16</f>
        <v>12</v>
      </c>
      <c r="B72" s="29">
        <f t="shared" si="88"/>
        <v>3479.4830917672275</v>
      </c>
      <c r="D72" s="30">
        <f t="shared" si="60"/>
        <v>0</v>
      </c>
      <c r="E72" s="30">
        <f t="shared" si="61"/>
        <v>0</v>
      </c>
      <c r="F72" s="30">
        <f t="shared" si="62"/>
        <v>0</v>
      </c>
      <c r="G72" s="30">
        <f t="shared" si="50"/>
        <v>0</v>
      </c>
      <c r="H72" s="30">
        <f t="shared" si="51"/>
        <v>2435.6381642370593</v>
      </c>
      <c r="I72" s="30">
        <f t="shared" si="52"/>
        <v>869.87077294180688</v>
      </c>
      <c r="J72" s="30">
        <f t="shared" si="53"/>
        <v>86.987077294180693</v>
      </c>
      <c r="K72" s="30">
        <f t="shared" si="54"/>
        <v>226.16640096486981</v>
      </c>
      <c r="L72" s="30">
        <f t="shared" si="55"/>
        <v>17.397415458836139</v>
      </c>
      <c r="M72" s="30">
        <f t="shared" si="56"/>
        <v>1043.8449275301682</v>
      </c>
      <c r="N72" s="30">
        <f t="shared" si="77"/>
        <v>4679.904758426921</v>
      </c>
      <c r="O72" s="30">
        <f t="shared" si="70"/>
        <v>-20902.348050546632</v>
      </c>
      <c r="P72" s="31">
        <f t="shared" si="78"/>
        <v>4679.904758426921</v>
      </c>
      <c r="Q72" s="32">
        <f t="shared" si="72"/>
        <v>-14062.348050546632</v>
      </c>
      <c r="R72" s="31">
        <f t="shared" si="79"/>
        <v>4679.904758426921</v>
      </c>
      <c r="S72" s="32">
        <f t="shared" si="74"/>
        <v>-5702.3480505466287</v>
      </c>
      <c r="T72" s="1"/>
      <c r="U72" s="1"/>
      <c r="V72" s="2"/>
      <c r="W72" s="1"/>
      <c r="X72" s="3"/>
      <c r="Y72" s="3"/>
      <c r="Z72" s="3"/>
      <c r="AA72" s="3"/>
      <c r="AB72" s="3"/>
      <c r="AC72" s="3"/>
      <c r="AD72" s="3"/>
      <c r="AE72" s="3"/>
      <c r="AF72" s="3"/>
      <c r="AG72" s="8"/>
      <c r="AH72" s="8"/>
      <c r="AI72" s="8"/>
      <c r="AJ72" s="8"/>
      <c r="AK72" s="8"/>
      <c r="AL72" s="8"/>
      <c r="AM72" s="8"/>
      <c r="AN72" s="8"/>
    </row>
    <row r="73" spans="1:40" x14ac:dyDescent="0.2">
      <c r="A73" s="29">
        <f t="shared" ref="A73:B73" si="89">A17</f>
        <v>13</v>
      </c>
      <c r="B73" s="29">
        <f t="shared" si="89"/>
        <v>3469.044642491926</v>
      </c>
      <c r="D73" s="30">
        <f t="shared" si="60"/>
        <v>0</v>
      </c>
      <c r="E73" s="30">
        <f t="shared" si="61"/>
        <v>0</v>
      </c>
      <c r="F73" s="30">
        <f t="shared" si="62"/>
        <v>0</v>
      </c>
      <c r="G73" s="30">
        <f t="shared" si="50"/>
        <v>0</v>
      </c>
      <c r="H73" s="30">
        <f t="shared" si="51"/>
        <v>2428.331249744348</v>
      </c>
      <c r="I73" s="30">
        <f t="shared" si="52"/>
        <v>867.26116062298149</v>
      </c>
      <c r="J73" s="30">
        <f t="shared" si="53"/>
        <v>86.726116062298161</v>
      </c>
      <c r="K73" s="30">
        <f t="shared" si="54"/>
        <v>225.48790176197519</v>
      </c>
      <c r="L73" s="30">
        <f t="shared" si="55"/>
        <v>17.345223212459629</v>
      </c>
      <c r="M73" s="30">
        <f t="shared" si="56"/>
        <v>1040.7133927475777</v>
      </c>
      <c r="N73" s="30">
        <f t="shared" si="77"/>
        <v>4665.8650441516402</v>
      </c>
      <c r="O73" s="30">
        <f t="shared" si="70"/>
        <v>-16236.483006394992</v>
      </c>
      <c r="P73" s="31">
        <f t="shared" si="78"/>
        <v>4665.8650441516402</v>
      </c>
      <c r="Q73" s="32">
        <f t="shared" si="72"/>
        <v>-9396.4830063949921</v>
      </c>
      <c r="R73" s="31">
        <f t="shared" si="79"/>
        <v>4665.8650441516402</v>
      </c>
      <c r="S73" s="32">
        <f t="shared" si="74"/>
        <v>-1036.4830063949885</v>
      </c>
      <c r="T73" s="1"/>
      <c r="U73" s="1"/>
      <c r="V73" s="2"/>
      <c r="W73" s="1"/>
      <c r="X73" s="3"/>
      <c r="Y73" s="3"/>
      <c r="Z73" s="3"/>
      <c r="AA73" s="3"/>
      <c r="AB73" s="3"/>
      <c r="AC73" s="3"/>
      <c r="AD73" s="3"/>
      <c r="AE73" s="3"/>
      <c r="AF73" s="3"/>
      <c r="AG73" s="8"/>
      <c r="AH73" s="8"/>
      <c r="AI73" s="8"/>
      <c r="AJ73" s="8"/>
      <c r="AK73" s="8"/>
      <c r="AL73" s="8"/>
      <c r="AM73" s="8"/>
      <c r="AN73" s="8"/>
    </row>
    <row r="74" spans="1:40" x14ac:dyDescent="0.2">
      <c r="A74" s="29">
        <f t="shared" ref="A74:B74" si="90">A18</f>
        <v>14</v>
      </c>
      <c r="B74" s="29">
        <f t="shared" si="90"/>
        <v>3458.6375085644499</v>
      </c>
      <c r="D74" s="30">
        <f t="shared" si="60"/>
        <v>0</v>
      </c>
      <c r="E74" s="30">
        <f t="shared" si="61"/>
        <v>0</v>
      </c>
      <c r="F74" s="30">
        <f t="shared" si="62"/>
        <v>0</v>
      </c>
      <c r="G74" s="30">
        <f t="shared" si="50"/>
        <v>0</v>
      </c>
      <c r="H74" s="30">
        <f t="shared" si="51"/>
        <v>2421.0462559951147</v>
      </c>
      <c r="I74" s="30">
        <f t="shared" si="52"/>
        <v>864.65937714111249</v>
      </c>
      <c r="J74" s="30">
        <f t="shared" si="53"/>
        <v>86.465937714111249</v>
      </c>
      <c r="K74" s="30">
        <f t="shared" si="54"/>
        <v>224.81143805668924</v>
      </c>
      <c r="L74" s="30">
        <f t="shared" si="55"/>
        <v>17.293187542822249</v>
      </c>
      <c r="M74" s="30">
        <f t="shared" si="56"/>
        <v>1037.591252569335</v>
      </c>
      <c r="N74" s="30">
        <f t="shared" si="77"/>
        <v>4651.8674490191852</v>
      </c>
      <c r="O74" s="30">
        <f t="shared" si="70"/>
        <v>-11584.615557375808</v>
      </c>
      <c r="P74" s="31">
        <f t="shared" si="78"/>
        <v>4651.8674490191852</v>
      </c>
      <c r="Q74" s="32">
        <f t="shared" si="72"/>
        <v>-4744.6155573758069</v>
      </c>
      <c r="R74" s="31">
        <f t="shared" si="79"/>
        <v>4651.8674490191852</v>
      </c>
      <c r="S74" s="32">
        <f t="shared" si="74"/>
        <v>3615.3844426241967</v>
      </c>
      <c r="T74" s="1"/>
      <c r="U74" s="1"/>
      <c r="V74" s="2"/>
      <c r="W74" s="1"/>
      <c r="X74" s="3"/>
      <c r="Y74" s="3"/>
      <c r="Z74" s="3"/>
      <c r="AA74" s="3"/>
      <c r="AB74" s="3"/>
      <c r="AC74" s="3"/>
      <c r="AD74" s="3"/>
      <c r="AE74" s="3"/>
      <c r="AF74" s="3"/>
      <c r="AG74" s="8"/>
      <c r="AH74" s="8"/>
      <c r="AI74" s="8"/>
      <c r="AJ74" s="8"/>
      <c r="AK74" s="8"/>
      <c r="AL74" s="8"/>
      <c r="AM74" s="8"/>
      <c r="AN74" s="8"/>
    </row>
    <row r="75" spans="1:40" x14ac:dyDescent="0.2">
      <c r="A75" s="29">
        <f t="shared" ref="A75:B75" si="91">A19</f>
        <v>15</v>
      </c>
      <c r="B75" s="29">
        <f t="shared" si="91"/>
        <v>3448.261596038757</v>
      </c>
      <c r="D75" s="30">
        <f t="shared" si="60"/>
        <v>-15000</v>
      </c>
      <c r="E75" s="30">
        <f t="shared" si="61"/>
        <v>-15000</v>
      </c>
      <c r="F75" s="30">
        <f t="shared" si="62"/>
        <v>-15000</v>
      </c>
      <c r="G75" s="30">
        <f t="shared" si="50"/>
        <v>0</v>
      </c>
      <c r="H75" s="30">
        <f t="shared" si="51"/>
        <v>2413.7831172271299</v>
      </c>
      <c r="I75" s="30">
        <f t="shared" si="52"/>
        <v>862.06539900968926</v>
      </c>
      <c r="J75" s="30">
        <f t="shared" si="53"/>
        <v>86.206539900968934</v>
      </c>
      <c r="K75" s="30">
        <f t="shared" si="54"/>
        <v>224.13700374251923</v>
      </c>
      <c r="L75" s="30">
        <f t="shared" si="55"/>
        <v>17.241307980193785</v>
      </c>
      <c r="M75" s="30">
        <f t="shared" si="56"/>
        <v>1034.4784788116272</v>
      </c>
      <c r="N75" s="30">
        <f t="shared" si="77"/>
        <v>-10362.088153327873</v>
      </c>
      <c r="O75" s="30">
        <f t="shared" si="70"/>
        <v>-21946.703710703681</v>
      </c>
      <c r="P75" s="31">
        <f t="shared" si="78"/>
        <v>-10362.088153327873</v>
      </c>
      <c r="Q75" s="32">
        <f t="shared" si="72"/>
        <v>-15106.703710703681</v>
      </c>
      <c r="R75" s="31">
        <f t="shared" si="79"/>
        <v>-10362.088153327873</v>
      </c>
      <c r="S75" s="32">
        <f t="shared" si="74"/>
        <v>-6746.7037107036767</v>
      </c>
      <c r="T75" s="1"/>
      <c r="U75" s="1"/>
      <c r="V75" s="2"/>
      <c r="W75" s="1"/>
      <c r="X75" s="3"/>
      <c r="Y75" s="3"/>
      <c r="Z75" s="3"/>
      <c r="AA75" s="3"/>
      <c r="AB75" s="3"/>
      <c r="AC75" s="3"/>
      <c r="AD75" s="3"/>
      <c r="AE75" s="3"/>
      <c r="AF75" s="3"/>
      <c r="AG75" s="8"/>
      <c r="AH75" s="8"/>
      <c r="AI75" s="8"/>
      <c r="AJ75" s="8"/>
      <c r="AK75" s="8"/>
      <c r="AL75" s="8"/>
      <c r="AM75" s="8"/>
      <c r="AN75" s="8"/>
    </row>
    <row r="76" spans="1:40" x14ac:dyDescent="0.2">
      <c r="A76" s="29">
        <f t="shared" ref="A76:B76" si="92">A20</f>
        <v>16</v>
      </c>
      <c r="B76" s="29">
        <f t="shared" si="92"/>
        <v>3437.9168112506409</v>
      </c>
      <c r="D76" s="30">
        <f t="shared" si="60"/>
        <v>0</v>
      </c>
      <c r="E76" s="30">
        <f t="shared" si="61"/>
        <v>0</v>
      </c>
      <c r="F76" s="30">
        <f t="shared" si="62"/>
        <v>0</v>
      </c>
      <c r="G76" s="30">
        <f t="shared" si="50"/>
        <v>0</v>
      </c>
      <c r="H76" s="30">
        <f t="shared" si="51"/>
        <v>2406.5417678754484</v>
      </c>
      <c r="I76" s="30">
        <f t="shared" si="52"/>
        <v>859.47920281266022</v>
      </c>
      <c r="J76" s="30">
        <f t="shared" si="53"/>
        <v>85.947920281266022</v>
      </c>
      <c r="K76" s="30">
        <f t="shared" si="54"/>
        <v>0</v>
      </c>
      <c r="L76" s="30">
        <f t="shared" si="55"/>
        <v>17.189584056253207</v>
      </c>
      <c r="M76" s="30">
        <f t="shared" si="56"/>
        <v>0</v>
      </c>
      <c r="N76" s="30">
        <f t="shared" si="77"/>
        <v>3369.1584750256279</v>
      </c>
      <c r="O76" s="30">
        <f t="shared" si="70"/>
        <v>-18577.545235678052</v>
      </c>
      <c r="P76" s="31">
        <f t="shared" si="78"/>
        <v>3369.1584750256279</v>
      </c>
      <c r="Q76" s="32">
        <f t="shared" si="72"/>
        <v>-11737.545235678053</v>
      </c>
      <c r="R76" s="31">
        <f t="shared" si="79"/>
        <v>3369.1584750256279</v>
      </c>
      <c r="S76" s="32">
        <f t="shared" si="74"/>
        <v>-3377.5452356780488</v>
      </c>
      <c r="T76" s="1"/>
      <c r="U76" s="1"/>
      <c r="V76" s="2"/>
      <c r="W76" s="1"/>
      <c r="X76" s="3"/>
      <c r="Y76" s="3"/>
      <c r="Z76" s="3"/>
      <c r="AA76" s="3"/>
      <c r="AB76" s="3"/>
      <c r="AC76" s="3"/>
      <c r="AD76" s="3"/>
      <c r="AE76" s="3"/>
      <c r="AF76" s="3"/>
      <c r="AG76" s="8"/>
      <c r="AH76" s="8"/>
      <c r="AI76" s="8"/>
      <c r="AJ76" s="8"/>
      <c r="AK76" s="8"/>
      <c r="AL76" s="8"/>
      <c r="AM76" s="8"/>
      <c r="AN76" s="8"/>
    </row>
    <row r="77" spans="1:40" x14ac:dyDescent="0.2">
      <c r="A77" s="29">
        <f t="shared" ref="A77:B77" si="93">A21</f>
        <v>17</v>
      </c>
      <c r="B77" s="29">
        <f t="shared" si="93"/>
        <v>3427.603060816889</v>
      </c>
      <c r="D77" s="30">
        <f t="shared" si="60"/>
        <v>0</v>
      </c>
      <c r="E77" s="30">
        <f t="shared" si="61"/>
        <v>0</v>
      </c>
      <c r="F77" s="30">
        <f t="shared" si="62"/>
        <v>0</v>
      </c>
      <c r="G77" s="30">
        <f t="shared" si="50"/>
        <v>0</v>
      </c>
      <c r="H77" s="30">
        <f t="shared" si="51"/>
        <v>2399.322142571822</v>
      </c>
      <c r="I77" s="30">
        <f t="shared" si="52"/>
        <v>856.90076520422224</v>
      </c>
      <c r="J77" s="30">
        <f t="shared" si="53"/>
        <v>85.690076520422224</v>
      </c>
      <c r="K77" s="30">
        <f t="shared" si="54"/>
        <v>0</v>
      </c>
      <c r="L77" s="30">
        <f t="shared" si="55"/>
        <v>17.138015304084444</v>
      </c>
      <c r="M77" s="30">
        <f t="shared" si="56"/>
        <v>0</v>
      </c>
      <c r="N77" s="30">
        <f t="shared" si="77"/>
        <v>3359.0509996005512</v>
      </c>
      <c r="O77" s="30">
        <f t="shared" si="70"/>
        <v>-15218.4942360775</v>
      </c>
      <c r="P77" s="31">
        <f t="shared" si="78"/>
        <v>3359.0509996005512</v>
      </c>
      <c r="Q77" s="32">
        <f t="shared" si="72"/>
        <v>-8378.4942360775021</v>
      </c>
      <c r="R77" s="31">
        <f t="shared" si="79"/>
        <v>3359.0509996005512</v>
      </c>
      <c r="S77" s="32">
        <f t="shared" si="74"/>
        <v>-18.49423607749759</v>
      </c>
      <c r="T77" s="1"/>
      <c r="U77" s="1"/>
      <c r="V77" s="2"/>
      <c r="W77" s="1"/>
      <c r="X77" s="3"/>
      <c r="Y77" s="3"/>
      <c r="Z77" s="3"/>
      <c r="AA77" s="3"/>
      <c r="AB77" s="3"/>
      <c r="AC77" s="3"/>
      <c r="AD77" s="3"/>
      <c r="AE77" s="3"/>
      <c r="AF77" s="3"/>
      <c r="AG77" s="8"/>
      <c r="AH77" s="8"/>
      <c r="AI77" s="8"/>
      <c r="AJ77" s="8"/>
      <c r="AK77" s="8"/>
      <c r="AL77" s="8"/>
      <c r="AM77" s="8"/>
      <c r="AN77" s="8"/>
    </row>
    <row r="78" spans="1:40" x14ac:dyDescent="0.2">
      <c r="A78" s="29">
        <f t="shared" ref="A78:B78" si="94">A22</f>
        <v>18</v>
      </c>
      <c r="B78" s="29">
        <f t="shared" si="94"/>
        <v>3417.3202516344381</v>
      </c>
      <c r="D78" s="30">
        <f t="shared" si="60"/>
        <v>0</v>
      </c>
      <c r="E78" s="30">
        <f t="shared" si="61"/>
        <v>0</v>
      </c>
      <c r="F78" s="30">
        <f t="shared" si="62"/>
        <v>0</v>
      </c>
      <c r="G78" s="30">
        <f t="shared" si="50"/>
        <v>0</v>
      </c>
      <c r="H78" s="30">
        <f t="shared" si="51"/>
        <v>2392.1241761441065</v>
      </c>
      <c r="I78" s="30">
        <f t="shared" si="52"/>
        <v>854.33006290860953</v>
      </c>
      <c r="J78" s="30">
        <f t="shared" si="53"/>
        <v>85.433006290860959</v>
      </c>
      <c r="K78" s="30">
        <f t="shared" si="54"/>
        <v>0</v>
      </c>
      <c r="L78" s="30">
        <f t="shared" si="55"/>
        <v>17.086601258172191</v>
      </c>
      <c r="M78" s="30">
        <f t="shared" si="56"/>
        <v>0</v>
      </c>
      <c r="N78" s="30">
        <f t="shared" si="77"/>
        <v>3348.9738466017493</v>
      </c>
      <c r="O78" s="30">
        <f t="shared" si="70"/>
        <v>-11869.520389475751</v>
      </c>
      <c r="P78" s="31">
        <f t="shared" si="78"/>
        <v>3348.9738466017493</v>
      </c>
      <c r="Q78" s="32">
        <f t="shared" si="72"/>
        <v>-5029.5203894757524</v>
      </c>
      <c r="R78" s="31">
        <f t="shared" si="79"/>
        <v>3348.9738466017493</v>
      </c>
      <c r="S78" s="32">
        <f t="shared" si="74"/>
        <v>3330.4796105242517</v>
      </c>
      <c r="T78" s="1"/>
      <c r="U78" s="1"/>
      <c r="V78" s="2"/>
      <c r="W78" s="1"/>
      <c r="X78" s="3"/>
      <c r="Y78" s="3"/>
      <c r="Z78" s="3"/>
      <c r="AA78" s="3"/>
      <c r="AB78" s="3"/>
      <c r="AC78" s="3"/>
      <c r="AD78" s="3"/>
      <c r="AE78" s="3"/>
      <c r="AF78" s="3"/>
      <c r="AG78" s="8"/>
      <c r="AH78" s="8"/>
      <c r="AI78" s="8"/>
      <c r="AJ78" s="8"/>
      <c r="AK78" s="8"/>
      <c r="AL78" s="8"/>
      <c r="AM78" s="8"/>
      <c r="AN78" s="8"/>
    </row>
    <row r="79" spans="1:40" x14ac:dyDescent="0.2">
      <c r="A79" s="29">
        <f t="shared" ref="A79:B79" si="95">A23</f>
        <v>19</v>
      </c>
      <c r="B79" s="29">
        <f t="shared" si="95"/>
        <v>3407.0682908795352</v>
      </c>
      <c r="D79" s="30">
        <f t="shared" si="60"/>
        <v>0</v>
      </c>
      <c r="E79" s="30">
        <f t="shared" si="61"/>
        <v>0</v>
      </c>
      <c r="F79" s="30">
        <f t="shared" si="62"/>
        <v>0</v>
      </c>
      <c r="G79" s="30">
        <f t="shared" si="50"/>
        <v>0</v>
      </c>
      <c r="H79" s="30">
        <f t="shared" si="51"/>
        <v>2384.9478036156743</v>
      </c>
      <c r="I79" s="30">
        <f t="shared" si="52"/>
        <v>851.7670727198838</v>
      </c>
      <c r="J79" s="30">
        <f t="shared" si="53"/>
        <v>85.176707271988391</v>
      </c>
      <c r="K79" s="30">
        <f t="shared" si="54"/>
        <v>0</v>
      </c>
      <c r="L79" s="30">
        <f t="shared" si="55"/>
        <v>17.035341454397678</v>
      </c>
      <c r="M79" s="30">
        <f t="shared" si="56"/>
        <v>0</v>
      </c>
      <c r="N79" s="30">
        <f t="shared" si="77"/>
        <v>3338.9269250619445</v>
      </c>
      <c r="O79" s="30">
        <f t="shared" si="70"/>
        <v>-8530.5934644138069</v>
      </c>
      <c r="P79" s="31">
        <f t="shared" si="78"/>
        <v>3338.9269250619445</v>
      </c>
      <c r="Q79" s="32">
        <f t="shared" si="72"/>
        <v>-1690.5934644138079</v>
      </c>
      <c r="R79" s="31">
        <f t="shared" si="79"/>
        <v>3338.9269250619445</v>
      </c>
      <c r="S79" s="32">
        <f t="shared" si="74"/>
        <v>6669.4065355861967</v>
      </c>
      <c r="T79" s="1"/>
      <c r="U79" s="1"/>
      <c r="V79" s="2"/>
      <c r="W79" s="1"/>
      <c r="X79" s="3"/>
      <c r="Y79" s="3"/>
      <c r="Z79" s="3"/>
      <c r="AA79" s="3"/>
      <c r="AB79" s="3"/>
      <c r="AC79" s="3"/>
      <c r="AD79" s="3"/>
      <c r="AE79" s="3"/>
      <c r="AF79" s="3"/>
      <c r="AG79" s="8"/>
      <c r="AH79" s="8"/>
      <c r="AI79" s="8"/>
      <c r="AJ79" s="8"/>
      <c r="AK79" s="8"/>
      <c r="AL79" s="8"/>
      <c r="AM79" s="8"/>
      <c r="AN79" s="8"/>
    </row>
    <row r="80" spans="1:40" x14ac:dyDescent="0.2">
      <c r="A80" s="29">
        <f t="shared" ref="A80:B80" si="96">A24</f>
        <v>20</v>
      </c>
      <c r="B80" s="29">
        <f t="shared" si="96"/>
        <v>3396.8470860068965</v>
      </c>
      <c r="D80" s="30">
        <f t="shared" si="60"/>
        <v>0</v>
      </c>
      <c r="E80" s="30">
        <f t="shared" si="61"/>
        <v>0</v>
      </c>
      <c r="F80" s="30">
        <f t="shared" si="62"/>
        <v>0</v>
      </c>
      <c r="G80" s="30">
        <f t="shared" si="50"/>
        <v>0</v>
      </c>
      <c r="H80" s="30">
        <f t="shared" si="51"/>
        <v>2377.7929602048275</v>
      </c>
      <c r="I80" s="30">
        <f t="shared" si="52"/>
        <v>849.21177150172412</v>
      </c>
      <c r="J80" s="30">
        <f t="shared" si="53"/>
        <v>84.921177150172412</v>
      </c>
      <c r="K80" s="30">
        <f t="shared" si="54"/>
        <v>0</v>
      </c>
      <c r="L80" s="30">
        <f t="shared" si="55"/>
        <v>16.984235430034481</v>
      </c>
      <c r="M80" s="30">
        <f t="shared" si="56"/>
        <v>0</v>
      </c>
      <c r="N80" s="30">
        <f t="shared" si="77"/>
        <v>3328.9101442867586</v>
      </c>
      <c r="O80" s="30">
        <f t="shared" si="70"/>
        <v>-5201.6833201270483</v>
      </c>
      <c r="P80" s="31">
        <f t="shared" si="78"/>
        <v>3328.9101442867586</v>
      </c>
      <c r="Q80" s="32">
        <f t="shared" si="72"/>
        <v>1638.3166798729508</v>
      </c>
      <c r="R80" s="31">
        <f t="shared" si="79"/>
        <v>3328.9101442867586</v>
      </c>
      <c r="S80" s="32">
        <f t="shared" si="74"/>
        <v>9998.3166798729544</v>
      </c>
      <c r="T80" s="1"/>
      <c r="U80" s="1"/>
      <c r="V80" s="2"/>
      <c r="W80" s="1"/>
      <c r="X80" s="3"/>
      <c r="Y80" s="3"/>
      <c r="Z80" s="3"/>
      <c r="AA80" s="3"/>
      <c r="AB80" s="3"/>
      <c r="AC80" s="3"/>
      <c r="AD80" s="3"/>
      <c r="AE80" s="3"/>
      <c r="AF80" s="3"/>
      <c r="AG80" s="8"/>
      <c r="AH80" s="8"/>
      <c r="AI80" s="8"/>
      <c r="AJ80" s="8"/>
      <c r="AK80" s="8"/>
      <c r="AL80" s="8"/>
      <c r="AM80" s="8"/>
      <c r="AN80" s="8"/>
    </row>
    <row r="81" spans="1:40" x14ac:dyDescent="0.2">
      <c r="A81" s="29">
        <f t="shared" ref="A81:B81" si="97">A25</f>
        <v>21</v>
      </c>
      <c r="B81" s="29">
        <f t="shared" si="97"/>
        <v>3386.6565447488756</v>
      </c>
      <c r="D81" s="30">
        <f t="shared" si="60"/>
        <v>0</v>
      </c>
      <c r="E81" s="30">
        <f t="shared" si="61"/>
        <v>0</v>
      </c>
      <c r="F81" s="30">
        <f t="shared" si="62"/>
        <v>0</v>
      </c>
      <c r="G81" s="30">
        <f t="shared" si="50"/>
        <v>0</v>
      </c>
      <c r="H81" s="30">
        <f t="shared" si="51"/>
        <v>2370.6595813242129</v>
      </c>
      <c r="I81" s="30">
        <f t="shared" si="52"/>
        <v>846.6641361872189</v>
      </c>
      <c r="J81" s="30">
        <f t="shared" si="53"/>
        <v>84.66641361872189</v>
      </c>
      <c r="K81" s="30">
        <f t="shared" si="54"/>
        <v>0</v>
      </c>
      <c r="L81" s="30">
        <f t="shared" si="55"/>
        <v>16.933282723744377</v>
      </c>
      <c r="M81" s="30">
        <f t="shared" si="56"/>
        <v>0</v>
      </c>
      <c r="N81" s="30">
        <f t="shared" si="77"/>
        <v>3318.9234138538982</v>
      </c>
      <c r="O81" s="30">
        <f t="shared" si="70"/>
        <v>-1882.7599062731501</v>
      </c>
      <c r="P81" s="31">
        <f t="shared" si="78"/>
        <v>3318.9234138538982</v>
      </c>
      <c r="Q81" s="32">
        <f t="shared" si="72"/>
        <v>4957.2400937268485</v>
      </c>
      <c r="R81" s="31">
        <f t="shared" si="79"/>
        <v>3318.9234138538982</v>
      </c>
      <c r="S81" s="32">
        <f t="shared" si="74"/>
        <v>13317.240093726852</v>
      </c>
      <c r="T81" s="1"/>
      <c r="U81" s="1"/>
      <c r="V81" s="2"/>
      <c r="W81" s="1"/>
      <c r="X81" s="3"/>
      <c r="Y81" s="3"/>
      <c r="Z81" s="3"/>
      <c r="AA81" s="3"/>
      <c r="AB81" s="3"/>
      <c r="AC81" s="3"/>
      <c r="AD81" s="3"/>
      <c r="AE81" s="3"/>
      <c r="AF81" s="3"/>
      <c r="AG81" s="8"/>
      <c r="AH81" s="8"/>
      <c r="AI81" s="8"/>
      <c r="AJ81" s="8"/>
      <c r="AK81" s="8"/>
      <c r="AL81" s="8"/>
      <c r="AM81" s="8"/>
      <c r="AN81" s="8"/>
    </row>
    <row r="82" spans="1:40" x14ac:dyDescent="0.2">
      <c r="A82" s="29">
        <f t="shared" ref="A82:B82" si="98">A26</f>
        <v>22</v>
      </c>
      <c r="B82" s="29">
        <f t="shared" si="98"/>
        <v>3376.4965751146292</v>
      </c>
      <c r="D82" s="30">
        <f t="shared" si="60"/>
        <v>0</v>
      </c>
      <c r="E82" s="30">
        <f t="shared" si="61"/>
        <v>0</v>
      </c>
      <c r="F82" s="30">
        <f t="shared" si="62"/>
        <v>0</v>
      </c>
      <c r="G82" s="30">
        <f t="shared" si="50"/>
        <v>0</v>
      </c>
      <c r="H82" s="30">
        <f t="shared" si="51"/>
        <v>2363.5476025802404</v>
      </c>
      <c r="I82" s="30">
        <f t="shared" si="52"/>
        <v>844.1241437786573</v>
      </c>
      <c r="J82" s="30">
        <f t="shared" si="53"/>
        <v>84.41241437786573</v>
      </c>
      <c r="K82" s="30">
        <f t="shared" si="54"/>
        <v>0</v>
      </c>
      <c r="L82" s="30">
        <f t="shared" si="55"/>
        <v>16.882482875573146</v>
      </c>
      <c r="M82" s="30">
        <f t="shared" si="56"/>
        <v>0</v>
      </c>
      <c r="N82" s="30">
        <f t="shared" si="77"/>
        <v>3308.9666436123366</v>
      </c>
      <c r="O82" s="30">
        <f t="shared" si="70"/>
        <v>1426.2067373391865</v>
      </c>
      <c r="P82" s="31">
        <f t="shared" si="78"/>
        <v>3308.9666436123366</v>
      </c>
      <c r="Q82" s="32">
        <f t="shared" si="72"/>
        <v>8266.2067373391856</v>
      </c>
      <c r="R82" s="31">
        <f t="shared" si="79"/>
        <v>3308.9666436123366</v>
      </c>
      <c r="S82" s="32">
        <f t="shared" si="74"/>
        <v>16626.206737339187</v>
      </c>
      <c r="T82" s="1"/>
      <c r="U82" s="1"/>
      <c r="V82" s="2"/>
      <c r="W82" s="1"/>
      <c r="X82" s="3"/>
      <c r="Y82" s="3"/>
      <c r="Z82" s="3"/>
      <c r="AA82" s="3"/>
      <c r="AB82" s="3"/>
      <c r="AC82" s="3"/>
      <c r="AD82" s="3"/>
      <c r="AE82" s="3"/>
      <c r="AF82" s="3"/>
      <c r="AG82" s="8"/>
      <c r="AH82" s="8"/>
      <c r="AI82" s="8"/>
      <c r="AJ82" s="8"/>
      <c r="AK82" s="8"/>
      <c r="AL82" s="8"/>
      <c r="AM82" s="8"/>
      <c r="AN82" s="8"/>
    </row>
    <row r="83" spans="1:40" x14ac:dyDescent="0.2">
      <c r="A83" s="29">
        <f t="shared" ref="A83:B83" si="99">A27</f>
        <v>23</v>
      </c>
      <c r="B83" s="29">
        <f t="shared" si="99"/>
        <v>3366.3670853892854</v>
      </c>
      <c r="D83" s="30">
        <f t="shared" si="60"/>
        <v>0</v>
      </c>
      <c r="E83" s="30">
        <f t="shared" si="61"/>
        <v>0</v>
      </c>
      <c r="F83" s="30">
        <f t="shared" si="62"/>
        <v>0</v>
      </c>
      <c r="G83" s="30">
        <f t="shared" si="50"/>
        <v>0</v>
      </c>
      <c r="H83" s="30">
        <f t="shared" si="51"/>
        <v>2356.4569597724994</v>
      </c>
      <c r="I83" s="30">
        <f t="shared" si="52"/>
        <v>841.59177134732136</v>
      </c>
      <c r="J83" s="30">
        <f t="shared" si="53"/>
        <v>84.159177134732147</v>
      </c>
      <c r="K83" s="30">
        <f t="shared" si="54"/>
        <v>0</v>
      </c>
      <c r="L83" s="30">
        <f t="shared" si="55"/>
        <v>16.831835426946427</v>
      </c>
      <c r="M83" s="30">
        <f t="shared" si="56"/>
        <v>0</v>
      </c>
      <c r="N83" s="30">
        <f t="shared" si="77"/>
        <v>3299.0397436814992</v>
      </c>
      <c r="O83" s="30">
        <f t="shared" si="70"/>
        <v>4725.2464810206857</v>
      </c>
      <c r="P83" s="31">
        <f t="shared" si="78"/>
        <v>3299.0397436814992</v>
      </c>
      <c r="Q83" s="32">
        <f t="shared" si="72"/>
        <v>11565.246481020684</v>
      </c>
      <c r="R83" s="31">
        <f t="shared" si="79"/>
        <v>3299.0397436814992</v>
      </c>
      <c r="S83" s="32">
        <f t="shared" si="74"/>
        <v>19925.246481020687</v>
      </c>
      <c r="T83" s="1"/>
      <c r="U83" s="1"/>
      <c r="V83" s="2"/>
      <c r="W83" s="1"/>
      <c r="X83" s="3"/>
      <c r="Y83" s="3"/>
      <c r="Z83" s="3"/>
      <c r="AA83" s="3"/>
      <c r="AB83" s="3"/>
      <c r="AC83" s="3"/>
      <c r="AD83" s="3"/>
      <c r="AE83" s="3"/>
      <c r="AF83" s="3"/>
      <c r="AG83" s="8"/>
      <c r="AH83" s="8"/>
      <c r="AI83" s="8"/>
      <c r="AJ83" s="8"/>
      <c r="AK83" s="8"/>
      <c r="AL83" s="8"/>
      <c r="AM83" s="8"/>
      <c r="AN83" s="8"/>
    </row>
    <row r="84" spans="1:40" x14ac:dyDescent="0.2">
      <c r="A84" s="29">
        <f t="shared" ref="A84:B84" si="100">A28</f>
        <v>24</v>
      </c>
      <c r="B84" s="29">
        <f t="shared" si="100"/>
        <v>3356.2679841331178</v>
      </c>
      <c r="D84" s="30">
        <f t="shared" si="60"/>
        <v>0</v>
      </c>
      <c r="E84" s="30">
        <f t="shared" si="61"/>
        <v>0</v>
      </c>
      <c r="F84" s="30">
        <f t="shared" si="62"/>
        <v>0</v>
      </c>
      <c r="G84" s="30">
        <f t="shared" si="50"/>
        <v>0</v>
      </c>
      <c r="H84" s="30">
        <f t="shared" si="51"/>
        <v>2349.3875888931825</v>
      </c>
      <c r="I84" s="30">
        <f t="shared" si="52"/>
        <v>839.06699603327945</v>
      </c>
      <c r="J84" s="30">
        <f t="shared" si="53"/>
        <v>83.906699603327951</v>
      </c>
      <c r="K84" s="30">
        <f t="shared" si="54"/>
        <v>0</v>
      </c>
      <c r="L84" s="30">
        <f t="shared" si="55"/>
        <v>16.781339920665591</v>
      </c>
      <c r="M84" s="30">
        <f t="shared" si="56"/>
        <v>0</v>
      </c>
      <c r="N84" s="30">
        <f t="shared" si="77"/>
        <v>3289.1426244504555</v>
      </c>
      <c r="O84" s="30">
        <f t="shared" si="70"/>
        <v>8014.3891054711412</v>
      </c>
      <c r="P84" s="31">
        <f t="shared" si="78"/>
        <v>3289.1426244504555</v>
      </c>
      <c r="Q84" s="32">
        <f t="shared" si="72"/>
        <v>14854.389105471138</v>
      </c>
      <c r="R84" s="31">
        <f t="shared" si="79"/>
        <v>3289.1426244504555</v>
      </c>
      <c r="S84" s="32">
        <f t="shared" si="74"/>
        <v>23214.389105471142</v>
      </c>
      <c r="T84" s="1"/>
      <c r="U84" s="1"/>
      <c r="V84" s="2"/>
      <c r="W84" s="1"/>
      <c r="X84" s="3"/>
      <c r="Y84" s="3"/>
      <c r="Z84" s="3"/>
      <c r="AA84" s="3"/>
      <c r="AB84" s="3"/>
      <c r="AC84" s="3"/>
      <c r="AD84" s="3"/>
      <c r="AE84" s="3"/>
      <c r="AF84" s="3"/>
      <c r="AG84" s="8"/>
      <c r="AH84" s="8"/>
      <c r="AI84" s="8"/>
      <c r="AJ84" s="8"/>
      <c r="AK84" s="8"/>
      <c r="AL84" s="8"/>
      <c r="AM84" s="8"/>
      <c r="AN84" s="8"/>
    </row>
    <row r="85" spans="1:40" x14ac:dyDescent="0.2">
      <c r="A85" s="29">
        <f t="shared" ref="A85:B85" si="101">A29</f>
        <v>25</v>
      </c>
      <c r="B85" s="29">
        <f t="shared" si="101"/>
        <v>3346.199180180718</v>
      </c>
      <c r="D85" s="30">
        <f t="shared" si="60"/>
        <v>0</v>
      </c>
      <c r="E85" s="30">
        <f t="shared" si="61"/>
        <v>0</v>
      </c>
      <c r="F85" s="30">
        <f t="shared" si="62"/>
        <v>0</v>
      </c>
      <c r="G85" s="30">
        <f t="shared" si="50"/>
        <v>0</v>
      </c>
      <c r="H85" s="30">
        <f t="shared" si="51"/>
        <v>2342.3394261265025</v>
      </c>
      <c r="I85" s="30">
        <f t="shared" si="52"/>
        <v>836.54979504517951</v>
      </c>
      <c r="J85" s="30">
        <f t="shared" si="53"/>
        <v>83.654979504517954</v>
      </c>
      <c r="K85" s="30">
        <f t="shared" si="54"/>
        <v>0</v>
      </c>
      <c r="L85" s="30">
        <f t="shared" si="55"/>
        <v>16.73099590090359</v>
      </c>
      <c r="M85" s="30">
        <f t="shared" si="56"/>
        <v>0</v>
      </c>
      <c r="N85" s="30">
        <f t="shared" si="77"/>
        <v>3279.2751965771035</v>
      </c>
      <c r="O85" s="30">
        <f t="shared" si="70"/>
        <v>11293.664302048244</v>
      </c>
      <c r="P85" s="31">
        <f t="shared" si="78"/>
        <v>3279.2751965771035</v>
      </c>
      <c r="Q85" s="32">
        <f t="shared" si="72"/>
        <v>18133.664302048241</v>
      </c>
      <c r="R85" s="31">
        <f t="shared" si="79"/>
        <v>3279.2751965771035</v>
      </c>
      <c r="S85" s="32">
        <f t="shared" si="74"/>
        <v>26493.664302048244</v>
      </c>
      <c r="T85" s="1"/>
      <c r="U85" s="1"/>
      <c r="V85" s="2"/>
      <c r="W85" s="1"/>
      <c r="X85" s="3"/>
      <c r="Y85" s="3"/>
      <c r="Z85" s="3"/>
      <c r="AA85" s="3"/>
      <c r="AB85" s="3"/>
      <c r="AC85" s="3"/>
      <c r="AD85" s="3"/>
      <c r="AE85" s="3"/>
      <c r="AF85" s="3"/>
      <c r="AG85" s="8"/>
      <c r="AH85" s="8"/>
      <c r="AI85" s="8"/>
      <c r="AJ85" s="8"/>
      <c r="AK85" s="8"/>
      <c r="AL85" s="8"/>
      <c r="AM85" s="8"/>
      <c r="AN85" s="8"/>
    </row>
    <row r="86" spans="1:40" x14ac:dyDescent="0.2">
      <c r="A86" s="29">
        <f t="shared" ref="A86:B86" si="102">A30</f>
        <v>26</v>
      </c>
      <c r="B86" s="29">
        <f t="shared" si="102"/>
        <v>3336.1605826401756</v>
      </c>
      <c r="D86" s="30">
        <f t="shared" si="60"/>
        <v>0</v>
      </c>
      <c r="E86" s="30">
        <f t="shared" si="61"/>
        <v>0</v>
      </c>
      <c r="F86" s="30">
        <f t="shared" si="62"/>
        <v>0</v>
      </c>
      <c r="G86" s="30">
        <f t="shared" si="50"/>
        <v>0</v>
      </c>
      <c r="H86" s="30">
        <f t="shared" si="51"/>
        <v>2335.3124078481228</v>
      </c>
      <c r="I86" s="30">
        <f t="shared" si="52"/>
        <v>834.04014566004389</v>
      </c>
      <c r="J86" s="30">
        <f t="shared" si="53"/>
        <v>83.404014566004392</v>
      </c>
      <c r="K86" s="30">
        <f t="shared" si="54"/>
        <v>0</v>
      </c>
      <c r="L86" s="30">
        <f t="shared" si="55"/>
        <v>16.680802913200878</v>
      </c>
      <c r="M86" s="30">
        <f t="shared" si="56"/>
        <v>0</v>
      </c>
      <c r="N86" s="30">
        <f t="shared" si="77"/>
        <v>3269.4373709873717</v>
      </c>
      <c r="O86" s="30">
        <f t="shared" si="70"/>
        <v>14563.101673035617</v>
      </c>
      <c r="P86" s="31">
        <f t="shared" si="78"/>
        <v>3269.4373709873717</v>
      </c>
      <c r="Q86" s="32">
        <f t="shared" si="72"/>
        <v>21403.101673035613</v>
      </c>
      <c r="R86" s="31">
        <f t="shared" si="79"/>
        <v>3269.4373709873717</v>
      </c>
      <c r="S86" s="32">
        <f t="shared" si="74"/>
        <v>29763.101673035617</v>
      </c>
      <c r="T86" s="1"/>
      <c r="U86" s="1"/>
      <c r="V86" s="2"/>
      <c r="W86" s="1"/>
      <c r="X86" s="3"/>
      <c r="Y86" s="3"/>
      <c r="Z86" s="3"/>
      <c r="AA86" s="3"/>
      <c r="AB86" s="3"/>
      <c r="AC86" s="3"/>
      <c r="AD86" s="3"/>
      <c r="AE86" s="3"/>
      <c r="AF86" s="3"/>
      <c r="AG86" s="8"/>
      <c r="AH86" s="8"/>
      <c r="AI86" s="8"/>
      <c r="AJ86" s="8"/>
      <c r="AK86" s="8"/>
      <c r="AL86" s="8"/>
      <c r="AM86" s="8"/>
      <c r="AN86" s="8"/>
    </row>
    <row r="87" spans="1:40" x14ac:dyDescent="0.2">
      <c r="A87" s="29">
        <f t="shared" ref="A87:B87" si="103">A31</f>
        <v>27</v>
      </c>
      <c r="B87" s="29">
        <f t="shared" si="103"/>
        <v>3326.1521008922559</v>
      </c>
      <c r="D87" s="30">
        <f t="shared" si="60"/>
        <v>0</v>
      </c>
      <c r="E87" s="30">
        <f t="shared" si="61"/>
        <v>0</v>
      </c>
      <c r="F87" s="30">
        <f t="shared" si="62"/>
        <v>0</v>
      </c>
      <c r="G87" s="30">
        <f t="shared" si="50"/>
        <v>0</v>
      </c>
      <c r="H87" s="30">
        <f t="shared" si="51"/>
        <v>2328.3064706245791</v>
      </c>
      <c r="I87" s="30">
        <f t="shared" si="52"/>
        <v>831.53802522306398</v>
      </c>
      <c r="J87" s="30">
        <f t="shared" si="53"/>
        <v>83.153802522306407</v>
      </c>
      <c r="K87" s="30">
        <f t="shared" si="54"/>
        <v>0</v>
      </c>
      <c r="L87" s="30">
        <f t="shared" si="55"/>
        <v>16.630760504461279</v>
      </c>
      <c r="M87" s="30">
        <f t="shared" si="56"/>
        <v>0</v>
      </c>
      <c r="N87" s="30">
        <f t="shared" si="77"/>
        <v>3259.6290588744105</v>
      </c>
      <c r="O87" s="30">
        <f t="shared" si="70"/>
        <v>17822.730731910029</v>
      </c>
      <c r="P87" s="31">
        <f t="shared" si="78"/>
        <v>3259.6290588744105</v>
      </c>
      <c r="Q87" s="32">
        <f t="shared" si="72"/>
        <v>24662.730731910022</v>
      </c>
      <c r="R87" s="31">
        <f t="shared" si="79"/>
        <v>3259.6290588744105</v>
      </c>
      <c r="S87" s="32">
        <f t="shared" si="74"/>
        <v>33022.730731910029</v>
      </c>
      <c r="T87" s="1"/>
      <c r="U87" s="1"/>
      <c r="V87" s="2"/>
      <c r="W87" s="1"/>
      <c r="X87" s="3"/>
      <c r="Y87" s="3"/>
      <c r="Z87" s="3"/>
      <c r="AA87" s="3"/>
      <c r="AB87" s="3"/>
      <c r="AC87" s="3"/>
      <c r="AD87" s="3"/>
      <c r="AE87" s="3"/>
      <c r="AF87" s="3"/>
      <c r="AG87" s="8"/>
      <c r="AH87" s="8"/>
      <c r="AI87" s="8"/>
      <c r="AJ87" s="8"/>
      <c r="AK87" s="8"/>
      <c r="AL87" s="8"/>
      <c r="AM87" s="8"/>
      <c r="AN87" s="8"/>
    </row>
    <row r="88" spans="1:40" x14ac:dyDescent="0.2">
      <c r="A88" s="29">
        <f t="shared" ref="A88:B88" si="104">A32</f>
        <v>28</v>
      </c>
      <c r="B88" s="29">
        <f t="shared" si="104"/>
        <v>3316.173644589579</v>
      </c>
      <c r="D88" s="30">
        <f t="shared" si="60"/>
        <v>0</v>
      </c>
      <c r="E88" s="30">
        <f t="shared" si="61"/>
        <v>0</v>
      </c>
      <c r="F88" s="30">
        <f t="shared" si="62"/>
        <v>0</v>
      </c>
      <c r="G88" s="30">
        <f t="shared" si="50"/>
        <v>0</v>
      </c>
      <c r="H88" s="30">
        <f t="shared" si="51"/>
        <v>2321.3215512127053</v>
      </c>
      <c r="I88" s="30">
        <f t="shared" si="52"/>
        <v>829.04341114739475</v>
      </c>
      <c r="J88" s="30">
        <f t="shared" si="53"/>
        <v>82.904341114739481</v>
      </c>
      <c r="K88" s="30">
        <f t="shared" si="54"/>
        <v>0</v>
      </c>
      <c r="L88" s="30">
        <f t="shared" si="55"/>
        <v>16.580868222947895</v>
      </c>
      <c r="M88" s="30">
        <f t="shared" si="56"/>
        <v>0</v>
      </c>
      <c r="N88" s="30">
        <f t="shared" si="77"/>
        <v>3249.8501716977876</v>
      </c>
      <c r="O88" s="30">
        <f t="shared" si="70"/>
        <v>21072.580903607817</v>
      </c>
      <c r="P88" s="31">
        <f t="shared" si="78"/>
        <v>3249.8501716977876</v>
      </c>
      <c r="Q88" s="32">
        <f t="shared" si="72"/>
        <v>27912.58090360781</v>
      </c>
      <c r="R88" s="31">
        <f t="shared" si="79"/>
        <v>3249.8501716977876</v>
      </c>
      <c r="S88" s="32">
        <f t="shared" si="74"/>
        <v>36272.580903607814</v>
      </c>
      <c r="T88" s="1"/>
      <c r="U88" s="1"/>
      <c r="V88" s="2"/>
      <c r="W88" s="1"/>
      <c r="X88" s="3"/>
      <c r="Y88" s="3"/>
      <c r="Z88" s="3"/>
      <c r="AA88" s="3"/>
      <c r="AB88" s="3"/>
      <c r="AC88" s="3"/>
      <c r="AD88" s="3"/>
      <c r="AE88" s="3"/>
      <c r="AF88" s="3"/>
      <c r="AG88" s="8"/>
      <c r="AH88" s="8"/>
      <c r="AI88" s="8"/>
      <c r="AJ88" s="8"/>
      <c r="AK88" s="8"/>
      <c r="AL88" s="8"/>
      <c r="AM88" s="8"/>
      <c r="AN88" s="8"/>
    </row>
    <row r="89" spans="1:40" x14ac:dyDescent="0.2">
      <c r="A89" s="29">
        <f t="shared" ref="A89:B89" si="105">A33</f>
        <v>29</v>
      </c>
      <c r="B89" s="29">
        <f t="shared" si="105"/>
        <v>3306.22512365581</v>
      </c>
      <c r="D89" s="30">
        <f t="shared" si="60"/>
        <v>0</v>
      </c>
      <c r="E89" s="30">
        <f t="shared" si="61"/>
        <v>0</v>
      </c>
      <c r="F89" s="30">
        <f t="shared" si="62"/>
        <v>0</v>
      </c>
      <c r="G89" s="30">
        <f t="shared" si="50"/>
        <v>0</v>
      </c>
      <c r="H89" s="30">
        <f t="shared" si="51"/>
        <v>2314.3575865590669</v>
      </c>
      <c r="I89" s="30">
        <f t="shared" si="52"/>
        <v>826.55628091395249</v>
      </c>
      <c r="J89" s="30">
        <f t="shared" si="53"/>
        <v>82.655628091395258</v>
      </c>
      <c r="K89" s="30">
        <f t="shared" si="54"/>
        <v>0</v>
      </c>
      <c r="L89" s="30">
        <f t="shared" si="55"/>
        <v>16.531125618279049</v>
      </c>
      <c r="M89" s="30">
        <f t="shared" si="56"/>
        <v>0</v>
      </c>
      <c r="N89" s="30">
        <f t="shared" si="77"/>
        <v>3240.1006211826934</v>
      </c>
      <c r="O89" s="30">
        <f t="shared" si="70"/>
        <v>24312.681524790511</v>
      </c>
      <c r="P89" s="31">
        <f t="shared" si="78"/>
        <v>3240.1006211826934</v>
      </c>
      <c r="Q89" s="32">
        <f t="shared" si="72"/>
        <v>31152.681524790503</v>
      </c>
      <c r="R89" s="31">
        <f t="shared" si="79"/>
        <v>3240.1006211826934</v>
      </c>
      <c r="S89" s="32">
        <f t="shared" si="74"/>
        <v>39512.681524790503</v>
      </c>
    </row>
    <row r="90" spans="1:40" x14ac:dyDescent="0.2">
      <c r="A90" s="29">
        <f t="shared" ref="A90:B90" si="106">A34</f>
        <v>30</v>
      </c>
      <c r="B90" s="29">
        <f t="shared" si="106"/>
        <v>3296.3064482848426</v>
      </c>
      <c r="D90" s="30">
        <f t="shared" si="60"/>
        <v>0</v>
      </c>
      <c r="E90" s="30">
        <f t="shared" si="61"/>
        <v>0</v>
      </c>
      <c r="F90" s="30">
        <f t="shared" si="62"/>
        <v>0</v>
      </c>
      <c r="G90" s="30">
        <f t="shared" si="50"/>
        <v>0</v>
      </c>
      <c r="H90" s="30">
        <f t="shared" si="51"/>
        <v>2307.4145137993896</v>
      </c>
      <c r="I90" s="30">
        <f t="shared" si="52"/>
        <v>824.07661207121066</v>
      </c>
      <c r="J90" s="30">
        <f t="shared" si="53"/>
        <v>82.407661207121066</v>
      </c>
      <c r="K90" s="30">
        <f t="shared" si="54"/>
        <v>0</v>
      </c>
      <c r="L90" s="30">
        <f t="shared" si="55"/>
        <v>16.481532241424212</v>
      </c>
      <c r="M90" s="30">
        <f t="shared" si="56"/>
        <v>0</v>
      </c>
      <c r="N90" s="30">
        <f t="shared" si="77"/>
        <v>3230.3803193191457</v>
      </c>
      <c r="O90" s="30">
        <f t="shared" si="70"/>
        <v>27543.061844109656</v>
      </c>
      <c r="P90" s="31">
        <f t="shared" si="78"/>
        <v>3230.3803193191457</v>
      </c>
      <c r="Q90" s="32">
        <f t="shared" si="72"/>
        <v>34383.061844109652</v>
      </c>
      <c r="R90" s="31">
        <f t="shared" si="79"/>
        <v>3230.3803193191457</v>
      </c>
      <c r="S90" s="32">
        <f t="shared" si="74"/>
        <v>42743.061844109652</v>
      </c>
    </row>
    <row r="91" spans="1:40" x14ac:dyDescent="0.2">
      <c r="A91" s="29">
        <f t="shared" ref="A91:B91" si="107">A35</f>
        <v>31</v>
      </c>
      <c r="B91" s="29">
        <f t="shared" si="107"/>
        <v>0</v>
      </c>
      <c r="D91" s="30">
        <f t="shared" si="60"/>
        <v>0</v>
      </c>
      <c r="E91" s="30">
        <f t="shared" si="61"/>
        <v>0</v>
      </c>
      <c r="F91" s="30">
        <f t="shared" si="62"/>
        <v>0</v>
      </c>
      <c r="G91" s="30">
        <f t="shared" si="50"/>
        <v>0</v>
      </c>
      <c r="H91" s="30">
        <f t="shared" si="51"/>
        <v>0</v>
      </c>
      <c r="I91" s="30">
        <f t="shared" si="52"/>
        <v>0</v>
      </c>
      <c r="J91" s="30">
        <f t="shared" si="53"/>
        <v>0</v>
      </c>
      <c r="K91" s="30">
        <f t="shared" si="54"/>
        <v>0</v>
      </c>
      <c r="L91" s="30">
        <f t="shared" si="55"/>
        <v>0</v>
      </c>
      <c r="M91" s="30">
        <f t="shared" si="56"/>
        <v>0</v>
      </c>
      <c r="N91" s="30">
        <f t="shared" si="77"/>
        <v>0</v>
      </c>
      <c r="O91" s="30">
        <f t="shared" si="70"/>
        <v>0</v>
      </c>
      <c r="P91" s="31">
        <f t="shared" si="78"/>
        <v>0</v>
      </c>
      <c r="Q91" s="32">
        <f t="shared" si="72"/>
        <v>0</v>
      </c>
      <c r="R91" s="31">
        <f t="shared" si="79"/>
        <v>0</v>
      </c>
      <c r="S91" s="32">
        <f t="shared" si="74"/>
        <v>0</v>
      </c>
    </row>
    <row r="92" spans="1:40" x14ac:dyDescent="0.2">
      <c r="A92" s="29">
        <f t="shared" ref="A92:B92" si="108">A36</f>
        <v>32</v>
      </c>
      <c r="B92" s="29">
        <f t="shared" si="108"/>
        <v>0</v>
      </c>
      <c r="D92" s="30">
        <f t="shared" si="60"/>
        <v>0</v>
      </c>
      <c r="E92" s="30">
        <f t="shared" si="61"/>
        <v>0</v>
      </c>
      <c r="F92" s="30">
        <f t="shared" si="62"/>
        <v>0</v>
      </c>
      <c r="G92" s="30">
        <f t="shared" ref="G92:G110" si="109">IF(A92&lt;=Ekonomisk_livslängd,-(Årlig_fast_driftkostnad+Årlig_rörlig_driftkostnad),0)</f>
        <v>0</v>
      </c>
      <c r="H92" s="30">
        <f t="shared" si="51"/>
        <v>0</v>
      </c>
      <c r="I92" s="30">
        <f t="shared" si="52"/>
        <v>0</v>
      </c>
      <c r="J92" s="30">
        <f t="shared" si="53"/>
        <v>0</v>
      </c>
      <c r="K92" s="30">
        <f t="shared" si="54"/>
        <v>0</v>
      </c>
      <c r="L92" s="30">
        <f t="shared" si="55"/>
        <v>0</v>
      </c>
      <c r="M92" s="30">
        <f t="shared" si="56"/>
        <v>0</v>
      </c>
      <c r="N92" s="30">
        <f t="shared" si="77"/>
        <v>0</v>
      </c>
      <c r="O92" s="30">
        <f t="shared" si="70"/>
        <v>0</v>
      </c>
      <c r="P92" s="31">
        <f t="shared" si="78"/>
        <v>0</v>
      </c>
      <c r="Q92" s="32">
        <f t="shared" si="72"/>
        <v>0</v>
      </c>
      <c r="R92" s="31">
        <f t="shared" si="79"/>
        <v>0</v>
      </c>
      <c r="S92" s="32">
        <f t="shared" si="74"/>
        <v>0</v>
      </c>
    </row>
    <row r="93" spans="1:40" x14ac:dyDescent="0.2">
      <c r="A93" s="29">
        <f t="shared" ref="A93:B93" si="110">A37</f>
        <v>33</v>
      </c>
      <c r="B93" s="29">
        <f t="shared" si="110"/>
        <v>0</v>
      </c>
      <c r="D93" s="30">
        <f t="shared" ref="D93:D110" si="111">IF(AND(A37/Antal_år_till_byte_av_växelriktare&lt;=Antal_byten_av_växelriktare,A37&lt;Ekonomisk_livslängd,OR(A37/Antal_år_till_byte_av_växelriktare=1,A37/Antal_år_till_byte_av_växelriktare=2,A37/Antal_år_till_byte_av_växelriktare=3)),-(Kostnad_växelriktarbyte*Installerad_effekt),0)+IF(A37=Ekonomisk_livslängd,(Restvärde-Rivningskostnad),0)</f>
        <v>0</v>
      </c>
      <c r="E93" s="30">
        <f t="shared" ref="E93:E110" si="112">IF(AND(A37/Antal_år_till_byte_av_växelriktare&lt;=Antal_byten_av_växelriktare,A37&lt;Ekonomisk_livslängd,OR(A37/Antal_år_till_byte_av_växelriktare=1,A37/Antal_år_till_byte_av_växelriktare=2,A37/Antal_år_till_byte_av_växelriktare=3)),-(Kostnad_växelriktarbyte*Installerad_effekt),0)+IF(A37=Ekonomisk_livslängd,(Restvärde-Rivningskostnad),0)</f>
        <v>0</v>
      </c>
      <c r="F93" s="30">
        <f t="shared" ref="F93:F110" si="113">IF(AND(A37/Antal_år_till_byte_av_växelriktare&lt;=Antal_byten_av_växelriktare,A37&lt;Ekonomisk_livslängd,OR(A37/Antal_år_till_byte_av_växelriktare=1,A37/Antal_år_till_byte_av_växelriktare=2,A37/Antal_år_till_byte_av_växelriktare=3)),-(Kostnad_växelriktarbyte*Installerad_effekt),0)+IF(A37=Ekonomisk_livslängd,(Restvärde-Rivningskostnad),0)</f>
        <v>0</v>
      </c>
      <c r="G93" s="30">
        <f t="shared" si="109"/>
        <v>0</v>
      </c>
      <c r="H93" s="30">
        <f t="shared" ref="H93:H110" si="114">IF(Ekonomisk_livslängd&gt;=A93,B93*Andel_egenanvänd_el*Pris_köpt_el,0)</f>
        <v>0</v>
      </c>
      <c r="I93" s="30">
        <f t="shared" ref="I93:I110" si="115">IF(Ekonomisk_livslängd&gt;=A93,B93*(1-Andel_egenanvänd_el)*Pris_såld_el,0)</f>
        <v>0</v>
      </c>
      <c r="J93" s="30">
        <f t="shared" ref="J93:J110" si="116">IF(Ekonomisk_livslängd&gt;=A93,B93*Ersättning_från_nätägare*(1-Andel_egenanvänd_el),0)</f>
        <v>0</v>
      </c>
      <c r="K93" s="30">
        <f t="shared" ref="K93:K110" si="117">IF(Elcertifikatår&gt;=A93,B93*Andel_elcertifikattilldelning*(1-Kvotplikt_medelvärde)*Elcertifikatvärde,0)</f>
        <v>0</v>
      </c>
      <c r="L93" s="30">
        <f t="shared" ref="L93:L110" si="118">IF(Ekonomisk_livslängd&gt;=A93,B93*Ursprungsgarantier_värde,0)</f>
        <v>0</v>
      </c>
      <c r="M93" s="30">
        <f t="shared" ref="M93:M110" si="119">IF(AND(Ekonomisk_livslängd&gt;=A93,Antal_år_med_skattereduktion&gt;=A93),IF(B93*(1-Andel_egenanvänd_el)*Skattereduktion&gt;Tak_skattereduktion,18000/(1+Kalkylränta)^A93,B93*(1-Andel_egenanvänd_el)*Skattereduktion),0)</f>
        <v>0</v>
      </c>
      <c r="N93" s="30">
        <f t="shared" si="77"/>
        <v>0</v>
      </c>
      <c r="O93" s="30">
        <f t="shared" ref="O93:O110" si="120">IF(A93&lt;=Ekonomisk_livslängd,O92+N93,0)</f>
        <v>0</v>
      </c>
      <c r="P93" s="31">
        <f t="shared" si="78"/>
        <v>0</v>
      </c>
      <c r="Q93" s="32">
        <f t="shared" ref="Q93:Q110" si="121">IF(A93&lt;=Ekonomisk_livslängd,Q92+P93,0)</f>
        <v>0</v>
      </c>
      <c r="R93" s="31">
        <f t="shared" si="79"/>
        <v>0</v>
      </c>
      <c r="S93" s="32">
        <f t="shared" ref="S93:S110" si="122">IF(A93&lt;=Ekonomisk_livslängd,S92+R93,0)</f>
        <v>0</v>
      </c>
    </row>
    <row r="94" spans="1:40" x14ac:dyDescent="0.2">
      <c r="A94" s="29">
        <f t="shared" ref="A94:B94" si="123">A38</f>
        <v>34</v>
      </c>
      <c r="B94" s="29">
        <f t="shared" si="123"/>
        <v>0</v>
      </c>
      <c r="D94" s="30">
        <f t="shared" si="111"/>
        <v>0</v>
      </c>
      <c r="E94" s="30">
        <f t="shared" si="112"/>
        <v>0</v>
      </c>
      <c r="F94" s="30">
        <f t="shared" si="113"/>
        <v>0</v>
      </c>
      <c r="G94" s="30">
        <f t="shared" si="109"/>
        <v>0</v>
      </c>
      <c r="H94" s="30">
        <f t="shared" si="114"/>
        <v>0</v>
      </c>
      <c r="I94" s="30">
        <f t="shared" si="115"/>
        <v>0</v>
      </c>
      <c r="J94" s="30">
        <f t="shared" si="116"/>
        <v>0</v>
      </c>
      <c r="K94" s="30">
        <f t="shared" si="117"/>
        <v>0</v>
      </c>
      <c r="L94" s="30">
        <f t="shared" si="118"/>
        <v>0</v>
      </c>
      <c r="M94" s="30">
        <f t="shared" si="119"/>
        <v>0</v>
      </c>
      <c r="N94" s="30">
        <f t="shared" si="77"/>
        <v>0</v>
      </c>
      <c r="O94" s="30">
        <f t="shared" si="120"/>
        <v>0</v>
      </c>
      <c r="P94" s="31">
        <f t="shared" si="78"/>
        <v>0</v>
      </c>
      <c r="Q94" s="32">
        <f t="shared" si="121"/>
        <v>0</v>
      </c>
      <c r="R94" s="31">
        <f t="shared" si="79"/>
        <v>0</v>
      </c>
      <c r="S94" s="32">
        <f t="shared" si="122"/>
        <v>0</v>
      </c>
    </row>
    <row r="95" spans="1:40" x14ac:dyDescent="0.2">
      <c r="A95" s="29">
        <f t="shared" ref="A95:B95" si="124">A39</f>
        <v>35</v>
      </c>
      <c r="B95" s="29">
        <f t="shared" si="124"/>
        <v>0</v>
      </c>
      <c r="D95" s="30">
        <f t="shared" si="111"/>
        <v>0</v>
      </c>
      <c r="E95" s="30">
        <f t="shared" si="112"/>
        <v>0</v>
      </c>
      <c r="F95" s="30">
        <f t="shared" si="113"/>
        <v>0</v>
      </c>
      <c r="G95" s="30">
        <f t="shared" si="109"/>
        <v>0</v>
      </c>
      <c r="H95" s="30">
        <f t="shared" si="114"/>
        <v>0</v>
      </c>
      <c r="I95" s="30">
        <f t="shared" si="115"/>
        <v>0</v>
      </c>
      <c r="J95" s="30">
        <f t="shared" si="116"/>
        <v>0</v>
      </c>
      <c r="K95" s="30">
        <f t="shared" si="117"/>
        <v>0</v>
      </c>
      <c r="L95" s="30">
        <f t="shared" si="118"/>
        <v>0</v>
      </c>
      <c r="M95" s="30">
        <f t="shared" si="119"/>
        <v>0</v>
      </c>
      <c r="N95" s="30">
        <f t="shared" si="77"/>
        <v>0</v>
      </c>
      <c r="O95" s="30">
        <f t="shared" si="120"/>
        <v>0</v>
      </c>
      <c r="P95" s="31">
        <f t="shared" si="78"/>
        <v>0</v>
      </c>
      <c r="Q95" s="32">
        <f t="shared" si="121"/>
        <v>0</v>
      </c>
      <c r="R95" s="31">
        <f t="shared" si="79"/>
        <v>0</v>
      </c>
      <c r="S95" s="32">
        <f t="shared" si="122"/>
        <v>0</v>
      </c>
    </row>
    <row r="96" spans="1:40" x14ac:dyDescent="0.2">
      <c r="A96" s="29">
        <f t="shared" ref="A96:B96" si="125">A40</f>
        <v>36</v>
      </c>
      <c r="B96" s="29">
        <f t="shared" si="125"/>
        <v>0</v>
      </c>
      <c r="D96" s="30">
        <f t="shared" si="111"/>
        <v>0</v>
      </c>
      <c r="E96" s="30">
        <f t="shared" si="112"/>
        <v>0</v>
      </c>
      <c r="F96" s="30">
        <f t="shared" si="113"/>
        <v>0</v>
      </c>
      <c r="G96" s="30">
        <f t="shared" si="109"/>
        <v>0</v>
      </c>
      <c r="H96" s="30">
        <f t="shared" si="114"/>
        <v>0</v>
      </c>
      <c r="I96" s="30">
        <f t="shared" si="115"/>
        <v>0</v>
      </c>
      <c r="J96" s="30">
        <f t="shared" si="116"/>
        <v>0</v>
      </c>
      <c r="K96" s="30">
        <f t="shared" si="117"/>
        <v>0</v>
      </c>
      <c r="L96" s="30">
        <f t="shared" si="118"/>
        <v>0</v>
      </c>
      <c r="M96" s="30">
        <f t="shared" si="119"/>
        <v>0</v>
      </c>
      <c r="N96" s="30">
        <f t="shared" si="77"/>
        <v>0</v>
      </c>
      <c r="O96" s="30">
        <f t="shared" si="120"/>
        <v>0</v>
      </c>
      <c r="P96" s="31">
        <f t="shared" si="78"/>
        <v>0</v>
      </c>
      <c r="Q96" s="32">
        <f t="shared" si="121"/>
        <v>0</v>
      </c>
      <c r="R96" s="31">
        <f t="shared" si="79"/>
        <v>0</v>
      </c>
      <c r="S96" s="32">
        <f t="shared" si="122"/>
        <v>0</v>
      </c>
    </row>
    <row r="97" spans="1:30" x14ac:dyDescent="0.2">
      <c r="A97" s="29">
        <f t="shared" ref="A97:B97" si="126">A41</f>
        <v>37</v>
      </c>
      <c r="B97" s="29">
        <f t="shared" si="126"/>
        <v>0</v>
      </c>
      <c r="D97" s="30">
        <f t="shared" si="111"/>
        <v>0</v>
      </c>
      <c r="E97" s="30">
        <f t="shared" si="112"/>
        <v>0</v>
      </c>
      <c r="F97" s="30">
        <f t="shared" si="113"/>
        <v>0</v>
      </c>
      <c r="G97" s="30">
        <f t="shared" si="109"/>
        <v>0</v>
      </c>
      <c r="H97" s="30">
        <f t="shared" si="114"/>
        <v>0</v>
      </c>
      <c r="I97" s="30">
        <f t="shared" si="115"/>
        <v>0</v>
      </c>
      <c r="J97" s="30">
        <f t="shared" si="116"/>
        <v>0</v>
      </c>
      <c r="K97" s="30">
        <f t="shared" si="117"/>
        <v>0</v>
      </c>
      <c r="L97" s="30">
        <f t="shared" si="118"/>
        <v>0</v>
      </c>
      <c r="M97" s="30">
        <f t="shared" si="119"/>
        <v>0</v>
      </c>
      <c r="N97" s="30">
        <f t="shared" si="77"/>
        <v>0</v>
      </c>
      <c r="O97" s="30">
        <f t="shared" si="120"/>
        <v>0</v>
      </c>
      <c r="P97" s="31">
        <f t="shared" si="78"/>
        <v>0</v>
      </c>
      <c r="Q97" s="32">
        <f t="shared" si="121"/>
        <v>0</v>
      </c>
      <c r="R97" s="31">
        <f t="shared" si="79"/>
        <v>0</v>
      </c>
      <c r="S97" s="32">
        <f t="shared" si="122"/>
        <v>0</v>
      </c>
    </row>
    <row r="98" spans="1:30" x14ac:dyDescent="0.2">
      <c r="A98" s="29">
        <f t="shared" ref="A98:B98" si="127">A42</f>
        <v>38</v>
      </c>
      <c r="B98" s="29">
        <f t="shared" si="127"/>
        <v>0</v>
      </c>
      <c r="D98" s="30">
        <f t="shared" si="111"/>
        <v>0</v>
      </c>
      <c r="E98" s="30">
        <f t="shared" si="112"/>
        <v>0</v>
      </c>
      <c r="F98" s="30">
        <f t="shared" si="113"/>
        <v>0</v>
      </c>
      <c r="G98" s="30">
        <f t="shared" si="109"/>
        <v>0</v>
      </c>
      <c r="H98" s="30">
        <f t="shared" si="114"/>
        <v>0</v>
      </c>
      <c r="I98" s="30">
        <f t="shared" si="115"/>
        <v>0</v>
      </c>
      <c r="J98" s="30">
        <f t="shared" si="116"/>
        <v>0</v>
      </c>
      <c r="K98" s="30">
        <f t="shared" si="117"/>
        <v>0</v>
      </c>
      <c r="L98" s="30">
        <f t="shared" si="118"/>
        <v>0</v>
      </c>
      <c r="M98" s="30">
        <f t="shared" si="119"/>
        <v>0</v>
      </c>
      <c r="N98" s="30">
        <f t="shared" si="77"/>
        <v>0</v>
      </c>
      <c r="O98" s="30">
        <f t="shared" si="120"/>
        <v>0</v>
      </c>
      <c r="P98" s="31">
        <f t="shared" si="78"/>
        <v>0</v>
      </c>
      <c r="Q98" s="32">
        <f t="shared" si="121"/>
        <v>0</v>
      </c>
      <c r="R98" s="31">
        <f t="shared" si="79"/>
        <v>0</v>
      </c>
      <c r="S98" s="32">
        <f t="shared" si="122"/>
        <v>0</v>
      </c>
    </row>
    <row r="99" spans="1:30" x14ac:dyDescent="0.2">
      <c r="A99" s="29">
        <f t="shared" ref="A99:B99" si="128">A43</f>
        <v>39</v>
      </c>
      <c r="B99" s="29">
        <f t="shared" si="128"/>
        <v>0</v>
      </c>
      <c r="D99" s="30">
        <f t="shared" si="111"/>
        <v>0</v>
      </c>
      <c r="E99" s="30">
        <f t="shared" si="112"/>
        <v>0</v>
      </c>
      <c r="F99" s="30">
        <f t="shared" si="113"/>
        <v>0</v>
      </c>
      <c r="G99" s="30">
        <f t="shared" si="109"/>
        <v>0</v>
      </c>
      <c r="H99" s="30">
        <f t="shared" si="114"/>
        <v>0</v>
      </c>
      <c r="I99" s="30">
        <f t="shared" si="115"/>
        <v>0</v>
      </c>
      <c r="J99" s="30">
        <f t="shared" si="116"/>
        <v>0</v>
      </c>
      <c r="K99" s="30">
        <f t="shared" si="117"/>
        <v>0</v>
      </c>
      <c r="L99" s="30">
        <f t="shared" si="118"/>
        <v>0</v>
      </c>
      <c r="M99" s="30">
        <f t="shared" si="119"/>
        <v>0</v>
      </c>
      <c r="N99" s="30">
        <f t="shared" si="77"/>
        <v>0</v>
      </c>
      <c r="O99" s="30">
        <f t="shared" si="120"/>
        <v>0</v>
      </c>
      <c r="P99" s="31">
        <f t="shared" si="78"/>
        <v>0</v>
      </c>
      <c r="Q99" s="32">
        <f t="shared" si="121"/>
        <v>0</v>
      </c>
      <c r="R99" s="31">
        <f t="shared" si="79"/>
        <v>0</v>
      </c>
      <c r="S99" s="32">
        <f t="shared" si="122"/>
        <v>0</v>
      </c>
    </row>
    <row r="100" spans="1:30" x14ac:dyDescent="0.2">
      <c r="A100" s="29">
        <f t="shared" ref="A100:B100" si="129">A44</f>
        <v>40</v>
      </c>
      <c r="B100" s="29">
        <f t="shared" si="129"/>
        <v>0</v>
      </c>
      <c r="D100" s="30">
        <f t="shared" si="111"/>
        <v>0</v>
      </c>
      <c r="E100" s="30">
        <f t="shared" si="112"/>
        <v>0</v>
      </c>
      <c r="F100" s="30">
        <f t="shared" si="113"/>
        <v>0</v>
      </c>
      <c r="G100" s="30">
        <f t="shared" si="109"/>
        <v>0</v>
      </c>
      <c r="H100" s="30">
        <f t="shared" si="114"/>
        <v>0</v>
      </c>
      <c r="I100" s="30">
        <f t="shared" si="115"/>
        <v>0</v>
      </c>
      <c r="J100" s="30">
        <f t="shared" si="116"/>
        <v>0</v>
      </c>
      <c r="K100" s="30">
        <f t="shared" si="117"/>
        <v>0</v>
      </c>
      <c r="L100" s="30">
        <f t="shared" si="118"/>
        <v>0</v>
      </c>
      <c r="M100" s="30">
        <f t="shared" si="119"/>
        <v>0</v>
      </c>
      <c r="N100" s="30">
        <f t="shared" si="77"/>
        <v>0</v>
      </c>
      <c r="O100" s="30">
        <f t="shared" si="120"/>
        <v>0</v>
      </c>
      <c r="P100" s="31">
        <f t="shared" si="78"/>
        <v>0</v>
      </c>
      <c r="Q100" s="32">
        <f t="shared" si="121"/>
        <v>0</v>
      </c>
      <c r="R100" s="31">
        <f t="shared" si="79"/>
        <v>0</v>
      </c>
      <c r="S100" s="32">
        <f t="shared" si="122"/>
        <v>0</v>
      </c>
    </row>
    <row r="101" spans="1:30" x14ac:dyDescent="0.2">
      <c r="A101" s="29">
        <f t="shared" ref="A101:B101" si="130">A45</f>
        <v>41</v>
      </c>
      <c r="B101" s="29">
        <f t="shared" si="130"/>
        <v>0</v>
      </c>
      <c r="D101" s="30">
        <f t="shared" si="111"/>
        <v>0</v>
      </c>
      <c r="E101" s="30">
        <f t="shared" si="112"/>
        <v>0</v>
      </c>
      <c r="F101" s="30">
        <f t="shared" si="113"/>
        <v>0</v>
      </c>
      <c r="G101" s="30">
        <f t="shared" si="109"/>
        <v>0</v>
      </c>
      <c r="H101" s="30">
        <f t="shared" si="114"/>
        <v>0</v>
      </c>
      <c r="I101" s="30">
        <f t="shared" si="115"/>
        <v>0</v>
      </c>
      <c r="J101" s="30">
        <f t="shared" si="116"/>
        <v>0</v>
      </c>
      <c r="K101" s="30">
        <f t="shared" si="117"/>
        <v>0</v>
      </c>
      <c r="L101" s="30">
        <f t="shared" si="118"/>
        <v>0</v>
      </c>
      <c r="M101" s="30">
        <f t="shared" si="119"/>
        <v>0</v>
      </c>
      <c r="N101" s="30">
        <f t="shared" si="77"/>
        <v>0</v>
      </c>
      <c r="O101" s="30">
        <f t="shared" si="120"/>
        <v>0</v>
      </c>
      <c r="P101" s="31">
        <f t="shared" si="78"/>
        <v>0</v>
      </c>
      <c r="Q101" s="32">
        <f t="shared" si="121"/>
        <v>0</v>
      </c>
      <c r="R101" s="31">
        <f t="shared" si="79"/>
        <v>0</v>
      </c>
      <c r="S101" s="32">
        <f t="shared" si="122"/>
        <v>0</v>
      </c>
    </row>
    <row r="102" spans="1:30" x14ac:dyDescent="0.2">
      <c r="A102" s="29">
        <f t="shared" ref="A102:B102" si="131">A46</f>
        <v>42</v>
      </c>
      <c r="B102" s="29">
        <f t="shared" si="131"/>
        <v>0</v>
      </c>
      <c r="D102" s="30">
        <f t="shared" si="111"/>
        <v>0</v>
      </c>
      <c r="E102" s="30">
        <f t="shared" si="112"/>
        <v>0</v>
      </c>
      <c r="F102" s="30">
        <f t="shared" si="113"/>
        <v>0</v>
      </c>
      <c r="G102" s="30">
        <f t="shared" si="109"/>
        <v>0</v>
      </c>
      <c r="H102" s="30">
        <f t="shared" si="114"/>
        <v>0</v>
      </c>
      <c r="I102" s="30">
        <f t="shared" si="115"/>
        <v>0</v>
      </c>
      <c r="J102" s="30">
        <f t="shared" si="116"/>
        <v>0</v>
      </c>
      <c r="K102" s="30">
        <f t="shared" si="117"/>
        <v>0</v>
      </c>
      <c r="L102" s="30">
        <f t="shared" si="118"/>
        <v>0</v>
      </c>
      <c r="M102" s="30">
        <f t="shared" si="119"/>
        <v>0</v>
      </c>
      <c r="N102" s="30">
        <f t="shared" si="77"/>
        <v>0</v>
      </c>
      <c r="O102" s="30">
        <f t="shared" si="120"/>
        <v>0</v>
      </c>
      <c r="P102" s="31">
        <f t="shared" si="78"/>
        <v>0</v>
      </c>
      <c r="Q102" s="32">
        <f t="shared" si="121"/>
        <v>0</v>
      </c>
      <c r="R102" s="31">
        <f t="shared" si="79"/>
        <v>0</v>
      </c>
      <c r="S102" s="32">
        <f t="shared" si="122"/>
        <v>0</v>
      </c>
    </row>
    <row r="103" spans="1:30" x14ac:dyDescent="0.2">
      <c r="A103" s="29">
        <f t="shared" ref="A103:B103" si="132">A47</f>
        <v>43</v>
      </c>
      <c r="B103" s="29">
        <f t="shared" si="132"/>
        <v>0</v>
      </c>
      <c r="D103" s="30">
        <f t="shared" si="111"/>
        <v>0</v>
      </c>
      <c r="E103" s="30">
        <f t="shared" si="112"/>
        <v>0</v>
      </c>
      <c r="F103" s="30">
        <f t="shared" si="113"/>
        <v>0</v>
      </c>
      <c r="G103" s="30">
        <f t="shared" si="109"/>
        <v>0</v>
      </c>
      <c r="H103" s="30">
        <f t="shared" si="114"/>
        <v>0</v>
      </c>
      <c r="I103" s="30">
        <f t="shared" si="115"/>
        <v>0</v>
      </c>
      <c r="J103" s="30">
        <f t="shared" si="116"/>
        <v>0</v>
      </c>
      <c r="K103" s="30">
        <f t="shared" si="117"/>
        <v>0</v>
      </c>
      <c r="L103" s="30">
        <f t="shared" si="118"/>
        <v>0</v>
      </c>
      <c r="M103" s="30">
        <f t="shared" si="119"/>
        <v>0</v>
      </c>
      <c r="N103" s="30">
        <f t="shared" si="77"/>
        <v>0</v>
      </c>
      <c r="O103" s="30">
        <f t="shared" si="120"/>
        <v>0</v>
      </c>
      <c r="P103" s="31">
        <f t="shared" si="78"/>
        <v>0</v>
      </c>
      <c r="Q103" s="32">
        <f t="shared" si="121"/>
        <v>0</v>
      </c>
      <c r="R103" s="31">
        <f t="shared" si="79"/>
        <v>0</v>
      </c>
      <c r="S103" s="32">
        <f t="shared" si="122"/>
        <v>0</v>
      </c>
    </row>
    <row r="104" spans="1:30" x14ac:dyDescent="0.2">
      <c r="A104" s="29">
        <f t="shared" ref="A104:B104" si="133">A48</f>
        <v>44</v>
      </c>
      <c r="B104" s="29">
        <f t="shared" si="133"/>
        <v>0</v>
      </c>
      <c r="D104" s="30">
        <f t="shared" si="111"/>
        <v>0</v>
      </c>
      <c r="E104" s="30">
        <f t="shared" si="112"/>
        <v>0</v>
      </c>
      <c r="F104" s="30">
        <f t="shared" si="113"/>
        <v>0</v>
      </c>
      <c r="G104" s="30">
        <f t="shared" si="109"/>
        <v>0</v>
      </c>
      <c r="H104" s="30">
        <f t="shared" si="114"/>
        <v>0</v>
      </c>
      <c r="I104" s="30">
        <f t="shared" si="115"/>
        <v>0</v>
      </c>
      <c r="J104" s="30">
        <f t="shared" si="116"/>
        <v>0</v>
      </c>
      <c r="K104" s="30">
        <f t="shared" si="117"/>
        <v>0</v>
      </c>
      <c r="L104" s="30">
        <f t="shared" si="118"/>
        <v>0</v>
      </c>
      <c r="M104" s="30">
        <f t="shared" si="119"/>
        <v>0</v>
      </c>
      <c r="N104" s="30">
        <f t="shared" si="77"/>
        <v>0</v>
      </c>
      <c r="O104" s="30">
        <f t="shared" si="120"/>
        <v>0</v>
      </c>
      <c r="P104" s="31">
        <f t="shared" si="78"/>
        <v>0</v>
      </c>
      <c r="Q104" s="32">
        <f t="shared" si="121"/>
        <v>0</v>
      </c>
      <c r="R104" s="31">
        <f t="shared" si="79"/>
        <v>0</v>
      </c>
      <c r="S104" s="32">
        <f t="shared" si="122"/>
        <v>0</v>
      </c>
    </row>
    <row r="105" spans="1:30" x14ac:dyDescent="0.2">
      <c r="A105" s="29">
        <f t="shared" ref="A105:B105" si="134">A49</f>
        <v>45</v>
      </c>
      <c r="B105" s="29">
        <f t="shared" si="134"/>
        <v>0</v>
      </c>
      <c r="D105" s="30">
        <f t="shared" si="111"/>
        <v>0</v>
      </c>
      <c r="E105" s="30">
        <f t="shared" si="112"/>
        <v>0</v>
      </c>
      <c r="F105" s="30">
        <f t="shared" si="113"/>
        <v>0</v>
      </c>
      <c r="G105" s="30">
        <f t="shared" si="109"/>
        <v>0</v>
      </c>
      <c r="H105" s="30">
        <f t="shared" si="114"/>
        <v>0</v>
      </c>
      <c r="I105" s="30">
        <f t="shared" si="115"/>
        <v>0</v>
      </c>
      <c r="J105" s="30">
        <f t="shared" si="116"/>
        <v>0</v>
      </c>
      <c r="K105" s="30">
        <f t="shared" si="117"/>
        <v>0</v>
      </c>
      <c r="L105" s="30">
        <f t="shared" si="118"/>
        <v>0</v>
      </c>
      <c r="M105" s="30">
        <f t="shared" si="119"/>
        <v>0</v>
      </c>
      <c r="N105" s="30">
        <f t="shared" si="77"/>
        <v>0</v>
      </c>
      <c r="O105" s="30">
        <f t="shared" si="120"/>
        <v>0</v>
      </c>
      <c r="P105" s="31">
        <f t="shared" si="78"/>
        <v>0</v>
      </c>
      <c r="Q105" s="32">
        <f t="shared" si="121"/>
        <v>0</v>
      </c>
      <c r="R105" s="31">
        <f t="shared" si="79"/>
        <v>0</v>
      </c>
      <c r="S105" s="32">
        <f t="shared" si="122"/>
        <v>0</v>
      </c>
    </row>
    <row r="106" spans="1:30" x14ac:dyDescent="0.2">
      <c r="A106" s="29">
        <f t="shared" ref="A106:B106" si="135">A50</f>
        <v>46</v>
      </c>
      <c r="B106" s="29">
        <f t="shared" si="135"/>
        <v>0</v>
      </c>
      <c r="D106" s="30">
        <f t="shared" si="111"/>
        <v>0</v>
      </c>
      <c r="E106" s="30">
        <f t="shared" si="112"/>
        <v>0</v>
      </c>
      <c r="F106" s="30">
        <f t="shared" si="113"/>
        <v>0</v>
      </c>
      <c r="G106" s="30">
        <f t="shared" si="109"/>
        <v>0</v>
      </c>
      <c r="H106" s="30">
        <f t="shared" si="114"/>
        <v>0</v>
      </c>
      <c r="I106" s="30">
        <f t="shared" si="115"/>
        <v>0</v>
      </c>
      <c r="J106" s="30">
        <f t="shared" si="116"/>
        <v>0</v>
      </c>
      <c r="K106" s="30">
        <f t="shared" si="117"/>
        <v>0</v>
      </c>
      <c r="L106" s="30">
        <f t="shared" si="118"/>
        <v>0</v>
      </c>
      <c r="M106" s="30">
        <f t="shared" si="119"/>
        <v>0</v>
      </c>
      <c r="N106" s="30">
        <f t="shared" si="77"/>
        <v>0</v>
      </c>
      <c r="O106" s="30">
        <f t="shared" si="120"/>
        <v>0</v>
      </c>
      <c r="P106" s="31">
        <f t="shared" si="78"/>
        <v>0</v>
      </c>
      <c r="Q106" s="32">
        <f t="shared" si="121"/>
        <v>0</v>
      </c>
      <c r="R106" s="31">
        <f t="shared" si="79"/>
        <v>0</v>
      </c>
      <c r="S106" s="32">
        <f t="shared" si="122"/>
        <v>0</v>
      </c>
    </row>
    <row r="107" spans="1:30" x14ac:dyDescent="0.2">
      <c r="A107" s="29">
        <f t="shared" ref="A107:B107" si="136">A51</f>
        <v>47</v>
      </c>
      <c r="B107" s="29">
        <f t="shared" si="136"/>
        <v>0</v>
      </c>
      <c r="D107" s="30">
        <f t="shared" si="111"/>
        <v>0</v>
      </c>
      <c r="E107" s="30">
        <f t="shared" si="112"/>
        <v>0</v>
      </c>
      <c r="F107" s="30">
        <f t="shared" si="113"/>
        <v>0</v>
      </c>
      <c r="G107" s="30">
        <f t="shared" si="109"/>
        <v>0</v>
      </c>
      <c r="H107" s="30">
        <f t="shared" si="114"/>
        <v>0</v>
      </c>
      <c r="I107" s="30">
        <f t="shared" si="115"/>
        <v>0</v>
      </c>
      <c r="J107" s="30">
        <f t="shared" si="116"/>
        <v>0</v>
      </c>
      <c r="K107" s="30">
        <f t="shared" si="117"/>
        <v>0</v>
      </c>
      <c r="L107" s="30">
        <f t="shared" si="118"/>
        <v>0</v>
      </c>
      <c r="M107" s="30">
        <f t="shared" si="119"/>
        <v>0</v>
      </c>
      <c r="N107" s="30">
        <f t="shared" si="77"/>
        <v>0</v>
      </c>
      <c r="O107" s="30">
        <f t="shared" si="120"/>
        <v>0</v>
      </c>
      <c r="P107" s="31">
        <f t="shared" si="78"/>
        <v>0</v>
      </c>
      <c r="Q107" s="32">
        <f t="shared" si="121"/>
        <v>0</v>
      </c>
      <c r="R107" s="31">
        <f t="shared" si="79"/>
        <v>0</v>
      </c>
      <c r="S107" s="32">
        <f t="shared" si="122"/>
        <v>0</v>
      </c>
    </row>
    <row r="108" spans="1:30" x14ac:dyDescent="0.2">
      <c r="A108" s="29">
        <f t="shared" ref="A108:B108" si="137">A52</f>
        <v>48</v>
      </c>
      <c r="B108" s="29">
        <f t="shared" si="137"/>
        <v>0</v>
      </c>
      <c r="D108" s="30">
        <f t="shared" si="111"/>
        <v>0</v>
      </c>
      <c r="E108" s="30">
        <f t="shared" si="112"/>
        <v>0</v>
      </c>
      <c r="F108" s="30">
        <f t="shared" si="113"/>
        <v>0</v>
      </c>
      <c r="G108" s="30">
        <f t="shared" si="109"/>
        <v>0</v>
      </c>
      <c r="H108" s="30">
        <f t="shared" si="114"/>
        <v>0</v>
      </c>
      <c r="I108" s="30">
        <f t="shared" si="115"/>
        <v>0</v>
      </c>
      <c r="J108" s="30">
        <f t="shared" si="116"/>
        <v>0</v>
      </c>
      <c r="K108" s="30">
        <f t="shared" si="117"/>
        <v>0</v>
      </c>
      <c r="L108" s="30">
        <f t="shared" si="118"/>
        <v>0</v>
      </c>
      <c r="M108" s="30">
        <f t="shared" si="119"/>
        <v>0</v>
      </c>
      <c r="N108" s="30">
        <f t="shared" si="77"/>
        <v>0</v>
      </c>
      <c r="O108" s="30">
        <f t="shared" si="120"/>
        <v>0</v>
      </c>
      <c r="P108" s="31">
        <f t="shared" si="78"/>
        <v>0</v>
      </c>
      <c r="Q108" s="32">
        <f t="shared" si="121"/>
        <v>0</v>
      </c>
      <c r="R108" s="31">
        <f t="shared" si="79"/>
        <v>0</v>
      </c>
      <c r="S108" s="32">
        <f t="shared" si="122"/>
        <v>0</v>
      </c>
    </row>
    <row r="109" spans="1:30" x14ac:dyDescent="0.2">
      <c r="A109" s="29">
        <f t="shared" ref="A109:B109" si="138">A53</f>
        <v>49</v>
      </c>
      <c r="B109" s="29">
        <f t="shared" si="138"/>
        <v>0</v>
      </c>
      <c r="D109" s="30">
        <f t="shared" si="111"/>
        <v>0</v>
      </c>
      <c r="E109" s="30">
        <f t="shared" si="112"/>
        <v>0</v>
      </c>
      <c r="F109" s="30">
        <f t="shared" si="113"/>
        <v>0</v>
      </c>
      <c r="G109" s="30">
        <f t="shared" si="109"/>
        <v>0</v>
      </c>
      <c r="H109" s="30">
        <f t="shared" si="114"/>
        <v>0</v>
      </c>
      <c r="I109" s="30">
        <f t="shared" si="115"/>
        <v>0</v>
      </c>
      <c r="J109" s="30">
        <f t="shared" si="116"/>
        <v>0</v>
      </c>
      <c r="K109" s="30">
        <f t="shared" si="117"/>
        <v>0</v>
      </c>
      <c r="L109" s="30">
        <f t="shared" si="118"/>
        <v>0</v>
      </c>
      <c r="M109" s="30">
        <f t="shared" si="119"/>
        <v>0</v>
      </c>
      <c r="N109" s="30">
        <f t="shared" si="77"/>
        <v>0</v>
      </c>
      <c r="O109" s="30">
        <f t="shared" si="120"/>
        <v>0</v>
      </c>
      <c r="P109" s="31">
        <f t="shared" si="78"/>
        <v>0</v>
      </c>
      <c r="Q109" s="32">
        <f t="shared" si="121"/>
        <v>0</v>
      </c>
      <c r="R109" s="31">
        <f t="shared" si="79"/>
        <v>0</v>
      </c>
      <c r="S109" s="32">
        <f t="shared" si="122"/>
        <v>0</v>
      </c>
    </row>
    <row r="110" spans="1:30" x14ac:dyDescent="0.2">
      <c r="A110" s="29">
        <f>A54</f>
        <v>50</v>
      </c>
      <c r="B110" s="29">
        <f>B54</f>
        <v>0</v>
      </c>
      <c r="D110" s="30">
        <f t="shared" si="111"/>
        <v>0</v>
      </c>
      <c r="E110" s="30">
        <f t="shared" si="112"/>
        <v>0</v>
      </c>
      <c r="F110" s="30">
        <f t="shared" si="113"/>
        <v>0</v>
      </c>
      <c r="G110" s="30">
        <f t="shared" si="109"/>
        <v>0</v>
      </c>
      <c r="H110" s="30">
        <f t="shared" si="114"/>
        <v>0</v>
      </c>
      <c r="I110" s="30">
        <f t="shared" si="115"/>
        <v>0</v>
      </c>
      <c r="J110" s="30">
        <f t="shared" si="116"/>
        <v>0</v>
      </c>
      <c r="K110" s="30">
        <f t="shared" si="117"/>
        <v>0</v>
      </c>
      <c r="L110" s="30">
        <f t="shared" si="118"/>
        <v>0</v>
      </c>
      <c r="M110" s="30">
        <f t="shared" si="119"/>
        <v>0</v>
      </c>
      <c r="N110" s="30">
        <f t="shared" si="77"/>
        <v>0</v>
      </c>
      <c r="O110" s="30">
        <f t="shared" si="120"/>
        <v>0</v>
      </c>
      <c r="P110" s="31">
        <f t="shared" si="78"/>
        <v>0</v>
      </c>
      <c r="Q110" s="32">
        <f t="shared" si="121"/>
        <v>0</v>
      </c>
      <c r="R110" s="31">
        <f t="shared" si="79"/>
        <v>0</v>
      </c>
      <c r="S110" s="32">
        <f t="shared" si="122"/>
        <v>0</v>
      </c>
    </row>
    <row r="111" spans="1:30" s="174" customFormat="1" x14ac:dyDescent="0.2">
      <c r="A111" s="176" t="str">
        <f>A55</f>
        <v>Summa</v>
      </c>
      <c r="B111" s="173">
        <f>SUM(B60:B110)</f>
        <v>103327.49035333761</v>
      </c>
      <c r="C111" s="15"/>
      <c r="D111" s="35">
        <f t="shared" ref="D111:R111" si="139">SUM(D60:D110)</f>
        <v>-93000</v>
      </c>
      <c r="E111" s="35">
        <f t="shared" si="139"/>
        <v>-86160</v>
      </c>
      <c r="F111" s="35">
        <f t="shared" si="139"/>
        <v>-77800</v>
      </c>
      <c r="G111" s="35">
        <f t="shared" si="139"/>
        <v>0</v>
      </c>
      <c r="H111" s="35">
        <f t="shared" si="139"/>
        <v>72329.243247336344</v>
      </c>
      <c r="I111" s="35">
        <f t="shared" si="139"/>
        <v>25831.872588334401</v>
      </c>
      <c r="J111" s="35">
        <f t="shared" si="139"/>
        <v>2583.1872588334413</v>
      </c>
      <c r="K111" s="35">
        <f t="shared" si="139"/>
        <v>3433.8024229027969</v>
      </c>
      <c r="L111" s="35">
        <f t="shared" si="139"/>
        <v>516.63745176668817</v>
      </c>
      <c r="M111" s="35">
        <f t="shared" si="139"/>
        <v>15848.318874935985</v>
      </c>
      <c r="N111" s="35">
        <f t="shared" si="139"/>
        <v>27543.061844109656</v>
      </c>
      <c r="O111" s="35"/>
      <c r="P111" s="35">
        <f t="shared" si="139"/>
        <v>34383.061844109652</v>
      </c>
      <c r="Q111" s="35"/>
      <c r="R111" s="35">
        <f t="shared" si="139"/>
        <v>42743.061844109652</v>
      </c>
      <c r="S111" s="35"/>
      <c r="T111" s="175"/>
      <c r="U111" s="175"/>
      <c r="V111" s="175"/>
      <c r="W111" s="8"/>
      <c r="X111" s="8"/>
      <c r="Y111" s="8"/>
      <c r="Z111" s="8"/>
      <c r="AA111" s="8"/>
      <c r="AB111" s="8"/>
      <c r="AC111" s="8"/>
      <c r="AD111" s="8"/>
    </row>
  </sheetData>
  <mergeCells count="14">
    <mergeCell ref="R2:S2"/>
    <mergeCell ref="N1:S1"/>
    <mergeCell ref="B1:C1"/>
    <mergeCell ref="H1:M1"/>
    <mergeCell ref="D1:G1"/>
    <mergeCell ref="N2:O2"/>
    <mergeCell ref="P2:Q2"/>
    <mergeCell ref="P58:Q58"/>
    <mergeCell ref="R58:S58"/>
    <mergeCell ref="B57:C57"/>
    <mergeCell ref="D57:G57"/>
    <mergeCell ref="H57:M57"/>
    <mergeCell ref="N57:S57"/>
    <mergeCell ref="N58:O58"/>
  </mergeCells>
  <pageMargins left="0.31496062992125984" right="0.31496062992125984" top="0.74803149606299213" bottom="0.35433070866141736" header="0.31496062992125984" footer="0.31496062992125984"/>
  <pageSetup paperSize="9" scale="72" orientation="landscape" r:id="rId1"/>
  <headerFooter>
    <oddHeader>&amp;C&amp;P (&amp;N)</oddHeader>
  </headerFooter>
  <rowBreaks count="1" manualBreakCount="1">
    <brk id="5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showGridLines="0" zoomScale="70" zoomScaleNormal="70" workbookViewId="0"/>
  </sheetViews>
  <sheetFormatPr defaultRowHeight="12.75" x14ac:dyDescent="0.2"/>
  <sheetData/>
  <printOptions horizontalCentered="1" verticalCentered="1"/>
  <pageMargins left="0.39370078740157483" right="0.39370078740157483" top="0.78740157480314965" bottom="0.39370078740157483" header="0.31496062992125984" footer="0.31496062992125984"/>
  <pageSetup paperSize="9" orientation="landscape" r:id="rId1"/>
  <headerFooter>
    <oddHeader>&amp;C&amp;P (&amp;N)</oddHeader>
  </headerFooter>
  <rowBreaks count="3" manualBreakCount="3">
    <brk id="23" max="16383" man="1"/>
    <brk id="47" max="16383" man="1"/>
    <brk id="7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47"/>
  <sheetViews>
    <sheetView zoomScaleNormal="100" workbookViewId="0">
      <selection activeCell="A2" sqref="A2"/>
    </sheetView>
  </sheetViews>
  <sheetFormatPr defaultRowHeight="12.75" x14ac:dyDescent="0.2"/>
  <cols>
    <col min="1" max="1" width="43.85546875" customWidth="1"/>
    <col min="2" max="2" width="12.42578125" bestFit="1" customWidth="1"/>
  </cols>
  <sheetData>
    <row r="1" spans="1:4" ht="15.75" x14ac:dyDescent="0.25">
      <c r="A1" s="151" t="s">
        <v>187</v>
      </c>
    </row>
    <row r="2" spans="1:4" ht="15.75" x14ac:dyDescent="0.25">
      <c r="A2" s="151"/>
    </row>
    <row r="3" spans="1:4" x14ac:dyDescent="0.2">
      <c r="A3" s="103" t="s">
        <v>244</v>
      </c>
    </row>
    <row r="4" spans="1:4" x14ac:dyDescent="0.2">
      <c r="A4" t="s">
        <v>119</v>
      </c>
    </row>
    <row r="5" spans="1:4" x14ac:dyDescent="0.2">
      <c r="A5" t="s">
        <v>217</v>
      </c>
    </row>
    <row r="6" spans="1:4" ht="15.75" x14ac:dyDescent="0.25">
      <c r="A6" s="151"/>
    </row>
    <row r="9" spans="1:4" x14ac:dyDescent="0.2">
      <c r="A9" s="103" t="s">
        <v>220</v>
      </c>
      <c r="B9" s="162" t="s">
        <v>217</v>
      </c>
      <c r="C9" s="162" t="s">
        <v>119</v>
      </c>
    </row>
    <row r="10" spans="1:4" x14ac:dyDescent="0.2">
      <c r="A10" t="s">
        <v>123</v>
      </c>
      <c r="B10" s="161">
        <v>4</v>
      </c>
      <c r="C10" s="161">
        <v>100</v>
      </c>
      <c r="D10" t="s">
        <v>38</v>
      </c>
    </row>
    <row r="11" spans="1:4" x14ac:dyDescent="0.2">
      <c r="A11" t="s">
        <v>114</v>
      </c>
      <c r="B11" s="161">
        <v>16</v>
      </c>
      <c r="C11" s="161">
        <v>150</v>
      </c>
      <c r="D11" t="s">
        <v>115</v>
      </c>
    </row>
    <row r="12" spans="1:4" x14ac:dyDescent="0.2">
      <c r="A12" t="s">
        <v>24</v>
      </c>
      <c r="B12" s="161">
        <v>30</v>
      </c>
      <c r="C12">
        <v>30</v>
      </c>
      <c r="D12" s="161" t="s">
        <v>20</v>
      </c>
    </row>
    <row r="13" spans="1:4" x14ac:dyDescent="0.2">
      <c r="A13" t="s">
        <v>23</v>
      </c>
      <c r="B13" s="159">
        <v>0.02</v>
      </c>
      <c r="C13" s="159">
        <v>0.05</v>
      </c>
    </row>
    <row r="14" spans="1:4" x14ac:dyDescent="0.2">
      <c r="A14" t="s">
        <v>26</v>
      </c>
      <c r="B14" s="161">
        <v>19000</v>
      </c>
      <c r="C14" s="161">
        <v>11000</v>
      </c>
      <c r="D14" t="s">
        <v>0</v>
      </c>
    </row>
    <row r="15" spans="1:4" x14ac:dyDescent="0.2">
      <c r="A15" t="s">
        <v>94</v>
      </c>
      <c r="B15" s="160">
        <v>0.2</v>
      </c>
      <c r="C15" s="160">
        <v>0.3</v>
      </c>
    </row>
    <row r="16" spans="1:4" x14ac:dyDescent="0.2">
      <c r="A16" t="s">
        <v>218</v>
      </c>
      <c r="B16" s="161">
        <v>2000</v>
      </c>
      <c r="C16" s="161">
        <v>10000</v>
      </c>
      <c r="D16" t="s">
        <v>37</v>
      </c>
    </row>
    <row r="17" spans="1:4" x14ac:dyDescent="0.2">
      <c r="A17" s="130" t="s">
        <v>142</v>
      </c>
      <c r="B17">
        <v>0</v>
      </c>
      <c r="C17" s="161">
        <v>0</v>
      </c>
      <c r="D17" t="s">
        <v>37</v>
      </c>
    </row>
    <row r="18" spans="1:4" x14ac:dyDescent="0.2">
      <c r="A18" t="s">
        <v>140</v>
      </c>
      <c r="B18" s="161">
        <v>0</v>
      </c>
      <c r="C18" s="161">
        <v>10000</v>
      </c>
      <c r="D18" t="s">
        <v>37</v>
      </c>
    </row>
    <row r="19" spans="1:4" x14ac:dyDescent="0.2">
      <c r="A19" s="130" t="s">
        <v>146</v>
      </c>
      <c r="B19">
        <v>0</v>
      </c>
      <c r="C19" s="161">
        <v>0</v>
      </c>
      <c r="D19" t="s">
        <v>37</v>
      </c>
    </row>
    <row r="20" spans="1:4" x14ac:dyDescent="0.2">
      <c r="A20" t="s">
        <v>97</v>
      </c>
      <c r="B20" s="161">
        <v>900</v>
      </c>
      <c r="C20" s="161">
        <v>950</v>
      </c>
      <c r="D20" t="s">
        <v>216</v>
      </c>
    </row>
    <row r="21" spans="1:4" x14ac:dyDescent="0.2">
      <c r="A21" t="s">
        <v>29</v>
      </c>
      <c r="B21" s="160">
        <v>0.5</v>
      </c>
      <c r="C21" s="160">
        <v>0.8</v>
      </c>
    </row>
    <row r="22" spans="1:4" x14ac:dyDescent="0.2">
      <c r="A22" s="130" t="s">
        <v>30</v>
      </c>
      <c r="B22" s="165">
        <v>1.4</v>
      </c>
      <c r="C22" s="165">
        <v>1.1000000000000001</v>
      </c>
      <c r="D22" t="s">
        <v>37</v>
      </c>
    </row>
    <row r="23" spans="1:4" x14ac:dyDescent="0.2">
      <c r="A23" t="s">
        <v>39</v>
      </c>
      <c r="B23" s="165">
        <v>0.5</v>
      </c>
      <c r="C23" s="165">
        <v>0.5</v>
      </c>
      <c r="D23" t="s">
        <v>37</v>
      </c>
    </row>
    <row r="24" spans="1:4" x14ac:dyDescent="0.2">
      <c r="A24" s="130" t="s">
        <v>40</v>
      </c>
      <c r="B24">
        <v>0.05</v>
      </c>
      <c r="C24">
        <v>0.05</v>
      </c>
      <c r="D24" t="s">
        <v>37</v>
      </c>
    </row>
    <row r="25" spans="1:4" x14ac:dyDescent="0.2">
      <c r="A25" s="130" t="s">
        <v>41</v>
      </c>
      <c r="B25">
        <v>0.13</v>
      </c>
      <c r="C25">
        <v>0.13</v>
      </c>
      <c r="D25" t="s">
        <v>37</v>
      </c>
    </row>
    <row r="26" spans="1:4" x14ac:dyDescent="0.2">
      <c r="A26" t="s">
        <v>14</v>
      </c>
      <c r="B26" s="160">
        <f>1-B21</f>
        <v>0.5</v>
      </c>
      <c r="C26" s="160">
        <v>1</v>
      </c>
    </row>
    <row r="27" spans="1:4" x14ac:dyDescent="0.2">
      <c r="A27" s="130" t="s">
        <v>13</v>
      </c>
      <c r="B27" s="160">
        <v>0</v>
      </c>
      <c r="C27" s="160">
        <v>0</v>
      </c>
    </row>
    <row r="28" spans="1:4" x14ac:dyDescent="0.2">
      <c r="A28" s="130" t="s">
        <v>27</v>
      </c>
      <c r="B28">
        <v>5.0000000000000001E-3</v>
      </c>
      <c r="C28">
        <v>5.0000000000000001E-3</v>
      </c>
      <c r="D28" t="s">
        <v>37</v>
      </c>
    </row>
    <row r="29" spans="1:4" x14ac:dyDescent="0.2">
      <c r="A29" s="130" t="s">
        <v>104</v>
      </c>
      <c r="B29">
        <v>15</v>
      </c>
      <c r="C29">
        <v>15</v>
      </c>
      <c r="D29" t="s">
        <v>20</v>
      </c>
    </row>
    <row r="30" spans="1:4" x14ac:dyDescent="0.2">
      <c r="A30" s="130"/>
    </row>
    <row r="32" spans="1:4" x14ac:dyDescent="0.2">
      <c r="A32" s="103" t="s">
        <v>219</v>
      </c>
    </row>
    <row r="33" spans="1:3" x14ac:dyDescent="0.2">
      <c r="A33" s="130" t="s">
        <v>150</v>
      </c>
      <c r="B33" s="160">
        <v>0.15</v>
      </c>
      <c r="C33" s="160">
        <v>0.15</v>
      </c>
    </row>
    <row r="34" spans="1:3" x14ac:dyDescent="0.2">
      <c r="A34" s="130" t="s">
        <v>147</v>
      </c>
      <c r="B34" s="166">
        <v>0</v>
      </c>
      <c r="C34" s="161">
        <v>2000</v>
      </c>
    </row>
    <row r="35" spans="1:3" x14ac:dyDescent="0.2">
      <c r="A35" s="130" t="s">
        <v>36</v>
      </c>
      <c r="B35" s="166">
        <v>0</v>
      </c>
      <c r="C35" s="161">
        <v>2000</v>
      </c>
    </row>
    <row r="36" spans="1:3" x14ac:dyDescent="0.2">
      <c r="A36" s="130" t="s">
        <v>42</v>
      </c>
      <c r="B36" s="166">
        <v>0</v>
      </c>
      <c r="C36" s="161">
        <v>0</v>
      </c>
    </row>
    <row r="37" spans="1:3" x14ac:dyDescent="0.2">
      <c r="A37" s="130" t="s">
        <v>50</v>
      </c>
      <c r="B37" s="166">
        <v>0</v>
      </c>
      <c r="C37" s="161">
        <v>1000</v>
      </c>
    </row>
    <row r="38" spans="1:3" x14ac:dyDescent="0.2">
      <c r="A38" s="130" t="s">
        <v>128</v>
      </c>
      <c r="B38" s="166">
        <v>0</v>
      </c>
      <c r="C38" s="161">
        <v>0</v>
      </c>
    </row>
    <row r="39" spans="1:3" x14ac:dyDescent="0.2">
      <c r="A39" s="130" t="s">
        <v>127</v>
      </c>
      <c r="B39" s="166">
        <v>0</v>
      </c>
      <c r="C39" s="161">
        <v>0</v>
      </c>
    </row>
    <row r="40" spans="1:3" x14ac:dyDescent="0.2">
      <c r="A40" s="130" t="s">
        <v>9</v>
      </c>
      <c r="B40" s="166">
        <v>0</v>
      </c>
      <c r="C40" s="161">
        <v>0</v>
      </c>
    </row>
    <row r="41" spans="1:3" x14ac:dyDescent="0.2">
      <c r="A41" s="130" t="s">
        <v>130</v>
      </c>
      <c r="B41" s="166">
        <v>0</v>
      </c>
      <c r="C41" s="161">
        <v>0</v>
      </c>
    </row>
    <row r="42" spans="1:3" x14ac:dyDescent="0.2">
      <c r="A42" s="130" t="s">
        <v>129</v>
      </c>
      <c r="B42" s="166">
        <v>0</v>
      </c>
      <c r="C42" s="161">
        <v>0</v>
      </c>
    </row>
    <row r="43" spans="1:3" x14ac:dyDescent="0.2">
      <c r="A43" s="130" t="s">
        <v>131</v>
      </c>
      <c r="B43" s="166">
        <v>0</v>
      </c>
      <c r="C43" s="161">
        <v>0</v>
      </c>
    </row>
    <row r="44" spans="1:3" x14ac:dyDescent="0.2">
      <c r="A44" s="130" t="s">
        <v>132</v>
      </c>
      <c r="B44" s="166">
        <v>0</v>
      </c>
      <c r="C44" s="161">
        <v>50</v>
      </c>
    </row>
    <row r="47" spans="1:3" x14ac:dyDescent="0.2">
      <c r="A47" s="167"/>
    </row>
  </sheetData>
  <pageMargins left="0.7" right="0.7" top="0.75" bottom="0.75" header="0.3" footer="0.3"/>
  <pageSetup paperSize="9" orientation="portrait" r:id="rId1"/>
  <headerFooter>
    <oddHeader>&amp;C&amp;P (&amp;N)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6"/>
  <sheetViews>
    <sheetView showGridLines="0" zoomScaleNormal="100" workbookViewId="0"/>
  </sheetViews>
  <sheetFormatPr defaultColWidth="9.28515625" defaultRowHeight="12.75" x14ac:dyDescent="0.2"/>
  <cols>
    <col min="1" max="1" width="9.28515625" style="1"/>
    <col min="2" max="2" width="10.140625" style="1" bestFit="1" customWidth="1"/>
    <col min="3" max="3" width="11.28515625" style="1" bestFit="1" customWidth="1"/>
    <col min="4" max="4" width="79.140625" style="2" customWidth="1"/>
    <col min="5" max="16384" width="9.28515625" style="1"/>
  </cols>
  <sheetData>
    <row r="1" spans="1:4" s="4" customFormat="1" x14ac:dyDescent="0.2">
      <c r="A1" s="76" t="s">
        <v>54</v>
      </c>
      <c r="B1" s="76" t="s">
        <v>56</v>
      </c>
      <c r="C1" s="76" t="s">
        <v>82</v>
      </c>
      <c r="D1" s="77" t="s">
        <v>81</v>
      </c>
    </row>
    <row r="2" spans="1:4" x14ac:dyDescent="0.2">
      <c r="A2" s="23" t="s">
        <v>55</v>
      </c>
      <c r="B2" s="78">
        <v>42470</v>
      </c>
      <c r="C2" s="23" t="s">
        <v>75</v>
      </c>
      <c r="D2" s="24" t="s">
        <v>95</v>
      </c>
    </row>
    <row r="3" spans="1:4" x14ac:dyDescent="0.2">
      <c r="A3" s="23"/>
      <c r="B3" s="78">
        <v>42473</v>
      </c>
      <c r="C3" s="23" t="s">
        <v>91</v>
      </c>
      <c r="D3" s="24" t="s">
        <v>92</v>
      </c>
    </row>
    <row r="4" spans="1:4" ht="38.25" x14ac:dyDescent="0.2">
      <c r="A4" s="23"/>
      <c r="B4" s="78">
        <v>42474</v>
      </c>
      <c r="C4" s="23" t="s">
        <v>75</v>
      </c>
      <c r="D4" s="24" t="s">
        <v>96</v>
      </c>
    </row>
    <row r="5" spans="1:4" ht="76.5" x14ac:dyDescent="0.2">
      <c r="A5" s="23"/>
      <c r="B5" s="78">
        <v>42475</v>
      </c>
      <c r="C5" s="23" t="s">
        <v>75</v>
      </c>
      <c r="D5" s="24" t="s">
        <v>102</v>
      </c>
    </row>
    <row r="6" spans="1:4" ht="25.5" x14ac:dyDescent="0.2">
      <c r="A6" s="23" t="s">
        <v>105</v>
      </c>
      <c r="B6" s="78">
        <v>42478</v>
      </c>
      <c r="C6" s="23" t="s">
        <v>75</v>
      </c>
      <c r="D6" s="24" t="s">
        <v>248</v>
      </c>
    </row>
    <row r="7" spans="1:4" x14ac:dyDescent="0.2">
      <c r="A7" s="23"/>
      <c r="B7" s="78">
        <v>42480</v>
      </c>
      <c r="C7" s="23" t="s">
        <v>75</v>
      </c>
      <c r="D7" s="24" t="s">
        <v>107</v>
      </c>
    </row>
    <row r="8" spans="1:4" ht="25.5" x14ac:dyDescent="0.2">
      <c r="A8" s="23" t="s">
        <v>108</v>
      </c>
      <c r="B8" s="78">
        <v>42492</v>
      </c>
      <c r="C8" s="23" t="s">
        <v>75</v>
      </c>
      <c r="D8" s="24" t="s">
        <v>109</v>
      </c>
    </row>
    <row r="9" spans="1:4" ht="38.25" x14ac:dyDescent="0.2">
      <c r="A9" s="78" t="s">
        <v>110</v>
      </c>
      <c r="B9" s="78">
        <v>42502</v>
      </c>
      <c r="C9" s="23" t="s">
        <v>75</v>
      </c>
      <c r="D9" s="24" t="s">
        <v>113</v>
      </c>
    </row>
    <row r="10" spans="1:4" ht="25.5" x14ac:dyDescent="0.2">
      <c r="A10" s="78"/>
      <c r="B10" s="78">
        <v>42509</v>
      </c>
      <c r="C10" s="23" t="s">
        <v>75</v>
      </c>
      <c r="D10" s="24" t="s">
        <v>120</v>
      </c>
    </row>
    <row r="11" spans="1:4" ht="63.75" x14ac:dyDescent="0.2">
      <c r="A11" s="24" t="s">
        <v>126</v>
      </c>
      <c r="B11" s="78">
        <v>42517</v>
      </c>
      <c r="C11" s="24" t="s">
        <v>75</v>
      </c>
      <c r="D11" s="24" t="s">
        <v>249</v>
      </c>
    </row>
    <row r="12" spans="1:4" ht="25.5" x14ac:dyDescent="0.2">
      <c r="A12" s="24"/>
      <c r="B12" s="78"/>
      <c r="C12" s="24" t="s">
        <v>91</v>
      </c>
      <c r="D12" s="24" t="s">
        <v>163</v>
      </c>
    </row>
    <row r="13" spans="1:4" ht="76.5" x14ac:dyDescent="0.2">
      <c r="A13" s="24" t="s">
        <v>151</v>
      </c>
      <c r="B13" s="78">
        <v>42543</v>
      </c>
      <c r="C13" s="24" t="s">
        <v>75</v>
      </c>
      <c r="D13" s="24" t="s">
        <v>211</v>
      </c>
    </row>
    <row r="14" spans="1:4" ht="51" x14ac:dyDescent="0.2">
      <c r="A14" s="24"/>
      <c r="B14" s="78">
        <v>42544</v>
      </c>
      <c r="C14" s="24" t="s">
        <v>75</v>
      </c>
      <c r="D14" s="24" t="s">
        <v>250</v>
      </c>
    </row>
    <row r="15" spans="1:4" ht="102" x14ac:dyDescent="0.2">
      <c r="A15" s="24"/>
      <c r="B15" s="78">
        <v>42548</v>
      </c>
      <c r="C15" s="24" t="s">
        <v>75</v>
      </c>
      <c r="D15" s="24" t="s">
        <v>243</v>
      </c>
    </row>
    <row r="16" spans="1:4" ht="191.25" x14ac:dyDescent="0.2">
      <c r="A16" s="24"/>
      <c r="B16" s="78">
        <v>42549</v>
      </c>
      <c r="C16" s="24" t="s">
        <v>75</v>
      </c>
      <c r="D16" s="24" t="s">
        <v>242</v>
      </c>
    </row>
    <row r="17" spans="1:4" ht="89.25" x14ac:dyDescent="0.2">
      <c r="A17" s="24" t="s">
        <v>247</v>
      </c>
      <c r="B17" s="78">
        <v>42552</v>
      </c>
      <c r="C17" s="24" t="s">
        <v>75</v>
      </c>
      <c r="D17" s="24" t="s">
        <v>255</v>
      </c>
    </row>
    <row r="18" spans="1:4" ht="38.25" x14ac:dyDescent="0.2">
      <c r="A18" s="24"/>
      <c r="B18" s="78">
        <v>42556</v>
      </c>
      <c r="C18" s="24" t="s">
        <v>75</v>
      </c>
      <c r="D18" s="24" t="s">
        <v>256</v>
      </c>
    </row>
    <row r="19" spans="1:4" ht="51" x14ac:dyDescent="0.2">
      <c r="A19" s="24" t="s">
        <v>262</v>
      </c>
      <c r="B19" s="78">
        <v>42563</v>
      </c>
      <c r="C19" s="24" t="s">
        <v>75</v>
      </c>
      <c r="D19" s="24" t="s">
        <v>263</v>
      </c>
    </row>
    <row r="20" spans="1:4" ht="102" x14ac:dyDescent="0.2">
      <c r="A20" s="24" t="s">
        <v>265</v>
      </c>
      <c r="B20" s="78">
        <v>42626</v>
      </c>
      <c r="C20" s="24" t="s">
        <v>75</v>
      </c>
      <c r="D20" s="24" t="s">
        <v>273</v>
      </c>
    </row>
    <row r="21" spans="1:4" ht="25.5" x14ac:dyDescent="0.2">
      <c r="A21" s="24" t="s">
        <v>275</v>
      </c>
      <c r="B21" s="78">
        <v>42628</v>
      </c>
      <c r="C21" s="24" t="s">
        <v>75</v>
      </c>
      <c r="D21" s="24" t="s">
        <v>276</v>
      </c>
    </row>
    <row r="22" spans="1:4" ht="38.25" x14ac:dyDescent="0.2">
      <c r="A22" s="24" t="s">
        <v>278</v>
      </c>
      <c r="B22" s="78">
        <v>42632</v>
      </c>
      <c r="C22" s="24" t="s">
        <v>75</v>
      </c>
      <c r="D22" s="24" t="s">
        <v>279</v>
      </c>
    </row>
    <row r="23" spans="1:4" ht="63.75" x14ac:dyDescent="0.2">
      <c r="A23" s="24" t="s">
        <v>285</v>
      </c>
      <c r="B23" s="78">
        <v>42635</v>
      </c>
      <c r="C23" s="24" t="s">
        <v>75</v>
      </c>
      <c r="D23" s="24" t="s">
        <v>286</v>
      </c>
    </row>
    <row r="54" spans="1:4" x14ac:dyDescent="0.2">
      <c r="A54" s="1" t="s">
        <v>231</v>
      </c>
    </row>
    <row r="56" spans="1:4" ht="38.25" x14ac:dyDescent="0.2">
      <c r="D56" s="2" t="s">
        <v>264</v>
      </c>
    </row>
  </sheetData>
  <pageMargins left="0.98425196850393704" right="0.39370078740157483" top="0.74803149606299213" bottom="0.39370078740157483" header="0.31496062992125984" footer="0.31496062992125984"/>
  <pageSetup paperSize="9" scale="80" orientation="portrait" r:id="rId1"/>
  <headerFooter>
    <oddHeader>&amp;C&amp;P (&amp;N)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128</vt:i4>
      </vt:variant>
    </vt:vector>
  </HeadingPairs>
  <TitlesOfParts>
    <vt:vector size="135" baseType="lpstr">
      <vt:lpstr>Inledning</vt:lpstr>
      <vt:lpstr>Dina indata &amp; Resultat</vt:lpstr>
      <vt:lpstr>Grundläggande antaganden</vt:lpstr>
      <vt:lpstr>Kassaflöden</vt:lpstr>
      <vt:lpstr>Diagram</vt:lpstr>
      <vt:lpstr>Ingångsvärden</vt:lpstr>
      <vt:lpstr>Versionshistorik</vt:lpstr>
      <vt:lpstr>Andel_egenanvänd_el</vt:lpstr>
      <vt:lpstr>Andel_elcertifikattilldelning</vt:lpstr>
      <vt:lpstr>Anläggningens_effekt</vt:lpstr>
      <vt:lpstr>Antal_byten_av_växelriktare</vt:lpstr>
      <vt:lpstr>Antal_år_med_skattereduktion</vt:lpstr>
      <vt:lpstr>Antal_år_till_byte_av_växelriktare</vt:lpstr>
      <vt:lpstr>Avslutskostnader</vt:lpstr>
      <vt:lpstr>Besiktning_efter_färdigställande</vt:lpstr>
      <vt:lpstr>Bygglov</vt:lpstr>
      <vt:lpstr>Egen_kostnadspost</vt:lpstr>
      <vt:lpstr>Ekonomisk_livslängd</vt:lpstr>
      <vt:lpstr>Elcertifikathantering</vt:lpstr>
      <vt:lpstr>Elcertifikatvärde</vt:lpstr>
      <vt:lpstr>Elcertifikatår</vt:lpstr>
      <vt:lpstr>Ersättning_från_nätägare</vt:lpstr>
      <vt:lpstr>Fastighetsskatt</vt:lpstr>
      <vt:lpstr>Försäkring</vt:lpstr>
      <vt:lpstr>Hyra_av_yta</vt:lpstr>
      <vt:lpstr>Inmatningsabonnemang</vt:lpstr>
      <vt:lpstr>Installerad_effekt</vt:lpstr>
      <vt:lpstr>Investeringskostnad</vt:lpstr>
      <vt:lpstr>Investeringsstöd</vt:lpstr>
      <vt:lpstr>Kalkylränta</vt:lpstr>
      <vt:lpstr>Kostnad_växelriktarbyte</vt:lpstr>
      <vt:lpstr>Kvotplikt_medelvärde</vt:lpstr>
      <vt:lpstr>Loggning</vt:lpstr>
      <vt:lpstr>Mark_köp_preparering</vt:lpstr>
      <vt:lpstr>Nätanslutningskostnad</vt:lpstr>
      <vt:lpstr>Kassaflöden!Print_Titles</vt:lpstr>
      <vt:lpstr>Pris_köpt_el</vt:lpstr>
      <vt:lpstr>Pris_såld_el</vt:lpstr>
      <vt:lpstr>Projektledning_och_upphandling</vt:lpstr>
      <vt:lpstr>Rengöring_av_moduler</vt:lpstr>
      <vt:lpstr>Resor</vt:lpstr>
      <vt:lpstr>Restvärde</vt:lpstr>
      <vt:lpstr>Rivningskostnad</vt:lpstr>
      <vt:lpstr>ROT_avdrag</vt:lpstr>
      <vt:lpstr>Servitut</vt:lpstr>
      <vt:lpstr>Skattereduktion</vt:lpstr>
      <vt:lpstr>Startdata_Annan_Andel_egenanvänd_el</vt:lpstr>
      <vt:lpstr>Startdata_Annan_Andel_elcertifikattilldelning</vt:lpstr>
      <vt:lpstr>Startdata_Annan_Anläggningens_effekt</vt:lpstr>
      <vt:lpstr>Startdata_Annan_Antal_år_med_skattereduktion</vt:lpstr>
      <vt:lpstr>Startdata_Annan_Besiktning_efter_färdigställande</vt:lpstr>
      <vt:lpstr>Startdata_Annan_Bygglov</vt:lpstr>
      <vt:lpstr>Startdata_Annan_Ekonomisk_livslängd</vt:lpstr>
      <vt:lpstr>Startdata_Annan_Elcertifikathantering</vt:lpstr>
      <vt:lpstr>Startdata_Annan_Elcertifikatvärde</vt:lpstr>
      <vt:lpstr>Startdata_Annan_Ersättning_från_nätägare</vt:lpstr>
      <vt:lpstr>Startdata_Annan_Försäkring</vt:lpstr>
      <vt:lpstr>Startdata_Annan_Hyra_av_yta</vt:lpstr>
      <vt:lpstr>Startdata_Annan_Inmatningsabonnemang</vt:lpstr>
      <vt:lpstr>Startdata_Annan_Investeringskostnad</vt:lpstr>
      <vt:lpstr>Startdata_Annan_Investeringsstöd</vt:lpstr>
      <vt:lpstr>Startdata_Annan_Kalkylränta</vt:lpstr>
      <vt:lpstr>Startdata_Annan_Kvotplikt_medelvärde</vt:lpstr>
      <vt:lpstr>Startdata_Annan_Loggning</vt:lpstr>
      <vt:lpstr>Startdata_Annan_Projektledning_och_upphandling</vt:lpstr>
      <vt:lpstr>Startdata_Annan_Rengöring_av_moduler</vt:lpstr>
      <vt:lpstr>Startdata_Annan_Resor</vt:lpstr>
      <vt:lpstr>Startdata_Annan_Servitut</vt:lpstr>
      <vt:lpstr>Startdata_Annan_Säkringsstorlek_i_anslutningspunkten</vt:lpstr>
      <vt:lpstr>Startdata_Annan_Tillsyn</vt:lpstr>
      <vt:lpstr>Startdata_Annan_Underhåll_av_yta</vt:lpstr>
      <vt:lpstr>Startdata_Annan_Ursprungsgarantier_värde</vt:lpstr>
      <vt:lpstr>Startdata_Annan_Utbildning</vt:lpstr>
      <vt:lpstr>Startdata_Annan_Utbyte_år1</vt:lpstr>
      <vt:lpstr>Startdata_Annan_Verkningsgrad_solcellsmoduler</vt:lpstr>
      <vt:lpstr>Startdata_Annan_Värde_egenanvänd_solel</vt:lpstr>
      <vt:lpstr>Startdata_Annan_Värde_såld_el</vt:lpstr>
      <vt:lpstr>Startdata_Annan_Övrigt</vt:lpstr>
      <vt:lpstr>Ingångsvärden!Startdata_Privat_Andel_egenanvänd_el</vt:lpstr>
      <vt:lpstr>Startdata_Privat_Andel_elcertifikattilldelning</vt:lpstr>
      <vt:lpstr>Startdata_Privat_Anläggningens_effekt</vt:lpstr>
      <vt:lpstr>Startdata_Privat_Antal_år_med_skattereduktion</vt:lpstr>
      <vt:lpstr>Ingångsvärden!Startdata_Privat_Besiktning_efter_färdigställande</vt:lpstr>
      <vt:lpstr>Ingångsvärden!Startdata_Privat_Bygglov</vt:lpstr>
      <vt:lpstr>Ingångsvärden!Startdata_Privat_Ekonomisk_livslängd</vt:lpstr>
      <vt:lpstr>Startdata_Privat_Elcertifikathantering</vt:lpstr>
      <vt:lpstr>Ingångsvärden!Startdata_Privat_Elcertifikatvärde</vt:lpstr>
      <vt:lpstr>Ingångsvärden!Startdata_Privat_Ersättning_från_nätägare</vt:lpstr>
      <vt:lpstr>Startdata_Privat_Försäkring</vt:lpstr>
      <vt:lpstr>Startdata_Privat_Hyra_av_yta</vt:lpstr>
      <vt:lpstr>Startdata_Privat_Inmatningsabonnemang</vt:lpstr>
      <vt:lpstr>Startdata_Privat_Investeringskostnad</vt:lpstr>
      <vt:lpstr>Ingångsvärden!Startdata_Privat_Investeringsstöd</vt:lpstr>
      <vt:lpstr>Ingångsvärden!Startdata_Privat_Kalkylränta</vt:lpstr>
      <vt:lpstr>Ingångsvärden!Startdata_Privat_Kvotplikt_medelvärde</vt:lpstr>
      <vt:lpstr>Startdata_Privat_Loggning</vt:lpstr>
      <vt:lpstr>Ingångsvärden!Startdata_Privat_Projektledning_och_upphandling</vt:lpstr>
      <vt:lpstr>Startdata_Privat_Projektledning_och_upphandling</vt:lpstr>
      <vt:lpstr>Startdata_Privat_Rengöring_av_moduler</vt:lpstr>
      <vt:lpstr>Startdata_Privat_Resor</vt:lpstr>
      <vt:lpstr>Startdata_Privat_Servitut</vt:lpstr>
      <vt:lpstr>Startdata_Privat_Säkringsstorlek_i_anslutningspunkten</vt:lpstr>
      <vt:lpstr>Startdata_Privat_Tillsyn</vt:lpstr>
      <vt:lpstr>Startdata_Privat_Underhåll_av_yta</vt:lpstr>
      <vt:lpstr>Startdata_Privat_Ursprungsgarantier_värde</vt:lpstr>
      <vt:lpstr>Startdata_Privat_Utbildning</vt:lpstr>
      <vt:lpstr>Startdata_Privat_Utbyte_år1</vt:lpstr>
      <vt:lpstr>Startdata_Privat_Verkningsgrad_solcellsmoduler</vt:lpstr>
      <vt:lpstr>Startdata_Privat_Värde_egenanvänd_solel</vt:lpstr>
      <vt:lpstr>Ingångsvärden!Startdata_Privat_Värde_såld_el</vt:lpstr>
      <vt:lpstr>Startdata_Privat_Övrigt</vt:lpstr>
      <vt:lpstr>Summa_investering</vt:lpstr>
      <vt:lpstr>Summa_investering_med_investeringsstöd</vt:lpstr>
      <vt:lpstr>Summa_investering_med_ROT_avdrag</vt:lpstr>
      <vt:lpstr>Summa_årliga_kostnader</vt:lpstr>
      <vt:lpstr>Säkringsstorlek_i_anslutningspunkten</vt:lpstr>
      <vt:lpstr>Tak_investeringsstöd</vt:lpstr>
      <vt:lpstr>Tak_ROT_avdrag</vt:lpstr>
      <vt:lpstr>Tak_skattereduktion</vt:lpstr>
      <vt:lpstr>Tillgänglighet</vt:lpstr>
      <vt:lpstr>Tillsyn</vt:lpstr>
      <vt:lpstr>Total_solelproduktion_berättigad_till_elcertifikat</vt:lpstr>
      <vt:lpstr>Total_solelproduktion_under_livslängden</vt:lpstr>
      <vt:lpstr>Underhåll_av_yta</vt:lpstr>
      <vt:lpstr>Upphandling</vt:lpstr>
      <vt:lpstr>Ursprungsgarantier_värde</vt:lpstr>
      <vt:lpstr>Utbildning</vt:lpstr>
      <vt:lpstr>Utbyte_år1</vt:lpstr>
      <vt:lpstr>Uttagsabonnemang</vt:lpstr>
      <vt:lpstr>Vald_användare</vt:lpstr>
      <vt:lpstr>Verkningsgrad_solcellsmoduler</vt:lpstr>
      <vt:lpstr>Årlig_degradering</vt:lpstr>
      <vt:lpstr>Årlig_fast_driftkostnad</vt:lpstr>
      <vt:lpstr>Årlig_rörlig_driftkostnad</vt:lpstr>
      <vt:lpstr>Övrigt</vt:lpstr>
    </vt:vector>
  </TitlesOfParts>
  <Company>ABB Corporate Research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 Investeringskalkyl för solceller</dc:title>
  <dc:creator>Bengt Stridh, Mälardalens Högsko</dc:creator>
  <cp:keywords>Solceller; LCOE</cp:keywords>
  <cp:lastModifiedBy>Bengt Stridh</cp:lastModifiedBy>
  <cp:lastPrinted>2016-09-13T12:40:50Z</cp:lastPrinted>
  <dcterms:created xsi:type="dcterms:W3CDTF">2013-02-28T12:06:01Z</dcterms:created>
  <dcterms:modified xsi:type="dcterms:W3CDTF">2016-09-22T11:37:20Z</dcterms:modified>
  <cp:contentStatus>LCOE för solel i Sverige</cp:contentStatus>
</cp:coreProperties>
</file>