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ony9\Downloads\"/>
    </mc:Choice>
  </mc:AlternateContent>
  <xr:revisionPtr revIDLastSave="0" documentId="8_{0B9B7CF4-FF11-4593-9181-DCE54629C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carga " sheetId="1" r:id="rId1"/>
    <sheet name="Hoja1" sheetId="3" state="hidden" r:id="rId2"/>
    <sheet name="Tiempos" sheetId="2" state="hidden" r:id="rId3"/>
  </sheets>
  <definedNames>
    <definedName name="_xlnm._FilterDatabase" localSheetId="0" hidden="1">'Formato carga '!$A$54:$V$90</definedName>
    <definedName name="_xlnm.Print_Area" localSheetId="0">'Formato carga '!$A$1:$V$106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M34" i="1"/>
  <c r="J38" i="1"/>
  <c r="J15" i="1"/>
  <c r="J21" i="1" l="1"/>
  <c r="K74" i="1" l="1"/>
  <c r="K78" i="1"/>
  <c r="K80" i="1"/>
  <c r="E60" i="1"/>
  <c r="G45" i="1" l="1"/>
  <c r="K85" i="1"/>
  <c r="K84" i="1"/>
  <c r="K81" i="1"/>
  <c r="K77" i="1"/>
  <c r="K69" i="1"/>
  <c r="K66" i="1"/>
  <c r="K65" i="1"/>
  <c r="K63" i="1"/>
  <c r="I63" i="1"/>
  <c r="K62" i="1"/>
  <c r="I62" i="1"/>
  <c r="K60" i="1"/>
  <c r="K59" i="1"/>
  <c r="K57" i="1"/>
  <c r="K56" i="1"/>
  <c r="K55" i="1"/>
  <c r="I64" i="1"/>
  <c r="K64" i="1"/>
  <c r="I65" i="1"/>
  <c r="I66" i="1"/>
  <c r="K82" i="1"/>
  <c r="I60" i="1"/>
  <c r="I67" i="1"/>
  <c r="I68" i="1"/>
  <c r="I69" i="1"/>
  <c r="I71" i="1"/>
  <c r="I72" i="1"/>
  <c r="I74" i="1"/>
  <c r="I76" i="1"/>
  <c r="I77" i="1"/>
  <c r="I78" i="1"/>
  <c r="I80" i="1"/>
  <c r="I81" i="1"/>
  <c r="I82" i="1"/>
  <c r="I84" i="1"/>
  <c r="I85" i="1"/>
  <c r="I56" i="1"/>
  <c r="N63" i="1"/>
  <c r="R63" i="1" s="1"/>
  <c r="M56" i="1"/>
  <c r="M57" i="1"/>
  <c r="O57" i="1" s="1"/>
  <c r="P57" i="1" s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E56" i="1"/>
  <c r="F56" i="1"/>
  <c r="E57" i="1"/>
  <c r="F57" i="1"/>
  <c r="E58" i="1"/>
  <c r="F58" i="1"/>
  <c r="E59" i="1"/>
  <c r="F59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J42" i="1"/>
  <c r="N84" i="1" s="1"/>
  <c r="J39" i="1"/>
  <c r="K39" i="1" s="1"/>
  <c r="J35" i="1"/>
  <c r="K35" i="1" s="1"/>
  <c r="J29" i="1"/>
  <c r="N71" i="1" s="1"/>
  <c r="J26" i="1"/>
  <c r="K26" i="1" s="1"/>
  <c r="J24" i="1"/>
  <c r="K24" i="1" s="1"/>
  <c r="J22" i="1"/>
  <c r="N64" i="1" s="1"/>
  <c r="R64" i="1" s="1"/>
  <c r="J20" i="1"/>
  <c r="N62" i="1" s="1"/>
  <c r="J17" i="1"/>
  <c r="N59" i="1" s="1"/>
  <c r="J44" i="1"/>
  <c r="K44" i="1" s="1"/>
  <c r="J40" i="1"/>
  <c r="K40" i="1" s="1"/>
  <c r="J37" i="1"/>
  <c r="K37" i="1" s="1"/>
  <c r="J33" i="1"/>
  <c r="K33" i="1" s="1"/>
  <c r="J31" i="1"/>
  <c r="N73" i="1" s="1"/>
  <c r="J43" i="1"/>
  <c r="N85" i="1" s="1"/>
  <c r="J41" i="1"/>
  <c r="N83" i="1" s="1"/>
  <c r="K38" i="1"/>
  <c r="J36" i="1"/>
  <c r="K36" i="1" s="1"/>
  <c r="J34" i="1"/>
  <c r="N76" i="1" s="1"/>
  <c r="R76" i="1" s="1"/>
  <c r="J32" i="1"/>
  <c r="N74" i="1" s="1"/>
  <c r="J30" i="1"/>
  <c r="N72" i="1" s="1"/>
  <c r="J28" i="1"/>
  <c r="N70" i="1" s="1"/>
  <c r="J27" i="1"/>
  <c r="K27" i="1" s="1"/>
  <c r="J25" i="1"/>
  <c r="K25" i="1" s="1"/>
  <c r="K21" i="1"/>
  <c r="J19" i="1"/>
  <c r="N61" i="1" s="1"/>
  <c r="J18" i="1"/>
  <c r="N60" i="1" s="1"/>
  <c r="J16" i="1"/>
  <c r="N58" i="1" s="1"/>
  <c r="N57" i="1"/>
  <c r="R57" i="1" s="1"/>
  <c r="J13" i="1"/>
  <c r="K13" i="1" s="1"/>
  <c r="N86" i="1" l="1"/>
  <c r="R86" i="1" s="1"/>
  <c r="S86" i="1" s="1"/>
  <c r="T86" i="1" s="1"/>
  <c r="N79" i="1"/>
  <c r="R79" i="1" s="1"/>
  <c r="S79" i="1" s="1"/>
  <c r="T79" i="1" s="1"/>
  <c r="O62" i="1"/>
  <c r="P62" i="1" s="1"/>
  <c r="K20" i="1"/>
  <c r="K32" i="1"/>
  <c r="O63" i="1"/>
  <c r="P63" i="1" s="1"/>
  <c r="K17" i="1"/>
  <c r="K34" i="1"/>
  <c r="K22" i="1"/>
  <c r="N81" i="1"/>
  <c r="R81" i="1" s="1"/>
  <c r="S81" i="1" s="1"/>
  <c r="T81" i="1" s="1"/>
  <c r="K19" i="1"/>
  <c r="O76" i="1"/>
  <c r="P76" i="1" s="1"/>
  <c r="O64" i="1"/>
  <c r="P64" i="1" s="1"/>
  <c r="N67" i="1"/>
  <c r="R67" i="1" s="1"/>
  <c r="K15" i="1"/>
  <c r="K42" i="1"/>
  <c r="R72" i="1"/>
  <c r="O72" i="1"/>
  <c r="P72" i="1" s="1"/>
  <c r="R74" i="1"/>
  <c r="O74" i="1"/>
  <c r="P74" i="1" s="1"/>
  <c r="N75" i="1"/>
  <c r="K31" i="1"/>
  <c r="K43" i="1"/>
  <c r="K30" i="1"/>
  <c r="K41" i="1"/>
  <c r="K28" i="1"/>
  <c r="K18" i="1"/>
  <c r="N69" i="1"/>
  <c r="R69" i="1" s="1"/>
  <c r="K16" i="1"/>
  <c r="R58" i="1"/>
  <c r="O58" i="1"/>
  <c r="P58" i="1" s="1"/>
  <c r="R83" i="1"/>
  <c r="S83" i="1" s="1"/>
  <c r="T83" i="1" s="1"/>
  <c r="O83" i="1"/>
  <c r="P83" i="1" s="1"/>
  <c r="R71" i="1"/>
  <c r="O71" i="1"/>
  <c r="P71" i="1" s="1"/>
  <c r="R60" i="1"/>
  <c r="O60" i="1"/>
  <c r="P60" i="1" s="1"/>
  <c r="R85" i="1"/>
  <c r="S85" i="1" s="1"/>
  <c r="T85" i="1" s="1"/>
  <c r="O85" i="1"/>
  <c r="P85" i="1" s="1"/>
  <c r="R61" i="1"/>
  <c r="O61" i="1"/>
  <c r="P61" i="1" s="1"/>
  <c r="R73" i="1"/>
  <c r="O73" i="1"/>
  <c r="P73" i="1" s="1"/>
  <c r="R84" i="1"/>
  <c r="S84" i="1" s="1"/>
  <c r="T84" i="1" s="1"/>
  <c r="O84" i="1"/>
  <c r="P84" i="1" s="1"/>
  <c r="R70" i="1"/>
  <c r="O70" i="1"/>
  <c r="P70" i="1" s="1"/>
  <c r="R59" i="1"/>
  <c r="O59" i="1"/>
  <c r="P59" i="1" s="1"/>
  <c r="N80" i="1"/>
  <c r="R80" i="1" s="1"/>
  <c r="S80" i="1" s="1"/>
  <c r="T80" i="1" s="1"/>
  <c r="N68" i="1"/>
  <c r="O68" i="1" s="1"/>
  <c r="P68" i="1" s="1"/>
  <c r="K29" i="1"/>
  <c r="N78" i="1"/>
  <c r="R78" i="1" s="1"/>
  <c r="S78" i="1" s="1"/>
  <c r="T78" i="1" s="1"/>
  <c r="N66" i="1"/>
  <c r="R66" i="1" s="1"/>
  <c r="N77" i="1"/>
  <c r="R77" i="1" s="1"/>
  <c r="N82" i="1"/>
  <c r="L85" i="1"/>
  <c r="L78" i="1"/>
  <c r="L82" i="1"/>
  <c r="L80" i="1"/>
  <c r="L66" i="1"/>
  <c r="L64" i="1"/>
  <c r="L81" i="1"/>
  <c r="L84" i="1"/>
  <c r="L65" i="1"/>
  <c r="L63" i="1"/>
  <c r="H49" i="1"/>
  <c r="H50" i="1" s="1"/>
  <c r="I55" i="1" s="1"/>
  <c r="M55" i="1"/>
  <c r="J23" i="1"/>
  <c r="O79" i="1" l="1"/>
  <c r="P79" i="1" s="1"/>
  <c r="O86" i="1"/>
  <c r="P86" i="1" s="1"/>
  <c r="O66" i="1"/>
  <c r="P66" i="1" s="1"/>
  <c r="O67" i="1"/>
  <c r="P67" i="1" s="1"/>
  <c r="O81" i="1"/>
  <c r="P81" i="1" s="1"/>
  <c r="R75" i="1"/>
  <c r="O75" i="1"/>
  <c r="P75" i="1" s="1"/>
  <c r="O78" i="1"/>
  <c r="P78" i="1" s="1"/>
  <c r="O69" i="1"/>
  <c r="P69" i="1" s="1"/>
  <c r="K23" i="1"/>
  <c r="N65" i="1"/>
  <c r="R82" i="1"/>
  <c r="S82" i="1" s="1"/>
  <c r="T82" i="1" s="1"/>
  <c r="O82" i="1"/>
  <c r="P82" i="1" s="1"/>
  <c r="O77" i="1"/>
  <c r="P77" i="1" s="1"/>
  <c r="O80" i="1"/>
  <c r="P80" i="1" s="1"/>
  <c r="S77" i="1"/>
  <c r="T77" i="1" s="1"/>
  <c r="N55" i="1"/>
  <c r="R55" i="1" s="1"/>
  <c r="J49" i="1"/>
  <c r="I49" i="1"/>
  <c r="R65" i="1" l="1"/>
  <c r="O65" i="1"/>
  <c r="P65" i="1" s="1"/>
  <c r="S73" i="1"/>
  <c r="T73" i="1" s="1"/>
  <c r="S71" i="1"/>
  <c r="T71" i="1" s="1"/>
  <c r="O55" i="1"/>
  <c r="S72" i="1"/>
  <c r="T72" i="1" s="1"/>
  <c r="S74" i="1"/>
  <c r="T74" i="1" s="1"/>
  <c r="S75" i="1"/>
  <c r="T75" i="1" s="1"/>
  <c r="S76" i="1"/>
  <c r="T76" i="1" s="1"/>
  <c r="J14" i="1"/>
  <c r="J45" i="1" l="1"/>
  <c r="N56" i="1"/>
  <c r="K14" i="1"/>
  <c r="K45" i="1" s="1"/>
  <c r="R62" i="1"/>
  <c r="S62" i="1" s="1"/>
  <c r="R68" i="1"/>
  <c r="S64" i="1"/>
  <c r="T64" i="1" s="1"/>
  <c r="R56" i="1" l="1"/>
  <c r="O56" i="1"/>
  <c r="P56" i="1" s="1"/>
  <c r="S66" i="1"/>
  <c r="T66" i="1" s="1"/>
  <c r="S70" i="1"/>
  <c r="T70" i="1" s="1"/>
  <c r="S69" i="1"/>
  <c r="T69" i="1" s="1"/>
  <c r="S68" i="1"/>
  <c r="T68" i="1" s="1"/>
  <c r="S67" i="1"/>
  <c r="T67" i="1" s="1"/>
  <c r="S63" i="1"/>
  <c r="T63" i="1" s="1"/>
  <c r="S65" i="1"/>
  <c r="T65" i="1" s="1"/>
  <c r="J50" i="1" l="1"/>
  <c r="S60" i="1"/>
  <c r="K72" i="1" l="1"/>
  <c r="K76" i="1"/>
  <c r="K67" i="1"/>
  <c r="S61" i="1"/>
  <c r="T61" i="1" s="1"/>
  <c r="T62" i="1" l="1"/>
  <c r="K49" i="1"/>
  <c r="P55" i="1" s="1"/>
  <c r="L72" i="1" l="1"/>
  <c r="L76" i="1"/>
  <c r="L77" i="1"/>
  <c r="L74" i="1"/>
  <c r="L69" i="1"/>
  <c r="L67" i="1"/>
  <c r="S56" i="1" l="1"/>
  <c r="S57" i="1"/>
  <c r="S58" i="1"/>
  <c r="S59" i="1"/>
  <c r="S55" i="1"/>
  <c r="F55" i="1"/>
  <c r="E55" i="1"/>
  <c r="F13" i="2" l="1"/>
  <c r="M12" i="2"/>
  <c r="I12" i="2"/>
  <c r="M11" i="2"/>
  <c r="I11" i="2"/>
  <c r="J11" i="2" s="1"/>
  <c r="M10" i="2"/>
  <c r="I10" i="2"/>
  <c r="J10" i="2" s="1"/>
  <c r="M9" i="2"/>
  <c r="I9" i="2"/>
  <c r="J9" i="2" s="1"/>
  <c r="M8" i="2"/>
  <c r="I8" i="2"/>
  <c r="M7" i="2"/>
  <c r="I7" i="2"/>
  <c r="M6" i="2"/>
  <c r="I6" i="2"/>
  <c r="J6" i="2" s="1"/>
  <c r="M5" i="2"/>
  <c r="I5" i="2"/>
  <c r="M4" i="2"/>
  <c r="I4" i="2"/>
  <c r="T55" i="1"/>
  <c r="J12" i="2" l="1"/>
  <c r="J7" i="2"/>
  <c r="J8" i="2"/>
  <c r="J4" i="2"/>
  <c r="J5" i="2"/>
  <c r="I13" i="2" l="1"/>
  <c r="J13" i="2" l="1"/>
  <c r="M13" i="2" l="1"/>
  <c r="I50" i="1" l="1"/>
  <c r="K68" i="1" l="1"/>
  <c r="K71" i="1"/>
  <c r="L71" i="1" s="1"/>
  <c r="L60" i="1"/>
  <c r="L62" i="1"/>
  <c r="L56" i="1"/>
  <c r="T56" i="1"/>
  <c r="T58" i="1"/>
  <c r="T60" i="1"/>
  <c r="I59" i="1"/>
  <c r="L68" i="1" l="1"/>
  <c r="K88" i="1"/>
  <c r="L55" i="1"/>
  <c r="L59" i="1"/>
  <c r="T59" i="1"/>
  <c r="T57" i="1"/>
  <c r="I57" i="1"/>
  <c r="I88" i="1" s="1"/>
  <c r="I89" i="1" l="1"/>
  <c r="I90" i="1" s="1"/>
  <c r="K89" i="1"/>
  <c r="K90" i="1" s="1"/>
  <c r="T88" i="1"/>
  <c r="L57" i="1"/>
  <c r="L88" i="1" s="1"/>
  <c r="P88" i="1"/>
  <c r="P90" i="1" s="1"/>
  <c r="L89" i="1" l="1"/>
  <c r="L90" i="1" s="1"/>
  <c r="T89" i="1"/>
  <c r="T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!!PERSONAL!!</author>
  </authors>
  <commentList>
    <comment ref="F13" authorId="0" shapeId="0" xr:uid="{F79A657E-7384-4BFF-B158-FA8C1A05A35E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toneladas transportadas</t>
        </r>
      </text>
    </comment>
    <comment ref="I13" authorId="0" shapeId="0" xr:uid="{7FC5E5EA-9747-4AEB-8817-DD127832021B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Kilometros recorridos </t>
        </r>
      </text>
    </comment>
    <comment ref="J13" authorId="0" shapeId="0" xr:uid="{92881BF5-96A5-4343-83DD-3A1C4D97C9A3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tonelada-Kilometro</t>
        </r>
      </text>
    </comment>
    <comment ref="M13" authorId="0" shapeId="0" xr:uid="{D4FC0C44-717E-43A8-B845-77ED4C2E731F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Promedio horas reccorrido desde el kilometro 262 hasta el kilometro 5</t>
        </r>
      </text>
    </comment>
  </commentList>
</comments>
</file>

<file path=xl/sharedStrings.xml><?xml version="1.0" encoding="utf-8"?>
<sst xmlns="http://schemas.openxmlformats.org/spreadsheetml/2006/main" count="261" uniqueCount="129">
  <si>
    <t>INFORME DE OPERACIÓN COMERCIAL DE CARGA</t>
  </si>
  <si>
    <t xml:space="preserve">Versión 2.0 </t>
  </si>
  <si>
    <t>Fecha: 23/06/2023</t>
  </si>
  <si>
    <t>Informe #:</t>
  </si>
  <si>
    <t>Periodo del informe:</t>
  </si>
  <si>
    <t>Inicio:</t>
  </si>
  <si>
    <t xml:space="preserve">Fin: </t>
  </si>
  <si>
    <t xml:space="preserve">Fecha de elaboración: </t>
  </si>
  <si>
    <t>Corredor Férreo:</t>
  </si>
  <si>
    <t>Bogotá - Belencito</t>
  </si>
  <si>
    <t>Operador(es) Férreo(s):</t>
  </si>
  <si>
    <t>CTSA-INGERAL</t>
  </si>
  <si>
    <t>RESUMEN DE LA CARGA MOVILIZADA</t>
  </si>
  <si>
    <t>N° Servicio</t>
  </si>
  <si>
    <t>Fecha Salida</t>
  </si>
  <si>
    <t>Fecha llegada</t>
  </si>
  <si>
    <t>Empresa</t>
  </si>
  <si>
    <t>Producto</t>
  </si>
  <si>
    <t>Toneladas Transportadas</t>
  </si>
  <si>
    <t>Pk inicio</t>
  </si>
  <si>
    <t>Pk fin</t>
  </si>
  <si>
    <t>Km recorridos</t>
  </si>
  <si>
    <t>Ton-km</t>
  </si>
  <si>
    <t>Cementos Argos</t>
  </si>
  <si>
    <t>Cemento</t>
  </si>
  <si>
    <t>Rapsa</t>
  </si>
  <si>
    <t>Subbases</t>
  </si>
  <si>
    <t>TOTALES</t>
  </si>
  <si>
    <t>Observaciones:</t>
  </si>
  <si>
    <t>Tabla de Imputs</t>
  </si>
  <si>
    <t>Periodo</t>
  </si>
  <si>
    <t xml:space="preserve">Valor  Alquiler locomotora 
(sin IVA) </t>
  </si>
  <si>
    <t>Valor Alquiler plataforma 
(sin IVA)</t>
  </si>
  <si>
    <t xml:space="preserve">Tarifa por Uso de Vía </t>
  </si>
  <si>
    <t xml:space="preserve">Rendimiento Combustible </t>
  </si>
  <si>
    <t>Tramo 2a Locomotora</t>
  </si>
  <si>
    <t xml:space="preserve">Mes </t>
  </si>
  <si>
    <t xml:space="preserve">Día </t>
  </si>
  <si>
    <t xml:space="preserve">CONCEPTO </t>
  </si>
  <si>
    <t>ARRIENDO MATERIAL RODANTE</t>
  </si>
  <si>
    <t xml:space="preserve">USO DE VÍA </t>
  </si>
  <si>
    <t xml:space="preserve">Consumo Combustible </t>
  </si>
  <si>
    <t>ACPM</t>
  </si>
  <si>
    <t xml:space="preserve">Configuración Tren </t>
  </si>
  <si>
    <t xml:space="preserve">Días </t>
  </si>
  <si>
    <t>Cantidad Locomotoras</t>
  </si>
  <si>
    <t>V/r Alquiler locomotoras</t>
  </si>
  <si>
    <t>Cantidad plataformas</t>
  </si>
  <si>
    <t>V/r Alquiler plataformas</t>
  </si>
  <si>
    <t>V/r Alquiler Mat. Rodante</t>
  </si>
  <si>
    <t>Toneladas Transportad.</t>
  </si>
  <si>
    <t>V/r Importe Uso de Vía</t>
  </si>
  <si>
    <t>Remisión No.</t>
  </si>
  <si>
    <t>Recorrido Locomotras Trabajando</t>
  </si>
  <si>
    <t>Cantidad Combustible Consumido</t>
  </si>
  <si>
    <t xml:space="preserve">V/r Combustible </t>
  </si>
  <si>
    <t xml:space="preserve">Nota aclaratoria sobre la rotación de las locomotoras y las plataformas:En la operación del transporte de carga, se realiza cambio de locomotora en los casos en que se presenta falla o corresponde el mantenimiento de una de ellas. En cuanto a las plataformas ellas se van rotando por viaje, contemplando un desgaste menor y en caso, de que también entren en mantenimiento.
</t>
  </si>
  <si>
    <t>Subtotales:</t>
  </si>
  <si>
    <t xml:space="preserve">IVA </t>
  </si>
  <si>
    <t>Valor Total:</t>
  </si>
  <si>
    <t>Contratista</t>
  </si>
  <si>
    <t>Interventoría</t>
  </si>
  <si>
    <t>VoBo. Findeter</t>
  </si>
  <si>
    <t>Cantidad de trenes movilizados</t>
  </si>
  <si>
    <t>Pk final</t>
  </si>
  <si>
    <t>Total
Km recorridos</t>
  </si>
  <si>
    <t xml:space="preserve">Tiempo total recorrido
 (hrs) </t>
  </si>
  <si>
    <t>Tiempos demora (Hrs)</t>
  </si>
  <si>
    <t>Tiempo de recorrido sin demoras  (Hrs)</t>
  </si>
  <si>
    <t>APDR</t>
  </si>
  <si>
    <t>Mineral de hierro</t>
  </si>
  <si>
    <t>Argos</t>
  </si>
  <si>
    <t>Acerias Paz del rio</t>
  </si>
  <si>
    <t xml:space="preserve"> </t>
  </si>
  <si>
    <t>Valor Alquiler Gondola
(sin IVA)</t>
  </si>
  <si>
    <t>Archivo</t>
  </si>
  <si>
    <t xml:space="preserve">Observacion </t>
  </si>
  <si>
    <t>Balasto</t>
  </si>
  <si>
    <t>Este transporte se efectuó sin compensación. En consecuencia, se abona a la Agencia Nacional de Infraestructura el equivalente a un día de alquiler de locomotora y tolvas.</t>
  </si>
  <si>
    <t>FERREOBELEN</t>
  </si>
  <si>
    <r>
      <t>De conformidad con el Anexo 1 numeral 3.5.4. para el periodo de este informe de acuerdo con el total de toneladas movilizadas en el mes, los valores como recaudo a la ANI están en el rango de</t>
    </r>
    <r>
      <rPr>
        <u/>
        <sz val="10"/>
        <color theme="1"/>
        <rFont val="Calibri"/>
        <family val="2"/>
        <scheme val="minor"/>
      </rPr>
      <t xml:space="preserve"> (ejemplo: 8.001 en adelante toneladas/mes)</t>
    </r>
  </si>
  <si>
    <t>Este transporte se efectuo con locomotora usada para el servicio de transporte de cementos Argos. En consecuencia, se abona a la Agencia Nacional de Infraestructura el equivalente a un día de alquiler de locomotora y tolvas.</t>
  </si>
  <si>
    <t>Este transporte se realizó inicialmente con una locomotora hasta la salida del tren desde la planta de Argos. En consecuencia, se abona a la Agencia Nacional de Infraestructura el equivalente a dos (2) día de alquiler de una locomotora y dos (2) días de alquiler de plataformas, dado que, para completar las dos locomotoras, se liquidó una en el servicio prestado a Ferreobelén.</t>
  </si>
  <si>
    <t>OC026</t>
  </si>
  <si>
    <r>
      <t xml:space="preserve">En constancia, este informe se firma a los </t>
    </r>
    <r>
      <rPr>
        <sz val="10"/>
        <rFont val="Calibri"/>
        <family val="2"/>
        <scheme val="minor"/>
      </rPr>
      <t>_2</t>
    </r>
    <r>
      <rPr>
        <sz val="10"/>
        <color theme="1"/>
        <rFont val="Calibri"/>
        <family val="2"/>
        <scheme val="minor"/>
      </rPr>
      <t>_ días del mes _agosto_ de 2025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</si>
  <si>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71368,72177,72112,71376,72153,72132,71331</t>
    </r>
  </si>
  <si>
    <r>
      <t xml:space="preserve">Loc. </t>
    </r>
    <r>
      <rPr>
        <sz val="10"/>
        <color theme="1"/>
        <rFont val="Calibri"/>
        <family val="2"/>
        <scheme val="minor"/>
      </rPr>
      <t xml:space="preserve">1001
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72191,71313,72174,72101,72163,72172,70577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</si>
  <si>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</t>
    </r>
    <r>
      <rPr>
        <sz val="10"/>
        <color theme="1"/>
        <rFont val="Calibri"/>
        <family val="2"/>
        <scheme val="minor"/>
      </rPr>
      <t xml:space="preserve"> 71368,72177,72112,71376,72153,72132,71331</t>
    </r>
  </si>
  <si>
    <r>
      <t xml:space="preserve">
Loc.</t>
    </r>
    <r>
      <rPr>
        <sz val="10"/>
        <color theme="1"/>
        <rFont val="Calibri"/>
        <family val="2"/>
        <scheme val="minor"/>
      </rPr>
      <t xml:space="preserve"> 1044</t>
    </r>
    <r>
      <rPr>
        <b/>
        <sz val="10"/>
        <color theme="1"/>
        <rFont val="Calibri"/>
        <family val="2"/>
        <scheme val="minor"/>
      </rPr>
      <t xml:space="preserve">
Tolv.</t>
    </r>
    <r>
      <rPr>
        <sz val="10"/>
        <color theme="1"/>
        <rFont val="Calibri"/>
        <family val="2"/>
        <scheme val="minor"/>
      </rPr>
      <t xml:space="preserve"> 71368,72177,72112,71376,72153,72132,71331</t>
    </r>
  </si>
  <si>
    <r>
      <t xml:space="preserve">Loc. </t>
    </r>
    <r>
      <rPr>
        <sz val="10"/>
        <color theme="1"/>
        <rFont val="Calibri"/>
        <family val="2"/>
        <scheme val="minor"/>
      </rPr>
      <t>1044-1001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71368,72177,72112,72153,72132,71331,72191,71313,72174,72101,72163,72172,70577</t>
    </r>
  </si>
  <si>
    <r>
      <t xml:space="preserve">Loc. </t>
    </r>
    <r>
      <rPr>
        <sz val="10"/>
        <color theme="1"/>
        <rFont val="Calibri"/>
        <family val="2"/>
        <scheme val="minor"/>
      </rPr>
      <t>1001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73132,71331,72191,71313,72174,72101,72163,72172,70577</t>
    </r>
  </si>
  <si>
    <r>
      <t xml:space="preserve">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73132,71331,72191,71313,72174,72101,72163,72172,70577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</si>
  <si>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71368,72177,72112,71376,72153,72132,71331</t>
    </r>
  </si>
  <si>
    <r>
      <t xml:space="preserve">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</t>
    </r>
    <r>
      <rPr>
        <sz val="10"/>
        <color theme="1"/>
        <rFont val="Calibri"/>
        <family val="2"/>
        <scheme val="minor"/>
      </rPr>
      <t xml:space="preserve"> 71368,72177,72112,71376,72153,72132,71331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</si>
  <si>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71368,72177,72112,71376,72153,72132,71331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</si>
  <si>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4002,4061,4100,4087,4147,4007,4068,4060,4104,4072,4064,4001,4156,4031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</si>
  <si>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4147,4064,4001,4137,4031,4003,4162,4071,4068,4060,4124,4048,4049,4159</t>
    </r>
  </si>
  <si>
    <r>
      <t xml:space="preserve">
Loc. </t>
    </r>
    <r>
      <rPr>
        <sz val="10"/>
        <color theme="1"/>
        <rFont val="Calibri"/>
        <family val="2"/>
        <scheme val="minor"/>
      </rPr>
      <t>1044-1012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4124,4001,4137,4031,4003,4100,4087,4048,4049,4007,4104,4079,4001,4061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</si>
  <si>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4124,4001,4137,4031,4003,4060,4162,4100,4087,4159,4147,4064,4071,4068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</si>
  <si>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4159,4147,4064,4071,4068,4061,4003,4060,4048,4049,4007,4104,4079,4002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</si>
  <si>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4095,4068,4061,4162,4100,4087,4124,4001,4049,4007,4104,4079,4137,4031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</si>
  <si>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4079,4137,4007,4104,4031,4064,4071,4100,4067,4003,4060,4048,4159,4147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</si>
  <si>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4003,4060,4048,4159,4147,4068,4146,4120,4031,4064,4124,4001,4049,4095</t>
    </r>
  </si>
  <si>
    <r>
      <t xml:space="preserve">
Loc. </t>
    </r>
    <r>
      <rPr>
        <sz val="10"/>
        <color theme="1"/>
        <rFont val="Calibri"/>
        <family val="2"/>
        <scheme val="minor"/>
      </rPr>
      <t>1001-1044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4147,4068,4071,4100,4087,4079,4137,4007,4104,4146,4120,4031,4003,4060</t>
    </r>
  </si>
  <si>
    <t>REMISION ARGOS RPSM- 00334302  T1-216</t>
  </si>
  <si>
    <t>REMISION ARGOS RPSM- 00334556  T1-217</t>
  </si>
  <si>
    <t>REMISION ARGOS RPSM- 00334900  T1-218</t>
  </si>
  <si>
    <t>REMISION ARGOS RPSM- 00335049  T1-219</t>
  </si>
  <si>
    <t>REMISION ARGOS RPSM- 00335169  T1-220</t>
  </si>
  <si>
    <t>REMISION ARGOS RPSM- 00335359  T1-221</t>
  </si>
  <si>
    <t>REMISION ARGOS RPSM- 00335540  T1-222</t>
  </si>
  <si>
    <t>REMISION ARGOS RPSM- 00335927  T1-223</t>
  </si>
  <si>
    <t>REMISION ARGOS RPSM- 00336065  T1-224</t>
  </si>
  <si>
    <t>T1-017</t>
  </si>
  <si>
    <t>T1-018</t>
  </si>
  <si>
    <t>T1-019</t>
  </si>
  <si>
    <t>T1-020</t>
  </si>
  <si>
    <t>T1-021</t>
  </si>
  <si>
    <t>T1-022</t>
  </si>
  <si>
    <t>T1-023</t>
  </si>
  <si>
    <t>T1-024</t>
  </si>
  <si>
    <t>T1-025</t>
  </si>
  <si>
    <t>T1-026</t>
  </si>
  <si>
    <t>T1-027</t>
  </si>
  <si>
    <t>T1-028</t>
  </si>
  <si>
    <t>T1-029</t>
  </si>
  <si>
    <t>T1-030</t>
  </si>
  <si>
    <t>T1-031</t>
  </si>
  <si>
    <t>Este transporte se efectuó sin compensación. En consecuencia, se abona a la Agencia Nacional de Infraestructura el equivalente a un dos de alquiler de locomotora y plataformas.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</si>
</sst>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dd/mm/yy;@"/>
    <numFmt numFmtId="165" formatCode="&quot;$&quot;\ #,##0"/>
    <numFmt numFmtId="166" formatCode="&quot;$&quot;\ #,##0.00\ &quot;/ton-Km&quot;"/>
    <numFmt numFmtId="167" formatCode="0.0\ &quot;gal/Km&quot;"/>
    <numFmt numFmtId="168" formatCode="0\ &quot;Km&quot;"/>
    <numFmt numFmtId="169" formatCode="_-&quot;$&quot;\ * #,##0_-;\-&quot;$&quot;\ * #,##0_-;_-&quot;$&quot;\ * &quot;-&quot;??_-;_-@_-"/>
    <numFmt numFmtId="170" formatCode="&quot;$&quot;\ #,##0\ &quot;/Gal&quot;"/>
    <numFmt numFmtId="171" formatCode="0.0\ &quot;Gal&quot;"/>
    <numFmt numFmtId="172" formatCode="#,##0.000"/>
    <numFmt numFmtId="173" formatCode="0.000"/>
    <numFmt numFmtId="174" formatCode="0.0"/>
    <numFmt numFmtId="175" formatCode="#,##0.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rgb="FF3F3F3F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" fillId="6" borderId="14" applyNumberFormat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5" fontId="3" fillId="0" borderId="1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164" fontId="3" fillId="0" borderId="12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9" fontId="3" fillId="0" borderId="12" xfId="1" applyNumberFormat="1" applyFont="1" applyBorder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9" fontId="3" fillId="0" borderId="12" xfId="2" applyFont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0" fontId="3" fillId="0" borderId="12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2" fontId="3" fillId="0" borderId="12" xfId="0" applyNumberFormat="1" applyFont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168" fontId="3" fillId="9" borderId="12" xfId="0" applyNumberFormat="1" applyFont="1" applyFill="1" applyBorder="1" applyAlignment="1">
      <alignment horizontal="center" vertical="center"/>
    </xf>
    <xf numFmtId="171" fontId="3" fillId="9" borderId="12" xfId="0" applyNumberFormat="1" applyFont="1" applyFill="1" applyBorder="1" applyAlignment="1">
      <alignment horizontal="center" vertical="center"/>
    </xf>
    <xf numFmtId="165" fontId="3" fillId="9" borderId="12" xfId="0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164" fontId="15" fillId="0" borderId="16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14" fontId="18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174" fontId="2" fillId="3" borderId="18" xfId="0" applyNumberFormat="1" applyFont="1" applyFill="1" applyBorder="1" applyAlignment="1">
      <alignment horizontal="center" vertical="center"/>
    </xf>
    <xf numFmtId="3" fontId="2" fillId="3" borderId="17" xfId="0" applyNumberFormat="1" applyFont="1" applyFill="1" applyBorder="1" applyAlignment="1">
      <alignment horizontal="center" vertical="center"/>
    </xf>
    <xf numFmtId="3" fontId="2" fillId="3" borderId="18" xfId="0" applyNumberFormat="1" applyFont="1" applyFill="1" applyBorder="1" applyAlignment="1">
      <alignment horizontal="center" vertical="center"/>
    </xf>
    <xf numFmtId="4" fontId="0" fillId="11" borderId="17" xfId="0" applyNumberFormat="1" applyFill="1" applyBorder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12" xfId="1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0" borderId="12" xfId="1" applyNumberFormat="1" applyFont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/>
    </xf>
    <xf numFmtId="0" fontId="19" fillId="9" borderId="12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3" fontId="3" fillId="9" borderId="0" xfId="0" applyNumberFormat="1" applyFont="1" applyFill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165" fontId="3" fillId="9" borderId="0" xfId="1" applyNumberFormat="1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/>
    </xf>
    <xf numFmtId="4" fontId="18" fillId="0" borderId="12" xfId="0" applyNumberFormat="1" applyFont="1" applyBorder="1" applyAlignment="1">
      <alignment horizontal="center" vertical="center"/>
    </xf>
    <xf numFmtId="175" fontId="2" fillId="3" borderId="7" xfId="0" applyNumberFormat="1" applyFont="1" applyFill="1" applyBorder="1" applyAlignment="1">
      <alignment horizontal="center" vertical="center"/>
    </xf>
    <xf numFmtId="4" fontId="2" fillId="3" borderId="7" xfId="0" applyNumberFormat="1" applyFont="1" applyFill="1" applyBorder="1" applyAlignment="1">
      <alignment horizontal="center" vertical="center"/>
    </xf>
    <xf numFmtId="44" fontId="3" fillId="0" borderId="12" xfId="0" applyNumberFormat="1" applyFont="1" applyBorder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44" fontId="3" fillId="0" borderId="12" xfId="0" applyNumberFormat="1" applyFont="1" applyBorder="1" applyAlignment="1">
      <alignment horizontal="left" vertical="center"/>
    </xf>
    <xf numFmtId="0" fontId="19" fillId="14" borderId="12" xfId="0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/>
    </xf>
    <xf numFmtId="14" fontId="1" fillId="9" borderId="12" xfId="0" applyNumberFormat="1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14" fontId="1" fillId="13" borderId="12" xfId="0" applyNumberFormat="1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/>
    </xf>
    <xf numFmtId="165" fontId="3" fillId="0" borderId="21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169" fontId="3" fillId="0" borderId="21" xfId="1" applyNumberFormat="1" applyFont="1" applyBorder="1" applyAlignment="1">
      <alignment horizontal="center" vertical="center"/>
    </xf>
    <xf numFmtId="169" fontId="3" fillId="0" borderId="7" xfId="1" applyNumberFormat="1" applyFont="1" applyBorder="1" applyAlignment="1">
      <alignment horizontal="center" vertical="center"/>
    </xf>
    <xf numFmtId="0" fontId="2" fillId="9" borderId="12" xfId="0" applyFont="1" applyFill="1" applyBorder="1" applyAlignment="1">
      <alignment vertical="center" wrapText="1"/>
    </xf>
    <xf numFmtId="0" fontId="3" fillId="9" borderId="12" xfId="0" applyFont="1" applyFill="1" applyBorder="1" applyAlignment="1">
      <alignment vertical="center"/>
    </xf>
    <xf numFmtId="169" fontId="3" fillId="9" borderId="21" xfId="1" applyNumberFormat="1" applyFont="1" applyFill="1" applyBorder="1" applyAlignment="1">
      <alignment horizontal="center" vertical="center"/>
    </xf>
    <xf numFmtId="169" fontId="3" fillId="9" borderId="7" xfId="1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2" fillId="9" borderId="23" xfId="0" applyFont="1" applyFill="1" applyBorder="1" applyAlignment="1">
      <alignment vertical="center" wrapText="1"/>
    </xf>
    <xf numFmtId="0" fontId="2" fillId="9" borderId="15" xfId="0" applyFont="1" applyFill="1" applyBorder="1" applyAlignment="1">
      <alignment vertical="center" wrapText="1"/>
    </xf>
    <xf numFmtId="0" fontId="2" fillId="9" borderId="24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7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6" fontId="20" fillId="9" borderId="0" xfId="3" applyNumberFormat="1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8" borderId="12" xfId="5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7" borderId="12" xfId="4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20" fillId="6" borderId="14" xfId="3" applyNumberFormat="1" applyFont="1" applyAlignment="1">
      <alignment horizontal="center" vertical="center" wrapText="1"/>
    </xf>
    <xf numFmtId="167" fontId="3" fillId="0" borderId="19" xfId="0" applyNumberFormat="1" applyFont="1" applyBorder="1" applyAlignment="1">
      <alignment horizontal="center" vertical="center" wrapText="1"/>
    </xf>
    <xf numFmtId="167" fontId="3" fillId="0" borderId="2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9" borderId="25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6" xfId="0" applyFont="1" applyFill="1" applyBorder="1" applyAlignment="1">
      <alignment vertical="center" wrapText="1"/>
    </xf>
    <xf numFmtId="0" fontId="13" fillId="10" borderId="0" xfId="0" applyFont="1" applyFill="1" applyAlignment="1">
      <alignment horizontal="center" vertical="center"/>
    </xf>
  </cellXfs>
  <cellStyles count="6">
    <cellStyle name="Celda de comprobación" xfId="3" builtinId="23"/>
    <cellStyle name="Énfasis2" xfId="4" builtinId="33"/>
    <cellStyle name="Énfasis6" xfId="5" builtinId="49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Toneladas Transportadas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Hoja1!$C$4:$D$12</c:f>
              <c:multiLvlStrCache>
                <c:ptCount val="9"/>
                <c:lvl>
                  <c:pt idx="0">
                    <c:v>Cemento</c:v>
                  </c:pt>
                  <c:pt idx="1">
                    <c:v>Cemento</c:v>
                  </c:pt>
                  <c:pt idx="2">
                    <c:v>Cemento</c:v>
                  </c:pt>
                  <c:pt idx="3">
                    <c:v>Cemento</c:v>
                  </c:pt>
                  <c:pt idx="4">
                    <c:v>Cemento</c:v>
                  </c:pt>
                  <c:pt idx="5">
                    <c:v>Subbases</c:v>
                  </c:pt>
                  <c:pt idx="6">
                    <c:v>Cemento</c:v>
                  </c:pt>
                  <c:pt idx="7">
                    <c:v>Cemento</c:v>
                  </c:pt>
                  <c:pt idx="8">
                    <c:v>Cemento</c:v>
                  </c:pt>
                </c:lvl>
                <c:lvl>
                  <c:pt idx="0">
                    <c:v>Cementos Argos</c:v>
                  </c:pt>
                  <c:pt idx="1">
                    <c:v>Cementos Argos</c:v>
                  </c:pt>
                  <c:pt idx="2">
                    <c:v>Cementos Argos</c:v>
                  </c:pt>
                  <c:pt idx="3">
                    <c:v>Cementos Argos</c:v>
                  </c:pt>
                  <c:pt idx="4">
                    <c:v>Cementos Argos</c:v>
                  </c:pt>
                  <c:pt idx="5">
                    <c:v>Rapsa</c:v>
                  </c:pt>
                  <c:pt idx="6">
                    <c:v>Cementos Argos</c:v>
                  </c:pt>
                  <c:pt idx="7">
                    <c:v>Cementos Argos</c:v>
                  </c:pt>
                  <c:pt idx="8">
                    <c:v>Cementos Argos</c:v>
                  </c:pt>
                </c:lvl>
              </c:multiLvlStrCache>
            </c:multiLvlStrRef>
          </c:cat>
          <c:val>
            <c:numRef>
              <c:f>Hoja1!$E$4:$E$12</c:f>
              <c:numCache>
                <c:formatCode>General</c:formatCode>
                <c:ptCount val="9"/>
                <c:pt idx="0">
                  <c:v>388</c:v>
                </c:pt>
                <c:pt idx="1">
                  <c:v>390.78</c:v>
                </c:pt>
                <c:pt idx="2">
                  <c:v>389.55</c:v>
                </c:pt>
                <c:pt idx="3">
                  <c:v>389.55</c:v>
                </c:pt>
                <c:pt idx="4">
                  <c:v>387.1</c:v>
                </c:pt>
                <c:pt idx="5">
                  <c:v>300.8</c:v>
                </c:pt>
                <c:pt idx="6">
                  <c:v>389.55</c:v>
                </c:pt>
                <c:pt idx="7">
                  <c:v>388.32499999999999</c:v>
                </c:pt>
                <c:pt idx="8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2-4068-BAED-892F679D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728639"/>
        <c:axId val="544504063"/>
      </c:barChart>
      <c:catAx>
        <c:axId val="5507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504063"/>
        <c:crosses val="autoZero"/>
        <c:auto val="1"/>
        <c:lblAlgn val="ctr"/>
        <c:lblOffset val="100"/>
        <c:noMultiLvlLbl val="0"/>
      </c:catAx>
      <c:valAx>
        <c:axId val="5445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728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587268</xdr:colOff>
      <xdr:row>1</xdr:row>
      <xdr:rowOff>287470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268" cy="477970"/>
        </a:xfrm>
        <a:prstGeom prst="rect">
          <a:avLst/>
        </a:prstGeom>
      </xdr:spPr>
    </xdr:pic>
    <xdr:clientData/>
  </xdr:twoCellAnchor>
  <xdr:oneCellAnchor>
    <xdr:from>
      <xdr:col>20</xdr:col>
      <xdr:colOff>733425</xdr:colOff>
      <xdr:row>54</xdr:row>
      <xdr:rowOff>361950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43D538D-67E4-4EED-379F-D1D136D5A929}"/>
            </a:ext>
          </a:extLst>
        </xdr:cNvPr>
        <xdr:cNvSpPr txBox="1"/>
      </xdr:nvSpPr>
      <xdr:spPr>
        <a:xfrm>
          <a:off x="20554950" y="666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259080</xdr:colOff>
          <xdr:row>58</xdr:row>
          <xdr:rowOff>480060</xdr:rowOff>
        </xdr:from>
        <xdr:to>
          <xdr:col>20</xdr:col>
          <xdr:colOff>3398520</xdr:colOff>
          <xdr:row>58</xdr:row>
          <xdr:rowOff>998220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251460</xdr:colOff>
          <xdr:row>61</xdr:row>
          <xdr:rowOff>556260</xdr:rowOff>
        </xdr:from>
        <xdr:to>
          <xdr:col>20</xdr:col>
          <xdr:colOff>3550920</xdr:colOff>
          <xdr:row>61</xdr:row>
          <xdr:rowOff>1066800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403860</xdr:colOff>
          <xdr:row>63</xdr:row>
          <xdr:rowOff>632460</xdr:rowOff>
        </xdr:from>
        <xdr:to>
          <xdr:col>20</xdr:col>
          <xdr:colOff>3543300</xdr:colOff>
          <xdr:row>63</xdr:row>
          <xdr:rowOff>1150620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251460</xdr:colOff>
          <xdr:row>65</xdr:row>
          <xdr:rowOff>632460</xdr:rowOff>
        </xdr:from>
        <xdr:to>
          <xdr:col>20</xdr:col>
          <xdr:colOff>3604260</xdr:colOff>
          <xdr:row>65</xdr:row>
          <xdr:rowOff>1143000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175260</xdr:colOff>
          <xdr:row>67</xdr:row>
          <xdr:rowOff>594360</xdr:rowOff>
        </xdr:from>
        <xdr:to>
          <xdr:col>20</xdr:col>
          <xdr:colOff>3528060</xdr:colOff>
          <xdr:row>67</xdr:row>
          <xdr:rowOff>1112520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289560</xdr:colOff>
          <xdr:row>76</xdr:row>
          <xdr:rowOff>541020</xdr:rowOff>
        </xdr:from>
        <xdr:to>
          <xdr:col>20</xdr:col>
          <xdr:colOff>3429000</xdr:colOff>
          <xdr:row>76</xdr:row>
          <xdr:rowOff>1059180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342900</xdr:colOff>
          <xdr:row>80</xdr:row>
          <xdr:rowOff>525780</xdr:rowOff>
        </xdr:from>
        <xdr:to>
          <xdr:col>20</xdr:col>
          <xdr:colOff>3467100</xdr:colOff>
          <xdr:row>80</xdr:row>
          <xdr:rowOff>1051560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83</xdr:row>
          <xdr:rowOff>716280</xdr:rowOff>
        </xdr:from>
        <xdr:to>
          <xdr:col>20</xdr:col>
          <xdr:colOff>3474720</xdr:colOff>
          <xdr:row>83</xdr:row>
          <xdr:rowOff>1242060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220980</xdr:colOff>
          <xdr:row>70</xdr:row>
          <xdr:rowOff>533400</xdr:rowOff>
        </xdr:from>
        <xdr:to>
          <xdr:col>20</xdr:col>
          <xdr:colOff>3535680</xdr:colOff>
          <xdr:row>70</xdr:row>
          <xdr:rowOff>1051560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861060</xdr:colOff>
          <xdr:row>54</xdr:row>
          <xdr:rowOff>236220</xdr:rowOff>
        </xdr:from>
        <xdr:to>
          <xdr:col>20</xdr:col>
          <xdr:colOff>3147060</xdr:colOff>
          <xdr:row>54</xdr:row>
          <xdr:rowOff>754380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861060</xdr:colOff>
          <xdr:row>55</xdr:row>
          <xdr:rowOff>449580</xdr:rowOff>
        </xdr:from>
        <xdr:to>
          <xdr:col>20</xdr:col>
          <xdr:colOff>3162300</xdr:colOff>
          <xdr:row>55</xdr:row>
          <xdr:rowOff>975360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906780</xdr:colOff>
          <xdr:row>56</xdr:row>
          <xdr:rowOff>746760</xdr:rowOff>
        </xdr:from>
        <xdr:to>
          <xdr:col>20</xdr:col>
          <xdr:colOff>3200400</xdr:colOff>
          <xdr:row>57</xdr:row>
          <xdr:rowOff>182880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937260</xdr:colOff>
          <xdr:row>59</xdr:row>
          <xdr:rowOff>830580</xdr:rowOff>
        </xdr:from>
        <xdr:to>
          <xdr:col>20</xdr:col>
          <xdr:colOff>3223260</xdr:colOff>
          <xdr:row>60</xdr:row>
          <xdr:rowOff>137160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822960</xdr:colOff>
          <xdr:row>62</xdr:row>
          <xdr:rowOff>373380</xdr:rowOff>
        </xdr:from>
        <xdr:to>
          <xdr:col>20</xdr:col>
          <xdr:colOff>3116580</xdr:colOff>
          <xdr:row>62</xdr:row>
          <xdr:rowOff>899160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845820</xdr:colOff>
          <xdr:row>64</xdr:row>
          <xdr:rowOff>304800</xdr:rowOff>
        </xdr:from>
        <xdr:to>
          <xdr:col>20</xdr:col>
          <xdr:colOff>3147060</xdr:colOff>
          <xdr:row>64</xdr:row>
          <xdr:rowOff>822960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845820</xdr:colOff>
          <xdr:row>66</xdr:row>
          <xdr:rowOff>327660</xdr:rowOff>
        </xdr:from>
        <xdr:to>
          <xdr:col>20</xdr:col>
          <xdr:colOff>3147060</xdr:colOff>
          <xdr:row>66</xdr:row>
          <xdr:rowOff>838200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769620</xdr:colOff>
          <xdr:row>68</xdr:row>
          <xdr:rowOff>800100</xdr:rowOff>
        </xdr:from>
        <xdr:to>
          <xdr:col>20</xdr:col>
          <xdr:colOff>3055620</xdr:colOff>
          <xdr:row>69</xdr:row>
          <xdr:rowOff>259080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822960</xdr:colOff>
          <xdr:row>71</xdr:row>
          <xdr:rowOff>937260</xdr:rowOff>
        </xdr:from>
        <xdr:to>
          <xdr:col>20</xdr:col>
          <xdr:colOff>3108960</xdr:colOff>
          <xdr:row>72</xdr:row>
          <xdr:rowOff>388620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868680</xdr:colOff>
          <xdr:row>73</xdr:row>
          <xdr:rowOff>838200</xdr:rowOff>
        </xdr:from>
        <xdr:to>
          <xdr:col>20</xdr:col>
          <xdr:colOff>3154680</xdr:colOff>
          <xdr:row>74</xdr:row>
          <xdr:rowOff>297180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937260</xdr:colOff>
          <xdr:row>75</xdr:row>
          <xdr:rowOff>327660</xdr:rowOff>
        </xdr:from>
        <xdr:to>
          <xdr:col>20</xdr:col>
          <xdr:colOff>3223260</xdr:colOff>
          <xdr:row>75</xdr:row>
          <xdr:rowOff>845820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899160</xdr:colOff>
          <xdr:row>77</xdr:row>
          <xdr:rowOff>822960</xdr:rowOff>
        </xdr:from>
        <xdr:to>
          <xdr:col>20</xdr:col>
          <xdr:colOff>3185160</xdr:colOff>
          <xdr:row>78</xdr:row>
          <xdr:rowOff>289560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960120</xdr:colOff>
          <xdr:row>79</xdr:row>
          <xdr:rowOff>365760</xdr:rowOff>
        </xdr:from>
        <xdr:to>
          <xdr:col>20</xdr:col>
          <xdr:colOff>3246120</xdr:colOff>
          <xdr:row>79</xdr:row>
          <xdr:rowOff>876300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822960</xdr:colOff>
          <xdr:row>81</xdr:row>
          <xdr:rowOff>784860</xdr:rowOff>
        </xdr:from>
        <xdr:to>
          <xdr:col>20</xdr:col>
          <xdr:colOff>3108960</xdr:colOff>
          <xdr:row>82</xdr:row>
          <xdr:rowOff>228600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784860</xdr:colOff>
          <xdr:row>84</xdr:row>
          <xdr:rowOff>708660</xdr:rowOff>
        </xdr:from>
        <xdr:to>
          <xdr:col>20</xdr:col>
          <xdr:colOff>3070860</xdr:colOff>
          <xdr:row>85</xdr:row>
          <xdr:rowOff>175260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4</xdr:row>
      <xdr:rowOff>64770</xdr:rowOff>
    </xdr:from>
    <xdr:to>
      <xdr:col>14</xdr:col>
      <xdr:colOff>495300</xdr:colOff>
      <xdr:row>19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AE6C02-EF17-3E14-4DC5-F837B1C26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6.bin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50" Type="http://schemas.openxmlformats.org/officeDocument/2006/relationships/oleObject" Target="../embeddings/oleObject24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showGridLines="0" tabSelected="1" view="pageBreakPreview" topLeftCell="I86" zoomScale="94" zoomScaleNormal="94" zoomScaleSheetLayoutView="94" workbookViewId="0">
      <selection activeCell="P90" sqref="P90"/>
    </sheetView>
  </sheetViews>
  <sheetFormatPr baseColWidth="10" defaultColWidth="11.33203125" defaultRowHeight="13.8"/>
  <cols>
    <col min="1" max="1" width="13" style="2" customWidth="1"/>
    <col min="2" max="2" width="7.6640625" style="3" customWidth="1"/>
    <col min="3" max="3" width="27" style="3" customWidth="1"/>
    <col min="4" max="4" width="17.44140625" style="4" customWidth="1"/>
    <col min="5" max="5" width="16.88671875" style="2" customWidth="1"/>
    <col min="6" max="6" width="16.6640625" style="2" customWidth="1"/>
    <col min="7" max="7" width="16.5546875" style="2" customWidth="1"/>
    <col min="8" max="8" width="16.109375" style="2" customWidth="1"/>
    <col min="9" max="9" width="13.109375" style="2" customWidth="1"/>
    <col min="10" max="10" width="15.44140625" style="2" customWidth="1"/>
    <col min="11" max="11" width="18.6640625" style="58" customWidth="1"/>
    <col min="12" max="12" width="15.6640625" style="2" customWidth="1"/>
    <col min="13" max="13" width="23.6640625" style="2" customWidth="1"/>
    <col min="14" max="15" width="15.44140625" style="2" customWidth="1"/>
    <col min="16" max="16" width="18.88671875" style="2" customWidth="1"/>
    <col min="17" max="17" width="16.109375" style="2" customWidth="1"/>
    <col min="18" max="18" width="16" style="2" customWidth="1"/>
    <col min="19" max="19" width="11" style="2" customWidth="1"/>
    <col min="20" max="20" width="14.44140625" style="2" customWidth="1"/>
    <col min="21" max="21" width="54.6640625" style="2" customWidth="1"/>
    <col min="22" max="22" width="38.33203125" style="2" customWidth="1"/>
    <col min="23" max="64" width="4.6640625" style="2" customWidth="1"/>
    <col min="65" max="16384" width="11.33203125" style="2"/>
  </cols>
  <sheetData>
    <row r="1" spans="1:16" ht="15" customHeight="1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6" ht="23.4" customHeight="1">
      <c r="A2" s="140" t="s">
        <v>1</v>
      </c>
      <c r="B2" s="140"/>
      <c r="C2" s="140"/>
      <c r="D2" s="140"/>
      <c r="E2" s="140"/>
      <c r="F2" s="140"/>
      <c r="G2" s="140" t="s">
        <v>2</v>
      </c>
      <c r="H2" s="140"/>
      <c r="I2" s="140"/>
      <c r="J2" s="140"/>
      <c r="K2" s="140"/>
      <c r="L2" s="140"/>
      <c r="M2" s="140"/>
    </row>
    <row r="3" spans="1:16" ht="3.75" customHeight="1"/>
    <row r="4" spans="1:16">
      <c r="B4" s="3" t="s">
        <v>3</v>
      </c>
      <c r="D4" s="88" t="s">
        <v>83</v>
      </c>
      <c r="E4" s="5"/>
      <c r="F4" s="5"/>
      <c r="G4" s="5"/>
      <c r="H4" s="5"/>
      <c r="I4" s="5"/>
      <c r="J4" s="5"/>
      <c r="K4" s="59"/>
    </row>
    <row r="5" spans="1:16">
      <c r="B5" s="3" t="s">
        <v>4</v>
      </c>
      <c r="D5" s="4" t="s">
        <v>5</v>
      </c>
      <c r="E5" s="141">
        <v>45839</v>
      </c>
      <c r="F5" s="141"/>
      <c r="G5" s="141"/>
      <c r="H5" s="2" t="s">
        <v>6</v>
      </c>
      <c r="I5" s="141">
        <v>45868</v>
      </c>
      <c r="J5" s="141"/>
      <c r="K5" s="141"/>
    </row>
    <row r="6" spans="1:16">
      <c r="B6" s="3" t="s">
        <v>7</v>
      </c>
      <c r="D6" s="128">
        <v>45870</v>
      </c>
      <c r="E6" s="128"/>
      <c r="F6" s="128"/>
      <c r="G6" s="128"/>
      <c r="H6" s="128"/>
      <c r="I6" s="128"/>
      <c r="J6" s="128"/>
      <c r="K6" s="128"/>
    </row>
    <row r="7" spans="1:16">
      <c r="B7" s="3" t="s">
        <v>8</v>
      </c>
      <c r="D7" s="129" t="s">
        <v>9</v>
      </c>
      <c r="E7" s="129"/>
      <c r="F7" s="129"/>
      <c r="G7" s="129"/>
      <c r="H7" s="129"/>
      <c r="I7" s="129"/>
      <c r="J7" s="129"/>
      <c r="K7" s="129"/>
    </row>
    <row r="8" spans="1:16">
      <c r="B8" s="3" t="s">
        <v>10</v>
      </c>
      <c r="D8" s="129" t="s">
        <v>11</v>
      </c>
      <c r="E8" s="129"/>
      <c r="F8" s="129"/>
      <c r="G8" s="129"/>
      <c r="H8" s="129"/>
      <c r="I8" s="129"/>
      <c r="J8" s="129"/>
      <c r="K8" s="129"/>
    </row>
    <row r="10" spans="1:16">
      <c r="B10" s="130" t="s">
        <v>12</v>
      </c>
      <c r="C10" s="130"/>
      <c r="D10" s="130"/>
      <c r="E10" s="130"/>
      <c r="F10" s="130"/>
      <c r="G10" s="130"/>
      <c r="H10" s="130"/>
      <c r="I10" s="130"/>
      <c r="J10" s="130"/>
      <c r="K10" s="130"/>
      <c r="L10" s="58"/>
    </row>
    <row r="11" spans="1:16">
      <c r="B11" s="4"/>
      <c r="K11" s="2"/>
      <c r="L11" s="58"/>
    </row>
    <row r="12" spans="1:16" ht="34.5" customHeight="1">
      <c r="B12" s="66" t="s">
        <v>13</v>
      </c>
      <c r="C12" s="23" t="s">
        <v>14</v>
      </c>
      <c r="D12" s="23" t="s">
        <v>15</v>
      </c>
      <c r="E12" s="25" t="s">
        <v>16</v>
      </c>
      <c r="F12" s="25" t="s">
        <v>17</v>
      </c>
      <c r="G12" s="22" t="s">
        <v>18</v>
      </c>
      <c r="H12" s="25" t="s">
        <v>19</v>
      </c>
      <c r="I12" s="25" t="s">
        <v>20</v>
      </c>
      <c r="J12" s="22" t="s">
        <v>21</v>
      </c>
      <c r="K12" s="25" t="s">
        <v>22</v>
      </c>
      <c r="L12" s="58"/>
      <c r="M12" s="30"/>
    </row>
    <row r="13" spans="1:16" ht="18" customHeight="1">
      <c r="B13" s="37">
        <v>1</v>
      </c>
      <c r="C13" s="93">
        <v>45839</v>
      </c>
      <c r="D13" s="93">
        <v>45839</v>
      </c>
      <c r="E13" s="94" t="s">
        <v>79</v>
      </c>
      <c r="F13" s="94" t="s">
        <v>77</v>
      </c>
      <c r="G13" s="95">
        <v>175</v>
      </c>
      <c r="H13" s="76">
        <v>230.75</v>
      </c>
      <c r="I13" s="76">
        <v>246.99</v>
      </c>
      <c r="J13" s="84">
        <f>I13-H13</f>
        <v>16.240000000000009</v>
      </c>
      <c r="K13" s="77">
        <f>G13*J13</f>
        <v>2842.0000000000018</v>
      </c>
      <c r="L13" s="100"/>
      <c r="M13" s="54"/>
      <c r="O13" s="81"/>
      <c r="P13" s="82"/>
    </row>
    <row r="14" spans="1:16" ht="18" customHeight="1">
      <c r="B14" s="37">
        <v>2</v>
      </c>
      <c r="C14" s="96">
        <v>45840</v>
      </c>
      <c r="D14" s="96">
        <v>45840</v>
      </c>
      <c r="E14" s="97" t="s">
        <v>79</v>
      </c>
      <c r="F14" s="97" t="s">
        <v>77</v>
      </c>
      <c r="G14" s="95">
        <v>175</v>
      </c>
      <c r="H14" s="76">
        <v>230.75</v>
      </c>
      <c r="I14" s="86">
        <v>247.74600000000001</v>
      </c>
      <c r="J14" s="84">
        <f>I14-H14</f>
        <v>16.996000000000009</v>
      </c>
      <c r="K14" s="77">
        <f t="shared" ref="K14:K44" si="0">G14*J14</f>
        <v>2974.3000000000015</v>
      </c>
      <c r="L14" s="101"/>
      <c r="M14" s="54"/>
    </row>
    <row r="15" spans="1:16" ht="18" customHeight="1">
      <c r="B15" s="37">
        <v>3</v>
      </c>
      <c r="C15" s="93">
        <v>45841</v>
      </c>
      <c r="D15" s="93">
        <v>45841</v>
      </c>
      <c r="E15" s="94" t="s">
        <v>79</v>
      </c>
      <c r="F15" s="94" t="s">
        <v>77</v>
      </c>
      <c r="G15" s="95">
        <v>175</v>
      </c>
      <c r="H15" s="76">
        <v>225</v>
      </c>
      <c r="I15" s="76">
        <v>247.85400000000001</v>
      </c>
      <c r="J15" s="84">
        <f>I15-H15</f>
        <v>22.854000000000013</v>
      </c>
      <c r="K15" s="77">
        <f t="shared" si="0"/>
        <v>3999.4500000000025</v>
      </c>
      <c r="L15" s="100"/>
      <c r="M15" s="54"/>
    </row>
    <row r="16" spans="1:16" ht="18" customHeight="1">
      <c r="B16" s="37">
        <v>4</v>
      </c>
      <c r="C16" s="93">
        <v>45841</v>
      </c>
      <c r="D16" s="93">
        <v>45841</v>
      </c>
      <c r="E16" s="94" t="s">
        <v>79</v>
      </c>
      <c r="F16" s="94" t="s">
        <v>77</v>
      </c>
      <c r="G16" s="95">
        <v>175</v>
      </c>
      <c r="H16" s="76">
        <v>230.75</v>
      </c>
      <c r="I16" s="76">
        <v>246.99</v>
      </c>
      <c r="J16" s="84">
        <f>I16-H16</f>
        <v>16.240000000000009</v>
      </c>
      <c r="K16" s="77">
        <f t="shared" si="0"/>
        <v>2842.0000000000018</v>
      </c>
      <c r="L16" s="100"/>
      <c r="M16" s="54"/>
    </row>
    <row r="17" spans="2:14" ht="18" customHeight="1">
      <c r="B17" s="37">
        <v>5</v>
      </c>
      <c r="C17" s="96">
        <v>45841</v>
      </c>
      <c r="D17" s="96">
        <v>45842</v>
      </c>
      <c r="E17" s="98" t="s">
        <v>23</v>
      </c>
      <c r="F17" s="98" t="s">
        <v>24</v>
      </c>
      <c r="G17" s="95">
        <v>388.33</v>
      </c>
      <c r="H17" s="76">
        <v>262</v>
      </c>
      <c r="I17" s="86">
        <v>5</v>
      </c>
      <c r="J17" s="84">
        <f t="shared" ref="J17" si="1">H17-I17</f>
        <v>257</v>
      </c>
      <c r="K17" s="77">
        <f t="shared" si="0"/>
        <v>99800.81</v>
      </c>
      <c r="L17" s="101"/>
      <c r="M17" s="55"/>
    </row>
    <row r="18" spans="2:14" s="30" customFormat="1" ht="18" customHeight="1">
      <c r="B18" s="37">
        <v>6</v>
      </c>
      <c r="C18" s="93">
        <v>45845</v>
      </c>
      <c r="D18" s="93">
        <v>45845</v>
      </c>
      <c r="E18" s="94" t="s">
        <v>79</v>
      </c>
      <c r="F18" s="94" t="s">
        <v>77</v>
      </c>
      <c r="G18" s="95">
        <v>175</v>
      </c>
      <c r="H18" s="76">
        <v>230.75</v>
      </c>
      <c r="I18" s="86">
        <v>247.99</v>
      </c>
      <c r="J18" s="84">
        <f>I18-H18</f>
        <v>17.240000000000009</v>
      </c>
      <c r="K18" s="77">
        <f t="shared" si="0"/>
        <v>3017.0000000000018</v>
      </c>
      <c r="L18" s="100"/>
      <c r="M18" s="70"/>
    </row>
    <row r="19" spans="2:14" s="30" customFormat="1" ht="18" customHeight="1">
      <c r="B19" s="37">
        <v>7</v>
      </c>
      <c r="C19" s="93">
        <v>45845</v>
      </c>
      <c r="D19" s="93">
        <v>45845</v>
      </c>
      <c r="E19" s="94" t="s">
        <v>79</v>
      </c>
      <c r="F19" s="94" t="s">
        <v>77</v>
      </c>
      <c r="G19" s="95">
        <v>175</v>
      </c>
      <c r="H19" s="76">
        <v>230.75</v>
      </c>
      <c r="I19" s="86">
        <v>248.13</v>
      </c>
      <c r="J19" s="84">
        <f>I19-H19</f>
        <v>17.379999999999995</v>
      </c>
      <c r="K19" s="77">
        <f t="shared" si="0"/>
        <v>3041.4999999999991</v>
      </c>
      <c r="L19" s="100"/>
      <c r="M19" s="70"/>
    </row>
    <row r="20" spans="2:14" ht="18" customHeight="1">
      <c r="B20" s="37">
        <v>8</v>
      </c>
      <c r="C20" s="96">
        <v>45845</v>
      </c>
      <c r="D20" s="96">
        <v>45847</v>
      </c>
      <c r="E20" s="98" t="s">
        <v>23</v>
      </c>
      <c r="F20" s="98" t="s">
        <v>24</v>
      </c>
      <c r="G20" s="95">
        <v>389.55</v>
      </c>
      <c r="H20" s="76">
        <v>262</v>
      </c>
      <c r="I20" s="86">
        <v>5</v>
      </c>
      <c r="J20" s="84">
        <f t="shared" ref="J20" si="2">H20-I20</f>
        <v>257</v>
      </c>
      <c r="K20" s="77">
        <f t="shared" si="0"/>
        <v>100114.35</v>
      </c>
      <c r="L20" s="101"/>
      <c r="M20" s="56"/>
      <c r="N20" s="18"/>
    </row>
    <row r="21" spans="2:14" ht="18" customHeight="1">
      <c r="B21" s="37">
        <v>9</v>
      </c>
      <c r="C21" s="93">
        <v>45849</v>
      </c>
      <c r="D21" s="93">
        <v>45849</v>
      </c>
      <c r="E21" s="94" t="s">
        <v>79</v>
      </c>
      <c r="F21" s="94" t="s">
        <v>77</v>
      </c>
      <c r="G21" s="95">
        <v>175</v>
      </c>
      <c r="H21" s="76">
        <v>230.75</v>
      </c>
      <c r="I21" s="86">
        <v>246.846</v>
      </c>
      <c r="J21" s="84">
        <f>I21-H21</f>
        <v>16.096000000000004</v>
      </c>
      <c r="K21" s="77">
        <f t="shared" si="0"/>
        <v>2816.8000000000006</v>
      </c>
      <c r="L21" s="100"/>
      <c r="M21" s="19"/>
      <c r="N21" s="18"/>
    </row>
    <row r="22" spans="2:14" ht="18" customHeight="1">
      <c r="B22" s="37">
        <v>10</v>
      </c>
      <c r="C22" s="96">
        <v>45849</v>
      </c>
      <c r="D22" s="96">
        <v>45850</v>
      </c>
      <c r="E22" s="98" t="s">
        <v>23</v>
      </c>
      <c r="F22" s="98" t="s">
        <v>24</v>
      </c>
      <c r="G22" s="95">
        <v>388.33</v>
      </c>
      <c r="H22" s="76">
        <v>262</v>
      </c>
      <c r="I22" s="86">
        <v>5</v>
      </c>
      <c r="J22" s="84">
        <f t="shared" ref="J22" si="3">H22-I22</f>
        <v>257</v>
      </c>
      <c r="K22" s="77">
        <f t="shared" si="0"/>
        <v>99800.81</v>
      </c>
      <c r="L22" s="101"/>
      <c r="M22" s="19"/>
      <c r="N22" s="18"/>
    </row>
    <row r="23" spans="2:14" ht="18" customHeight="1">
      <c r="B23" s="37">
        <v>11</v>
      </c>
      <c r="C23" s="93">
        <v>45851</v>
      </c>
      <c r="D23" s="93">
        <v>45851</v>
      </c>
      <c r="E23" s="94" t="s">
        <v>79</v>
      </c>
      <c r="F23" s="94" t="s">
        <v>77</v>
      </c>
      <c r="G23" s="95">
        <v>175</v>
      </c>
      <c r="H23" s="76">
        <v>230.75</v>
      </c>
      <c r="I23" s="86">
        <v>246.834</v>
      </c>
      <c r="J23" s="84">
        <f>I23-H23</f>
        <v>16.084000000000003</v>
      </c>
      <c r="K23" s="77">
        <f t="shared" si="0"/>
        <v>2814.7000000000007</v>
      </c>
      <c r="L23" s="100"/>
      <c r="M23" s="19"/>
      <c r="N23" s="18"/>
    </row>
    <row r="24" spans="2:14" ht="18" customHeight="1">
      <c r="B24" s="37">
        <v>12</v>
      </c>
      <c r="C24" s="96">
        <v>45851</v>
      </c>
      <c r="D24" s="96">
        <v>45852</v>
      </c>
      <c r="E24" s="98" t="s">
        <v>23</v>
      </c>
      <c r="F24" s="98" t="s">
        <v>24</v>
      </c>
      <c r="G24" s="95">
        <v>388.33</v>
      </c>
      <c r="H24" s="76">
        <v>262</v>
      </c>
      <c r="I24" s="86">
        <v>5</v>
      </c>
      <c r="J24" s="84">
        <f t="shared" ref="J24" si="4">H24-I24</f>
        <v>257</v>
      </c>
      <c r="K24" s="77">
        <f t="shared" si="0"/>
        <v>99800.81</v>
      </c>
      <c r="L24" s="101"/>
      <c r="M24" s="19"/>
      <c r="N24" s="18"/>
    </row>
    <row r="25" spans="2:14" ht="18" customHeight="1">
      <c r="B25" s="37">
        <v>13</v>
      </c>
      <c r="C25" s="93">
        <v>45853</v>
      </c>
      <c r="D25" s="93">
        <v>45853</v>
      </c>
      <c r="E25" s="94" t="s">
        <v>79</v>
      </c>
      <c r="F25" s="94" t="s">
        <v>77</v>
      </c>
      <c r="G25" s="95">
        <v>175</v>
      </c>
      <c r="H25" s="76">
        <v>230.75</v>
      </c>
      <c r="I25" s="76">
        <v>245.54</v>
      </c>
      <c r="J25" s="84">
        <f>I25-H25</f>
        <v>14.789999999999992</v>
      </c>
      <c r="K25" s="77">
        <f t="shared" si="0"/>
        <v>2588.2499999999986</v>
      </c>
      <c r="L25" s="100"/>
      <c r="M25" s="19"/>
      <c r="N25" s="18"/>
    </row>
    <row r="26" spans="2:14" ht="18" customHeight="1">
      <c r="B26" s="37">
        <v>14</v>
      </c>
      <c r="C26" s="96">
        <v>45853</v>
      </c>
      <c r="D26" s="96">
        <v>45854</v>
      </c>
      <c r="E26" s="98" t="s">
        <v>23</v>
      </c>
      <c r="F26" s="98" t="s">
        <v>24</v>
      </c>
      <c r="G26" s="95">
        <v>388.33</v>
      </c>
      <c r="H26" s="76">
        <v>262</v>
      </c>
      <c r="I26" s="86">
        <v>5</v>
      </c>
      <c r="J26" s="84">
        <f t="shared" ref="J26" si="5">H26-I26</f>
        <v>257</v>
      </c>
      <c r="K26" s="77">
        <f t="shared" si="0"/>
        <v>99800.81</v>
      </c>
      <c r="L26" s="101"/>
      <c r="M26" s="19"/>
      <c r="N26" s="18"/>
    </row>
    <row r="27" spans="2:14" ht="18" customHeight="1">
      <c r="B27" s="37">
        <v>15</v>
      </c>
      <c r="C27" s="93">
        <v>45855</v>
      </c>
      <c r="D27" s="93">
        <v>45855</v>
      </c>
      <c r="E27" s="94" t="s">
        <v>79</v>
      </c>
      <c r="F27" s="94" t="s">
        <v>77</v>
      </c>
      <c r="G27" s="95">
        <v>175</v>
      </c>
      <c r="H27" s="76">
        <v>230.75</v>
      </c>
      <c r="I27" s="86">
        <v>243.84200000000001</v>
      </c>
      <c r="J27" s="84">
        <f t="shared" ref="J27:J28" si="6">I27-H27</f>
        <v>13.092000000000013</v>
      </c>
      <c r="K27" s="77">
        <f t="shared" si="0"/>
        <v>2291.1000000000022</v>
      </c>
      <c r="L27" s="101"/>
      <c r="M27" s="19"/>
      <c r="N27" s="18"/>
    </row>
    <row r="28" spans="2:14" ht="18" customHeight="1">
      <c r="B28" s="37">
        <v>16</v>
      </c>
      <c r="C28" s="93">
        <v>45855</v>
      </c>
      <c r="D28" s="93">
        <v>45855</v>
      </c>
      <c r="E28" s="94" t="s">
        <v>79</v>
      </c>
      <c r="F28" s="94" t="s">
        <v>77</v>
      </c>
      <c r="G28" s="95">
        <v>175</v>
      </c>
      <c r="H28" s="76">
        <v>230.75</v>
      </c>
      <c r="I28" s="86">
        <v>248.249</v>
      </c>
      <c r="J28" s="84">
        <f t="shared" si="6"/>
        <v>17.498999999999995</v>
      </c>
      <c r="K28" s="77">
        <f t="shared" si="0"/>
        <v>3062.3249999999994</v>
      </c>
      <c r="L28" s="100"/>
      <c r="M28" s="19"/>
      <c r="N28" s="18"/>
    </row>
    <row r="29" spans="2:14" ht="18" customHeight="1">
      <c r="B29" s="37">
        <v>17</v>
      </c>
      <c r="C29" s="96">
        <v>45855</v>
      </c>
      <c r="D29" s="96">
        <v>45856</v>
      </c>
      <c r="E29" s="98" t="s">
        <v>23</v>
      </c>
      <c r="F29" s="98" t="s">
        <v>24</v>
      </c>
      <c r="G29" s="95">
        <v>388.33</v>
      </c>
      <c r="H29" s="76">
        <v>262</v>
      </c>
      <c r="I29" s="86">
        <v>5</v>
      </c>
      <c r="J29" s="84">
        <f t="shared" ref="J29" si="7">H29-I29</f>
        <v>257</v>
      </c>
      <c r="K29" s="77">
        <f t="shared" si="0"/>
        <v>99800.81</v>
      </c>
      <c r="L29" s="101"/>
      <c r="M29" s="19"/>
      <c r="N29" s="18"/>
    </row>
    <row r="30" spans="2:14" ht="18" customHeight="1">
      <c r="B30" s="37">
        <v>18</v>
      </c>
      <c r="C30" s="93">
        <v>45857</v>
      </c>
      <c r="D30" s="93">
        <v>45857</v>
      </c>
      <c r="E30" s="94" t="s">
        <v>79</v>
      </c>
      <c r="F30" s="94" t="s">
        <v>77</v>
      </c>
      <c r="G30" s="95">
        <v>175</v>
      </c>
      <c r="H30" s="76">
        <v>230.75</v>
      </c>
      <c r="I30" s="86">
        <v>248.38200000000001</v>
      </c>
      <c r="J30" s="84">
        <f t="shared" ref="J30:J34" si="8">I30-H30</f>
        <v>17.632000000000005</v>
      </c>
      <c r="K30" s="77">
        <f t="shared" si="0"/>
        <v>3085.6000000000008</v>
      </c>
      <c r="L30" s="100"/>
      <c r="M30" s="19"/>
      <c r="N30" s="18"/>
    </row>
    <row r="31" spans="2:14" ht="18" customHeight="1">
      <c r="B31" s="37">
        <v>19</v>
      </c>
      <c r="C31" s="93">
        <v>45857</v>
      </c>
      <c r="D31" s="93">
        <v>45857</v>
      </c>
      <c r="E31" s="94" t="s">
        <v>79</v>
      </c>
      <c r="F31" s="94" t="s">
        <v>77</v>
      </c>
      <c r="G31" s="95">
        <v>175</v>
      </c>
      <c r="H31" s="76">
        <v>230.75</v>
      </c>
      <c r="I31" s="86">
        <v>248.5</v>
      </c>
      <c r="J31" s="84">
        <f t="shared" si="8"/>
        <v>17.75</v>
      </c>
      <c r="K31" s="77">
        <f t="shared" si="0"/>
        <v>3106.25</v>
      </c>
      <c r="L31" s="100"/>
      <c r="M31" s="19"/>
      <c r="N31" s="18"/>
    </row>
    <row r="32" spans="2:14" ht="18" customHeight="1">
      <c r="B32" s="37">
        <v>20</v>
      </c>
      <c r="C32" s="96">
        <v>45858</v>
      </c>
      <c r="D32" s="96">
        <v>45858</v>
      </c>
      <c r="E32" s="97" t="s">
        <v>79</v>
      </c>
      <c r="F32" s="97" t="s">
        <v>77</v>
      </c>
      <c r="G32" s="95">
        <v>175</v>
      </c>
      <c r="H32" s="76">
        <v>230.75</v>
      </c>
      <c r="I32" s="86">
        <v>248.63399999999999</v>
      </c>
      <c r="J32" s="84">
        <f t="shared" si="8"/>
        <v>17.883999999999986</v>
      </c>
      <c r="K32" s="77">
        <f t="shared" si="0"/>
        <v>3129.6999999999975</v>
      </c>
      <c r="L32" s="101"/>
      <c r="M32" s="19"/>
      <c r="N32" s="18"/>
    </row>
    <row r="33" spans="1:22" ht="18" customHeight="1">
      <c r="B33" s="37">
        <v>21</v>
      </c>
      <c r="C33" s="96">
        <v>45858</v>
      </c>
      <c r="D33" s="96">
        <v>45858</v>
      </c>
      <c r="E33" s="97" t="s">
        <v>79</v>
      </c>
      <c r="F33" s="97" t="s">
        <v>77</v>
      </c>
      <c r="G33" s="95">
        <v>175</v>
      </c>
      <c r="H33" s="76">
        <v>230.75</v>
      </c>
      <c r="I33" s="86">
        <v>248.75399999999999</v>
      </c>
      <c r="J33" s="84">
        <f t="shared" si="8"/>
        <v>18.003999999999991</v>
      </c>
      <c r="K33" s="77">
        <f t="shared" si="0"/>
        <v>3150.6999999999985</v>
      </c>
      <c r="L33" s="101"/>
      <c r="M33" s="19"/>
      <c r="N33" s="18"/>
    </row>
    <row r="34" spans="1:22" ht="18" customHeight="1">
      <c r="B34" s="37">
        <v>22</v>
      </c>
      <c r="C34" s="93">
        <v>45859</v>
      </c>
      <c r="D34" s="93">
        <v>45859</v>
      </c>
      <c r="E34" s="94" t="s">
        <v>79</v>
      </c>
      <c r="F34" s="94" t="s">
        <v>77</v>
      </c>
      <c r="G34" s="95">
        <v>175</v>
      </c>
      <c r="H34" s="76">
        <v>230.75</v>
      </c>
      <c r="I34" s="76">
        <v>248.874</v>
      </c>
      <c r="J34" s="84">
        <f t="shared" si="8"/>
        <v>18.123999999999995</v>
      </c>
      <c r="K34" s="77">
        <f t="shared" si="0"/>
        <v>3171.6999999999994</v>
      </c>
      <c r="L34" s="100"/>
      <c r="M34" s="19">
        <f>+G17+G20+G22+G24+G26+G29+G35+G39+G42</f>
        <v>3496.1899999999996</v>
      </c>
      <c r="N34" s="18"/>
    </row>
    <row r="35" spans="1:22" ht="18" customHeight="1">
      <c r="B35" s="37">
        <v>23</v>
      </c>
      <c r="C35" s="96">
        <v>45859</v>
      </c>
      <c r="D35" s="96">
        <v>45860</v>
      </c>
      <c r="E35" s="98" t="s">
        <v>23</v>
      </c>
      <c r="F35" s="98" t="s">
        <v>24</v>
      </c>
      <c r="G35" s="95">
        <v>388.33</v>
      </c>
      <c r="H35" s="76">
        <v>262</v>
      </c>
      <c r="I35" s="86">
        <v>5</v>
      </c>
      <c r="J35" s="84">
        <f t="shared" ref="J35" si="9">H35-I35</f>
        <v>257</v>
      </c>
      <c r="K35" s="77">
        <f t="shared" si="0"/>
        <v>99800.81</v>
      </c>
      <c r="L35" s="101"/>
      <c r="M35" s="19">
        <f>+G45-M34</f>
        <v>4574.8100000000004</v>
      </c>
      <c r="N35" s="18"/>
    </row>
    <row r="36" spans="1:22" ht="18" customHeight="1">
      <c r="B36" s="37">
        <v>24</v>
      </c>
      <c r="C36" s="93">
        <v>45862</v>
      </c>
      <c r="D36" s="93">
        <v>45862</v>
      </c>
      <c r="E36" s="94" t="s">
        <v>79</v>
      </c>
      <c r="F36" s="94" t="s">
        <v>77</v>
      </c>
      <c r="G36" s="95">
        <v>325</v>
      </c>
      <c r="H36" s="76">
        <v>230.75</v>
      </c>
      <c r="I36" s="76">
        <v>248.75399999999999</v>
      </c>
      <c r="J36" s="84">
        <f t="shared" ref="J36:J40" si="10">I36-H36</f>
        <v>18.003999999999991</v>
      </c>
      <c r="K36" s="77">
        <f t="shared" si="0"/>
        <v>5851.2999999999965</v>
      </c>
      <c r="L36" s="100"/>
      <c r="M36" s="19"/>
      <c r="N36" s="18"/>
    </row>
    <row r="37" spans="1:22" ht="18" customHeight="1">
      <c r="B37" s="37">
        <v>25</v>
      </c>
      <c r="C37" s="93">
        <v>45862</v>
      </c>
      <c r="D37" s="93">
        <v>45862</v>
      </c>
      <c r="E37" s="94" t="s">
        <v>79</v>
      </c>
      <c r="F37" s="94" t="s">
        <v>77</v>
      </c>
      <c r="G37" s="95">
        <v>325</v>
      </c>
      <c r="H37" s="76">
        <v>230.75</v>
      </c>
      <c r="I37" s="76">
        <v>249.346</v>
      </c>
      <c r="J37" s="84">
        <f t="shared" si="10"/>
        <v>18.596000000000004</v>
      </c>
      <c r="K37" s="77">
        <f t="shared" si="0"/>
        <v>6043.7000000000007</v>
      </c>
      <c r="L37" s="100"/>
      <c r="M37" s="19"/>
      <c r="N37" s="18"/>
    </row>
    <row r="38" spans="1:22" ht="18" customHeight="1">
      <c r="B38" s="37">
        <v>26</v>
      </c>
      <c r="C38" s="96">
        <v>45863</v>
      </c>
      <c r="D38" s="96">
        <v>45863</v>
      </c>
      <c r="E38" s="97" t="s">
        <v>79</v>
      </c>
      <c r="F38" s="97" t="s">
        <v>77</v>
      </c>
      <c r="G38" s="95">
        <v>225</v>
      </c>
      <c r="H38" s="76">
        <v>230.75</v>
      </c>
      <c r="I38" s="76">
        <v>250.12</v>
      </c>
      <c r="J38" s="84">
        <f>I38-H38</f>
        <v>19.370000000000005</v>
      </c>
      <c r="K38" s="77">
        <f t="shared" si="0"/>
        <v>4358.2500000000009</v>
      </c>
      <c r="L38" s="101"/>
      <c r="M38" s="19"/>
      <c r="N38" s="18"/>
    </row>
    <row r="39" spans="1:22" ht="18" customHeight="1">
      <c r="B39" s="37">
        <v>27</v>
      </c>
      <c r="C39" s="93">
        <v>45863</v>
      </c>
      <c r="D39" s="93">
        <v>45864</v>
      </c>
      <c r="E39" s="99" t="s">
        <v>23</v>
      </c>
      <c r="F39" s="99" t="s">
        <v>24</v>
      </c>
      <c r="G39" s="95">
        <v>388.33</v>
      </c>
      <c r="H39" s="76">
        <v>262</v>
      </c>
      <c r="I39" s="86">
        <v>5</v>
      </c>
      <c r="J39" s="84">
        <f t="shared" ref="J39" si="11">H39-I39</f>
        <v>257</v>
      </c>
      <c r="K39" s="77">
        <f>G39*J39</f>
        <v>99800.81</v>
      </c>
      <c r="L39" s="100"/>
      <c r="M39" s="19"/>
      <c r="N39" s="18"/>
    </row>
    <row r="40" spans="1:22" ht="18" customHeight="1">
      <c r="B40" s="37">
        <v>28</v>
      </c>
      <c r="C40" s="96">
        <v>45865</v>
      </c>
      <c r="D40" s="96">
        <v>45865</v>
      </c>
      <c r="E40" s="97" t="s">
        <v>79</v>
      </c>
      <c r="F40" s="97" t="s">
        <v>77</v>
      </c>
      <c r="G40" s="95">
        <v>225</v>
      </c>
      <c r="H40" s="76">
        <v>230.75</v>
      </c>
      <c r="I40" s="76">
        <v>249.524</v>
      </c>
      <c r="J40" s="84">
        <f t="shared" si="10"/>
        <v>18.774000000000001</v>
      </c>
      <c r="K40" s="77">
        <f t="shared" si="0"/>
        <v>4224.1500000000005</v>
      </c>
      <c r="L40" s="100"/>
      <c r="M40" s="19"/>
      <c r="N40" s="18"/>
    </row>
    <row r="41" spans="1:22" ht="18" customHeight="1">
      <c r="B41" s="37">
        <v>29</v>
      </c>
      <c r="C41" s="96">
        <v>45865</v>
      </c>
      <c r="D41" s="96">
        <v>45865</v>
      </c>
      <c r="E41" s="97" t="s">
        <v>79</v>
      </c>
      <c r="F41" s="97" t="s">
        <v>77</v>
      </c>
      <c r="G41" s="95">
        <v>225</v>
      </c>
      <c r="H41" s="76">
        <v>230.75</v>
      </c>
      <c r="I41" s="76">
        <v>249.68</v>
      </c>
      <c r="J41" s="84">
        <f>I41-H41</f>
        <v>18.930000000000007</v>
      </c>
      <c r="K41" s="77">
        <f t="shared" si="0"/>
        <v>4259.2500000000018</v>
      </c>
      <c r="L41" s="101"/>
      <c r="M41" s="19"/>
      <c r="N41" s="18"/>
    </row>
    <row r="42" spans="1:22" ht="18" customHeight="1">
      <c r="B42" s="37">
        <v>30</v>
      </c>
      <c r="C42" s="93">
        <v>45865</v>
      </c>
      <c r="D42" s="93">
        <v>45866</v>
      </c>
      <c r="E42" s="99" t="s">
        <v>23</v>
      </c>
      <c r="F42" s="99" t="s">
        <v>24</v>
      </c>
      <c r="G42" s="95">
        <v>388.33</v>
      </c>
      <c r="H42" s="76">
        <v>262</v>
      </c>
      <c r="I42" s="86">
        <v>5</v>
      </c>
      <c r="J42" s="84">
        <f t="shared" ref="J42" si="12">H42-I42</f>
        <v>257</v>
      </c>
      <c r="K42" s="77">
        <f t="shared" si="0"/>
        <v>99800.81</v>
      </c>
      <c r="L42" s="100"/>
      <c r="M42" s="19"/>
      <c r="N42" s="18"/>
    </row>
    <row r="43" spans="1:22" ht="18" customHeight="1">
      <c r="B43" s="37">
        <v>31</v>
      </c>
      <c r="C43" s="96">
        <v>45868</v>
      </c>
      <c r="D43" s="96">
        <v>45868</v>
      </c>
      <c r="E43" s="97" t="s">
        <v>79</v>
      </c>
      <c r="F43" s="97" t="s">
        <v>77</v>
      </c>
      <c r="G43" s="95">
        <v>225</v>
      </c>
      <c r="H43" s="76">
        <v>230.75</v>
      </c>
      <c r="I43" s="76">
        <v>244.01</v>
      </c>
      <c r="J43" s="84">
        <f>I43-H43</f>
        <v>13.259999999999991</v>
      </c>
      <c r="K43" s="77">
        <f t="shared" si="0"/>
        <v>2983.4999999999982</v>
      </c>
      <c r="L43" s="101"/>
      <c r="M43" s="19"/>
      <c r="N43" s="18"/>
    </row>
    <row r="44" spans="1:22" ht="18" customHeight="1">
      <c r="B44" s="37">
        <v>32</v>
      </c>
      <c r="C44" s="96">
        <v>45868</v>
      </c>
      <c r="D44" s="96">
        <v>45868</v>
      </c>
      <c r="E44" s="97" t="s">
        <v>79</v>
      </c>
      <c r="F44" s="97" t="s">
        <v>77</v>
      </c>
      <c r="G44" s="95">
        <v>225</v>
      </c>
      <c r="H44" s="76">
        <v>230.75</v>
      </c>
      <c r="I44" s="76">
        <v>249.83600000000001</v>
      </c>
      <c r="J44" s="84">
        <f>I44-H44</f>
        <v>19.086000000000013</v>
      </c>
      <c r="K44" s="77">
        <f t="shared" si="0"/>
        <v>4294.3500000000031</v>
      </c>
      <c r="L44" s="101"/>
      <c r="M44" s="19"/>
      <c r="N44" s="18"/>
    </row>
    <row r="45" spans="1:22">
      <c r="B45" s="4"/>
      <c r="D45" s="3"/>
      <c r="F45" s="6" t="s">
        <v>27</v>
      </c>
      <c r="G45" s="87">
        <f>ROUND(SUM(G13:G44),0)</f>
        <v>8071</v>
      </c>
      <c r="J45" s="78">
        <f>SUM(J13:J44)</f>
        <v>2712.9250000000002</v>
      </c>
      <c r="K45" s="79">
        <f>SUM(K13:K44)</f>
        <v>978468.70499999973</v>
      </c>
      <c r="L45" s="58"/>
    </row>
    <row r="46" spans="1:22">
      <c r="C46" s="89"/>
      <c r="G46" s="60"/>
    </row>
    <row r="47" spans="1:22" ht="25.5" customHeight="1" thickBot="1">
      <c r="A47" s="131" t="s">
        <v>28</v>
      </c>
      <c r="B47" s="131"/>
      <c r="C47" s="131"/>
      <c r="D47" s="131"/>
      <c r="E47" s="131"/>
      <c r="F47" s="131"/>
      <c r="G47" s="132" t="s">
        <v>29</v>
      </c>
      <c r="H47" s="132"/>
      <c r="I47" s="132"/>
      <c r="J47" s="132"/>
      <c r="K47" s="132"/>
      <c r="L47" s="132"/>
      <c r="S47" s="143"/>
      <c r="T47" s="143"/>
      <c r="U47" s="143"/>
      <c r="V47" s="143"/>
    </row>
    <row r="48" spans="1:22" ht="39.75" customHeight="1" thickBot="1">
      <c r="A48" s="157" t="s">
        <v>80</v>
      </c>
      <c r="B48" s="157"/>
      <c r="C48" s="157"/>
      <c r="D48" s="157"/>
      <c r="E48" s="157"/>
      <c r="F48" s="158"/>
      <c r="G48" s="7" t="s">
        <v>30</v>
      </c>
      <c r="H48" s="8" t="s">
        <v>31</v>
      </c>
      <c r="I48" s="8" t="s">
        <v>32</v>
      </c>
      <c r="J48" s="63" t="s">
        <v>74</v>
      </c>
      <c r="K48" s="8" t="s">
        <v>33</v>
      </c>
      <c r="L48" s="8" t="s">
        <v>34</v>
      </c>
      <c r="M48" s="14" t="s">
        <v>35</v>
      </c>
      <c r="O48" s="83"/>
      <c r="S48" s="72"/>
      <c r="T48" s="72"/>
      <c r="U48" s="72"/>
      <c r="V48" s="72"/>
    </row>
    <row r="49" spans="1:22" ht="15" thickTop="1" thickBot="1">
      <c r="A49" s="157"/>
      <c r="B49" s="157"/>
      <c r="C49" s="157"/>
      <c r="D49" s="157"/>
      <c r="E49" s="157"/>
      <c r="F49" s="158"/>
      <c r="G49" s="9" t="s">
        <v>36</v>
      </c>
      <c r="H49" s="10">
        <f>(3787239/(1+19%))</f>
        <v>3182553.781512605</v>
      </c>
      <c r="I49" s="10">
        <f>(565831.93/(1+19%))</f>
        <v>475489.01680672274</v>
      </c>
      <c r="J49" s="65">
        <f>(1254532/(1+19%))</f>
        <v>1054228.5714285714</v>
      </c>
      <c r="K49" s="154">
        <f>(8*1.0928)*1.052</f>
        <v>9.1970048000000002</v>
      </c>
      <c r="L49" s="155">
        <v>0.8</v>
      </c>
      <c r="M49" s="71">
        <v>188</v>
      </c>
      <c r="S49" s="73"/>
      <c r="T49" s="74"/>
      <c r="U49" s="74"/>
      <c r="V49" s="142"/>
    </row>
    <row r="50" spans="1:22" ht="15.6" customHeight="1" thickTop="1" thickBot="1">
      <c r="A50" s="157"/>
      <c r="B50" s="157"/>
      <c r="C50" s="157"/>
      <c r="D50" s="157"/>
      <c r="E50" s="157"/>
      <c r="F50" s="158"/>
      <c r="G50" s="11" t="s">
        <v>37</v>
      </c>
      <c r="H50" s="12">
        <f>+H49/30</f>
        <v>106085.12605042016</v>
      </c>
      <c r="I50" s="12">
        <f>+I49/30</f>
        <v>15849.633893557424</v>
      </c>
      <c r="J50" s="65">
        <f>+J49/30</f>
        <v>35140.952380952382</v>
      </c>
      <c r="K50" s="154"/>
      <c r="L50" s="156"/>
      <c r="M50" s="71">
        <v>188</v>
      </c>
      <c r="S50" s="73"/>
      <c r="T50" s="74"/>
      <c r="U50" s="74"/>
      <c r="V50" s="142"/>
    </row>
    <row r="51" spans="1:22">
      <c r="A51" s="13"/>
      <c r="B51" s="90"/>
      <c r="C51" s="90"/>
      <c r="D51" s="91"/>
      <c r="E51" s="13"/>
      <c r="F51" s="13"/>
      <c r="G51" s="13"/>
      <c r="M51" s="147"/>
      <c r="N51" s="147"/>
    </row>
    <row r="52" spans="1:22">
      <c r="A52" s="148" t="s">
        <v>38</v>
      </c>
      <c r="B52" s="148"/>
      <c r="C52" s="148"/>
      <c r="D52" s="148"/>
      <c r="E52" s="148"/>
      <c r="F52" s="148"/>
      <c r="G52" s="151" t="s">
        <v>39</v>
      </c>
      <c r="H52" s="151"/>
      <c r="I52" s="151"/>
      <c r="J52" s="151"/>
      <c r="K52" s="151"/>
      <c r="L52" s="151"/>
      <c r="M52" s="152" t="s">
        <v>40</v>
      </c>
      <c r="N52" s="152"/>
      <c r="O52" s="152"/>
      <c r="P52" s="152"/>
      <c r="Q52" s="152"/>
      <c r="R52" s="149" t="s">
        <v>41</v>
      </c>
      <c r="S52" s="149"/>
      <c r="T52" s="149"/>
      <c r="U52" s="144" t="s">
        <v>75</v>
      </c>
      <c r="V52" s="144" t="s">
        <v>76</v>
      </c>
    </row>
    <row r="53" spans="1:22" hidden="1">
      <c r="A53" s="16"/>
      <c r="B53" s="20"/>
      <c r="C53" s="20"/>
      <c r="D53" s="92"/>
      <c r="E53" s="16"/>
      <c r="F53" s="16"/>
      <c r="G53" s="16"/>
      <c r="H53" s="16"/>
      <c r="I53" s="16"/>
      <c r="J53" s="16"/>
      <c r="K53" s="32"/>
      <c r="L53" s="16"/>
      <c r="M53" s="16"/>
      <c r="N53" s="16"/>
      <c r="O53" s="16"/>
      <c r="P53" s="16"/>
      <c r="Q53" s="16"/>
      <c r="R53" s="16"/>
      <c r="S53" s="16" t="s">
        <v>42</v>
      </c>
      <c r="T53" s="31">
        <v>10171</v>
      </c>
      <c r="U53" s="145"/>
      <c r="V53" s="145"/>
    </row>
    <row r="54" spans="1:22" s="1" customFormat="1" ht="57" customHeight="1">
      <c r="A54" s="22" t="s">
        <v>13</v>
      </c>
      <c r="B54" s="150" t="s">
        <v>43</v>
      </c>
      <c r="C54" s="150"/>
      <c r="D54" s="150"/>
      <c r="E54" s="23" t="s">
        <v>14</v>
      </c>
      <c r="F54" s="23" t="s">
        <v>15</v>
      </c>
      <c r="G54" s="22" t="s">
        <v>44</v>
      </c>
      <c r="H54" s="22" t="s">
        <v>45</v>
      </c>
      <c r="I54" s="22" t="s">
        <v>46</v>
      </c>
      <c r="J54" s="22" t="s">
        <v>47</v>
      </c>
      <c r="K54" s="22" t="s">
        <v>48</v>
      </c>
      <c r="L54" s="24" t="s">
        <v>49</v>
      </c>
      <c r="M54" s="22" t="s">
        <v>50</v>
      </c>
      <c r="N54" s="22" t="s">
        <v>21</v>
      </c>
      <c r="O54" s="25" t="s">
        <v>22</v>
      </c>
      <c r="P54" s="22" t="s">
        <v>51</v>
      </c>
      <c r="Q54" s="22" t="s">
        <v>52</v>
      </c>
      <c r="R54" s="22" t="s">
        <v>53</v>
      </c>
      <c r="S54" s="22" t="s">
        <v>54</v>
      </c>
      <c r="T54" s="22" t="s">
        <v>55</v>
      </c>
      <c r="U54" s="146"/>
      <c r="V54" s="146"/>
    </row>
    <row r="55" spans="1:22" ht="78" customHeight="1">
      <c r="A55" s="16">
        <v>1</v>
      </c>
      <c r="B55" s="120" t="s">
        <v>92</v>
      </c>
      <c r="C55" s="133"/>
      <c r="D55" s="133"/>
      <c r="E55" s="57">
        <f>C13</f>
        <v>45839</v>
      </c>
      <c r="F55" s="57">
        <f>D13</f>
        <v>45839</v>
      </c>
      <c r="G55" s="16">
        <v>1</v>
      </c>
      <c r="H55" s="16">
        <v>1</v>
      </c>
      <c r="I55" s="26">
        <f>+H55*H$50*G55</f>
        <v>106085.12605042016</v>
      </c>
      <c r="J55" s="16">
        <v>7</v>
      </c>
      <c r="K55" s="26">
        <f>+J55*J$50*G55</f>
        <v>245986.66666666669</v>
      </c>
      <c r="L55" s="61">
        <f>I55+K55</f>
        <v>352071.79271708685</v>
      </c>
      <c r="M55" s="17">
        <f>+G13</f>
        <v>175</v>
      </c>
      <c r="N55" s="16">
        <f>+J13</f>
        <v>16.240000000000009</v>
      </c>
      <c r="O55" s="62">
        <f>+M55*N55</f>
        <v>2842.0000000000018</v>
      </c>
      <c r="P55" s="32">
        <f>+O55*$K$49</f>
        <v>26137.887641600017</v>
      </c>
      <c r="Q55" s="75" t="s">
        <v>113</v>
      </c>
      <c r="R55" s="38">
        <f>+N55*2</f>
        <v>32.480000000000018</v>
      </c>
      <c r="S55" s="39">
        <f>+R55*$L$49</f>
        <v>25.984000000000016</v>
      </c>
      <c r="T55" s="32">
        <f>+$T$53*S55</f>
        <v>264283.26400000014</v>
      </c>
      <c r="U55" s="16"/>
      <c r="V55" s="64" t="s">
        <v>78</v>
      </c>
    </row>
    <row r="56" spans="1:22" ht="98.4" customHeight="1">
      <c r="A56" s="16">
        <v>2</v>
      </c>
      <c r="B56" s="120" t="s">
        <v>92</v>
      </c>
      <c r="C56" s="133"/>
      <c r="D56" s="133"/>
      <c r="E56" s="57">
        <f t="shared" ref="E56:F56" si="13">C14</f>
        <v>45840</v>
      </c>
      <c r="F56" s="57">
        <f t="shared" si="13"/>
        <v>45840</v>
      </c>
      <c r="G56" s="16">
        <v>1</v>
      </c>
      <c r="H56" s="16">
        <v>1</v>
      </c>
      <c r="I56" s="26">
        <f>+H56*H$50*G56</f>
        <v>106085.12605042016</v>
      </c>
      <c r="J56" s="16">
        <v>7</v>
      </c>
      <c r="K56" s="26">
        <f>+J56*J$50*G56</f>
        <v>245986.66666666669</v>
      </c>
      <c r="L56" s="61">
        <f t="shared" ref="L56:L60" si="14">I56+K56</f>
        <v>352071.79271708685</v>
      </c>
      <c r="M56" s="17">
        <f t="shared" ref="M56:M86" si="15">+G14</f>
        <v>175</v>
      </c>
      <c r="N56" s="16">
        <f t="shared" ref="N56:N86" si="16">+J14</f>
        <v>16.996000000000009</v>
      </c>
      <c r="O56" s="62">
        <f t="shared" ref="O56:O86" si="17">+M56*N56</f>
        <v>2974.3000000000015</v>
      </c>
      <c r="P56" s="32">
        <f t="shared" ref="P56:P86" si="18">+O56*$K$49</f>
        <v>27354.651376640013</v>
      </c>
      <c r="Q56" s="75" t="s">
        <v>114</v>
      </c>
      <c r="R56" s="38">
        <f>+N56*2</f>
        <v>33.992000000000019</v>
      </c>
      <c r="S56" s="39">
        <f t="shared" ref="S56:S61" si="19">+R56*$L$49</f>
        <v>27.193600000000018</v>
      </c>
      <c r="T56" s="32">
        <f t="shared" ref="T56:T59" si="20">+$T$53*S56</f>
        <v>276586.10560000018</v>
      </c>
      <c r="U56" s="16"/>
      <c r="V56" s="64" t="s">
        <v>78</v>
      </c>
    </row>
    <row r="57" spans="1:22" s="30" customFormat="1" ht="85.2" customHeight="1">
      <c r="A57" s="37">
        <v>3</v>
      </c>
      <c r="B57" s="134" t="s">
        <v>94</v>
      </c>
      <c r="C57" s="135"/>
      <c r="D57" s="136"/>
      <c r="E57" s="57">
        <f t="shared" ref="E57:F57" si="21">C15</f>
        <v>45841</v>
      </c>
      <c r="F57" s="57">
        <f t="shared" si="21"/>
        <v>45841</v>
      </c>
      <c r="G57" s="112">
        <v>1</v>
      </c>
      <c r="H57" s="112">
        <v>1</v>
      </c>
      <c r="I57" s="126">
        <f t="shared" ref="I57:I85" si="22">+H57*H$50*G57</f>
        <v>106085.12605042016</v>
      </c>
      <c r="J57" s="112">
        <v>7</v>
      </c>
      <c r="K57" s="122">
        <f>+J57*J$50*G57</f>
        <v>245986.66666666669</v>
      </c>
      <c r="L57" s="110">
        <f t="shared" si="14"/>
        <v>352071.79271708685</v>
      </c>
      <c r="M57" s="17">
        <f t="shared" si="15"/>
        <v>175</v>
      </c>
      <c r="N57" s="16">
        <f t="shared" si="16"/>
        <v>22.854000000000013</v>
      </c>
      <c r="O57" s="62">
        <f t="shared" si="17"/>
        <v>3999.4500000000025</v>
      </c>
      <c r="P57" s="32">
        <f t="shared" si="18"/>
        <v>36782.960847360024</v>
      </c>
      <c r="Q57" s="106" t="s">
        <v>115</v>
      </c>
      <c r="R57" s="38">
        <f>+N57*2</f>
        <v>45.708000000000027</v>
      </c>
      <c r="S57" s="39">
        <f t="shared" si="19"/>
        <v>36.566400000000023</v>
      </c>
      <c r="T57" s="40">
        <f t="shared" si="20"/>
        <v>371916.85440000024</v>
      </c>
      <c r="U57" s="104"/>
      <c r="V57" s="102" t="s">
        <v>78</v>
      </c>
    </row>
    <row r="58" spans="1:22" ht="88.2" customHeight="1">
      <c r="A58" s="16">
        <v>4</v>
      </c>
      <c r="B58" s="137"/>
      <c r="C58" s="138"/>
      <c r="D58" s="139"/>
      <c r="E58" s="57">
        <f t="shared" ref="E58:F58" si="23">C16</f>
        <v>45841</v>
      </c>
      <c r="F58" s="57">
        <f t="shared" si="23"/>
        <v>45841</v>
      </c>
      <c r="G58" s="113"/>
      <c r="H58" s="113"/>
      <c r="I58" s="127"/>
      <c r="J58" s="113"/>
      <c r="K58" s="123"/>
      <c r="L58" s="111"/>
      <c r="M58" s="17">
        <f t="shared" si="15"/>
        <v>175</v>
      </c>
      <c r="N58" s="16">
        <f t="shared" si="16"/>
        <v>16.240000000000009</v>
      </c>
      <c r="O58" s="62">
        <f t="shared" si="17"/>
        <v>2842.0000000000018</v>
      </c>
      <c r="P58" s="32">
        <f t="shared" si="18"/>
        <v>26137.887641600017</v>
      </c>
      <c r="Q58" s="107"/>
      <c r="R58" s="38">
        <f>+N58*2</f>
        <v>32.480000000000018</v>
      </c>
      <c r="S58" s="39">
        <f t="shared" si="19"/>
        <v>25.984000000000016</v>
      </c>
      <c r="T58" s="32">
        <f t="shared" si="20"/>
        <v>264283.26400000014</v>
      </c>
      <c r="U58" s="105"/>
      <c r="V58" s="103"/>
    </row>
    <row r="59" spans="1:22" ht="131.4" customHeight="1">
      <c r="A59" s="16">
        <v>5</v>
      </c>
      <c r="B59" s="124" t="s">
        <v>95</v>
      </c>
      <c r="C59" s="125"/>
      <c r="D59" s="125"/>
      <c r="E59" s="57">
        <f t="shared" ref="E59:F59" si="24">C17</f>
        <v>45841</v>
      </c>
      <c r="F59" s="57">
        <f t="shared" si="24"/>
        <v>45842</v>
      </c>
      <c r="G59" s="16">
        <v>2</v>
      </c>
      <c r="H59" s="16">
        <v>1</v>
      </c>
      <c r="I59" s="26">
        <f t="shared" si="22"/>
        <v>212170.25210084033</v>
      </c>
      <c r="J59" s="16">
        <v>14</v>
      </c>
      <c r="K59" s="26">
        <f>+J59*I$50*G59</f>
        <v>443789.7490196079</v>
      </c>
      <c r="L59" s="61">
        <f t="shared" si="14"/>
        <v>655960.00112044823</v>
      </c>
      <c r="M59" s="17">
        <f t="shared" si="15"/>
        <v>388.33</v>
      </c>
      <c r="N59" s="16">
        <f t="shared" si="16"/>
        <v>257</v>
      </c>
      <c r="O59" s="62">
        <f t="shared" si="17"/>
        <v>99800.81</v>
      </c>
      <c r="P59" s="32">
        <f t="shared" si="18"/>
        <v>917868.52861388796</v>
      </c>
      <c r="Q59" s="75" t="s">
        <v>104</v>
      </c>
      <c r="R59" s="38">
        <f>+N59*2+$M$49</f>
        <v>702</v>
      </c>
      <c r="S59" s="39">
        <f t="shared" si="19"/>
        <v>561.6</v>
      </c>
      <c r="T59" s="32">
        <f t="shared" si="20"/>
        <v>5712033.6000000006</v>
      </c>
      <c r="U59" s="16"/>
      <c r="V59" s="64" t="s">
        <v>82</v>
      </c>
    </row>
    <row r="60" spans="1:22" s="30" customFormat="1" ht="96" customHeight="1">
      <c r="A60" s="37">
        <v>6</v>
      </c>
      <c r="B60" s="114" t="s">
        <v>93</v>
      </c>
      <c r="C60" s="115"/>
      <c r="D60" s="116"/>
      <c r="E60" s="57">
        <f>C18</f>
        <v>45845</v>
      </c>
      <c r="F60" s="57">
        <f t="shared" ref="F60" si="25">D18</f>
        <v>45845</v>
      </c>
      <c r="G60" s="112">
        <v>1</v>
      </c>
      <c r="H60" s="112">
        <v>1</v>
      </c>
      <c r="I60" s="122">
        <f t="shared" si="22"/>
        <v>106085.12605042016</v>
      </c>
      <c r="J60" s="112">
        <v>7</v>
      </c>
      <c r="K60" s="122">
        <f>+J60*J$50*G60</f>
        <v>245986.66666666669</v>
      </c>
      <c r="L60" s="110">
        <f t="shared" si="14"/>
        <v>352071.79271708685</v>
      </c>
      <c r="M60" s="17">
        <f t="shared" si="15"/>
        <v>175</v>
      </c>
      <c r="N60" s="16">
        <f t="shared" si="16"/>
        <v>17.240000000000009</v>
      </c>
      <c r="O60" s="62">
        <f t="shared" si="17"/>
        <v>3017.0000000000018</v>
      </c>
      <c r="P60" s="32">
        <f t="shared" si="18"/>
        <v>27747.363481600016</v>
      </c>
      <c r="Q60" s="106" t="s">
        <v>116</v>
      </c>
      <c r="R60" s="38">
        <f>+N60*2</f>
        <v>34.480000000000018</v>
      </c>
      <c r="S60" s="39">
        <f>+R60*$L$49</f>
        <v>27.584000000000017</v>
      </c>
      <c r="T60" s="40">
        <f t="shared" ref="T60:T62" si="26">+$T$53*S60</f>
        <v>280556.86400000018</v>
      </c>
      <c r="U60" s="109"/>
      <c r="V60" s="102" t="s">
        <v>78</v>
      </c>
    </row>
    <row r="61" spans="1:22" s="30" customFormat="1" ht="83.4" customHeight="1">
      <c r="A61" s="16">
        <v>7</v>
      </c>
      <c r="B61" s="117"/>
      <c r="C61" s="118"/>
      <c r="D61" s="119"/>
      <c r="E61" s="57">
        <f t="shared" ref="E61:F61" si="27">C19</f>
        <v>45845</v>
      </c>
      <c r="F61" s="57">
        <f t="shared" si="27"/>
        <v>45845</v>
      </c>
      <c r="G61" s="113"/>
      <c r="H61" s="113"/>
      <c r="I61" s="123"/>
      <c r="J61" s="113"/>
      <c r="K61" s="123"/>
      <c r="L61" s="111"/>
      <c r="M61" s="17">
        <f t="shared" si="15"/>
        <v>175</v>
      </c>
      <c r="N61" s="16">
        <f t="shared" si="16"/>
        <v>17.379999999999995</v>
      </c>
      <c r="O61" s="62">
        <f t="shared" si="17"/>
        <v>3041.4999999999991</v>
      </c>
      <c r="P61" s="32">
        <f t="shared" si="18"/>
        <v>27972.690099199994</v>
      </c>
      <c r="Q61" s="107"/>
      <c r="R61" s="38">
        <f>+N61*2</f>
        <v>34.759999999999991</v>
      </c>
      <c r="S61" s="39">
        <f t="shared" si="19"/>
        <v>27.807999999999993</v>
      </c>
      <c r="T61" s="40">
        <f>+$T$53*S61</f>
        <v>282835.16799999995</v>
      </c>
      <c r="U61" s="109"/>
      <c r="V61" s="103"/>
    </row>
    <row r="62" spans="1:22" s="30" customFormat="1" ht="131.4" customHeight="1">
      <c r="A62" s="37">
        <v>8</v>
      </c>
      <c r="B62" s="120" t="s">
        <v>96</v>
      </c>
      <c r="C62" s="121"/>
      <c r="D62" s="121"/>
      <c r="E62" s="57">
        <f t="shared" ref="E62:F62" si="28">C20</f>
        <v>45845</v>
      </c>
      <c r="F62" s="57">
        <f t="shared" si="28"/>
        <v>45847</v>
      </c>
      <c r="G62" s="16">
        <v>2</v>
      </c>
      <c r="H62" s="16">
        <v>1</v>
      </c>
      <c r="I62" s="26">
        <f>+H62*H$50*G62</f>
        <v>212170.25210084033</v>
      </c>
      <c r="J62" s="16">
        <v>14</v>
      </c>
      <c r="K62" s="26">
        <f>+J62*I$50*G62</f>
        <v>443789.7490196079</v>
      </c>
      <c r="L62" s="61">
        <f t="shared" ref="L62" si="29">I62+K62</f>
        <v>655960.00112044823</v>
      </c>
      <c r="M62" s="17">
        <f t="shared" si="15"/>
        <v>389.55</v>
      </c>
      <c r="N62" s="16">
        <f t="shared" si="16"/>
        <v>257</v>
      </c>
      <c r="O62" s="62">
        <f t="shared" si="17"/>
        <v>100114.35</v>
      </c>
      <c r="P62" s="32">
        <f t="shared" si="18"/>
        <v>920752.15749888006</v>
      </c>
      <c r="Q62" s="75" t="s">
        <v>105</v>
      </c>
      <c r="R62" s="38">
        <f>+N62*2+$M$49</f>
        <v>702</v>
      </c>
      <c r="S62" s="39">
        <f>+R62*$L$49</f>
        <v>561.6</v>
      </c>
      <c r="T62" s="40">
        <f t="shared" si="26"/>
        <v>5712033.6000000006</v>
      </c>
      <c r="U62" s="37"/>
      <c r="V62" s="64" t="s">
        <v>82</v>
      </c>
    </row>
    <row r="63" spans="1:22" s="30" customFormat="1" ht="83.4" customHeight="1">
      <c r="A63" s="16">
        <v>9</v>
      </c>
      <c r="B63" s="120" t="s">
        <v>85</v>
      </c>
      <c r="C63" s="121"/>
      <c r="D63" s="121"/>
      <c r="E63" s="57">
        <f t="shared" ref="E63:F63" si="30">C21</f>
        <v>45849</v>
      </c>
      <c r="F63" s="57">
        <f t="shared" si="30"/>
        <v>45849</v>
      </c>
      <c r="G63" s="16">
        <v>1</v>
      </c>
      <c r="H63" s="16">
        <v>1</v>
      </c>
      <c r="I63" s="26">
        <f>+H63*H$50*G63</f>
        <v>106085.12605042016</v>
      </c>
      <c r="J63" s="16">
        <v>7</v>
      </c>
      <c r="K63" s="26">
        <f>+J63*J$50*G63</f>
        <v>245986.66666666669</v>
      </c>
      <c r="L63" s="61">
        <f t="shared" ref="L63:L66" si="31">I63+K63</f>
        <v>352071.79271708685</v>
      </c>
      <c r="M63" s="17">
        <f t="shared" si="15"/>
        <v>175</v>
      </c>
      <c r="N63" s="16">
        <f t="shared" si="16"/>
        <v>16.096000000000004</v>
      </c>
      <c r="O63" s="62">
        <f t="shared" si="17"/>
        <v>2816.8000000000006</v>
      </c>
      <c r="P63" s="32">
        <f t="shared" si="18"/>
        <v>25906.123120640008</v>
      </c>
      <c r="Q63" s="75" t="s">
        <v>117</v>
      </c>
      <c r="R63" s="38">
        <f>+N63*2</f>
        <v>32.192000000000007</v>
      </c>
      <c r="S63" s="39">
        <f t="shared" ref="S63:S64" si="32">+R63*$L$49</f>
        <v>25.753600000000006</v>
      </c>
      <c r="T63" s="40">
        <f t="shared" ref="T63:T65" si="33">+$T$53*S63</f>
        <v>261939.86560000005</v>
      </c>
      <c r="U63" s="37"/>
      <c r="V63" s="64" t="s">
        <v>78</v>
      </c>
    </row>
    <row r="64" spans="1:22" s="30" customFormat="1" ht="135.6" customHeight="1">
      <c r="A64" s="37">
        <v>10</v>
      </c>
      <c r="B64" s="120" t="s">
        <v>97</v>
      </c>
      <c r="C64" s="121"/>
      <c r="D64" s="121"/>
      <c r="E64" s="57">
        <f t="shared" ref="E64:F64" si="34">C22</f>
        <v>45849</v>
      </c>
      <c r="F64" s="57">
        <f t="shared" si="34"/>
        <v>45850</v>
      </c>
      <c r="G64" s="16">
        <v>2</v>
      </c>
      <c r="H64" s="16">
        <v>1</v>
      </c>
      <c r="I64" s="26">
        <f t="shared" ref="I64:I66" si="35">+H64*H$50*G64</f>
        <v>212170.25210084033</v>
      </c>
      <c r="J64" s="16">
        <v>14</v>
      </c>
      <c r="K64" s="26">
        <f t="shared" ref="K64" si="36">+J64*I$50*G64</f>
        <v>443789.7490196079</v>
      </c>
      <c r="L64" s="61">
        <f t="shared" si="31"/>
        <v>655960.00112044823</v>
      </c>
      <c r="M64" s="17">
        <f t="shared" si="15"/>
        <v>388.33</v>
      </c>
      <c r="N64" s="16">
        <f t="shared" si="16"/>
        <v>257</v>
      </c>
      <c r="O64" s="62">
        <f t="shared" si="17"/>
        <v>99800.81</v>
      </c>
      <c r="P64" s="32">
        <f t="shared" si="18"/>
        <v>917868.52861388796</v>
      </c>
      <c r="Q64" s="75" t="s">
        <v>106</v>
      </c>
      <c r="R64" s="38">
        <f>+N64*2+$M$49</f>
        <v>702</v>
      </c>
      <c r="S64" s="39">
        <f t="shared" si="32"/>
        <v>561.6</v>
      </c>
      <c r="T64" s="40">
        <f t="shared" si="33"/>
        <v>5712033.6000000006</v>
      </c>
      <c r="U64" s="37"/>
      <c r="V64" s="64" t="s">
        <v>82</v>
      </c>
    </row>
    <row r="65" spans="1:22" s="30" customFormat="1" ht="83.4" customHeight="1">
      <c r="A65" s="16">
        <v>11</v>
      </c>
      <c r="B65" s="120" t="s">
        <v>85</v>
      </c>
      <c r="C65" s="121"/>
      <c r="D65" s="121"/>
      <c r="E65" s="57">
        <f t="shared" ref="E65:F65" si="37">C23</f>
        <v>45851</v>
      </c>
      <c r="F65" s="57">
        <f t="shared" si="37"/>
        <v>45851</v>
      </c>
      <c r="G65" s="16">
        <v>1</v>
      </c>
      <c r="H65" s="16">
        <v>1</v>
      </c>
      <c r="I65" s="26">
        <f t="shared" si="35"/>
        <v>106085.12605042016</v>
      </c>
      <c r="J65" s="16">
        <v>7</v>
      </c>
      <c r="K65" s="26">
        <f>+J65*J$50*G65</f>
        <v>245986.66666666669</v>
      </c>
      <c r="L65" s="61">
        <f t="shared" si="31"/>
        <v>352071.79271708685</v>
      </c>
      <c r="M65" s="17">
        <f t="shared" si="15"/>
        <v>175</v>
      </c>
      <c r="N65" s="16">
        <f t="shared" si="16"/>
        <v>16.084000000000003</v>
      </c>
      <c r="O65" s="62">
        <f t="shared" si="17"/>
        <v>2814.7000000000007</v>
      </c>
      <c r="P65" s="32">
        <f t="shared" si="18"/>
        <v>25886.809410560007</v>
      </c>
      <c r="Q65" s="75" t="s">
        <v>118</v>
      </c>
      <c r="R65" s="38">
        <f>+N65*2</f>
        <v>32.168000000000006</v>
      </c>
      <c r="S65" s="39">
        <f>+R65*$L$49</f>
        <v>25.734400000000008</v>
      </c>
      <c r="T65" s="40">
        <f t="shared" si="33"/>
        <v>261744.58240000007</v>
      </c>
      <c r="U65" s="37"/>
      <c r="V65" s="64" t="s">
        <v>78</v>
      </c>
    </row>
    <row r="66" spans="1:22" s="30" customFormat="1" ht="141" customHeight="1">
      <c r="A66" s="37">
        <v>12</v>
      </c>
      <c r="B66" s="120" t="s">
        <v>98</v>
      </c>
      <c r="C66" s="121"/>
      <c r="D66" s="121"/>
      <c r="E66" s="57">
        <f t="shared" ref="E66:F66" si="38">C24</f>
        <v>45851</v>
      </c>
      <c r="F66" s="57">
        <f t="shared" si="38"/>
        <v>45852</v>
      </c>
      <c r="G66" s="16">
        <v>2</v>
      </c>
      <c r="H66" s="16">
        <v>1</v>
      </c>
      <c r="I66" s="26">
        <f t="shared" si="35"/>
        <v>212170.25210084033</v>
      </c>
      <c r="J66" s="16">
        <v>14</v>
      </c>
      <c r="K66" s="26">
        <f>+J66*I$50*G66</f>
        <v>443789.7490196079</v>
      </c>
      <c r="L66" s="61">
        <f t="shared" si="31"/>
        <v>655960.00112044823</v>
      </c>
      <c r="M66" s="17">
        <f t="shared" si="15"/>
        <v>388.33</v>
      </c>
      <c r="N66" s="16">
        <f t="shared" si="16"/>
        <v>257</v>
      </c>
      <c r="O66" s="62">
        <f t="shared" si="17"/>
        <v>99800.81</v>
      </c>
      <c r="P66" s="32">
        <f t="shared" si="18"/>
        <v>917868.52861388796</v>
      </c>
      <c r="Q66" s="75" t="s">
        <v>107</v>
      </c>
      <c r="R66" s="38">
        <f>+N66*2+$M$49</f>
        <v>702</v>
      </c>
      <c r="S66" s="39">
        <f t="shared" ref="S66:S77" si="39">+R66*$L$49</f>
        <v>561.6</v>
      </c>
      <c r="T66" s="40">
        <f t="shared" ref="T66:T77" si="40">+$T$53*S66</f>
        <v>5712033.6000000006</v>
      </c>
      <c r="U66" s="37"/>
      <c r="V66" s="64" t="s">
        <v>82</v>
      </c>
    </row>
    <row r="67" spans="1:22" s="30" customFormat="1" ht="83.4" customHeight="1">
      <c r="A67" s="16">
        <v>13</v>
      </c>
      <c r="B67" s="120" t="s">
        <v>85</v>
      </c>
      <c r="C67" s="121"/>
      <c r="D67" s="121"/>
      <c r="E67" s="57">
        <f t="shared" ref="E67:F67" si="41">C25</f>
        <v>45853</v>
      </c>
      <c r="F67" s="57">
        <f t="shared" si="41"/>
        <v>45853</v>
      </c>
      <c r="G67" s="16">
        <v>1</v>
      </c>
      <c r="H67" s="16">
        <v>1</v>
      </c>
      <c r="I67" s="26">
        <f t="shared" si="22"/>
        <v>106085.12605042016</v>
      </c>
      <c r="J67" s="16">
        <v>7</v>
      </c>
      <c r="K67" s="26">
        <f>+J67*J$50*G67</f>
        <v>245986.66666666669</v>
      </c>
      <c r="L67" s="61">
        <f t="shared" ref="L67:L77" si="42">I67+K67</f>
        <v>352071.79271708685</v>
      </c>
      <c r="M67" s="17">
        <f t="shared" si="15"/>
        <v>175</v>
      </c>
      <c r="N67" s="16">
        <f t="shared" si="16"/>
        <v>14.789999999999992</v>
      </c>
      <c r="O67" s="62">
        <f t="shared" si="17"/>
        <v>2588.2499999999986</v>
      </c>
      <c r="P67" s="32">
        <f t="shared" si="18"/>
        <v>23804.14767359999</v>
      </c>
      <c r="Q67" s="75" t="s">
        <v>119</v>
      </c>
      <c r="R67" s="38">
        <f>+N67*2</f>
        <v>29.579999999999984</v>
      </c>
      <c r="S67" s="39">
        <f t="shared" si="39"/>
        <v>23.663999999999987</v>
      </c>
      <c r="T67" s="40">
        <f t="shared" si="40"/>
        <v>240686.54399999988</v>
      </c>
      <c r="U67" s="37"/>
      <c r="V67" s="64" t="s">
        <v>78</v>
      </c>
    </row>
    <row r="68" spans="1:22" s="30" customFormat="1" ht="135.6" customHeight="1">
      <c r="A68" s="37">
        <v>14</v>
      </c>
      <c r="B68" s="120" t="s">
        <v>99</v>
      </c>
      <c r="C68" s="121"/>
      <c r="D68" s="121"/>
      <c r="E68" s="57">
        <f t="shared" ref="E68:F68" si="43">C26</f>
        <v>45853</v>
      </c>
      <c r="F68" s="57">
        <f t="shared" si="43"/>
        <v>45854</v>
      </c>
      <c r="G68" s="16">
        <v>2</v>
      </c>
      <c r="H68" s="16">
        <v>1</v>
      </c>
      <c r="I68" s="26">
        <f t="shared" si="22"/>
        <v>212170.25210084033</v>
      </c>
      <c r="J68" s="16">
        <v>14</v>
      </c>
      <c r="K68" s="26">
        <f>+J68*I$50*G68</f>
        <v>443789.7490196079</v>
      </c>
      <c r="L68" s="61">
        <f t="shared" si="42"/>
        <v>655960.00112044823</v>
      </c>
      <c r="M68" s="17">
        <f t="shared" si="15"/>
        <v>388.33</v>
      </c>
      <c r="N68" s="16">
        <f t="shared" si="16"/>
        <v>257</v>
      </c>
      <c r="O68" s="62">
        <f t="shared" si="17"/>
        <v>99800.81</v>
      </c>
      <c r="P68" s="32">
        <f t="shared" si="18"/>
        <v>917868.52861388796</v>
      </c>
      <c r="Q68" s="75" t="s">
        <v>108</v>
      </c>
      <c r="R68" s="38">
        <f t="shared" ref="R68" si="44">+N68*2+$M$49</f>
        <v>702</v>
      </c>
      <c r="S68" s="39">
        <f t="shared" si="39"/>
        <v>561.6</v>
      </c>
      <c r="T68" s="40">
        <f t="shared" si="40"/>
        <v>5712033.6000000006</v>
      </c>
      <c r="U68" s="37"/>
      <c r="V68" s="64" t="s">
        <v>82</v>
      </c>
    </row>
    <row r="69" spans="1:22" s="30" customFormat="1" ht="83.4" customHeight="1">
      <c r="A69" s="16">
        <v>15</v>
      </c>
      <c r="B69" s="114" t="s">
        <v>88</v>
      </c>
      <c r="C69" s="115"/>
      <c r="D69" s="116"/>
      <c r="E69" s="57">
        <f t="shared" ref="E69:F69" si="45">C27</f>
        <v>45855</v>
      </c>
      <c r="F69" s="57">
        <f t="shared" si="45"/>
        <v>45855</v>
      </c>
      <c r="G69" s="112">
        <v>1</v>
      </c>
      <c r="H69" s="112">
        <v>1</v>
      </c>
      <c r="I69" s="122">
        <f t="shared" si="22"/>
        <v>106085.12605042016</v>
      </c>
      <c r="J69" s="112">
        <v>7</v>
      </c>
      <c r="K69" s="122">
        <f>+J69*J$50*G69</f>
        <v>245986.66666666669</v>
      </c>
      <c r="L69" s="110">
        <f t="shared" si="42"/>
        <v>352071.79271708685</v>
      </c>
      <c r="M69" s="17">
        <f t="shared" si="15"/>
        <v>175</v>
      </c>
      <c r="N69" s="16">
        <f t="shared" si="16"/>
        <v>13.092000000000013</v>
      </c>
      <c r="O69" s="62">
        <f t="shared" si="17"/>
        <v>2291.1000000000022</v>
      </c>
      <c r="P69" s="32">
        <f t="shared" si="18"/>
        <v>21071.25769728002</v>
      </c>
      <c r="Q69" s="106" t="s">
        <v>120</v>
      </c>
      <c r="R69" s="38">
        <f>+N69*2</f>
        <v>26.184000000000026</v>
      </c>
      <c r="S69" s="39">
        <f t="shared" si="39"/>
        <v>20.947200000000024</v>
      </c>
      <c r="T69" s="40">
        <f t="shared" si="40"/>
        <v>213053.97120000023</v>
      </c>
      <c r="U69" s="109"/>
      <c r="V69" s="102" t="s">
        <v>78</v>
      </c>
    </row>
    <row r="70" spans="1:22" s="30" customFormat="1" ht="83.4" customHeight="1">
      <c r="A70" s="37">
        <v>16</v>
      </c>
      <c r="B70" s="117"/>
      <c r="C70" s="118"/>
      <c r="D70" s="119"/>
      <c r="E70" s="57">
        <f t="shared" ref="E70:F70" si="46">C28</f>
        <v>45855</v>
      </c>
      <c r="F70" s="57">
        <f t="shared" si="46"/>
        <v>45855</v>
      </c>
      <c r="G70" s="113"/>
      <c r="H70" s="113"/>
      <c r="I70" s="123"/>
      <c r="J70" s="113"/>
      <c r="K70" s="123"/>
      <c r="L70" s="111"/>
      <c r="M70" s="17">
        <f t="shared" si="15"/>
        <v>175</v>
      </c>
      <c r="N70" s="16">
        <f t="shared" si="16"/>
        <v>17.498999999999995</v>
      </c>
      <c r="O70" s="62">
        <f t="shared" si="17"/>
        <v>3062.3249999999994</v>
      </c>
      <c r="P70" s="32">
        <f t="shared" si="18"/>
        <v>28164.217724159997</v>
      </c>
      <c r="Q70" s="107"/>
      <c r="R70" s="38">
        <f>+N70*2</f>
        <v>34.99799999999999</v>
      </c>
      <c r="S70" s="39">
        <f t="shared" si="39"/>
        <v>27.998399999999993</v>
      </c>
      <c r="T70" s="40">
        <f t="shared" si="40"/>
        <v>284771.72639999993</v>
      </c>
      <c r="U70" s="109"/>
      <c r="V70" s="103"/>
    </row>
    <row r="71" spans="1:22" s="30" customFormat="1" ht="137.4" customHeight="1">
      <c r="A71" s="16">
        <v>17</v>
      </c>
      <c r="B71" s="120" t="s">
        <v>100</v>
      </c>
      <c r="C71" s="121"/>
      <c r="D71" s="121"/>
      <c r="E71" s="57">
        <f t="shared" ref="E71:F71" si="47">C29</f>
        <v>45855</v>
      </c>
      <c r="F71" s="57">
        <f t="shared" si="47"/>
        <v>45856</v>
      </c>
      <c r="G71" s="16">
        <v>2</v>
      </c>
      <c r="H71" s="16">
        <v>1</v>
      </c>
      <c r="I71" s="26">
        <f t="shared" si="22"/>
        <v>212170.25210084033</v>
      </c>
      <c r="J71" s="16">
        <v>14</v>
      </c>
      <c r="K71" s="26">
        <f>+J71*I$50*G71</f>
        <v>443789.7490196079</v>
      </c>
      <c r="L71" s="61">
        <f t="shared" si="42"/>
        <v>655960.00112044823</v>
      </c>
      <c r="M71" s="17">
        <f t="shared" si="15"/>
        <v>388.33</v>
      </c>
      <c r="N71" s="16">
        <f t="shared" si="16"/>
        <v>257</v>
      </c>
      <c r="O71" s="62">
        <f t="shared" si="17"/>
        <v>99800.81</v>
      </c>
      <c r="P71" s="32">
        <f t="shared" si="18"/>
        <v>917868.52861388796</v>
      </c>
      <c r="Q71" s="75" t="s">
        <v>109</v>
      </c>
      <c r="R71" s="38">
        <f>+N71*2+$M$49</f>
        <v>702</v>
      </c>
      <c r="S71" s="39">
        <f t="shared" si="39"/>
        <v>561.6</v>
      </c>
      <c r="T71" s="40">
        <f t="shared" si="40"/>
        <v>5712033.6000000006</v>
      </c>
      <c r="U71" s="37"/>
      <c r="V71" s="64" t="s">
        <v>82</v>
      </c>
    </row>
    <row r="72" spans="1:22" s="30" customFormat="1" ht="83.4" customHeight="1">
      <c r="A72" s="37">
        <v>18</v>
      </c>
      <c r="B72" s="114" t="s">
        <v>87</v>
      </c>
      <c r="C72" s="115"/>
      <c r="D72" s="116"/>
      <c r="E72" s="57">
        <f t="shared" ref="E72:F72" si="48">C30</f>
        <v>45857</v>
      </c>
      <c r="F72" s="57">
        <f t="shared" si="48"/>
        <v>45857</v>
      </c>
      <c r="G72" s="112">
        <v>1</v>
      </c>
      <c r="H72" s="112">
        <v>1</v>
      </c>
      <c r="I72" s="122">
        <f t="shared" si="22"/>
        <v>106085.12605042016</v>
      </c>
      <c r="J72" s="112">
        <v>7</v>
      </c>
      <c r="K72" s="122">
        <f>+J72*J$50*G72</f>
        <v>245986.66666666669</v>
      </c>
      <c r="L72" s="110">
        <f t="shared" si="42"/>
        <v>352071.79271708685</v>
      </c>
      <c r="M72" s="17">
        <f t="shared" si="15"/>
        <v>175</v>
      </c>
      <c r="N72" s="16">
        <f t="shared" si="16"/>
        <v>17.632000000000005</v>
      </c>
      <c r="O72" s="62">
        <f t="shared" si="17"/>
        <v>3085.6000000000008</v>
      </c>
      <c r="P72" s="32">
        <f t="shared" si="18"/>
        <v>28378.278010880007</v>
      </c>
      <c r="Q72" s="106" t="s">
        <v>121</v>
      </c>
      <c r="R72" s="38">
        <f>+N72*2</f>
        <v>35.26400000000001</v>
      </c>
      <c r="S72" s="39">
        <f t="shared" si="39"/>
        <v>28.211200000000009</v>
      </c>
      <c r="T72" s="40">
        <f t="shared" si="40"/>
        <v>286936.11520000012</v>
      </c>
      <c r="U72" s="104"/>
      <c r="V72" s="102" t="s">
        <v>81</v>
      </c>
    </row>
    <row r="73" spans="1:22" s="30" customFormat="1" ht="126.6" customHeight="1">
      <c r="A73" s="16">
        <v>19</v>
      </c>
      <c r="B73" s="117"/>
      <c r="C73" s="118"/>
      <c r="D73" s="119"/>
      <c r="E73" s="57">
        <f t="shared" ref="E73:F73" si="49">C31</f>
        <v>45857</v>
      </c>
      <c r="F73" s="57">
        <f t="shared" si="49"/>
        <v>45857</v>
      </c>
      <c r="G73" s="113"/>
      <c r="H73" s="113"/>
      <c r="I73" s="123"/>
      <c r="J73" s="113"/>
      <c r="K73" s="123"/>
      <c r="L73" s="111"/>
      <c r="M73" s="17">
        <f t="shared" si="15"/>
        <v>175</v>
      </c>
      <c r="N73" s="16">
        <f t="shared" si="16"/>
        <v>17.75</v>
      </c>
      <c r="O73" s="62">
        <f t="shared" si="17"/>
        <v>3106.25</v>
      </c>
      <c r="P73" s="32">
        <f t="shared" si="18"/>
        <v>28568.19616</v>
      </c>
      <c r="Q73" s="107"/>
      <c r="R73" s="38">
        <f>+N73*2</f>
        <v>35.5</v>
      </c>
      <c r="S73" s="39">
        <f t="shared" si="39"/>
        <v>28.400000000000002</v>
      </c>
      <c r="T73" s="40">
        <f t="shared" si="40"/>
        <v>288856.40000000002</v>
      </c>
      <c r="U73" s="105"/>
      <c r="V73" s="103"/>
    </row>
    <row r="74" spans="1:22" s="30" customFormat="1" ht="83.4" customHeight="1">
      <c r="A74" s="37">
        <v>20</v>
      </c>
      <c r="B74" s="114" t="s">
        <v>87</v>
      </c>
      <c r="C74" s="115"/>
      <c r="D74" s="116"/>
      <c r="E74" s="57">
        <f t="shared" ref="E74:F74" si="50">C32</f>
        <v>45858</v>
      </c>
      <c r="F74" s="57">
        <f t="shared" si="50"/>
        <v>45858</v>
      </c>
      <c r="G74" s="112">
        <v>1</v>
      </c>
      <c r="H74" s="112">
        <v>1</v>
      </c>
      <c r="I74" s="122">
        <f t="shared" si="22"/>
        <v>106085.12605042016</v>
      </c>
      <c r="J74" s="112">
        <v>7</v>
      </c>
      <c r="K74" s="122">
        <f>+J74*J$50*G74</f>
        <v>245986.66666666669</v>
      </c>
      <c r="L74" s="110">
        <f t="shared" si="42"/>
        <v>352071.79271708685</v>
      </c>
      <c r="M74" s="17">
        <f t="shared" si="15"/>
        <v>175</v>
      </c>
      <c r="N74" s="16">
        <f t="shared" si="16"/>
        <v>17.883999999999986</v>
      </c>
      <c r="O74" s="62">
        <f t="shared" si="17"/>
        <v>3129.6999999999975</v>
      </c>
      <c r="P74" s="32">
        <f t="shared" si="18"/>
        <v>28783.865922559977</v>
      </c>
      <c r="Q74" s="106" t="s">
        <v>122</v>
      </c>
      <c r="R74" s="38">
        <f>+N74*2</f>
        <v>35.767999999999972</v>
      </c>
      <c r="S74" s="39">
        <f t="shared" si="39"/>
        <v>28.614399999999979</v>
      </c>
      <c r="T74" s="40">
        <f t="shared" si="40"/>
        <v>291037.06239999976</v>
      </c>
      <c r="U74" s="109"/>
      <c r="V74" s="102" t="s">
        <v>81</v>
      </c>
    </row>
    <row r="75" spans="1:22" s="30" customFormat="1" ht="83.4" customHeight="1">
      <c r="A75" s="16">
        <v>21</v>
      </c>
      <c r="B75" s="117"/>
      <c r="C75" s="118"/>
      <c r="D75" s="119"/>
      <c r="E75" s="57">
        <f t="shared" ref="E75:F75" si="51">C33</f>
        <v>45858</v>
      </c>
      <c r="F75" s="57">
        <f t="shared" si="51"/>
        <v>45858</v>
      </c>
      <c r="G75" s="113"/>
      <c r="H75" s="113"/>
      <c r="I75" s="123"/>
      <c r="J75" s="113"/>
      <c r="K75" s="123"/>
      <c r="L75" s="111"/>
      <c r="M75" s="17">
        <f t="shared" si="15"/>
        <v>175</v>
      </c>
      <c r="N75" s="16">
        <f t="shared" si="16"/>
        <v>18.003999999999991</v>
      </c>
      <c r="O75" s="62">
        <f t="shared" si="17"/>
        <v>3150.6999999999985</v>
      </c>
      <c r="P75" s="32">
        <f t="shared" si="18"/>
        <v>28977.003023359986</v>
      </c>
      <c r="Q75" s="107"/>
      <c r="R75" s="38">
        <f>+N75*2</f>
        <v>36.007999999999981</v>
      </c>
      <c r="S75" s="39">
        <f t="shared" si="39"/>
        <v>28.806399999999986</v>
      </c>
      <c r="T75" s="40">
        <f t="shared" si="40"/>
        <v>292989.89439999987</v>
      </c>
      <c r="U75" s="109"/>
      <c r="V75" s="103"/>
    </row>
    <row r="76" spans="1:22" s="30" customFormat="1" ht="83.4" customHeight="1">
      <c r="A76" s="37">
        <v>22</v>
      </c>
      <c r="B76" s="120" t="s">
        <v>86</v>
      </c>
      <c r="C76" s="121"/>
      <c r="D76" s="121"/>
      <c r="E76" s="57">
        <f t="shared" ref="E76:F76" si="52">C34</f>
        <v>45859</v>
      </c>
      <c r="F76" s="57">
        <f t="shared" si="52"/>
        <v>45859</v>
      </c>
      <c r="G76" s="16">
        <v>1</v>
      </c>
      <c r="H76" s="16">
        <v>1</v>
      </c>
      <c r="I76" s="26">
        <f t="shared" si="22"/>
        <v>106085.12605042016</v>
      </c>
      <c r="J76" s="16">
        <v>7</v>
      </c>
      <c r="K76" s="26">
        <f>+J76*J$50*G76</f>
        <v>245986.66666666669</v>
      </c>
      <c r="L76" s="61">
        <f t="shared" si="42"/>
        <v>352071.79271708685</v>
      </c>
      <c r="M76" s="17">
        <f t="shared" si="15"/>
        <v>175</v>
      </c>
      <c r="N76" s="16">
        <f t="shared" si="16"/>
        <v>18.123999999999995</v>
      </c>
      <c r="O76" s="62">
        <f t="shared" si="17"/>
        <v>3171.6999999999994</v>
      </c>
      <c r="P76" s="32">
        <f t="shared" si="18"/>
        <v>29170.140124159996</v>
      </c>
      <c r="Q76" s="75" t="s">
        <v>123</v>
      </c>
      <c r="R76" s="38">
        <f>+N76*2</f>
        <v>36.24799999999999</v>
      </c>
      <c r="S76" s="39">
        <f t="shared" si="39"/>
        <v>28.998399999999993</v>
      </c>
      <c r="T76" s="40">
        <f t="shared" si="40"/>
        <v>294942.72639999993</v>
      </c>
      <c r="U76" s="37"/>
      <c r="V76" s="64" t="s">
        <v>81</v>
      </c>
    </row>
    <row r="77" spans="1:22" s="30" customFormat="1" ht="131.4" customHeight="1">
      <c r="A77" s="16">
        <v>23</v>
      </c>
      <c r="B77" s="120" t="s">
        <v>101</v>
      </c>
      <c r="C77" s="121"/>
      <c r="D77" s="121"/>
      <c r="E77" s="57">
        <f t="shared" ref="E77:F77" si="53">C35</f>
        <v>45859</v>
      </c>
      <c r="F77" s="57">
        <f t="shared" si="53"/>
        <v>45860</v>
      </c>
      <c r="G77" s="16">
        <v>2</v>
      </c>
      <c r="H77" s="16">
        <v>1</v>
      </c>
      <c r="I77" s="26">
        <f t="shared" si="22"/>
        <v>212170.25210084033</v>
      </c>
      <c r="J77" s="16">
        <v>14</v>
      </c>
      <c r="K77" s="26">
        <f>+J77*I$50*G77</f>
        <v>443789.7490196079</v>
      </c>
      <c r="L77" s="61">
        <f t="shared" si="42"/>
        <v>655960.00112044823</v>
      </c>
      <c r="M77" s="17">
        <f t="shared" si="15"/>
        <v>388.33</v>
      </c>
      <c r="N77" s="16">
        <f t="shared" si="16"/>
        <v>257</v>
      </c>
      <c r="O77" s="62">
        <f t="shared" si="17"/>
        <v>99800.81</v>
      </c>
      <c r="P77" s="32">
        <f t="shared" si="18"/>
        <v>917868.52861388796</v>
      </c>
      <c r="Q77" s="75" t="s">
        <v>110</v>
      </c>
      <c r="R77" s="38">
        <f>+N77*2+M49</f>
        <v>702</v>
      </c>
      <c r="S77" s="39">
        <f t="shared" si="39"/>
        <v>561.6</v>
      </c>
      <c r="T77" s="40">
        <f t="shared" si="40"/>
        <v>5712033.6000000006</v>
      </c>
      <c r="U77" s="37"/>
      <c r="V77" s="64" t="s">
        <v>82</v>
      </c>
    </row>
    <row r="78" spans="1:22" s="30" customFormat="1" ht="83.4" customHeight="1">
      <c r="A78" s="37">
        <v>24</v>
      </c>
      <c r="B78" s="114" t="s">
        <v>89</v>
      </c>
      <c r="C78" s="115"/>
      <c r="D78" s="116"/>
      <c r="E78" s="57">
        <f t="shared" ref="E78:F78" si="54">C36</f>
        <v>45862</v>
      </c>
      <c r="F78" s="57">
        <f t="shared" si="54"/>
        <v>45862</v>
      </c>
      <c r="G78" s="112">
        <v>1</v>
      </c>
      <c r="H78" s="112">
        <v>1</v>
      </c>
      <c r="I78" s="122">
        <f t="shared" si="22"/>
        <v>106085.12605042016</v>
      </c>
      <c r="J78" s="112">
        <v>13</v>
      </c>
      <c r="K78" s="122">
        <f>+J78*J$50*G78</f>
        <v>456832.38095238095</v>
      </c>
      <c r="L78" s="110">
        <f t="shared" ref="L78:L85" si="55">I78+K78</f>
        <v>562917.50700280117</v>
      </c>
      <c r="M78" s="17">
        <f t="shared" si="15"/>
        <v>325</v>
      </c>
      <c r="N78" s="16">
        <f t="shared" si="16"/>
        <v>18.003999999999991</v>
      </c>
      <c r="O78" s="62">
        <f t="shared" si="17"/>
        <v>5851.2999999999965</v>
      </c>
      <c r="P78" s="32">
        <f t="shared" si="18"/>
        <v>53814.434186239967</v>
      </c>
      <c r="Q78" s="106" t="s">
        <v>124</v>
      </c>
      <c r="R78" s="38">
        <f>+N78*2</f>
        <v>36.007999999999981</v>
      </c>
      <c r="S78" s="39">
        <f t="shared" ref="S78:S86" si="56">+R78*$L$49</f>
        <v>28.806399999999986</v>
      </c>
      <c r="T78" s="40">
        <f t="shared" ref="T78:T86" si="57">+$T$53*S78</f>
        <v>292989.89439999987</v>
      </c>
      <c r="U78" s="104"/>
      <c r="V78" s="102" t="s">
        <v>81</v>
      </c>
    </row>
    <row r="79" spans="1:22" s="30" customFormat="1" ht="83.4" customHeight="1">
      <c r="A79" s="16">
        <v>25</v>
      </c>
      <c r="B79" s="117"/>
      <c r="C79" s="118"/>
      <c r="D79" s="119"/>
      <c r="E79" s="57">
        <f t="shared" ref="E79:F79" si="58">C37</f>
        <v>45862</v>
      </c>
      <c r="F79" s="57">
        <f t="shared" si="58"/>
        <v>45862</v>
      </c>
      <c r="G79" s="113"/>
      <c r="H79" s="113"/>
      <c r="I79" s="123"/>
      <c r="J79" s="113"/>
      <c r="K79" s="123"/>
      <c r="L79" s="111"/>
      <c r="M79" s="17">
        <f t="shared" si="15"/>
        <v>325</v>
      </c>
      <c r="N79" s="16">
        <f t="shared" si="16"/>
        <v>18.596000000000004</v>
      </c>
      <c r="O79" s="62">
        <f t="shared" si="17"/>
        <v>6043.7000000000007</v>
      </c>
      <c r="P79" s="32">
        <f t="shared" si="18"/>
        <v>55583.93790976001</v>
      </c>
      <c r="Q79" s="107"/>
      <c r="R79" s="38">
        <f>+N79*2</f>
        <v>37.192000000000007</v>
      </c>
      <c r="S79" s="39">
        <f t="shared" si="56"/>
        <v>29.753600000000006</v>
      </c>
      <c r="T79" s="40">
        <f t="shared" si="57"/>
        <v>302623.86560000008</v>
      </c>
      <c r="U79" s="105"/>
      <c r="V79" s="103"/>
    </row>
    <row r="80" spans="1:22" s="30" customFormat="1" ht="83.4" customHeight="1">
      <c r="A80" s="37">
        <v>26</v>
      </c>
      <c r="B80" s="163" t="s">
        <v>90</v>
      </c>
      <c r="C80" s="164"/>
      <c r="D80" s="165"/>
      <c r="E80" s="57">
        <f t="shared" ref="E80:F80" si="59">C38</f>
        <v>45863</v>
      </c>
      <c r="F80" s="57">
        <f t="shared" si="59"/>
        <v>45863</v>
      </c>
      <c r="G80" s="16">
        <v>1</v>
      </c>
      <c r="H80" s="16">
        <v>1</v>
      </c>
      <c r="I80" s="26">
        <f t="shared" si="22"/>
        <v>106085.12605042016</v>
      </c>
      <c r="J80" s="16">
        <v>9</v>
      </c>
      <c r="K80" s="26">
        <f>+J80*J$50*G80</f>
        <v>316268.57142857142</v>
      </c>
      <c r="L80" s="61">
        <f t="shared" si="55"/>
        <v>422353.69747899158</v>
      </c>
      <c r="M80" s="17">
        <f t="shared" si="15"/>
        <v>225</v>
      </c>
      <c r="N80" s="16">
        <f t="shared" si="16"/>
        <v>19.370000000000005</v>
      </c>
      <c r="O80" s="62">
        <f t="shared" si="17"/>
        <v>4358.2500000000009</v>
      </c>
      <c r="P80" s="32">
        <f t="shared" si="18"/>
        <v>40082.846169600009</v>
      </c>
      <c r="Q80" s="75" t="s">
        <v>125</v>
      </c>
      <c r="R80" s="38">
        <f>+N80*2+$M$49</f>
        <v>226.74</v>
      </c>
      <c r="S80" s="39">
        <f t="shared" si="56"/>
        <v>181.39200000000002</v>
      </c>
      <c r="T80" s="40">
        <f t="shared" si="57"/>
        <v>1844938.0320000004</v>
      </c>
      <c r="U80" s="37"/>
      <c r="V80" s="64" t="s">
        <v>81</v>
      </c>
    </row>
    <row r="81" spans="1:22" s="30" customFormat="1" ht="127.95" customHeight="1">
      <c r="A81" s="16">
        <v>27</v>
      </c>
      <c r="B81" s="120" t="s">
        <v>102</v>
      </c>
      <c r="C81" s="121"/>
      <c r="D81" s="121"/>
      <c r="E81" s="57">
        <f t="shared" ref="E81:F81" si="60">C39</f>
        <v>45863</v>
      </c>
      <c r="F81" s="57">
        <f t="shared" si="60"/>
        <v>45864</v>
      </c>
      <c r="G81" s="16">
        <v>2</v>
      </c>
      <c r="H81" s="16">
        <v>1</v>
      </c>
      <c r="I81" s="26">
        <f t="shared" si="22"/>
        <v>212170.25210084033</v>
      </c>
      <c r="J81" s="16">
        <v>14</v>
      </c>
      <c r="K81" s="26">
        <f>+J81*I$50*G81</f>
        <v>443789.7490196079</v>
      </c>
      <c r="L81" s="61">
        <f>I81+K81</f>
        <v>655960.00112044823</v>
      </c>
      <c r="M81" s="17">
        <f t="shared" si="15"/>
        <v>388.33</v>
      </c>
      <c r="N81" s="16">
        <f t="shared" si="16"/>
        <v>257</v>
      </c>
      <c r="O81" s="62">
        <f t="shared" si="17"/>
        <v>99800.81</v>
      </c>
      <c r="P81" s="32">
        <f t="shared" si="18"/>
        <v>917868.52861388796</v>
      </c>
      <c r="Q81" s="75" t="s">
        <v>111</v>
      </c>
      <c r="R81" s="38">
        <f t="shared" ref="R81" si="61">+N81*2+$M$49</f>
        <v>702</v>
      </c>
      <c r="S81" s="39">
        <f t="shared" si="56"/>
        <v>561.6</v>
      </c>
      <c r="T81" s="40">
        <f t="shared" si="57"/>
        <v>5712033.6000000006</v>
      </c>
      <c r="U81" s="37"/>
      <c r="V81" s="64" t="s">
        <v>82</v>
      </c>
    </row>
    <row r="82" spans="1:22" s="30" customFormat="1" ht="83.4" customHeight="1">
      <c r="A82" s="37">
        <v>28</v>
      </c>
      <c r="B82" s="134" t="s">
        <v>91</v>
      </c>
      <c r="C82" s="135"/>
      <c r="D82" s="136"/>
      <c r="E82" s="57">
        <f t="shared" ref="E82:F82" si="62">C40</f>
        <v>45865</v>
      </c>
      <c r="F82" s="57">
        <f t="shared" si="62"/>
        <v>45865</v>
      </c>
      <c r="G82" s="112">
        <v>1</v>
      </c>
      <c r="H82" s="112">
        <v>1</v>
      </c>
      <c r="I82" s="122">
        <f t="shared" si="22"/>
        <v>106085.12605042016</v>
      </c>
      <c r="J82" s="112">
        <v>9</v>
      </c>
      <c r="K82" s="122">
        <f t="shared" ref="K82" si="63">+J82*J$50*G82</f>
        <v>316268.57142857142</v>
      </c>
      <c r="L82" s="110">
        <f t="shared" si="55"/>
        <v>422353.69747899158</v>
      </c>
      <c r="M82" s="17">
        <f t="shared" si="15"/>
        <v>225</v>
      </c>
      <c r="N82" s="16">
        <f t="shared" si="16"/>
        <v>18.774000000000001</v>
      </c>
      <c r="O82" s="62">
        <f t="shared" si="17"/>
        <v>4224.1500000000005</v>
      </c>
      <c r="P82" s="32">
        <f t="shared" si="18"/>
        <v>38849.527825920006</v>
      </c>
      <c r="Q82" s="106" t="s">
        <v>126</v>
      </c>
      <c r="R82" s="38">
        <f>+N82*2</f>
        <v>37.548000000000002</v>
      </c>
      <c r="S82" s="39">
        <f t="shared" si="56"/>
        <v>30.038400000000003</v>
      </c>
      <c r="T82" s="40">
        <f t="shared" si="57"/>
        <v>305520.56640000001</v>
      </c>
      <c r="U82" s="109"/>
      <c r="V82" s="102" t="s">
        <v>78</v>
      </c>
    </row>
    <row r="83" spans="1:22" s="30" customFormat="1" ht="83.4" customHeight="1">
      <c r="A83" s="16">
        <v>29</v>
      </c>
      <c r="B83" s="137"/>
      <c r="C83" s="138"/>
      <c r="D83" s="139"/>
      <c r="E83" s="57">
        <f t="shared" ref="E83:F83" si="64">C41</f>
        <v>45865</v>
      </c>
      <c r="F83" s="57">
        <f t="shared" si="64"/>
        <v>45865</v>
      </c>
      <c r="G83" s="113"/>
      <c r="H83" s="113"/>
      <c r="I83" s="123"/>
      <c r="J83" s="113"/>
      <c r="K83" s="123"/>
      <c r="L83" s="111"/>
      <c r="M83" s="17">
        <f t="shared" si="15"/>
        <v>225</v>
      </c>
      <c r="N83" s="16">
        <f t="shared" si="16"/>
        <v>18.930000000000007</v>
      </c>
      <c r="O83" s="62">
        <f t="shared" si="17"/>
        <v>4259.2500000000018</v>
      </c>
      <c r="P83" s="32">
        <f t="shared" si="18"/>
        <v>39172.342694400017</v>
      </c>
      <c r="Q83" s="107"/>
      <c r="R83" s="38">
        <f>+N83*2</f>
        <v>37.860000000000014</v>
      </c>
      <c r="S83" s="39">
        <f t="shared" si="56"/>
        <v>30.288000000000011</v>
      </c>
      <c r="T83" s="40">
        <f t="shared" si="57"/>
        <v>308059.24800000014</v>
      </c>
      <c r="U83" s="109"/>
      <c r="V83" s="103"/>
    </row>
    <row r="84" spans="1:22" s="30" customFormat="1" ht="147.6" customHeight="1">
      <c r="A84" s="37">
        <v>30</v>
      </c>
      <c r="B84" s="120" t="s">
        <v>103</v>
      </c>
      <c r="C84" s="121"/>
      <c r="D84" s="121"/>
      <c r="E84" s="57">
        <f t="shared" ref="E84:F84" si="65">C42</f>
        <v>45865</v>
      </c>
      <c r="F84" s="57">
        <f t="shared" si="65"/>
        <v>45866</v>
      </c>
      <c r="G84" s="16">
        <v>2</v>
      </c>
      <c r="H84" s="16">
        <v>2</v>
      </c>
      <c r="I84" s="26">
        <f t="shared" si="22"/>
        <v>424340.50420168065</v>
      </c>
      <c r="J84" s="16">
        <v>14</v>
      </c>
      <c r="K84" s="26">
        <f>+J84*I$50*G84</f>
        <v>443789.7490196079</v>
      </c>
      <c r="L84" s="61">
        <f t="shared" si="55"/>
        <v>868130.25322128856</v>
      </c>
      <c r="M84" s="17">
        <f t="shared" si="15"/>
        <v>388.33</v>
      </c>
      <c r="N84" s="16">
        <f t="shared" si="16"/>
        <v>257</v>
      </c>
      <c r="O84" s="62">
        <f t="shared" si="17"/>
        <v>99800.81</v>
      </c>
      <c r="P84" s="32">
        <f t="shared" si="18"/>
        <v>917868.52861388796</v>
      </c>
      <c r="Q84" s="75" t="s">
        <v>112</v>
      </c>
      <c r="R84" s="38">
        <f>+N84*2+$M$49</f>
        <v>702</v>
      </c>
      <c r="S84" s="39">
        <f t="shared" si="56"/>
        <v>561.6</v>
      </c>
      <c r="T84" s="40">
        <f t="shared" si="57"/>
        <v>5712033.6000000006</v>
      </c>
      <c r="U84" s="37"/>
      <c r="V84" s="64" t="s">
        <v>128</v>
      </c>
    </row>
    <row r="85" spans="1:22" s="30" customFormat="1" ht="83.4" customHeight="1">
      <c r="A85" s="16">
        <v>31</v>
      </c>
      <c r="B85" s="134" t="s">
        <v>91</v>
      </c>
      <c r="C85" s="135"/>
      <c r="D85" s="136"/>
      <c r="E85" s="57">
        <f t="shared" ref="E85:F85" si="66">C43</f>
        <v>45868</v>
      </c>
      <c r="F85" s="57">
        <f t="shared" si="66"/>
        <v>45868</v>
      </c>
      <c r="G85" s="112">
        <v>1</v>
      </c>
      <c r="H85" s="112">
        <v>1</v>
      </c>
      <c r="I85" s="122">
        <f t="shared" si="22"/>
        <v>106085.12605042016</v>
      </c>
      <c r="J85" s="112">
        <v>9</v>
      </c>
      <c r="K85" s="122">
        <f>+J85*J$50*G85</f>
        <v>316268.57142857142</v>
      </c>
      <c r="L85" s="110">
        <f t="shared" si="55"/>
        <v>422353.69747899158</v>
      </c>
      <c r="M85" s="17">
        <f t="shared" si="15"/>
        <v>225</v>
      </c>
      <c r="N85" s="16">
        <f t="shared" si="16"/>
        <v>13.259999999999991</v>
      </c>
      <c r="O85" s="62">
        <f t="shared" si="17"/>
        <v>2983.4999999999982</v>
      </c>
      <c r="P85" s="32">
        <f t="shared" si="18"/>
        <v>27439.263820799984</v>
      </c>
      <c r="Q85" s="106" t="s">
        <v>127</v>
      </c>
      <c r="R85" s="38">
        <f>+N85*2</f>
        <v>26.519999999999982</v>
      </c>
      <c r="S85" s="39">
        <f t="shared" si="56"/>
        <v>21.215999999999987</v>
      </c>
      <c r="T85" s="40">
        <f t="shared" si="57"/>
        <v>215787.93599999987</v>
      </c>
      <c r="U85" s="109"/>
      <c r="V85" s="108" t="s">
        <v>78</v>
      </c>
    </row>
    <row r="86" spans="1:22" s="30" customFormat="1" ht="83.4" customHeight="1">
      <c r="A86" s="37">
        <v>32</v>
      </c>
      <c r="B86" s="137"/>
      <c r="C86" s="138"/>
      <c r="D86" s="139"/>
      <c r="E86" s="57">
        <f t="shared" ref="E86:F86" si="67">C44</f>
        <v>45868</v>
      </c>
      <c r="F86" s="57">
        <f t="shared" si="67"/>
        <v>45868</v>
      </c>
      <c r="G86" s="113"/>
      <c r="H86" s="113"/>
      <c r="I86" s="123"/>
      <c r="J86" s="113"/>
      <c r="K86" s="123"/>
      <c r="L86" s="111"/>
      <c r="M86" s="17">
        <f t="shared" si="15"/>
        <v>225</v>
      </c>
      <c r="N86" s="16">
        <f t="shared" si="16"/>
        <v>19.086000000000013</v>
      </c>
      <c r="O86" s="62">
        <f t="shared" si="17"/>
        <v>4294.3500000000031</v>
      </c>
      <c r="P86" s="32">
        <f t="shared" si="18"/>
        <v>39495.157562880027</v>
      </c>
      <c r="Q86" s="107"/>
      <c r="R86" s="38">
        <f>+N86*2</f>
        <v>38.172000000000025</v>
      </c>
      <c r="S86" s="39">
        <f t="shared" si="56"/>
        <v>30.537600000000023</v>
      </c>
      <c r="T86" s="40">
        <f t="shared" si="57"/>
        <v>310597.92960000021</v>
      </c>
      <c r="U86" s="109"/>
      <c r="V86" s="108"/>
    </row>
    <row r="87" spans="1:22">
      <c r="A87" s="159" t="s">
        <v>56</v>
      </c>
      <c r="B87" s="160"/>
      <c r="C87" s="160"/>
      <c r="D87" s="160"/>
      <c r="E87" s="160"/>
      <c r="F87" s="160"/>
      <c r="G87" s="16"/>
      <c r="H87" s="16"/>
      <c r="I87" s="16"/>
      <c r="J87" s="16"/>
      <c r="K87" s="32"/>
      <c r="L87" s="16"/>
      <c r="M87" s="16"/>
      <c r="N87" s="16"/>
      <c r="O87" s="16"/>
      <c r="P87" s="16"/>
      <c r="Q87" s="16"/>
      <c r="R87" s="27"/>
      <c r="S87" s="39"/>
      <c r="T87" s="40"/>
    </row>
    <row r="88" spans="1:22">
      <c r="A88" s="160"/>
      <c r="B88" s="160"/>
      <c r="C88" s="160"/>
      <c r="D88" s="160"/>
      <c r="E88" s="160"/>
      <c r="F88" s="160"/>
      <c r="G88" s="161" t="s">
        <v>57</v>
      </c>
      <c r="H88" s="161"/>
      <c r="I88" s="28">
        <f>SUM(I55:I87)</f>
        <v>3712979.4117647046</v>
      </c>
      <c r="J88" s="16"/>
      <c r="K88" s="28">
        <f>SUM(K55:K87)</f>
        <v>8105599.1697479011</v>
      </c>
      <c r="L88" s="32">
        <f>SUM(L55:L87)</f>
        <v>11818578.581512604</v>
      </c>
      <c r="M88" s="16"/>
      <c r="N88" s="16"/>
      <c r="O88" s="16"/>
      <c r="P88" s="28">
        <f>SUM(P55:P87)</f>
        <v>8998981.3765347805</v>
      </c>
      <c r="Q88" s="16"/>
      <c r="R88" s="16"/>
      <c r="S88" s="16"/>
      <c r="T88" s="28">
        <f>SUM(T55:T87)</f>
        <v>59446240.280000001</v>
      </c>
      <c r="U88" s="41"/>
    </row>
    <row r="89" spans="1:22">
      <c r="A89" s="160"/>
      <c r="B89" s="160"/>
      <c r="C89" s="160"/>
      <c r="D89" s="160"/>
      <c r="E89" s="160"/>
      <c r="F89" s="160"/>
      <c r="G89" s="16" t="s">
        <v>58</v>
      </c>
      <c r="H89" s="29">
        <v>0.19</v>
      </c>
      <c r="I89" s="28">
        <f>+$H$89*I88</f>
        <v>705466.08823529386</v>
      </c>
      <c r="J89" s="16"/>
      <c r="K89" s="28">
        <f>+$H$89*K88</f>
        <v>1540063.8422521013</v>
      </c>
      <c r="L89" s="80">
        <f>+$H$89*L88</f>
        <v>2245529.9304873948</v>
      </c>
      <c r="M89" s="16"/>
      <c r="N89" s="16"/>
      <c r="O89" s="16"/>
      <c r="P89" s="28">
        <v>0</v>
      </c>
      <c r="Q89" s="16"/>
      <c r="R89" s="16"/>
      <c r="S89" s="16"/>
      <c r="T89" s="28">
        <f>+$H$89*T88</f>
        <v>11294785.653200001</v>
      </c>
    </row>
    <row r="90" spans="1:22" ht="39" customHeight="1">
      <c r="A90" s="160"/>
      <c r="B90" s="160"/>
      <c r="C90" s="160"/>
      <c r="D90" s="160"/>
      <c r="E90" s="160"/>
      <c r="F90" s="160"/>
      <c r="G90" s="161" t="s">
        <v>59</v>
      </c>
      <c r="H90" s="161"/>
      <c r="I90" s="28">
        <f>+I88+I89</f>
        <v>4418445.4999999981</v>
      </c>
      <c r="J90" s="16"/>
      <c r="K90" s="28">
        <f>+K88+K89</f>
        <v>9645663.012000002</v>
      </c>
      <c r="L90" s="85">
        <f>+L88+L89</f>
        <v>14064108.511999998</v>
      </c>
      <c r="M90" s="16"/>
      <c r="N90" s="16"/>
      <c r="O90" s="16"/>
      <c r="P90" s="80">
        <f>+P88+P89</f>
        <v>8998981.3765347805</v>
      </c>
      <c r="Q90" s="16"/>
      <c r="R90" s="16"/>
      <c r="S90" s="16"/>
      <c r="T90" s="80">
        <f>+T88+T89</f>
        <v>70741025.933200002</v>
      </c>
      <c r="U90" s="41"/>
      <c r="V90" s="41"/>
    </row>
    <row r="91" spans="1:22">
      <c r="K91" s="2"/>
    </row>
    <row r="92" spans="1:22">
      <c r="K92" s="2"/>
      <c r="L92" s="41"/>
      <c r="N92" s="41"/>
      <c r="V92" s="41"/>
    </row>
    <row r="93" spans="1:22">
      <c r="K93" s="41"/>
      <c r="M93" s="53"/>
    </row>
    <row r="94" spans="1:22">
      <c r="A94" s="153" t="s">
        <v>84</v>
      </c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Q94" s="82"/>
    </row>
    <row r="98" spans="4:11">
      <c r="D98" s="153"/>
      <c r="E98" s="153"/>
      <c r="F98" s="153"/>
      <c r="I98" s="153"/>
      <c r="J98" s="153"/>
      <c r="K98" s="153"/>
    </row>
    <row r="99" spans="4:11">
      <c r="D99" s="140"/>
      <c r="E99" s="140"/>
      <c r="F99" s="140"/>
      <c r="I99" s="140"/>
      <c r="J99" s="140"/>
      <c r="K99" s="140"/>
    </row>
    <row r="100" spans="4:11">
      <c r="D100" s="153" t="s">
        <v>60</v>
      </c>
      <c r="E100" s="153"/>
      <c r="F100" s="153"/>
      <c r="I100" s="162" t="s">
        <v>61</v>
      </c>
      <c r="J100" s="162"/>
      <c r="K100" s="162"/>
    </row>
    <row r="101" spans="4:11">
      <c r="F101" s="153"/>
      <c r="G101" s="153"/>
      <c r="H101" s="153"/>
    </row>
    <row r="102" spans="4:11">
      <c r="F102" s="140"/>
      <c r="G102" s="140"/>
      <c r="H102" s="140"/>
    </row>
    <row r="103" spans="4:11">
      <c r="F103" s="153" t="s">
        <v>62</v>
      </c>
      <c r="G103" s="153"/>
      <c r="H103" s="153"/>
    </row>
  </sheetData>
  <autoFilter ref="A54:V90" xr:uid="{00000000-0001-0000-0000-000000000000}">
    <filterColumn colId="1" showButton="0"/>
    <filterColumn colId="2" showButton="0"/>
  </autoFilter>
  <mergeCells count="130">
    <mergeCell ref="K85:K86"/>
    <mergeCell ref="L85:L86"/>
    <mergeCell ref="B85:D86"/>
    <mergeCell ref="G85:G86"/>
    <mergeCell ref="H85:H86"/>
    <mergeCell ref="I85:I86"/>
    <mergeCell ref="J85:J86"/>
    <mergeCell ref="K78:K79"/>
    <mergeCell ref="L78:L79"/>
    <mergeCell ref="B82:D83"/>
    <mergeCell ref="G82:G83"/>
    <mergeCell ref="H82:H83"/>
    <mergeCell ref="I82:I83"/>
    <mergeCell ref="J82:J83"/>
    <mergeCell ref="K82:K83"/>
    <mergeCell ref="L82:L83"/>
    <mergeCell ref="G78:G79"/>
    <mergeCell ref="B78:D79"/>
    <mergeCell ref="H78:H79"/>
    <mergeCell ref="I78:I79"/>
    <mergeCell ref="J78:J79"/>
    <mergeCell ref="B84:D84"/>
    <mergeCell ref="B80:D80"/>
    <mergeCell ref="B81:D81"/>
    <mergeCell ref="F103:H103"/>
    <mergeCell ref="K49:K50"/>
    <mergeCell ref="L49:L50"/>
    <mergeCell ref="A48:F50"/>
    <mergeCell ref="D98:F99"/>
    <mergeCell ref="I98:K99"/>
    <mergeCell ref="A87:F90"/>
    <mergeCell ref="F101:H102"/>
    <mergeCell ref="G88:H88"/>
    <mergeCell ref="G90:H90"/>
    <mergeCell ref="A94:M94"/>
    <mergeCell ref="D100:F100"/>
    <mergeCell ref="I100:K100"/>
    <mergeCell ref="B63:D63"/>
    <mergeCell ref="B64:D64"/>
    <mergeCell ref="B65:D65"/>
    <mergeCell ref="B62:D62"/>
    <mergeCell ref="J72:J73"/>
    <mergeCell ref="K72:K73"/>
    <mergeCell ref="I72:I73"/>
    <mergeCell ref="L72:L73"/>
    <mergeCell ref="H69:H70"/>
    <mergeCell ref="I69:I70"/>
    <mergeCell ref="J69:J70"/>
    <mergeCell ref="A1:M1"/>
    <mergeCell ref="A2:F2"/>
    <mergeCell ref="G2:M2"/>
    <mergeCell ref="E5:G5"/>
    <mergeCell ref="I5:K5"/>
    <mergeCell ref="V49:V50"/>
    <mergeCell ref="S47:V47"/>
    <mergeCell ref="V52:V54"/>
    <mergeCell ref="M51:N51"/>
    <mergeCell ref="A52:F52"/>
    <mergeCell ref="R52:T52"/>
    <mergeCell ref="B54:D54"/>
    <mergeCell ref="G52:L52"/>
    <mergeCell ref="M52:Q52"/>
    <mergeCell ref="U52:U54"/>
    <mergeCell ref="D6:K6"/>
    <mergeCell ref="D7:K7"/>
    <mergeCell ref="D8:K8"/>
    <mergeCell ref="B10:K10"/>
    <mergeCell ref="A47:F47"/>
    <mergeCell ref="G47:L47"/>
    <mergeCell ref="L57:L58"/>
    <mergeCell ref="B55:D55"/>
    <mergeCell ref="B56:D56"/>
    <mergeCell ref="B57:D58"/>
    <mergeCell ref="B59:D59"/>
    <mergeCell ref="H74:H75"/>
    <mergeCell ref="G57:G58"/>
    <mergeCell ref="H57:H58"/>
    <mergeCell ref="B76:D76"/>
    <mergeCell ref="B77:D77"/>
    <mergeCell ref="I74:I75"/>
    <mergeCell ref="J74:J75"/>
    <mergeCell ref="K74:K75"/>
    <mergeCell ref="I57:I58"/>
    <mergeCell ref="J57:J58"/>
    <mergeCell ref="K57:K58"/>
    <mergeCell ref="L74:L75"/>
    <mergeCell ref="G74:G75"/>
    <mergeCell ref="B74:D75"/>
    <mergeCell ref="B72:D73"/>
    <mergeCell ref="B60:D61"/>
    <mergeCell ref="B69:D70"/>
    <mergeCell ref="G69:G70"/>
    <mergeCell ref="G72:G73"/>
    <mergeCell ref="H72:H73"/>
    <mergeCell ref="B66:D66"/>
    <mergeCell ref="B67:D67"/>
    <mergeCell ref="B68:D68"/>
    <mergeCell ref="G60:G61"/>
    <mergeCell ref="H60:H61"/>
    <mergeCell ref="I60:I61"/>
    <mergeCell ref="J60:J61"/>
    <mergeCell ref="K60:K61"/>
    <mergeCell ref="L60:L61"/>
    <mergeCell ref="K69:K70"/>
    <mergeCell ref="B71:D71"/>
    <mergeCell ref="L69:L70"/>
    <mergeCell ref="V57:V58"/>
    <mergeCell ref="V78:V79"/>
    <mergeCell ref="U78:U79"/>
    <mergeCell ref="Q72:Q73"/>
    <mergeCell ref="V85:V86"/>
    <mergeCell ref="V60:V61"/>
    <mergeCell ref="V69:V70"/>
    <mergeCell ref="V74:V75"/>
    <mergeCell ref="V82:V83"/>
    <mergeCell ref="Q60:Q61"/>
    <mergeCell ref="Q69:Q70"/>
    <mergeCell ref="Q74:Q75"/>
    <mergeCell ref="Q78:Q79"/>
    <mergeCell ref="Q82:Q83"/>
    <mergeCell ref="Q85:Q86"/>
    <mergeCell ref="U85:U86"/>
    <mergeCell ref="U82:U83"/>
    <mergeCell ref="U74:U75"/>
    <mergeCell ref="U69:U70"/>
    <mergeCell ref="U60:U61"/>
    <mergeCell ref="Q57:Q58"/>
    <mergeCell ref="U57:U58"/>
    <mergeCell ref="U72:U73"/>
    <mergeCell ref="V72:V73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16" orientation="portrait" r:id="rId1"/>
  <headerFooter>
    <oddHeader>&amp;CPágina &amp;P&amp;R&amp;A</oddHeader>
  </headerFooter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1025" r:id="rId4">
          <objectPr defaultSize="0" r:id="rId5">
            <anchor moveWithCells="1" sizeWithCells="1">
              <from>
                <xdr:col>20</xdr:col>
                <xdr:colOff>259080</xdr:colOff>
                <xdr:row>58</xdr:row>
                <xdr:rowOff>480060</xdr:rowOff>
              </from>
              <to>
                <xdr:col>20</xdr:col>
                <xdr:colOff>3398520</xdr:colOff>
                <xdr:row>58</xdr:row>
                <xdr:rowOff>998220</xdr:rowOff>
              </to>
            </anchor>
          </objectPr>
        </oleObject>
      </mc:Choice>
      <mc:Fallback>
        <oleObject progId="Objeto empaquetador del shell" dvAspect="DVASPECT_ICON" shapeId="1025" r:id="rId4"/>
      </mc:Fallback>
    </mc:AlternateContent>
    <mc:AlternateContent xmlns:mc="http://schemas.openxmlformats.org/markup-compatibility/2006">
      <mc:Choice Requires="x14">
        <oleObject progId="Objeto empaquetador del shell" dvAspect="DVASPECT_ICON" shapeId="1026" r:id="rId6">
          <objectPr defaultSize="0" r:id="rId7">
            <anchor moveWithCells="1" sizeWithCells="1">
              <from>
                <xdr:col>20</xdr:col>
                <xdr:colOff>251460</xdr:colOff>
                <xdr:row>61</xdr:row>
                <xdr:rowOff>556260</xdr:rowOff>
              </from>
              <to>
                <xdr:col>20</xdr:col>
                <xdr:colOff>3550920</xdr:colOff>
                <xdr:row>61</xdr:row>
                <xdr:rowOff>1066800</xdr:rowOff>
              </to>
            </anchor>
          </objectPr>
        </oleObject>
      </mc:Choice>
      <mc:Fallback>
        <oleObject progId="Objeto empaquetador del shell" dvAspect="DVASPECT_ICON" shapeId="1026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1027" r:id="rId8">
          <objectPr defaultSize="0" r:id="rId9">
            <anchor moveWithCells="1" sizeWithCells="1">
              <from>
                <xdr:col>20</xdr:col>
                <xdr:colOff>403860</xdr:colOff>
                <xdr:row>63</xdr:row>
                <xdr:rowOff>632460</xdr:rowOff>
              </from>
              <to>
                <xdr:col>20</xdr:col>
                <xdr:colOff>3543300</xdr:colOff>
                <xdr:row>63</xdr:row>
                <xdr:rowOff>1150620</xdr:rowOff>
              </to>
            </anchor>
          </objectPr>
        </oleObject>
      </mc:Choice>
      <mc:Fallback>
        <oleObject progId="Objeto empaquetador del shell" dvAspect="DVASPECT_ICON" shapeId="1027" r:id="rId8"/>
      </mc:Fallback>
    </mc:AlternateContent>
    <mc:AlternateContent xmlns:mc="http://schemas.openxmlformats.org/markup-compatibility/2006">
      <mc:Choice Requires="x14">
        <oleObject progId="Objeto empaquetador del shell" dvAspect="DVASPECT_ICON" shapeId="1028" r:id="rId10">
          <objectPr defaultSize="0" r:id="rId11">
            <anchor moveWithCells="1" sizeWithCells="1">
              <from>
                <xdr:col>20</xdr:col>
                <xdr:colOff>251460</xdr:colOff>
                <xdr:row>65</xdr:row>
                <xdr:rowOff>632460</xdr:rowOff>
              </from>
              <to>
                <xdr:col>20</xdr:col>
                <xdr:colOff>3604260</xdr:colOff>
                <xdr:row>65</xdr:row>
                <xdr:rowOff>1143000</xdr:rowOff>
              </to>
            </anchor>
          </objectPr>
        </oleObject>
      </mc:Choice>
      <mc:Fallback>
        <oleObject progId="Objeto empaquetador del shell" dvAspect="DVASPECT_ICON" shapeId="1028" r:id="rId10"/>
      </mc:Fallback>
    </mc:AlternateContent>
    <mc:AlternateContent xmlns:mc="http://schemas.openxmlformats.org/markup-compatibility/2006">
      <mc:Choice Requires="x14">
        <oleObject progId="Objeto empaquetador del shell" dvAspect="DVASPECT_ICON" shapeId="1029" r:id="rId12">
          <objectPr defaultSize="0" r:id="rId13">
            <anchor moveWithCells="1" sizeWithCells="1">
              <from>
                <xdr:col>20</xdr:col>
                <xdr:colOff>175260</xdr:colOff>
                <xdr:row>67</xdr:row>
                <xdr:rowOff>594360</xdr:rowOff>
              </from>
              <to>
                <xdr:col>20</xdr:col>
                <xdr:colOff>3528060</xdr:colOff>
                <xdr:row>67</xdr:row>
                <xdr:rowOff>1112520</xdr:rowOff>
              </to>
            </anchor>
          </objectPr>
        </oleObject>
      </mc:Choice>
      <mc:Fallback>
        <oleObject progId="Objeto empaquetador del shell" dvAspect="DVASPECT_ICON" shapeId="1029" r:id="rId12"/>
      </mc:Fallback>
    </mc:AlternateContent>
    <mc:AlternateContent xmlns:mc="http://schemas.openxmlformats.org/markup-compatibility/2006">
      <mc:Choice Requires="x14">
        <oleObject progId="Objeto empaquetador del shell" dvAspect="DVASPECT_ICON" shapeId="1030" r:id="rId14">
          <objectPr defaultSize="0" r:id="rId15">
            <anchor moveWithCells="1" sizeWithCells="1">
              <from>
                <xdr:col>20</xdr:col>
                <xdr:colOff>289560</xdr:colOff>
                <xdr:row>76</xdr:row>
                <xdr:rowOff>541020</xdr:rowOff>
              </from>
              <to>
                <xdr:col>20</xdr:col>
                <xdr:colOff>3429000</xdr:colOff>
                <xdr:row>76</xdr:row>
                <xdr:rowOff>1059180</xdr:rowOff>
              </to>
            </anchor>
          </objectPr>
        </oleObject>
      </mc:Choice>
      <mc:Fallback>
        <oleObject progId="Objeto empaquetador del shell" dvAspect="DVASPECT_ICON" shapeId="1030" r:id="rId14"/>
      </mc:Fallback>
    </mc:AlternateContent>
    <mc:AlternateContent xmlns:mc="http://schemas.openxmlformats.org/markup-compatibility/2006">
      <mc:Choice Requires="x14">
        <oleObject progId="Objeto empaquetador del shell" dvAspect="DVASPECT_ICON" shapeId="1031" r:id="rId16">
          <objectPr defaultSize="0" r:id="rId17">
            <anchor moveWithCells="1" sizeWithCells="1">
              <from>
                <xdr:col>20</xdr:col>
                <xdr:colOff>342900</xdr:colOff>
                <xdr:row>80</xdr:row>
                <xdr:rowOff>525780</xdr:rowOff>
              </from>
              <to>
                <xdr:col>20</xdr:col>
                <xdr:colOff>3467100</xdr:colOff>
                <xdr:row>80</xdr:row>
                <xdr:rowOff>1051560</xdr:rowOff>
              </to>
            </anchor>
          </objectPr>
        </oleObject>
      </mc:Choice>
      <mc:Fallback>
        <oleObject progId="Objeto empaquetador del shell" dvAspect="DVASPECT_ICON" shapeId="1031" r:id="rId16"/>
      </mc:Fallback>
    </mc:AlternateContent>
    <mc:AlternateContent xmlns:mc="http://schemas.openxmlformats.org/markup-compatibility/2006">
      <mc:Choice Requires="x14">
        <oleObject progId="Objeto empaquetador del shell" dvAspect="DVASPECT_ICON" shapeId="1032" r:id="rId18">
          <objectPr defaultSize="0" r:id="rId19">
            <anchor moveWithCells="1" sizeWithCells="1">
              <from>
                <xdr:col>20</xdr:col>
                <xdr:colOff>335280</xdr:colOff>
                <xdr:row>83</xdr:row>
                <xdr:rowOff>716280</xdr:rowOff>
              </from>
              <to>
                <xdr:col>20</xdr:col>
                <xdr:colOff>3474720</xdr:colOff>
                <xdr:row>83</xdr:row>
                <xdr:rowOff>1242060</xdr:rowOff>
              </to>
            </anchor>
          </objectPr>
        </oleObject>
      </mc:Choice>
      <mc:Fallback>
        <oleObject progId="Objeto empaquetador del shell" dvAspect="DVASPECT_ICON" shapeId="1032" r:id="rId18"/>
      </mc:Fallback>
    </mc:AlternateContent>
    <mc:AlternateContent xmlns:mc="http://schemas.openxmlformats.org/markup-compatibility/2006">
      <mc:Choice Requires="x14">
        <oleObject progId="Objeto empaquetador del shell" dvAspect="DVASPECT_ICON" shapeId="1033" r:id="rId20">
          <objectPr defaultSize="0" r:id="rId21">
            <anchor moveWithCells="1" sizeWithCells="1">
              <from>
                <xdr:col>20</xdr:col>
                <xdr:colOff>220980</xdr:colOff>
                <xdr:row>70</xdr:row>
                <xdr:rowOff>533400</xdr:rowOff>
              </from>
              <to>
                <xdr:col>20</xdr:col>
                <xdr:colOff>3535680</xdr:colOff>
                <xdr:row>70</xdr:row>
                <xdr:rowOff>1051560</xdr:rowOff>
              </to>
            </anchor>
          </objectPr>
        </oleObject>
      </mc:Choice>
      <mc:Fallback>
        <oleObject progId="Objeto empaquetador del shell" dvAspect="DVASPECT_ICON" shapeId="1033" r:id="rId20"/>
      </mc:Fallback>
    </mc:AlternateContent>
    <mc:AlternateContent xmlns:mc="http://schemas.openxmlformats.org/markup-compatibility/2006">
      <mc:Choice Requires="x14">
        <oleObject progId="Objeto empaquetador del shell" dvAspect="DVASPECT_ICON" shapeId="1034" r:id="rId22">
          <objectPr defaultSize="0" r:id="rId23">
            <anchor moveWithCells="1" sizeWithCells="1">
              <from>
                <xdr:col>20</xdr:col>
                <xdr:colOff>861060</xdr:colOff>
                <xdr:row>54</xdr:row>
                <xdr:rowOff>236220</xdr:rowOff>
              </from>
              <to>
                <xdr:col>20</xdr:col>
                <xdr:colOff>3147060</xdr:colOff>
                <xdr:row>54</xdr:row>
                <xdr:rowOff>754380</xdr:rowOff>
              </to>
            </anchor>
          </objectPr>
        </oleObject>
      </mc:Choice>
      <mc:Fallback>
        <oleObject progId="Objeto empaquetador del shell" dvAspect="DVASPECT_ICON" shapeId="1034" r:id="rId22"/>
      </mc:Fallback>
    </mc:AlternateContent>
    <mc:AlternateContent xmlns:mc="http://schemas.openxmlformats.org/markup-compatibility/2006">
      <mc:Choice Requires="x14">
        <oleObject progId="Objeto empaquetador del shell" dvAspect="DVASPECT_ICON" shapeId="1035" r:id="rId24">
          <objectPr defaultSize="0" r:id="rId25">
            <anchor moveWithCells="1" sizeWithCells="1">
              <from>
                <xdr:col>20</xdr:col>
                <xdr:colOff>861060</xdr:colOff>
                <xdr:row>55</xdr:row>
                <xdr:rowOff>449580</xdr:rowOff>
              </from>
              <to>
                <xdr:col>20</xdr:col>
                <xdr:colOff>3162300</xdr:colOff>
                <xdr:row>55</xdr:row>
                <xdr:rowOff>975360</xdr:rowOff>
              </to>
            </anchor>
          </objectPr>
        </oleObject>
      </mc:Choice>
      <mc:Fallback>
        <oleObject progId="Objeto empaquetador del shell" dvAspect="DVASPECT_ICON" shapeId="1035" r:id="rId24"/>
      </mc:Fallback>
    </mc:AlternateContent>
    <mc:AlternateContent xmlns:mc="http://schemas.openxmlformats.org/markup-compatibility/2006">
      <mc:Choice Requires="x14">
        <oleObject progId="Objeto empaquetador del shell" dvAspect="DVASPECT_ICON" shapeId="1036" r:id="rId26">
          <objectPr defaultSize="0" r:id="rId27">
            <anchor moveWithCells="1" sizeWithCells="1">
              <from>
                <xdr:col>20</xdr:col>
                <xdr:colOff>906780</xdr:colOff>
                <xdr:row>56</xdr:row>
                <xdr:rowOff>746760</xdr:rowOff>
              </from>
              <to>
                <xdr:col>20</xdr:col>
                <xdr:colOff>3200400</xdr:colOff>
                <xdr:row>57</xdr:row>
                <xdr:rowOff>182880</xdr:rowOff>
              </to>
            </anchor>
          </objectPr>
        </oleObject>
      </mc:Choice>
      <mc:Fallback>
        <oleObject progId="Objeto empaquetador del shell" dvAspect="DVASPECT_ICON" shapeId="1036" r:id="rId26"/>
      </mc:Fallback>
    </mc:AlternateContent>
    <mc:AlternateContent xmlns:mc="http://schemas.openxmlformats.org/markup-compatibility/2006">
      <mc:Choice Requires="x14">
        <oleObject progId="Objeto empaquetador del shell" dvAspect="DVASPECT_ICON" shapeId="1037" r:id="rId28">
          <objectPr defaultSize="0" r:id="rId29">
            <anchor moveWithCells="1" sizeWithCells="1">
              <from>
                <xdr:col>20</xdr:col>
                <xdr:colOff>937260</xdr:colOff>
                <xdr:row>59</xdr:row>
                <xdr:rowOff>830580</xdr:rowOff>
              </from>
              <to>
                <xdr:col>20</xdr:col>
                <xdr:colOff>3223260</xdr:colOff>
                <xdr:row>60</xdr:row>
                <xdr:rowOff>137160</xdr:rowOff>
              </to>
            </anchor>
          </objectPr>
        </oleObject>
      </mc:Choice>
      <mc:Fallback>
        <oleObject progId="Objeto empaquetador del shell" dvAspect="DVASPECT_ICON" shapeId="1037" r:id="rId28"/>
      </mc:Fallback>
    </mc:AlternateContent>
    <mc:AlternateContent xmlns:mc="http://schemas.openxmlformats.org/markup-compatibility/2006">
      <mc:Choice Requires="x14">
        <oleObject progId="Objeto empaquetador del shell" dvAspect="DVASPECT_ICON" shapeId="1038" r:id="rId30">
          <objectPr defaultSize="0" r:id="rId31">
            <anchor moveWithCells="1" sizeWithCells="1">
              <from>
                <xdr:col>20</xdr:col>
                <xdr:colOff>822960</xdr:colOff>
                <xdr:row>62</xdr:row>
                <xdr:rowOff>373380</xdr:rowOff>
              </from>
              <to>
                <xdr:col>20</xdr:col>
                <xdr:colOff>3116580</xdr:colOff>
                <xdr:row>62</xdr:row>
                <xdr:rowOff>899160</xdr:rowOff>
              </to>
            </anchor>
          </objectPr>
        </oleObject>
      </mc:Choice>
      <mc:Fallback>
        <oleObject progId="Objeto empaquetador del shell" dvAspect="DVASPECT_ICON" shapeId="1038" r:id="rId30"/>
      </mc:Fallback>
    </mc:AlternateContent>
    <mc:AlternateContent xmlns:mc="http://schemas.openxmlformats.org/markup-compatibility/2006">
      <mc:Choice Requires="x14">
        <oleObject progId="Objeto empaquetador del shell" dvAspect="DVASPECT_ICON" shapeId="1039" r:id="rId32">
          <objectPr defaultSize="0" r:id="rId33">
            <anchor moveWithCells="1" sizeWithCells="1">
              <from>
                <xdr:col>20</xdr:col>
                <xdr:colOff>845820</xdr:colOff>
                <xdr:row>64</xdr:row>
                <xdr:rowOff>304800</xdr:rowOff>
              </from>
              <to>
                <xdr:col>20</xdr:col>
                <xdr:colOff>3147060</xdr:colOff>
                <xdr:row>64</xdr:row>
                <xdr:rowOff>822960</xdr:rowOff>
              </to>
            </anchor>
          </objectPr>
        </oleObject>
      </mc:Choice>
      <mc:Fallback>
        <oleObject progId="Objeto empaquetador del shell" dvAspect="DVASPECT_ICON" shapeId="1039" r:id="rId32"/>
      </mc:Fallback>
    </mc:AlternateContent>
    <mc:AlternateContent xmlns:mc="http://schemas.openxmlformats.org/markup-compatibility/2006">
      <mc:Choice Requires="x14">
        <oleObject progId="Objeto empaquetador del shell" dvAspect="DVASPECT_ICON" shapeId="1040" r:id="rId34">
          <objectPr defaultSize="0" r:id="rId35">
            <anchor moveWithCells="1" sizeWithCells="1">
              <from>
                <xdr:col>20</xdr:col>
                <xdr:colOff>845820</xdr:colOff>
                <xdr:row>66</xdr:row>
                <xdr:rowOff>327660</xdr:rowOff>
              </from>
              <to>
                <xdr:col>20</xdr:col>
                <xdr:colOff>3147060</xdr:colOff>
                <xdr:row>66</xdr:row>
                <xdr:rowOff>838200</xdr:rowOff>
              </to>
            </anchor>
          </objectPr>
        </oleObject>
      </mc:Choice>
      <mc:Fallback>
        <oleObject progId="Objeto empaquetador del shell" dvAspect="DVASPECT_ICON" shapeId="1040" r:id="rId34"/>
      </mc:Fallback>
    </mc:AlternateContent>
    <mc:AlternateContent xmlns:mc="http://schemas.openxmlformats.org/markup-compatibility/2006">
      <mc:Choice Requires="x14">
        <oleObject progId="Objeto empaquetador del shell" dvAspect="DVASPECT_ICON" shapeId="1041" r:id="rId36">
          <objectPr defaultSize="0" r:id="rId37">
            <anchor moveWithCells="1" sizeWithCells="1">
              <from>
                <xdr:col>20</xdr:col>
                <xdr:colOff>769620</xdr:colOff>
                <xdr:row>68</xdr:row>
                <xdr:rowOff>800100</xdr:rowOff>
              </from>
              <to>
                <xdr:col>20</xdr:col>
                <xdr:colOff>3055620</xdr:colOff>
                <xdr:row>69</xdr:row>
                <xdr:rowOff>259080</xdr:rowOff>
              </to>
            </anchor>
          </objectPr>
        </oleObject>
      </mc:Choice>
      <mc:Fallback>
        <oleObject progId="Objeto empaquetador del shell" dvAspect="DVASPECT_ICON" shapeId="1041" r:id="rId36"/>
      </mc:Fallback>
    </mc:AlternateContent>
    <mc:AlternateContent xmlns:mc="http://schemas.openxmlformats.org/markup-compatibility/2006">
      <mc:Choice Requires="x14">
        <oleObject progId="Objeto empaquetador del shell" dvAspect="DVASPECT_ICON" shapeId="1043" r:id="rId38">
          <objectPr defaultSize="0" r:id="rId39">
            <anchor moveWithCells="1" sizeWithCells="1">
              <from>
                <xdr:col>20</xdr:col>
                <xdr:colOff>822960</xdr:colOff>
                <xdr:row>71</xdr:row>
                <xdr:rowOff>937260</xdr:rowOff>
              </from>
              <to>
                <xdr:col>20</xdr:col>
                <xdr:colOff>3108960</xdr:colOff>
                <xdr:row>72</xdr:row>
                <xdr:rowOff>388620</xdr:rowOff>
              </to>
            </anchor>
          </objectPr>
        </oleObject>
      </mc:Choice>
      <mc:Fallback>
        <oleObject progId="Objeto empaquetador del shell" dvAspect="DVASPECT_ICON" shapeId="1043" r:id="rId38"/>
      </mc:Fallback>
    </mc:AlternateContent>
    <mc:AlternateContent xmlns:mc="http://schemas.openxmlformats.org/markup-compatibility/2006">
      <mc:Choice Requires="x14">
        <oleObject progId="Objeto empaquetador del shell" dvAspect="DVASPECT_ICON" shapeId="1044" r:id="rId40">
          <objectPr defaultSize="0" r:id="rId41">
            <anchor moveWithCells="1" sizeWithCells="1">
              <from>
                <xdr:col>20</xdr:col>
                <xdr:colOff>868680</xdr:colOff>
                <xdr:row>73</xdr:row>
                <xdr:rowOff>838200</xdr:rowOff>
              </from>
              <to>
                <xdr:col>20</xdr:col>
                <xdr:colOff>3154680</xdr:colOff>
                <xdr:row>74</xdr:row>
                <xdr:rowOff>297180</xdr:rowOff>
              </to>
            </anchor>
          </objectPr>
        </oleObject>
      </mc:Choice>
      <mc:Fallback>
        <oleObject progId="Objeto empaquetador del shell" dvAspect="DVASPECT_ICON" shapeId="1044" r:id="rId40"/>
      </mc:Fallback>
    </mc:AlternateContent>
    <mc:AlternateContent xmlns:mc="http://schemas.openxmlformats.org/markup-compatibility/2006">
      <mc:Choice Requires="x14">
        <oleObject progId="Objeto empaquetador del shell" dvAspect="DVASPECT_ICON" shapeId="1045" r:id="rId42">
          <objectPr defaultSize="0" r:id="rId43">
            <anchor moveWithCells="1" sizeWithCells="1">
              <from>
                <xdr:col>20</xdr:col>
                <xdr:colOff>937260</xdr:colOff>
                <xdr:row>75</xdr:row>
                <xdr:rowOff>327660</xdr:rowOff>
              </from>
              <to>
                <xdr:col>20</xdr:col>
                <xdr:colOff>3223260</xdr:colOff>
                <xdr:row>75</xdr:row>
                <xdr:rowOff>845820</xdr:rowOff>
              </to>
            </anchor>
          </objectPr>
        </oleObject>
      </mc:Choice>
      <mc:Fallback>
        <oleObject progId="Objeto empaquetador del shell" dvAspect="DVASPECT_ICON" shapeId="1045" r:id="rId42"/>
      </mc:Fallback>
    </mc:AlternateContent>
    <mc:AlternateContent xmlns:mc="http://schemas.openxmlformats.org/markup-compatibility/2006">
      <mc:Choice Requires="x14">
        <oleObject progId="Objeto empaquetador del shell" dvAspect="DVASPECT_ICON" shapeId="1046" r:id="rId44">
          <objectPr defaultSize="0" r:id="rId45">
            <anchor moveWithCells="1" sizeWithCells="1">
              <from>
                <xdr:col>20</xdr:col>
                <xdr:colOff>899160</xdr:colOff>
                <xdr:row>77</xdr:row>
                <xdr:rowOff>822960</xdr:rowOff>
              </from>
              <to>
                <xdr:col>20</xdr:col>
                <xdr:colOff>3185160</xdr:colOff>
                <xdr:row>78</xdr:row>
                <xdr:rowOff>289560</xdr:rowOff>
              </to>
            </anchor>
          </objectPr>
        </oleObject>
      </mc:Choice>
      <mc:Fallback>
        <oleObject progId="Objeto empaquetador del shell" dvAspect="DVASPECT_ICON" shapeId="1046" r:id="rId44"/>
      </mc:Fallback>
    </mc:AlternateContent>
    <mc:AlternateContent xmlns:mc="http://schemas.openxmlformats.org/markup-compatibility/2006">
      <mc:Choice Requires="x14">
        <oleObject progId="Objeto empaquetador del shell" dvAspect="DVASPECT_ICON" shapeId="1047" r:id="rId46">
          <objectPr defaultSize="0" r:id="rId47">
            <anchor moveWithCells="1" sizeWithCells="1">
              <from>
                <xdr:col>20</xdr:col>
                <xdr:colOff>960120</xdr:colOff>
                <xdr:row>79</xdr:row>
                <xdr:rowOff>365760</xdr:rowOff>
              </from>
              <to>
                <xdr:col>20</xdr:col>
                <xdr:colOff>3246120</xdr:colOff>
                <xdr:row>79</xdr:row>
                <xdr:rowOff>876300</xdr:rowOff>
              </to>
            </anchor>
          </objectPr>
        </oleObject>
      </mc:Choice>
      <mc:Fallback>
        <oleObject progId="Objeto empaquetador del shell" dvAspect="DVASPECT_ICON" shapeId="1047" r:id="rId46"/>
      </mc:Fallback>
    </mc:AlternateContent>
    <mc:AlternateContent xmlns:mc="http://schemas.openxmlformats.org/markup-compatibility/2006">
      <mc:Choice Requires="x14">
        <oleObject progId="Objeto empaquetador del shell" dvAspect="DVASPECT_ICON" shapeId="1048" r:id="rId48">
          <objectPr defaultSize="0" r:id="rId49">
            <anchor moveWithCells="1" sizeWithCells="1">
              <from>
                <xdr:col>20</xdr:col>
                <xdr:colOff>822960</xdr:colOff>
                <xdr:row>81</xdr:row>
                <xdr:rowOff>784860</xdr:rowOff>
              </from>
              <to>
                <xdr:col>20</xdr:col>
                <xdr:colOff>3108960</xdr:colOff>
                <xdr:row>82</xdr:row>
                <xdr:rowOff>228600</xdr:rowOff>
              </to>
            </anchor>
          </objectPr>
        </oleObject>
      </mc:Choice>
      <mc:Fallback>
        <oleObject progId="Objeto empaquetador del shell" dvAspect="DVASPECT_ICON" shapeId="1048" r:id="rId48"/>
      </mc:Fallback>
    </mc:AlternateContent>
    <mc:AlternateContent xmlns:mc="http://schemas.openxmlformats.org/markup-compatibility/2006">
      <mc:Choice Requires="x14">
        <oleObject progId="Objeto empaquetador del shell" dvAspect="DVASPECT_ICON" shapeId="1049" r:id="rId50">
          <objectPr defaultSize="0" r:id="rId51">
            <anchor moveWithCells="1" sizeWithCells="1">
              <from>
                <xdr:col>20</xdr:col>
                <xdr:colOff>784860</xdr:colOff>
                <xdr:row>84</xdr:row>
                <xdr:rowOff>708660</xdr:rowOff>
              </from>
              <to>
                <xdr:col>20</xdr:col>
                <xdr:colOff>3070860</xdr:colOff>
                <xdr:row>85</xdr:row>
                <xdr:rowOff>175260</xdr:rowOff>
              </to>
            </anchor>
          </objectPr>
        </oleObject>
      </mc:Choice>
      <mc:Fallback>
        <oleObject progId="Objeto empaquetador del shell" dvAspect="DVASPECT_ICON" shapeId="1049" r:id="rId5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9987-DCF0-44BA-A6AC-E4C92920446B}">
  <dimension ref="C3:E12"/>
  <sheetViews>
    <sheetView workbookViewId="0">
      <selection activeCell="J21" sqref="J21"/>
    </sheetView>
  </sheetViews>
  <sheetFormatPr baseColWidth="10" defaultColWidth="11" defaultRowHeight="14.4"/>
  <cols>
    <col min="3" max="3" width="15.33203125" customWidth="1"/>
    <col min="4" max="4" width="13.33203125" customWidth="1"/>
    <col min="5" max="6" width="15.109375" customWidth="1"/>
  </cols>
  <sheetData>
    <row r="3" spans="3:5" ht="27.6">
      <c r="C3" s="25" t="s">
        <v>16</v>
      </c>
      <c r="D3" s="25" t="s">
        <v>17</v>
      </c>
      <c r="E3" s="22" t="s">
        <v>18</v>
      </c>
    </row>
    <row r="4" spans="3:5">
      <c r="C4" s="67" t="s">
        <v>23</v>
      </c>
      <c r="D4" s="37" t="s">
        <v>24</v>
      </c>
      <c r="E4" s="37">
        <v>388</v>
      </c>
    </row>
    <row r="5" spans="3:5">
      <c r="C5" s="67" t="s">
        <v>23</v>
      </c>
      <c r="D5" s="37" t="s">
        <v>24</v>
      </c>
      <c r="E5" s="37">
        <v>390.78</v>
      </c>
    </row>
    <row r="6" spans="3:5">
      <c r="C6" s="67" t="s">
        <v>23</v>
      </c>
      <c r="D6" s="37" t="s">
        <v>24</v>
      </c>
      <c r="E6" s="68">
        <v>389.55</v>
      </c>
    </row>
    <row r="7" spans="3:5">
      <c r="C7" s="67" t="s">
        <v>23</v>
      </c>
      <c r="D7" s="37" t="s">
        <v>24</v>
      </c>
      <c r="E7" s="68">
        <v>389.55</v>
      </c>
    </row>
    <row r="8" spans="3:5">
      <c r="C8" s="67" t="s">
        <v>23</v>
      </c>
      <c r="D8" s="37" t="s">
        <v>24</v>
      </c>
      <c r="E8" s="68">
        <v>387.1</v>
      </c>
    </row>
    <row r="9" spans="3:5">
      <c r="C9" s="67" t="s">
        <v>25</v>
      </c>
      <c r="D9" s="37" t="s">
        <v>26</v>
      </c>
      <c r="E9" s="68">
        <v>300.8</v>
      </c>
    </row>
    <row r="10" spans="3:5">
      <c r="C10" s="67" t="s">
        <v>23</v>
      </c>
      <c r="D10" s="37" t="s">
        <v>24</v>
      </c>
      <c r="E10" s="68">
        <v>389.55</v>
      </c>
    </row>
    <row r="11" spans="3:5">
      <c r="C11" s="67" t="s">
        <v>23</v>
      </c>
      <c r="D11" s="37" t="s">
        <v>24</v>
      </c>
      <c r="E11" s="69">
        <v>388.32499999999999</v>
      </c>
    </row>
    <row r="12" spans="3:5">
      <c r="C12" s="67" t="s">
        <v>23</v>
      </c>
      <c r="D12" s="37" t="s">
        <v>24</v>
      </c>
      <c r="E12" s="68">
        <v>392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C7A6-16F8-48BD-8D97-6BBB2F2DB42D}">
  <dimension ref="A1:M13"/>
  <sheetViews>
    <sheetView workbookViewId="0">
      <selection activeCell="I19" sqref="I19"/>
    </sheetView>
  </sheetViews>
  <sheetFormatPr baseColWidth="10" defaultColWidth="11" defaultRowHeight="14.4"/>
  <cols>
    <col min="4" max="4" width="30.44140625" customWidth="1"/>
    <col min="5" max="5" width="22.6640625" customWidth="1"/>
    <col min="6" max="6" width="13.6640625" customWidth="1"/>
  </cols>
  <sheetData>
    <row r="1" spans="1:13">
      <c r="A1" s="166" t="s">
        <v>12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3" ht="15" thickBot="1">
      <c r="B2" s="33"/>
      <c r="C2" s="34"/>
      <c r="D2" s="34"/>
      <c r="E2" s="35"/>
      <c r="F2" s="35"/>
      <c r="G2" s="35"/>
      <c r="H2" s="33"/>
      <c r="I2" s="33"/>
      <c r="J2" s="33"/>
      <c r="K2" s="35"/>
    </row>
    <row r="3" spans="1:13" ht="55.2">
      <c r="A3" s="43" t="s">
        <v>63</v>
      </c>
      <c r="B3" s="44" t="s">
        <v>14</v>
      </c>
      <c r="C3" s="44" t="s">
        <v>15</v>
      </c>
      <c r="D3" s="45" t="s">
        <v>16</v>
      </c>
      <c r="E3" s="45" t="s">
        <v>17</v>
      </c>
      <c r="F3" s="43" t="s">
        <v>18</v>
      </c>
      <c r="G3" s="45" t="s">
        <v>19</v>
      </c>
      <c r="H3" s="45" t="s">
        <v>64</v>
      </c>
      <c r="I3" s="43" t="s">
        <v>65</v>
      </c>
      <c r="J3" s="45" t="s">
        <v>22</v>
      </c>
      <c r="K3" s="43" t="s">
        <v>66</v>
      </c>
      <c r="L3" s="43" t="s">
        <v>67</v>
      </c>
      <c r="M3" s="43" t="s">
        <v>68</v>
      </c>
    </row>
    <row r="4" spans="1:13">
      <c r="A4" s="16">
        <v>1</v>
      </c>
      <c r="B4" s="20">
        <v>45266</v>
      </c>
      <c r="C4" s="20">
        <v>45267</v>
      </c>
      <c r="D4" s="15" t="s">
        <v>69</v>
      </c>
      <c r="E4" s="16" t="s">
        <v>70</v>
      </c>
      <c r="F4" s="16">
        <v>223.72</v>
      </c>
      <c r="G4" s="16">
        <v>49.45</v>
      </c>
      <c r="H4" s="16">
        <v>262</v>
      </c>
      <c r="I4" s="16">
        <f t="shared" ref="I4" si="0">ABS(H4-G4)</f>
        <v>212.55</v>
      </c>
      <c r="J4" s="21">
        <f>I4*F4</f>
        <v>47551.686000000002</v>
      </c>
      <c r="K4" s="36">
        <v>19.16</v>
      </c>
      <c r="L4" s="36">
        <v>6.03</v>
      </c>
      <c r="M4" s="36">
        <f>K4-L4</f>
        <v>13.129999999999999</v>
      </c>
    </row>
    <row r="5" spans="1:13">
      <c r="A5" s="16">
        <v>2</v>
      </c>
      <c r="B5" s="20">
        <v>45267</v>
      </c>
      <c r="C5" s="20">
        <v>45268</v>
      </c>
      <c r="D5" s="15" t="s">
        <v>71</v>
      </c>
      <c r="E5" s="16" t="s">
        <v>24</v>
      </c>
      <c r="F5" s="16">
        <v>392</v>
      </c>
      <c r="G5" s="16">
        <v>262</v>
      </c>
      <c r="H5" s="16">
        <v>5</v>
      </c>
      <c r="I5" s="16">
        <f>ABS(H5-G5)</f>
        <v>257</v>
      </c>
      <c r="J5" s="21">
        <f>I5*F5</f>
        <v>100744</v>
      </c>
      <c r="K5" s="36">
        <v>19.5</v>
      </c>
      <c r="L5" s="36">
        <v>6.81</v>
      </c>
      <c r="M5" s="17">
        <f>K5-L5</f>
        <v>12.690000000000001</v>
      </c>
    </row>
    <row r="6" spans="1:13">
      <c r="A6" s="16">
        <v>3</v>
      </c>
      <c r="B6" s="46">
        <v>45271</v>
      </c>
      <c r="C6" s="46">
        <v>45272</v>
      </c>
      <c r="D6" s="47" t="s">
        <v>23</v>
      </c>
      <c r="E6" s="47" t="s">
        <v>24</v>
      </c>
      <c r="F6" s="42">
        <v>392</v>
      </c>
      <c r="G6" s="16">
        <v>262</v>
      </c>
      <c r="H6" s="16">
        <v>5</v>
      </c>
      <c r="I6" s="16">
        <f t="shared" ref="I6:I8" si="1">ABS(H6-G6)</f>
        <v>257</v>
      </c>
      <c r="J6" s="21">
        <f>I6*F6</f>
        <v>100744</v>
      </c>
      <c r="K6" s="42">
        <v>14.55</v>
      </c>
      <c r="L6" s="36">
        <v>2.36</v>
      </c>
      <c r="M6" s="36">
        <f>K6-L6</f>
        <v>12.190000000000001</v>
      </c>
    </row>
    <row r="7" spans="1:13">
      <c r="A7" s="16">
        <v>4</v>
      </c>
      <c r="B7" s="46">
        <v>45272</v>
      </c>
      <c r="C7" s="46">
        <v>45273</v>
      </c>
      <c r="D7" s="42" t="s">
        <v>72</v>
      </c>
      <c r="E7" s="42" t="s">
        <v>70</v>
      </c>
      <c r="F7" s="42">
        <v>224</v>
      </c>
      <c r="G7" s="16">
        <v>49.45</v>
      </c>
      <c r="H7" s="16">
        <v>262</v>
      </c>
      <c r="I7" s="16">
        <f t="shared" si="1"/>
        <v>212.55</v>
      </c>
      <c r="J7" s="21">
        <f t="shared" ref="J7:J8" si="2">I7*F7</f>
        <v>47611.200000000004</v>
      </c>
      <c r="K7" s="42">
        <v>17.25</v>
      </c>
      <c r="L7" s="36">
        <v>4.16</v>
      </c>
      <c r="M7" s="36">
        <f t="shared" ref="M7:M8" si="3">K7-L7</f>
        <v>13.09</v>
      </c>
    </row>
    <row r="8" spans="1:13">
      <c r="A8" s="16">
        <v>5</v>
      </c>
      <c r="B8" s="46">
        <v>45273</v>
      </c>
      <c r="C8" s="46">
        <v>45274</v>
      </c>
      <c r="D8" s="47" t="s">
        <v>23</v>
      </c>
      <c r="E8" s="47" t="s">
        <v>24</v>
      </c>
      <c r="F8" s="42">
        <v>392</v>
      </c>
      <c r="G8" s="16">
        <v>262</v>
      </c>
      <c r="H8" s="16">
        <v>5</v>
      </c>
      <c r="I8" s="16">
        <f t="shared" si="1"/>
        <v>257</v>
      </c>
      <c r="J8" s="21">
        <f t="shared" si="2"/>
        <v>100744</v>
      </c>
      <c r="K8" s="42">
        <v>20.03</v>
      </c>
      <c r="L8" s="36">
        <v>4.3600000000000003</v>
      </c>
      <c r="M8" s="36">
        <f t="shared" si="3"/>
        <v>15.670000000000002</v>
      </c>
    </row>
    <row r="9" spans="1:13">
      <c r="A9" s="16">
        <v>6</v>
      </c>
      <c r="B9" s="46">
        <v>45275</v>
      </c>
      <c r="C9" s="46">
        <v>45276</v>
      </c>
      <c r="D9" s="47" t="s">
        <v>23</v>
      </c>
      <c r="E9" s="47" t="s">
        <v>24</v>
      </c>
      <c r="F9" s="42">
        <v>392</v>
      </c>
      <c r="G9" s="16">
        <v>262</v>
      </c>
      <c r="H9" s="16">
        <v>5</v>
      </c>
      <c r="I9" s="16">
        <f>ABS(H9-G9)</f>
        <v>257</v>
      </c>
      <c r="J9" s="21">
        <f>I9*F9</f>
        <v>100744</v>
      </c>
      <c r="K9" s="42">
        <v>16.13</v>
      </c>
      <c r="L9" s="36"/>
      <c r="M9" s="17">
        <f>K9-L9</f>
        <v>16.13</v>
      </c>
    </row>
    <row r="10" spans="1:13">
      <c r="A10" s="16">
        <v>7</v>
      </c>
      <c r="B10" s="46">
        <v>45278</v>
      </c>
      <c r="C10" s="46">
        <v>45279</v>
      </c>
      <c r="D10" s="42" t="s">
        <v>72</v>
      </c>
      <c r="E10" s="42" t="s">
        <v>70</v>
      </c>
      <c r="F10" s="42">
        <v>270</v>
      </c>
      <c r="G10" s="16">
        <v>49.45</v>
      </c>
      <c r="H10" s="16">
        <v>262</v>
      </c>
      <c r="I10" s="16">
        <f t="shared" ref="I10:I12" si="4">ABS(H10-G10)</f>
        <v>212.55</v>
      </c>
      <c r="J10" s="21">
        <f>I10*F10</f>
        <v>57388.5</v>
      </c>
      <c r="K10" s="42">
        <v>28.11</v>
      </c>
      <c r="L10" s="36">
        <v>14.25</v>
      </c>
      <c r="M10" s="36">
        <f>K10-L10</f>
        <v>13.86</v>
      </c>
    </row>
    <row r="11" spans="1:13">
      <c r="A11" s="16">
        <v>8</v>
      </c>
      <c r="B11" s="46">
        <v>45280</v>
      </c>
      <c r="C11" s="46">
        <v>45281</v>
      </c>
      <c r="D11" s="47" t="s">
        <v>23</v>
      </c>
      <c r="E11" s="47" t="s">
        <v>24</v>
      </c>
      <c r="F11" s="42">
        <v>391.95</v>
      </c>
      <c r="G11" s="16">
        <v>262</v>
      </c>
      <c r="H11" s="16">
        <v>5</v>
      </c>
      <c r="I11" s="16">
        <f t="shared" si="4"/>
        <v>257</v>
      </c>
      <c r="J11" s="21">
        <f t="shared" ref="J11" si="5">I11*F11</f>
        <v>100731.15</v>
      </c>
      <c r="K11" s="42">
        <v>14.09</v>
      </c>
      <c r="L11" s="36">
        <v>1.55</v>
      </c>
      <c r="M11" s="36">
        <f t="shared" ref="M11:M12" si="6">K11-L11</f>
        <v>12.54</v>
      </c>
    </row>
    <row r="12" spans="1:13">
      <c r="A12" s="16">
        <v>9</v>
      </c>
      <c r="B12" s="46">
        <v>45282</v>
      </c>
      <c r="C12" s="46">
        <v>45283</v>
      </c>
      <c r="D12" s="47" t="s">
        <v>23</v>
      </c>
      <c r="E12" s="47" t="s">
        <v>24</v>
      </c>
      <c r="F12" s="42">
        <v>390.8</v>
      </c>
      <c r="G12" s="16">
        <v>262</v>
      </c>
      <c r="H12" s="16">
        <v>5</v>
      </c>
      <c r="I12" s="16">
        <f t="shared" si="4"/>
        <v>257</v>
      </c>
      <c r="J12" s="21">
        <f>I12*F12</f>
        <v>100435.6</v>
      </c>
      <c r="K12" s="42">
        <v>18.45</v>
      </c>
      <c r="L12" s="36">
        <v>5.03</v>
      </c>
      <c r="M12" s="36">
        <f t="shared" si="6"/>
        <v>13.419999999999998</v>
      </c>
    </row>
    <row r="13" spans="1:13">
      <c r="A13" s="4"/>
      <c r="B13" s="3"/>
      <c r="C13" s="3"/>
      <c r="D13" s="4"/>
      <c r="E13" s="48" t="s">
        <v>27</v>
      </c>
      <c r="F13" s="49">
        <f>ROUND(SUM(F4:F12),0)</f>
        <v>3068</v>
      </c>
      <c r="G13" s="2"/>
      <c r="H13" s="2" t="s">
        <v>73</v>
      </c>
      <c r="I13" s="50">
        <f>SUM(I4:I12)</f>
        <v>2179.6499999999996</v>
      </c>
      <c r="J13" s="51">
        <f>SUM(J4:J12)</f>
        <v>756694.13599999994</v>
      </c>
      <c r="M13" s="52">
        <f>AVERAGE(M4:M12)</f>
        <v>13.635555555555557</v>
      </c>
    </row>
  </sheetData>
  <mergeCells count="1">
    <mergeCell ref="A1: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 carga </vt:lpstr>
      <vt:lpstr>Hoja1</vt:lpstr>
      <vt:lpstr>Tiempos</vt:lpstr>
      <vt:lpstr>'Formato carga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</dc:creator>
  <cp:keywords/>
  <dc:description/>
  <cp:lastModifiedBy>jony florez ortiz</cp:lastModifiedBy>
  <cp:revision/>
  <cp:lastPrinted>2025-08-03T16:49:53Z</cp:lastPrinted>
  <dcterms:created xsi:type="dcterms:W3CDTF">2023-06-24T15:39:00Z</dcterms:created>
  <dcterms:modified xsi:type="dcterms:W3CDTF">2025-11-01T14:04:00Z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E2B30FFA82DA4B53A9C84DD9B934FAE8_13</vt:lpwstr>
  </property>
  <property fmtid="{D5CDD505-2E9C-101B-9397-08002B2CF9AE}" pid="3" name="KSOProductBuildVer">
    <vt:lpwstr>3082-12.2.0.13215</vt:lpwstr>
  </property>
</Properties>
</file>