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3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ony9\Downloads\"/>
    </mc:Choice>
  </mc:AlternateContent>
  <xr:revisionPtr revIDLastSave="0" documentId="8_{077C9018-6313-4A7B-A4C8-53AC262B4579}" xr6:coauthVersionLast="47" xr6:coauthVersionMax="47" xr10:uidLastSave="{00000000-0000-0000-0000-000000000000}"/>
  <bookViews>
    <workbookView xWindow="-96" yWindow="0" windowWidth="11712" windowHeight="12336" xr2:uid="{D421EEAA-55A8-42CA-A398-F1201BD5615E}"/>
  </bookViews>
  <sheets>
    <sheet name="Formato carga " sheetId="1" r:id="rId1"/>
    <sheet name="Argos" sheetId="6" r:id="rId2"/>
    <sheet name="Ferreobelen" sheetId="5" r:id="rId3"/>
    <sheet name="Hoja2" sheetId="4" state="hidden" r:id="rId4"/>
    <sheet name="Hoja1" sheetId="3" state="hidden" r:id="rId5"/>
    <sheet name="Tiempos" sheetId="2" state="hidden" r:id="rId6"/>
  </sheets>
  <definedNames>
    <definedName name="_xlnm._FilterDatabase" localSheetId="1" hidden="1">Argos!$A$12:$V$21</definedName>
    <definedName name="_xlnm._FilterDatabase" localSheetId="2" hidden="1">Ferreobelen!$A$12:$V$24</definedName>
    <definedName name="_xlnm._FilterDatabase" localSheetId="0" hidden="1">'Formato carga '!$A$81:$V$144</definedName>
    <definedName name="_xlnm.Print_Area" localSheetId="1">Argos!$A$1:$V$58</definedName>
    <definedName name="_xlnm.Print_Area" localSheetId="2">Ferreobelen!$A$1:$V$64</definedName>
    <definedName name="_xlnm.Print_Area" localSheetId="0">'Formato carga '!$A$1:$V$160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3" i="1" l="1"/>
  <c r="F134" i="1"/>
  <c r="F135" i="1"/>
  <c r="F136" i="1"/>
  <c r="F137" i="1"/>
  <c r="F138" i="1"/>
  <c r="F139" i="1"/>
  <c r="F140" i="1"/>
  <c r="F131" i="1"/>
  <c r="F132" i="1"/>
  <c r="E131" i="1"/>
  <c r="R140" i="1"/>
  <c r="S140" i="1" s="1"/>
  <c r="T140" i="1" s="1"/>
  <c r="N140" i="1"/>
  <c r="M140" i="1"/>
  <c r="O140" i="1" s="1"/>
  <c r="P140" i="1" s="1"/>
  <c r="E140" i="1"/>
  <c r="N139" i="1"/>
  <c r="R139" i="1" s="1"/>
  <c r="S139" i="1" s="1"/>
  <c r="T139" i="1" s="1"/>
  <c r="M139" i="1"/>
  <c r="K139" i="1"/>
  <c r="I139" i="1"/>
  <c r="L139" i="1" s="1"/>
  <c r="E139" i="1"/>
  <c r="G72" i="1"/>
  <c r="J71" i="1"/>
  <c r="K71" i="1" s="1"/>
  <c r="J70" i="1"/>
  <c r="K70" i="1" s="1"/>
  <c r="M85" i="1"/>
  <c r="N85" i="1"/>
  <c r="R85" i="1" s="1"/>
  <c r="S85" i="1" s="1"/>
  <c r="T85" i="1" s="1"/>
  <c r="N86" i="1"/>
  <c r="R86" i="1" s="1"/>
  <c r="S86" i="1" s="1"/>
  <c r="T86" i="1" s="1"/>
  <c r="N137" i="1"/>
  <c r="R137" i="1" s="1"/>
  <c r="S137" i="1" s="1"/>
  <c r="T137" i="1" s="1"/>
  <c r="M83" i="1"/>
  <c r="M84" i="1"/>
  <c r="M86" i="1"/>
  <c r="O86" i="1" s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82" i="1"/>
  <c r="J76" i="1"/>
  <c r="I76" i="1"/>
  <c r="H76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2" i="1"/>
  <c r="E133" i="1"/>
  <c r="E134" i="1"/>
  <c r="E135" i="1"/>
  <c r="E136" i="1"/>
  <c r="E137" i="1"/>
  <c r="E138" i="1"/>
  <c r="F82" i="1"/>
  <c r="E82" i="1"/>
  <c r="J67" i="1"/>
  <c r="K67" i="1" s="1"/>
  <c r="J68" i="1"/>
  <c r="K68" i="1"/>
  <c r="J69" i="1"/>
  <c r="N138" i="1" s="1"/>
  <c r="R138" i="1" s="1"/>
  <c r="S138" i="1" s="1"/>
  <c r="T138" i="1" s="1"/>
  <c r="O139" i="1" l="1"/>
  <c r="P139" i="1" s="1"/>
  <c r="O85" i="1"/>
  <c r="K69" i="1"/>
  <c r="N136" i="1"/>
  <c r="O136" i="1" s="1"/>
  <c r="O138" i="1"/>
  <c r="R136" i="1"/>
  <c r="S136" i="1" s="1"/>
  <c r="T136" i="1" s="1"/>
  <c r="O137" i="1"/>
  <c r="J66" i="1" l="1"/>
  <c r="J65" i="1"/>
  <c r="J64" i="1"/>
  <c r="J63" i="1"/>
  <c r="J13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14" i="1"/>
  <c r="N83" i="1" s="1"/>
  <c r="K61" i="1" l="1"/>
  <c r="N130" i="1"/>
  <c r="K49" i="1"/>
  <c r="N118" i="1"/>
  <c r="K37" i="1"/>
  <c r="N106" i="1"/>
  <c r="K25" i="1"/>
  <c r="N94" i="1"/>
  <c r="K60" i="1"/>
  <c r="N129" i="1"/>
  <c r="K48" i="1"/>
  <c r="N117" i="1"/>
  <c r="K36" i="1"/>
  <c r="N105" i="1"/>
  <c r="K24" i="1"/>
  <c r="N93" i="1"/>
  <c r="K59" i="1"/>
  <c r="N128" i="1"/>
  <c r="K47" i="1"/>
  <c r="N116" i="1"/>
  <c r="K35" i="1"/>
  <c r="N104" i="1"/>
  <c r="K23" i="1"/>
  <c r="N92" i="1"/>
  <c r="K58" i="1"/>
  <c r="N127" i="1"/>
  <c r="K46" i="1"/>
  <c r="N115" i="1"/>
  <c r="K34" i="1"/>
  <c r="N103" i="1"/>
  <c r="K22" i="1"/>
  <c r="N91" i="1"/>
  <c r="K57" i="1"/>
  <c r="N126" i="1"/>
  <c r="K45" i="1"/>
  <c r="N114" i="1"/>
  <c r="K33" i="1"/>
  <c r="N102" i="1"/>
  <c r="K21" i="1"/>
  <c r="N90" i="1"/>
  <c r="K56" i="1"/>
  <c r="N125" i="1"/>
  <c r="K44" i="1"/>
  <c r="N113" i="1"/>
  <c r="K32" i="1"/>
  <c r="N101" i="1"/>
  <c r="K20" i="1"/>
  <c r="N89" i="1"/>
  <c r="K55" i="1"/>
  <c r="N124" i="1"/>
  <c r="K43" i="1"/>
  <c r="N112" i="1"/>
  <c r="K31" i="1"/>
  <c r="N100" i="1"/>
  <c r="K19" i="1"/>
  <c r="N88" i="1"/>
  <c r="K54" i="1"/>
  <c r="N123" i="1"/>
  <c r="K42" i="1"/>
  <c r="N111" i="1"/>
  <c r="K30" i="1"/>
  <c r="N99" i="1"/>
  <c r="K13" i="1"/>
  <c r="N82" i="1"/>
  <c r="R82" i="1" s="1"/>
  <c r="K53" i="1"/>
  <c r="N122" i="1"/>
  <c r="K41" i="1"/>
  <c r="N110" i="1"/>
  <c r="K29" i="1"/>
  <c r="N98" i="1"/>
  <c r="K52" i="1"/>
  <c r="N121" i="1"/>
  <c r="K40" i="1"/>
  <c r="N109" i="1"/>
  <c r="K28" i="1"/>
  <c r="N97" i="1"/>
  <c r="R83" i="1"/>
  <c r="S83" i="1" s="1"/>
  <c r="T83" i="1" s="1"/>
  <c r="O83" i="1"/>
  <c r="K51" i="1"/>
  <c r="N120" i="1"/>
  <c r="K39" i="1"/>
  <c r="N108" i="1"/>
  <c r="K27" i="1"/>
  <c r="N96" i="1"/>
  <c r="K62" i="1"/>
  <c r="N131" i="1"/>
  <c r="K50" i="1"/>
  <c r="N119" i="1"/>
  <c r="K38" i="1"/>
  <c r="N107" i="1"/>
  <c r="K26" i="1"/>
  <c r="N95" i="1"/>
  <c r="K64" i="1"/>
  <c r="N133" i="1"/>
  <c r="K63" i="1"/>
  <c r="N132" i="1"/>
  <c r="K66" i="1"/>
  <c r="N135" i="1"/>
  <c r="K65" i="1"/>
  <c r="N134" i="1"/>
  <c r="M38" i="6"/>
  <c r="F38" i="6"/>
  <c r="E38" i="6"/>
  <c r="M37" i="6"/>
  <c r="F37" i="6"/>
  <c r="E37" i="6"/>
  <c r="M36" i="6"/>
  <c r="F36" i="6"/>
  <c r="E36" i="6"/>
  <c r="M35" i="6"/>
  <c r="F35" i="6"/>
  <c r="E35" i="6"/>
  <c r="M34" i="6"/>
  <c r="F34" i="6"/>
  <c r="E34" i="6"/>
  <c r="M33" i="6"/>
  <c r="F33" i="6"/>
  <c r="E33" i="6"/>
  <c r="M32" i="6"/>
  <c r="F32" i="6"/>
  <c r="E32" i="6"/>
  <c r="M31" i="6"/>
  <c r="F31" i="6"/>
  <c r="E31" i="6"/>
  <c r="K25" i="6"/>
  <c r="J25" i="6"/>
  <c r="J26" i="6" s="1"/>
  <c r="I25" i="6"/>
  <c r="I26" i="6" s="1"/>
  <c r="K32" i="6" s="1"/>
  <c r="H25" i="6"/>
  <c r="H26" i="6" s="1"/>
  <c r="G21" i="6"/>
  <c r="J20" i="6"/>
  <c r="N38" i="6" s="1"/>
  <c r="R38" i="6" s="1"/>
  <c r="S38" i="6" s="1"/>
  <c r="T38" i="6" s="1"/>
  <c r="J19" i="6"/>
  <c r="N37" i="6" s="1"/>
  <c r="R37" i="6" s="1"/>
  <c r="S37" i="6" s="1"/>
  <c r="T37" i="6" s="1"/>
  <c r="J18" i="6"/>
  <c r="K18" i="6" s="1"/>
  <c r="J17" i="6"/>
  <c r="N35" i="6" s="1"/>
  <c r="R35" i="6" s="1"/>
  <c r="S35" i="6" s="1"/>
  <c r="T35" i="6" s="1"/>
  <c r="J16" i="6"/>
  <c r="N34" i="6" s="1"/>
  <c r="R34" i="6" s="1"/>
  <c r="S34" i="6" s="1"/>
  <c r="T34" i="6" s="1"/>
  <c r="J15" i="6"/>
  <c r="K15" i="6" s="1"/>
  <c r="J14" i="6"/>
  <c r="K14" i="6" s="1"/>
  <c r="J13" i="6"/>
  <c r="K13" i="6" s="1"/>
  <c r="O121" i="1" l="1"/>
  <c r="R121" i="1"/>
  <c r="S121" i="1" s="1"/>
  <c r="T121" i="1" s="1"/>
  <c r="R89" i="1"/>
  <c r="S89" i="1" s="1"/>
  <c r="T89" i="1" s="1"/>
  <c r="O89" i="1"/>
  <c r="R114" i="1"/>
  <c r="S114" i="1" s="1"/>
  <c r="T114" i="1" s="1"/>
  <c r="O114" i="1"/>
  <c r="R92" i="1"/>
  <c r="S92" i="1" s="1"/>
  <c r="T92" i="1" s="1"/>
  <c r="O92" i="1"/>
  <c r="R108" i="1"/>
  <c r="S108" i="1" s="1"/>
  <c r="T108" i="1" s="1"/>
  <c r="O108" i="1"/>
  <c r="R101" i="1"/>
  <c r="S101" i="1" s="1"/>
  <c r="T101" i="1" s="1"/>
  <c r="O101" i="1"/>
  <c r="R126" i="1"/>
  <c r="S126" i="1" s="1"/>
  <c r="T126" i="1" s="1"/>
  <c r="O126" i="1"/>
  <c r="R129" i="1"/>
  <c r="S129" i="1" s="1"/>
  <c r="T129" i="1" s="1"/>
  <c r="O129" i="1"/>
  <c r="R95" i="1"/>
  <c r="S95" i="1" s="1"/>
  <c r="T95" i="1" s="1"/>
  <c r="O95" i="1"/>
  <c r="R88" i="1"/>
  <c r="S88" i="1" s="1"/>
  <c r="T88" i="1" s="1"/>
  <c r="O88" i="1"/>
  <c r="R91" i="1"/>
  <c r="S91" i="1" s="1"/>
  <c r="T91" i="1" s="1"/>
  <c r="O91" i="1"/>
  <c r="R116" i="1"/>
  <c r="S116" i="1" s="1"/>
  <c r="T116" i="1" s="1"/>
  <c r="O116" i="1"/>
  <c r="R107" i="1"/>
  <c r="S107" i="1" s="1"/>
  <c r="T107" i="1" s="1"/>
  <c r="O107" i="1"/>
  <c r="R122" i="1"/>
  <c r="S122" i="1" s="1"/>
  <c r="T122" i="1" s="1"/>
  <c r="O122" i="1"/>
  <c r="R125" i="1"/>
  <c r="S125" i="1" s="1"/>
  <c r="T125" i="1" s="1"/>
  <c r="O125" i="1"/>
  <c r="R128" i="1"/>
  <c r="S128" i="1" s="1"/>
  <c r="T128" i="1" s="1"/>
  <c r="O128" i="1"/>
  <c r="O93" i="1"/>
  <c r="R93" i="1"/>
  <c r="S93" i="1" s="1"/>
  <c r="T93" i="1" s="1"/>
  <c r="R131" i="1"/>
  <c r="S131" i="1" s="1"/>
  <c r="T131" i="1" s="1"/>
  <c r="O131" i="1"/>
  <c r="R109" i="1"/>
  <c r="S109" i="1" s="1"/>
  <c r="T109" i="1" s="1"/>
  <c r="O109" i="1"/>
  <c r="R99" i="1"/>
  <c r="S99" i="1" s="1"/>
  <c r="T99" i="1" s="1"/>
  <c r="O99" i="1"/>
  <c r="R124" i="1"/>
  <c r="S124" i="1" s="1"/>
  <c r="T124" i="1" s="1"/>
  <c r="O124" i="1"/>
  <c r="O102" i="1"/>
  <c r="R102" i="1"/>
  <c r="S102" i="1" s="1"/>
  <c r="T102" i="1" s="1"/>
  <c r="R127" i="1"/>
  <c r="S127" i="1" s="1"/>
  <c r="T127" i="1" s="1"/>
  <c r="O127" i="1"/>
  <c r="R105" i="1"/>
  <c r="S105" i="1" s="1"/>
  <c r="T105" i="1" s="1"/>
  <c r="O105" i="1"/>
  <c r="R130" i="1"/>
  <c r="S130" i="1" s="1"/>
  <c r="T130" i="1" s="1"/>
  <c r="O130" i="1"/>
  <c r="R96" i="1"/>
  <c r="S96" i="1" s="1"/>
  <c r="T96" i="1" s="1"/>
  <c r="O96" i="1"/>
  <c r="R111" i="1"/>
  <c r="S111" i="1" s="1"/>
  <c r="T111" i="1" s="1"/>
  <c r="O111" i="1"/>
  <c r="R117" i="1"/>
  <c r="S117" i="1" s="1"/>
  <c r="T117" i="1" s="1"/>
  <c r="O117" i="1"/>
  <c r="O98" i="1"/>
  <c r="R98" i="1"/>
  <c r="S98" i="1" s="1"/>
  <c r="T98" i="1" s="1"/>
  <c r="R123" i="1"/>
  <c r="S123" i="1" s="1"/>
  <c r="T123" i="1" s="1"/>
  <c r="O123" i="1"/>
  <c r="R104" i="1"/>
  <c r="S104" i="1" s="1"/>
  <c r="T104" i="1" s="1"/>
  <c r="O104" i="1"/>
  <c r="O120" i="1"/>
  <c r="R120" i="1"/>
  <c r="S120" i="1" s="1"/>
  <c r="T120" i="1" s="1"/>
  <c r="O110" i="1"/>
  <c r="R110" i="1"/>
  <c r="S110" i="1" s="1"/>
  <c r="T110" i="1" s="1"/>
  <c r="R113" i="1"/>
  <c r="S113" i="1" s="1"/>
  <c r="T113" i="1" s="1"/>
  <c r="O113" i="1"/>
  <c r="R94" i="1"/>
  <c r="S94" i="1" s="1"/>
  <c r="T94" i="1" s="1"/>
  <c r="O94" i="1"/>
  <c r="R100" i="1"/>
  <c r="S100" i="1" s="1"/>
  <c r="T100" i="1" s="1"/>
  <c r="O100" i="1"/>
  <c r="R103" i="1"/>
  <c r="S103" i="1" s="1"/>
  <c r="T103" i="1" s="1"/>
  <c r="O103" i="1"/>
  <c r="O106" i="1"/>
  <c r="R106" i="1"/>
  <c r="S106" i="1" s="1"/>
  <c r="T106" i="1" s="1"/>
  <c r="O119" i="1"/>
  <c r="R119" i="1"/>
  <c r="S119" i="1" s="1"/>
  <c r="T119" i="1" s="1"/>
  <c r="R97" i="1"/>
  <c r="S97" i="1" s="1"/>
  <c r="T97" i="1" s="1"/>
  <c r="O97" i="1"/>
  <c r="R112" i="1"/>
  <c r="S112" i="1" s="1"/>
  <c r="T112" i="1" s="1"/>
  <c r="O112" i="1"/>
  <c r="O90" i="1"/>
  <c r="R90" i="1"/>
  <c r="S90" i="1" s="1"/>
  <c r="T90" i="1" s="1"/>
  <c r="R115" i="1"/>
  <c r="S115" i="1" s="1"/>
  <c r="T115" i="1" s="1"/>
  <c r="O115" i="1"/>
  <c r="R118" i="1"/>
  <c r="S118" i="1" s="1"/>
  <c r="T118" i="1" s="1"/>
  <c r="O118" i="1"/>
  <c r="R133" i="1"/>
  <c r="S133" i="1" s="1"/>
  <c r="T133" i="1" s="1"/>
  <c r="O133" i="1"/>
  <c r="R132" i="1"/>
  <c r="S132" i="1" s="1"/>
  <c r="T132" i="1" s="1"/>
  <c r="O132" i="1"/>
  <c r="R135" i="1"/>
  <c r="S135" i="1" s="1"/>
  <c r="T135" i="1" s="1"/>
  <c r="O135" i="1"/>
  <c r="O134" i="1"/>
  <c r="R134" i="1"/>
  <c r="S134" i="1" s="1"/>
  <c r="T134" i="1" s="1"/>
  <c r="O34" i="6"/>
  <c r="P34" i="6" s="1"/>
  <c r="N32" i="6"/>
  <c r="R32" i="6" s="1"/>
  <c r="S32" i="6" s="1"/>
  <c r="T32" i="6" s="1"/>
  <c r="O37" i="6"/>
  <c r="P37" i="6" s="1"/>
  <c r="O35" i="6"/>
  <c r="P35" i="6" s="1"/>
  <c r="N31" i="6"/>
  <c r="R31" i="6" s="1"/>
  <c r="S31" i="6" s="1"/>
  <c r="T31" i="6" s="1"/>
  <c r="N36" i="6"/>
  <c r="R36" i="6" s="1"/>
  <c r="S36" i="6" s="1"/>
  <c r="T36" i="6" s="1"/>
  <c r="O36" i="6"/>
  <c r="P36" i="6" s="1"/>
  <c r="O38" i="6"/>
  <c r="P38" i="6" s="1"/>
  <c r="I34" i="6"/>
  <c r="J21" i="6"/>
  <c r="T40" i="6"/>
  <c r="K33" i="6"/>
  <c r="K34" i="6"/>
  <c r="K35" i="6"/>
  <c r="K36" i="6"/>
  <c r="K37" i="6"/>
  <c r="K38" i="6"/>
  <c r="K19" i="6"/>
  <c r="K16" i="6"/>
  <c r="K20" i="6"/>
  <c r="K31" i="6"/>
  <c r="K17" i="6"/>
  <c r="I33" i="6"/>
  <c r="I35" i="6"/>
  <c r="I36" i="6"/>
  <c r="I37" i="6"/>
  <c r="I38" i="6"/>
  <c r="I31" i="6"/>
  <c r="I32" i="6"/>
  <c r="L32" i="6" s="1"/>
  <c r="N33" i="6"/>
  <c r="R33" i="6" s="1"/>
  <c r="S33" i="6" s="1"/>
  <c r="T33" i="6" s="1"/>
  <c r="L38" i="6" l="1"/>
  <c r="O32" i="6"/>
  <c r="P32" i="6" s="1"/>
  <c r="L31" i="6"/>
  <c r="O33" i="6"/>
  <c r="P33" i="6" s="1"/>
  <c r="L34" i="6"/>
  <c r="L33" i="6"/>
  <c r="O31" i="6"/>
  <c r="P31" i="6" s="1"/>
  <c r="P40" i="6" s="1"/>
  <c r="P42" i="6" s="1"/>
  <c r="T41" i="6"/>
  <c r="T42" i="6" s="1"/>
  <c r="I40" i="6"/>
  <c r="K21" i="6"/>
  <c r="L37" i="6"/>
  <c r="L36" i="6"/>
  <c r="K40" i="6"/>
  <c r="L35" i="6"/>
  <c r="K41" i="6" l="1"/>
  <c r="K42" i="6" s="1"/>
  <c r="L40" i="6"/>
  <c r="I41" i="6"/>
  <c r="I42" i="6" s="1"/>
  <c r="L41" i="6" l="1"/>
  <c r="L42" i="6" s="1"/>
  <c r="M44" i="5" l="1"/>
  <c r="F44" i="5"/>
  <c r="E44" i="5"/>
  <c r="M43" i="5"/>
  <c r="F43" i="5"/>
  <c r="E43" i="5"/>
  <c r="M42" i="5"/>
  <c r="F42" i="5"/>
  <c r="E42" i="5"/>
  <c r="M41" i="5"/>
  <c r="F41" i="5"/>
  <c r="E41" i="5"/>
  <c r="M40" i="5"/>
  <c r="F40" i="5"/>
  <c r="E40" i="5"/>
  <c r="M39" i="5"/>
  <c r="F39" i="5"/>
  <c r="E39" i="5"/>
  <c r="M38" i="5"/>
  <c r="F38" i="5"/>
  <c r="E38" i="5"/>
  <c r="M37" i="5"/>
  <c r="F37" i="5"/>
  <c r="E37" i="5"/>
  <c r="M36" i="5"/>
  <c r="F36" i="5"/>
  <c r="E36" i="5"/>
  <c r="M35" i="5"/>
  <c r="F35" i="5"/>
  <c r="E35" i="5"/>
  <c r="M34" i="5"/>
  <c r="F34" i="5"/>
  <c r="E34" i="5"/>
  <c r="K28" i="5"/>
  <c r="J28" i="5"/>
  <c r="J29" i="5" s="1"/>
  <c r="I28" i="5"/>
  <c r="I29" i="5" s="1"/>
  <c r="H28" i="5"/>
  <c r="H29" i="5" s="1"/>
  <c r="I39" i="5" s="1"/>
  <c r="G24" i="5"/>
  <c r="J23" i="5"/>
  <c r="N44" i="5" s="1"/>
  <c r="R44" i="5" s="1"/>
  <c r="S44" i="5" s="1"/>
  <c r="T44" i="5" s="1"/>
  <c r="J22" i="5"/>
  <c r="N43" i="5" s="1"/>
  <c r="R43" i="5" s="1"/>
  <c r="S43" i="5" s="1"/>
  <c r="T43" i="5" s="1"/>
  <c r="J21" i="5"/>
  <c r="N42" i="5" s="1"/>
  <c r="R42" i="5" s="1"/>
  <c r="S42" i="5" s="1"/>
  <c r="T42" i="5" s="1"/>
  <c r="J20" i="5"/>
  <c r="J19" i="5"/>
  <c r="N40" i="5" s="1"/>
  <c r="R40" i="5" s="1"/>
  <c r="S40" i="5" s="1"/>
  <c r="T40" i="5" s="1"/>
  <c r="J18" i="5"/>
  <c r="N39" i="5" s="1"/>
  <c r="R39" i="5" s="1"/>
  <c r="S39" i="5" s="1"/>
  <c r="T39" i="5" s="1"/>
  <c r="J17" i="5"/>
  <c r="N38" i="5" s="1"/>
  <c r="R38" i="5" s="1"/>
  <c r="S38" i="5" s="1"/>
  <c r="T38" i="5" s="1"/>
  <c r="J16" i="5"/>
  <c r="J15" i="5"/>
  <c r="K15" i="5" s="1"/>
  <c r="J14" i="5"/>
  <c r="N35" i="5" s="1"/>
  <c r="R35" i="5" s="1"/>
  <c r="S35" i="5" s="1"/>
  <c r="T35" i="5" s="1"/>
  <c r="J13" i="5"/>
  <c r="N34" i="5" s="1"/>
  <c r="R34" i="5" s="1"/>
  <c r="S34" i="5" s="1"/>
  <c r="T34" i="5" s="1"/>
  <c r="O43" i="5" l="1"/>
  <c r="P43" i="5" s="1"/>
  <c r="O40" i="5"/>
  <c r="P40" i="5" s="1"/>
  <c r="O35" i="5"/>
  <c r="P35" i="5" s="1"/>
  <c r="K22" i="5"/>
  <c r="N36" i="5"/>
  <c r="R36" i="5" s="1"/>
  <c r="S36" i="5" s="1"/>
  <c r="T36" i="5" s="1"/>
  <c r="O39" i="5"/>
  <c r="P39" i="5" s="1"/>
  <c r="O44" i="5"/>
  <c r="P44" i="5" s="1"/>
  <c r="N41" i="5"/>
  <c r="K20" i="5"/>
  <c r="K39" i="5"/>
  <c r="L39" i="5" s="1"/>
  <c r="K34" i="5"/>
  <c r="K36" i="5"/>
  <c r="K44" i="5"/>
  <c r="K43" i="5"/>
  <c r="K42" i="5"/>
  <c r="K41" i="5"/>
  <c r="O42" i="5"/>
  <c r="P42" i="5" s="1"/>
  <c r="N37" i="5"/>
  <c r="R37" i="5" s="1"/>
  <c r="S37" i="5" s="1"/>
  <c r="T37" i="5" s="1"/>
  <c r="K16" i="5"/>
  <c r="O38" i="5"/>
  <c r="P38" i="5" s="1"/>
  <c r="O34" i="5"/>
  <c r="P34" i="5" s="1"/>
  <c r="K17" i="5"/>
  <c r="I36" i="5"/>
  <c r="K13" i="5"/>
  <c r="K23" i="5"/>
  <c r="I34" i="5"/>
  <c r="I41" i="5"/>
  <c r="I42" i="5"/>
  <c r="I43" i="5"/>
  <c r="I44" i="5"/>
  <c r="K14" i="5"/>
  <c r="K18" i="5"/>
  <c r="K21" i="5"/>
  <c r="J24" i="5"/>
  <c r="K19" i="5"/>
  <c r="L36" i="5" l="1"/>
  <c r="L43" i="5"/>
  <c r="L42" i="5"/>
  <c r="O36" i="5"/>
  <c r="P36" i="5" s="1"/>
  <c r="R41" i="5"/>
  <c r="S41" i="5" s="1"/>
  <c r="T41" i="5" s="1"/>
  <c r="T46" i="5" s="1"/>
  <c r="O41" i="5"/>
  <c r="P41" i="5" s="1"/>
  <c r="L41" i="5"/>
  <c r="L34" i="5"/>
  <c r="I46" i="5"/>
  <c r="K46" i="5"/>
  <c r="L44" i="5"/>
  <c r="K24" i="5"/>
  <c r="O37" i="5"/>
  <c r="P37" i="5" s="1"/>
  <c r="P46" i="5" s="1"/>
  <c r="P48" i="5" s="1"/>
  <c r="K47" i="5" l="1"/>
  <c r="K48" i="5" s="1"/>
  <c r="I47" i="5"/>
  <c r="I48" i="5" s="1"/>
  <c r="L46" i="5"/>
  <c r="T47" i="5"/>
  <c r="T48" i="5" s="1"/>
  <c r="L47" i="5" l="1"/>
  <c r="L48" i="5" s="1"/>
  <c r="D12" i="4" l="1"/>
  <c r="D10" i="4"/>
  <c r="D7" i="4"/>
  <c r="D14" i="4" l="1"/>
  <c r="J15" i="1" l="1"/>
  <c r="N84" i="1" s="1"/>
  <c r="J18" i="1"/>
  <c r="N87" i="1" s="1"/>
  <c r="R87" i="1" l="1"/>
  <c r="S87" i="1" s="1"/>
  <c r="T87" i="1" s="1"/>
  <c r="O87" i="1"/>
  <c r="O84" i="1"/>
  <c r="R84" i="1"/>
  <c r="S84" i="1" s="1"/>
  <c r="T84" i="1" s="1"/>
  <c r="K18" i="1"/>
  <c r="K15" i="1"/>
  <c r="J72" i="1"/>
  <c r="K14" i="1" l="1"/>
  <c r="K72" i="1" s="1"/>
  <c r="H77" i="1"/>
  <c r="I83" i="1" s="1"/>
  <c r="I97" i="1" l="1"/>
  <c r="I118" i="1"/>
  <c r="I131" i="1"/>
  <c r="I136" i="1"/>
  <c r="I87" i="1"/>
  <c r="I89" i="1"/>
  <c r="I107" i="1"/>
  <c r="I110" i="1"/>
  <c r="I121" i="1"/>
  <c r="I134" i="1"/>
  <c r="I130" i="1"/>
  <c r="I132" i="1"/>
  <c r="I85" i="1"/>
  <c r="I105" i="1"/>
  <c r="I88" i="1"/>
  <c r="I90" i="1"/>
  <c r="I114" i="1"/>
  <c r="I125" i="1"/>
  <c r="I128" i="1"/>
  <c r="I84" i="1"/>
  <c r="I82" i="1"/>
  <c r="O82" i="1" l="1"/>
  <c r="J77" i="1" l="1"/>
  <c r="K83" i="1" l="1"/>
  <c r="K134" i="1"/>
  <c r="K132" i="1"/>
  <c r="K128" i="1"/>
  <c r="L128" i="1" s="1"/>
  <c r="K97" i="1"/>
  <c r="L97" i="1" s="1"/>
  <c r="L132" i="1"/>
  <c r="K130" i="1"/>
  <c r="L130" i="1" s="1"/>
  <c r="K136" i="1"/>
  <c r="L136" i="1" s="1"/>
  <c r="K90" i="1"/>
  <c r="L90" i="1" s="1"/>
  <c r="K125" i="1"/>
  <c r="L125" i="1" s="1"/>
  <c r="L134" i="1"/>
  <c r="K88" i="1"/>
  <c r="L88" i="1" s="1"/>
  <c r="K110" i="1"/>
  <c r="L110" i="1" s="1"/>
  <c r="K85" i="1"/>
  <c r="L85" i="1" s="1"/>
  <c r="K121" i="1"/>
  <c r="L121" i="1" s="1"/>
  <c r="L83" i="1"/>
  <c r="K107" i="1"/>
  <c r="L107" i="1" s="1"/>
  <c r="K105" i="1"/>
  <c r="L105" i="1" s="1"/>
  <c r="K118" i="1"/>
  <c r="L118" i="1" s="1"/>
  <c r="K114" i="1"/>
  <c r="L114" i="1" s="1"/>
  <c r="K76" i="1" l="1"/>
  <c r="P86" i="1" l="1"/>
  <c r="P85" i="1"/>
  <c r="P138" i="1"/>
  <c r="P137" i="1"/>
  <c r="P136" i="1"/>
  <c r="P83" i="1"/>
  <c r="P134" i="1"/>
  <c r="P88" i="1"/>
  <c r="P106" i="1"/>
  <c r="P135" i="1"/>
  <c r="P123" i="1"/>
  <c r="P92" i="1"/>
  <c r="P99" i="1"/>
  <c r="P94" i="1"/>
  <c r="P116" i="1"/>
  <c r="P133" i="1"/>
  <c r="P89" i="1"/>
  <c r="P127" i="1"/>
  <c r="P112" i="1"/>
  <c r="P102" i="1"/>
  <c r="P115" i="1"/>
  <c r="P108" i="1"/>
  <c r="P91" i="1"/>
  <c r="P119" i="1"/>
  <c r="P103" i="1"/>
  <c r="P96" i="1"/>
  <c r="P132" i="1"/>
  <c r="P111" i="1"/>
  <c r="P130" i="1"/>
  <c r="P122" i="1"/>
  <c r="P97" i="1"/>
  <c r="P124" i="1"/>
  <c r="P107" i="1"/>
  <c r="P129" i="1"/>
  <c r="P98" i="1"/>
  <c r="P126" i="1"/>
  <c r="P120" i="1"/>
  <c r="P93" i="1"/>
  <c r="P95" i="1"/>
  <c r="P90" i="1"/>
  <c r="P104" i="1"/>
  <c r="P113" i="1"/>
  <c r="P114" i="1"/>
  <c r="P105" i="1"/>
  <c r="P109" i="1"/>
  <c r="P117" i="1"/>
  <c r="P118" i="1"/>
  <c r="P131" i="1"/>
  <c r="P100" i="1"/>
  <c r="P128" i="1"/>
  <c r="P125" i="1"/>
  <c r="P110" i="1"/>
  <c r="P101" i="1"/>
  <c r="P121" i="1"/>
  <c r="P84" i="1"/>
  <c r="P87" i="1"/>
  <c r="P82" i="1"/>
  <c r="S82" i="1" l="1"/>
  <c r="F13" i="2" l="1"/>
  <c r="M12" i="2"/>
  <c r="I12" i="2"/>
  <c r="M11" i="2"/>
  <c r="I11" i="2"/>
  <c r="J11" i="2" s="1"/>
  <c r="M10" i="2"/>
  <c r="I10" i="2"/>
  <c r="J10" i="2" s="1"/>
  <c r="M9" i="2"/>
  <c r="I9" i="2"/>
  <c r="J9" i="2" s="1"/>
  <c r="M8" i="2"/>
  <c r="I8" i="2"/>
  <c r="M7" i="2"/>
  <c r="I7" i="2"/>
  <c r="M6" i="2"/>
  <c r="I6" i="2"/>
  <c r="J6" i="2" s="1"/>
  <c r="M5" i="2"/>
  <c r="I5" i="2"/>
  <c r="M4" i="2"/>
  <c r="I4" i="2"/>
  <c r="T82" i="1"/>
  <c r="J12" i="2" l="1"/>
  <c r="J7" i="2"/>
  <c r="J8" i="2"/>
  <c r="J4" i="2"/>
  <c r="J5" i="2"/>
  <c r="I13" i="2" l="1"/>
  <c r="J13" i="2" l="1"/>
  <c r="M13" i="2" l="1"/>
  <c r="I77" i="1" l="1"/>
  <c r="K87" i="1" l="1"/>
  <c r="L87" i="1" s="1"/>
  <c r="K84" i="1"/>
  <c r="L84" i="1" s="1"/>
  <c r="K82" i="1"/>
  <c r="K131" i="1"/>
  <c r="L131" i="1" s="1"/>
  <c r="K89" i="1"/>
  <c r="L89" i="1" s="1"/>
  <c r="L82" i="1"/>
  <c r="I142" i="1"/>
  <c r="K142" i="1" l="1"/>
  <c r="I143" i="1"/>
  <c r="I144" i="1" s="1"/>
  <c r="K143" i="1"/>
  <c r="K144" i="1" s="1"/>
  <c r="T142" i="1"/>
  <c r="L142" i="1"/>
  <c r="L143" i="1" l="1"/>
  <c r="L144" i="1" s="1"/>
  <c r="T143" i="1"/>
  <c r="T144" i="1" s="1"/>
  <c r="P142" i="1" l="1"/>
  <c r="P1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!!PERSONAL!!</author>
  </authors>
  <commentList>
    <comment ref="F13" authorId="0" shapeId="0" xr:uid="{F79A657E-7384-4BFF-B158-FA8C1A05A35E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toneladas transportadas</t>
        </r>
      </text>
    </comment>
    <comment ref="I13" authorId="0" shapeId="0" xr:uid="{7FC5E5EA-9747-4AEB-8817-DD127832021B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Kilometros recorridos </t>
        </r>
      </text>
    </comment>
    <comment ref="J13" authorId="0" shapeId="0" xr:uid="{92881BF5-96A5-4343-83DD-3A1C4D97C9A3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Total tonelada-Kilometro</t>
        </r>
      </text>
    </comment>
    <comment ref="M13" authorId="0" shapeId="0" xr:uid="{D4FC0C44-717E-43A8-B845-77ED4C2E731F}">
      <text>
        <r>
          <rPr>
            <b/>
            <sz val="9"/>
            <color indexed="81"/>
            <rFont val="Tahoma"/>
            <family val="2"/>
          </rPr>
          <t>!!PERSONAL!!:</t>
        </r>
        <r>
          <rPr>
            <sz val="9"/>
            <color indexed="81"/>
            <rFont val="Tahoma"/>
            <family val="2"/>
          </rPr>
          <t xml:space="preserve">
Promedio horas reccorrido desde el kilometro 262 hasta el kilometro 5</t>
        </r>
      </text>
    </comment>
  </commentList>
</comments>
</file>

<file path=xl/sharedStrings.xml><?xml version="1.0" encoding="utf-8"?>
<sst xmlns="http://schemas.openxmlformats.org/spreadsheetml/2006/main" count="524" uniqueCount="154">
  <si>
    <t>INFORME DE OPERACIÓN COMERCIAL DE CARGA</t>
  </si>
  <si>
    <t xml:space="preserve">Versión 2.0 </t>
  </si>
  <si>
    <t>Fecha: 23/06/2023</t>
  </si>
  <si>
    <t>Informe #:</t>
  </si>
  <si>
    <t>Periodo del informe:</t>
  </si>
  <si>
    <t>Inicio:</t>
  </si>
  <si>
    <t xml:space="preserve">Fin: </t>
  </si>
  <si>
    <t xml:space="preserve">Fecha de elaboración: </t>
  </si>
  <si>
    <t>Corredor Férreo:</t>
  </si>
  <si>
    <t>Bogotá - Belencito</t>
  </si>
  <si>
    <t>Operador(es) Férreo(s):</t>
  </si>
  <si>
    <t>CTSA-INGERAL</t>
  </si>
  <si>
    <t>RESUMEN DE LA CARGA MOVILIZADA</t>
  </si>
  <si>
    <t>N° Servicio</t>
  </si>
  <si>
    <t>Fecha Salida</t>
  </si>
  <si>
    <t>Fecha llegada</t>
  </si>
  <si>
    <t>Empresa</t>
  </si>
  <si>
    <t>Producto</t>
  </si>
  <si>
    <t>Toneladas Transportadas</t>
  </si>
  <si>
    <t>Pk inicio</t>
  </si>
  <si>
    <t>Pk fin</t>
  </si>
  <si>
    <t>Km recorridos</t>
  </si>
  <si>
    <t>Ton-km</t>
  </si>
  <si>
    <t>Cementos Argos</t>
  </si>
  <si>
    <t>Cemento</t>
  </si>
  <si>
    <t>Rapsa</t>
  </si>
  <si>
    <t>Subbases</t>
  </si>
  <si>
    <t>TOTALES</t>
  </si>
  <si>
    <t>Observaciones:</t>
  </si>
  <si>
    <t>Tabla de Imputs</t>
  </si>
  <si>
    <t>Periodo</t>
  </si>
  <si>
    <t xml:space="preserve">Valor  Alquiler locomotora 
(sin IVA) </t>
  </si>
  <si>
    <t>Valor Alquiler plataforma 
(sin IVA)</t>
  </si>
  <si>
    <t xml:space="preserve">Tarifa por Uso de Vía </t>
  </si>
  <si>
    <t xml:space="preserve">Rendimiento Combustible </t>
  </si>
  <si>
    <t>Tramo 2a Locomotora</t>
  </si>
  <si>
    <t xml:space="preserve">Mes </t>
  </si>
  <si>
    <t xml:space="preserve">Día </t>
  </si>
  <si>
    <t xml:space="preserve">CONCEPTO </t>
  </si>
  <si>
    <t>ARRIENDO MATERIAL RODANTE</t>
  </si>
  <si>
    <t xml:space="preserve">USO DE VÍA </t>
  </si>
  <si>
    <t xml:space="preserve">Consumo Combustible </t>
  </si>
  <si>
    <t>ACPM</t>
  </si>
  <si>
    <t xml:space="preserve">Configuración Tren </t>
  </si>
  <si>
    <t xml:space="preserve">Días </t>
  </si>
  <si>
    <t>Cantidad Locomotoras</t>
  </si>
  <si>
    <t>V/r Alquiler locomotoras</t>
  </si>
  <si>
    <t>Cantidad plataformas</t>
  </si>
  <si>
    <t>V/r Alquiler plataformas</t>
  </si>
  <si>
    <t>V/r Alquiler Mat. Rodante</t>
  </si>
  <si>
    <t>Toneladas Transportad.</t>
  </si>
  <si>
    <t>V/r Importe Uso de Vía</t>
  </si>
  <si>
    <t>Remisión No.</t>
  </si>
  <si>
    <t>Recorrido Locomotras Trabajando</t>
  </si>
  <si>
    <t>Cantidad Combustible Consumido</t>
  </si>
  <si>
    <t xml:space="preserve">V/r Combustible </t>
  </si>
  <si>
    <t xml:space="preserve">Nota aclaratoria sobre la rotación de las locomotoras y las plataformas:En la operación del transporte de carga, se realiza cambio de locomotora en los casos en que se presenta falla o corresponde el mantenimiento de una de ellas. En cuanto a las plataformas ellas se van rotando por viaje, contemplando un desgaste menor y en caso, de que también entren en mantenimiento.
</t>
  </si>
  <si>
    <t>Subtotales:</t>
  </si>
  <si>
    <t xml:space="preserve">IVA </t>
  </si>
  <si>
    <t>Valor Total:</t>
  </si>
  <si>
    <t>Contratista</t>
  </si>
  <si>
    <t>Interventoría</t>
  </si>
  <si>
    <t>VoBo. Findeter</t>
  </si>
  <si>
    <t>Cantidad de trenes movilizados</t>
  </si>
  <si>
    <t>Pk final</t>
  </si>
  <si>
    <t>Total
Km recorridos</t>
  </si>
  <si>
    <t xml:space="preserve">Tiempo total recorrido
 (hrs) </t>
  </si>
  <si>
    <t>Tiempos demora (Hrs)</t>
  </si>
  <si>
    <t>Tiempo de recorrido sin demoras  (Hrs)</t>
  </si>
  <si>
    <t>APDR</t>
  </si>
  <si>
    <t>Mineral de hierro</t>
  </si>
  <si>
    <t>Argos</t>
  </si>
  <si>
    <t>Acerias Paz del rio</t>
  </si>
  <si>
    <t xml:space="preserve"> </t>
  </si>
  <si>
    <t>Valor Alquiler Gondola
(sin IVA)</t>
  </si>
  <si>
    <t>Archivo</t>
  </si>
  <si>
    <t xml:space="preserve">Observacion </t>
  </si>
  <si>
    <t>Balasto</t>
  </si>
  <si>
    <t>Este transporte se efectuó sin compensación. En consecuencia, se abona a la Agencia Nacional de Infraestructura el equivalente a un día de alquiler de locomotora y tolvas.</t>
  </si>
  <si>
    <t>FERREOBELEN</t>
  </si>
  <si>
    <t>Este transporte se realizó inicialmente con una locomotora hasta la salida del tren desde la planta de Argos. En consecuencia, se abona a la Agencia Nacional de Infraestructura el equivalente a un (2) días de alquiler de una locomotoras y dos (2) días de alquiler de plataformas, dado que, para completar las dos locomotoras, se liquidó una en el servicio prestado a Ferreobelén.</t>
  </si>
  <si>
    <t>Este transporte se realizó inicialmente con una locomotora hasta la llegada de la segunda locomotora a planta Argos quien estaba siendo utilizada en el riego de balasto. En consecuencia, se abona a la Agencia Nacional de Infraestructura el equivalente a un (2) días de alquiler de una locomotoras y dos (2) días de alquiler de plataformas, dado que, para completar las dos locomotoras, se liquidó una en el servicio prestado a Ferreobelén.</t>
  </si>
  <si>
    <r>
      <t>De conformidad con el Anexo 1 numeral 3.5.4. para el periodo de este informe de acuerdo con el total de toneladas movilizadas en el mes, los valores como recaudo a la ANI están en el rango de</t>
    </r>
    <r>
      <rPr>
        <u/>
        <sz val="10"/>
        <color theme="1"/>
        <rFont val="Calibri"/>
        <family val="2"/>
        <scheme val="minor"/>
      </rPr>
      <t xml:space="preserve"> (ejemplo: 3001 y 5000  toneladas/mes)</t>
    </r>
  </si>
  <si>
    <r>
      <t xml:space="preserve">En constancia, este informe se firma a los </t>
    </r>
    <r>
      <rPr>
        <sz val="10"/>
        <rFont val="Calibri"/>
        <family val="2"/>
        <scheme val="minor"/>
      </rPr>
      <t>_2</t>
    </r>
    <r>
      <rPr>
        <sz val="10"/>
        <color theme="1"/>
        <rFont val="Calibri"/>
        <family val="2"/>
        <scheme val="minor"/>
      </rPr>
      <t>_ días del mes _octubre_ de 2025</t>
    </r>
  </si>
  <si>
    <t>OC028</t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</si>
  <si>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71313,72191,71331,72101,72174,72163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</si>
  <si>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71313,72191,71331,72101,72174,72163</t>
    </r>
  </si>
  <si>
    <r>
      <t xml:space="preserve">
Loc.</t>
    </r>
    <r>
      <rPr>
        <sz val="10"/>
        <color theme="1"/>
        <rFont val="Calibri"/>
        <family val="2"/>
        <scheme val="minor"/>
      </rPr>
      <t xml:space="preserve"> 1012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71313,72191,71331,72101,72174,72163</t>
    </r>
  </si>
  <si>
    <r>
      <t xml:space="preserve">
Loc. </t>
    </r>
    <r>
      <rPr>
        <sz val="10"/>
        <color theme="1"/>
        <rFont val="Calibri"/>
        <family val="2"/>
        <scheme val="minor"/>
      </rPr>
      <t>1012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71313,72191,71331,72101,72174,72163</t>
    </r>
  </si>
  <si>
    <r>
      <t xml:space="preserve">
Loc. </t>
    </r>
    <r>
      <rPr>
        <sz val="10"/>
        <color theme="1"/>
        <rFont val="Calibri"/>
        <family val="2"/>
        <scheme val="minor"/>
      </rPr>
      <t>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71313,72191,72101,72174,72163</t>
    </r>
  </si>
  <si>
    <r>
      <t xml:space="preserve">
Loc.</t>
    </r>
    <r>
      <rPr>
        <sz val="10"/>
        <color theme="1"/>
        <rFont val="Calibri"/>
        <family val="2"/>
        <scheme val="minor"/>
      </rPr>
      <t xml:space="preserve"> 1044-1001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4162,4124,4087,4049,4002,4069,4095,4120,4159,4003,4137,4001</t>
    </r>
  </si>
  <si>
    <r>
      <t xml:space="preserve">Loc. </t>
    </r>
    <r>
      <rPr>
        <sz val="10"/>
        <color theme="1"/>
        <rFont val="Calibri"/>
        <family val="2"/>
        <scheme val="minor"/>
      </rPr>
      <t>1012-1044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4100,4048,4064,4049,4002,4069,4095,4120,4159,4003,4137,4001</t>
    </r>
  </si>
  <si>
    <r>
      <t xml:space="preserve">Loc. </t>
    </r>
    <r>
      <rPr>
        <sz val="10"/>
        <color theme="1"/>
        <rFont val="Calibri"/>
        <family val="2"/>
        <scheme val="minor"/>
      </rPr>
      <t>1012-1044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4095,4120,4159,4003,4137,4001,4003,4069,4124,4087,4146,4079,4104,4007</t>
    </r>
  </si>
  <si>
    <r>
      <t xml:space="preserve">
Loc. </t>
    </r>
    <r>
      <rPr>
        <sz val="10"/>
        <color theme="1"/>
        <rFont val="Calibri"/>
        <family val="2"/>
        <scheme val="minor"/>
      </rPr>
      <t>1012-1044</t>
    </r>
    <r>
      <rPr>
        <b/>
        <sz val="10"/>
        <color theme="1"/>
        <rFont val="Calibri"/>
        <family val="2"/>
        <scheme val="minor"/>
      </rPr>
      <t xml:space="preserve">
Plat. </t>
    </r>
    <r>
      <rPr>
        <sz val="10"/>
        <color theme="1"/>
        <rFont val="Calibri"/>
        <family val="2"/>
        <scheme val="minor"/>
      </rPr>
      <t>4068,4151,4095,4120,4159,4162,4003,4137,4001,4048,4064,4049,4071</t>
    </r>
  </si>
  <si>
    <r>
      <t xml:space="preserve">Loc. </t>
    </r>
    <r>
      <rPr>
        <sz val="10"/>
        <color theme="1"/>
        <rFont val="Calibri"/>
        <family val="2"/>
        <scheme val="minor"/>
      </rPr>
      <t>1012-1044</t>
    </r>
    <r>
      <rPr>
        <b/>
        <sz val="10"/>
        <color theme="1"/>
        <rFont val="Calibri"/>
        <family val="2"/>
        <scheme val="minor"/>
      </rPr>
      <t xml:space="preserve">
Tolv. </t>
    </r>
    <r>
      <rPr>
        <sz val="10"/>
        <color theme="1"/>
        <rFont val="Calibri"/>
        <family val="2"/>
        <scheme val="minor"/>
      </rPr>
      <t>4162,4124,4087,4100,4048,4064,4003,4137,4001,4146,4060,4071</t>
    </r>
  </si>
  <si>
    <r>
      <t xml:space="preserve">
Loc. </t>
    </r>
    <r>
      <rPr>
        <sz val="10"/>
        <color theme="1"/>
        <rFont val="Calibri"/>
        <family val="2"/>
        <scheme val="minor"/>
      </rPr>
      <t>1044-1001</t>
    </r>
    <r>
      <rPr>
        <b/>
        <sz val="10"/>
        <color theme="1"/>
        <rFont val="Calibri"/>
        <family val="2"/>
        <scheme val="minor"/>
      </rPr>
      <t xml:space="preserve">
Plat.</t>
    </r>
    <r>
      <rPr>
        <sz val="10"/>
        <color theme="1"/>
        <rFont val="Calibri"/>
        <family val="2"/>
        <scheme val="minor"/>
      </rPr>
      <t xml:space="preserve"> 4001,4048,4064,4049,4159,4162,4104,4007,4002,4069,4124,4120</t>
    </r>
  </si>
  <si>
    <r>
      <t xml:space="preserve">
Loc. </t>
    </r>
    <r>
      <rPr>
        <sz val="10"/>
        <color theme="1"/>
        <rFont val="Calibri"/>
        <family val="2"/>
        <scheme val="minor"/>
      </rPr>
      <t>1044-1001</t>
    </r>
    <r>
      <rPr>
        <b/>
        <sz val="10"/>
        <color theme="1"/>
        <rFont val="Calibri"/>
        <family val="2"/>
        <scheme val="minor"/>
      </rPr>
      <t xml:space="preserve">
Plat. </t>
    </r>
    <r>
      <rPr>
        <sz val="10"/>
        <color theme="1"/>
        <rFont val="Calibri"/>
        <family val="2"/>
        <scheme val="minor"/>
      </rPr>
      <t>4104,4007,4002,4069,4003,4137,4159,4162,4071,4068,4151,4098</t>
    </r>
  </si>
  <si>
    <t>FECHA</t>
  </si>
  <si>
    <t>VALOR</t>
  </si>
  <si>
    <t>OBSERVACIONES</t>
  </si>
  <si>
    <t>DEUDA ANI A AGOSTO 30</t>
  </si>
  <si>
    <t>GIRO SEPT. 5</t>
  </si>
  <si>
    <t>PAGO</t>
  </si>
  <si>
    <t>TOTAL, DEUDA A SEPT. 30</t>
  </si>
  <si>
    <t>ARRIENDOS SEPTIEMBRE</t>
  </si>
  <si>
    <t>PROYECCIÓN</t>
  </si>
  <si>
    <t>PAGO OCTUBRE (Ingresos sept.)</t>
  </si>
  <si>
    <t>SALDO POR PAGAR</t>
  </si>
  <si>
    <t>ARRIENDOS OCTUBRE</t>
  </si>
  <si>
    <t>TOTAL, DEUDA A OCT. 30</t>
  </si>
  <si>
    <t>PAGO NOV. (Ingresos Octubre)</t>
  </si>
  <si>
    <t>FALTANTE PARA PAGO DEUDA</t>
  </si>
  <si>
    <t>ESTADO DE CUENTA ANI A SEPTIEBRE 2025</t>
  </si>
  <si>
    <t>AGOSTO</t>
  </si>
  <si>
    <t>GIRO INICIOS DE OCTUBRE</t>
  </si>
  <si>
    <t>PENDIENTE</t>
  </si>
  <si>
    <t>FACTURAS DE ARRIENDO, MATERIAL RODANTE Y USO DE VIA SEPTIEMBRE</t>
  </si>
  <si>
    <r>
      <t xml:space="preserve">
</t>
    </r>
    <r>
      <rPr>
        <b/>
        <sz val="10"/>
        <color theme="1"/>
        <rFont val="Calibri"/>
        <family val="2"/>
        <scheme val="minor"/>
      </rPr>
      <t>Loc.</t>
    </r>
    <r>
      <rPr>
        <sz val="10"/>
        <color theme="1"/>
        <rFont val="Calibri"/>
        <family val="2"/>
        <scheme val="minor"/>
      </rPr>
      <t xml:space="preserve"> 1044
</t>
    </r>
    <r>
      <rPr>
        <b/>
        <sz val="10"/>
        <color theme="1"/>
        <rFont val="Calibri"/>
        <family val="2"/>
        <scheme val="minor"/>
      </rPr>
      <t>Tolv</t>
    </r>
    <r>
      <rPr>
        <sz val="10"/>
        <color theme="1"/>
        <rFont val="Calibri"/>
        <family val="2"/>
        <scheme val="minor"/>
      </rPr>
      <t>. 71313,72191,72101,72174,72163</t>
    </r>
  </si>
  <si>
    <t>T1-49</t>
  </si>
  <si>
    <t>T1-50</t>
  </si>
  <si>
    <t>T1-51</t>
  </si>
  <si>
    <t xml:space="preserve">  T1-52</t>
  </si>
  <si>
    <t>T1-53</t>
  </si>
  <si>
    <t>T1-54</t>
  </si>
  <si>
    <t>T1-55</t>
  </si>
  <si>
    <t>REMISION ARGOS RPSM- 00338473  T1-235</t>
  </si>
  <si>
    <t>REMISION ARGOS RPSM- 00338643  T1-236</t>
  </si>
  <si>
    <t>REMISION ARGOS RPSM- 00338764  T1-237</t>
  </si>
  <si>
    <t>REMISION ARGOS RPSM- 00338830  T1-238</t>
  </si>
  <si>
    <t>REMISION ARGOS RPSM- 00339210  T1-239</t>
  </si>
  <si>
    <t>REMISION ARGOS RPSM- 00339450  T1-240</t>
  </si>
  <si>
    <t>REMISION ARGOS RPSM- 00339608  T1-241</t>
  </si>
  <si>
    <t>Este transporte se efectuó sin compensación. En consecuencia, se abona a la Agencia Nacional de Infraestructura el equivalente dos dias de alquiler de locomotora y plataformas.</t>
  </si>
  <si>
    <r>
      <rPr>
        <b/>
        <sz val="10"/>
        <color theme="1"/>
        <rFont val="Calibri"/>
        <family val="2"/>
        <scheme val="minor"/>
      </rPr>
      <t>Loc.</t>
    </r>
    <r>
      <rPr>
        <sz val="10"/>
        <color theme="1"/>
        <rFont val="Calibri"/>
        <family val="2"/>
        <scheme val="minor"/>
      </rPr>
      <t xml:space="preserve"> 1044-1001
</t>
    </r>
    <r>
      <rPr>
        <b/>
        <sz val="10"/>
        <color theme="1"/>
        <rFont val="Calibri"/>
        <family val="2"/>
        <scheme val="minor"/>
      </rPr>
      <t>Plat.</t>
    </r>
    <r>
      <rPr>
        <sz val="10"/>
        <color theme="1"/>
        <rFont val="Calibri"/>
        <family val="2"/>
        <scheme val="minor"/>
      </rPr>
      <t xml:space="preserve"> 4159,4162,4071,4069,4003,4137,4120,4001,4048,4064,4049,4124</t>
    </r>
  </si>
  <si>
    <t>REMISION ARGOS RPSM- 00340            T1-242</t>
  </si>
  <si>
    <t>Granel</t>
  </si>
  <si>
    <t>Estibado</t>
  </si>
  <si>
    <t>OC029</t>
  </si>
  <si>
    <t>T1-57</t>
  </si>
  <si>
    <t>T1-61</t>
  </si>
  <si>
    <t>T1-62</t>
  </si>
  <si>
    <t>T1-64</t>
  </si>
  <si>
    <t>T1-65</t>
  </si>
  <si>
    <t>T1-66</t>
  </si>
  <si>
    <r>
      <t xml:space="preserve">En constancia, este informe se firma a los </t>
    </r>
    <r>
      <rPr>
        <sz val="10"/>
        <rFont val="Calibri"/>
        <family val="2"/>
        <scheme val="minor"/>
      </rPr>
      <t>_2</t>
    </r>
    <r>
      <rPr>
        <sz val="10"/>
        <color theme="1"/>
        <rFont val="Calibri"/>
        <family val="2"/>
        <scheme val="minor"/>
      </rPr>
      <t>_ días del mes _noviembre_ de 2025</t>
    </r>
  </si>
  <si>
    <t>T1 73</t>
  </si>
  <si>
    <t xml:space="preserve">
Loc. 1044
Tolv. 71313,72191,71331,72101,72174,72163</t>
  </si>
  <si>
    <t xml:space="preserve">
Loc. 1012
Tolv. 71313,72191,71331,72101,72174,72163</t>
  </si>
  <si>
    <t>Loc. 1012
Tolv. 71313,72191,71331,72101,72174,72163</t>
  </si>
  <si>
    <t>T1-59 Y T1-59B</t>
  </si>
  <si>
    <t>T1-60 Y T1-60B</t>
  </si>
  <si>
    <t>Loc. 1012
Tolv. ,71331,72101, 72174,71313</t>
  </si>
  <si>
    <t>Loc. 1012
Tolv. ,71331,72101, 72174,71314</t>
  </si>
  <si>
    <t>Loc. 1044
Tolv. ,71331,72101, 72174,71314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</si>
</sst>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dd/mm/yy;@"/>
    <numFmt numFmtId="165" formatCode="&quot;$&quot;\ #,##0"/>
    <numFmt numFmtId="166" formatCode="&quot;$&quot;\ #,##0.00\ &quot;/ton-Km&quot;"/>
    <numFmt numFmtId="167" formatCode="0.0\ &quot;gal/Km&quot;"/>
    <numFmt numFmtId="168" formatCode="0\ &quot;Km&quot;"/>
    <numFmt numFmtId="169" formatCode="_-&quot;$&quot;\ * #,##0_-;\-&quot;$&quot;\ * #,##0_-;_-&quot;$&quot;\ * &quot;-&quot;??_-;_-@_-"/>
    <numFmt numFmtId="170" formatCode="&quot;$&quot;\ #,##0\ &quot;/Gal&quot;"/>
    <numFmt numFmtId="171" formatCode="0.0\ &quot;Gal&quot;"/>
    <numFmt numFmtId="172" formatCode="#,##0.000"/>
    <numFmt numFmtId="173" formatCode="0.0"/>
    <numFmt numFmtId="174" formatCode="#,##0.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0000"/>
      </patternFill>
    </fill>
    <fill>
      <patternFill patternType="solid">
        <fgColor rgb="FFD4ECF8"/>
        <bgColor indexed="64"/>
      </patternFill>
    </fill>
    <fill>
      <patternFill patternType="solid">
        <fgColor rgb="FFD4ECF8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rgb="FF3F3F3F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9" fillId="6" borderId="14" applyNumberFormat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</cellStyleXfs>
  <cellXfs count="2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5" fontId="4" fillId="0" borderId="1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12" xfId="0" applyNumberFormat="1" applyFont="1" applyBorder="1" applyAlignment="1">
      <alignment vertical="center"/>
    </xf>
    <xf numFmtId="3" fontId="4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69" fontId="4" fillId="0" borderId="12" xfId="1" applyNumberFormat="1" applyFont="1" applyBorder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9" fontId="4" fillId="0" borderId="12" xfId="2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70" fontId="4" fillId="0" borderId="12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2" fontId="4" fillId="0" borderId="12" xfId="0" applyNumberFormat="1" applyFont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168" fontId="4" fillId="9" borderId="12" xfId="0" applyNumberFormat="1" applyFont="1" applyFill="1" applyBorder="1" applyAlignment="1">
      <alignment horizontal="center" vertical="center"/>
    </xf>
    <xf numFmtId="171" fontId="4" fillId="9" borderId="12" xfId="0" applyNumberFormat="1" applyFont="1" applyFill="1" applyBorder="1" applyAlignment="1">
      <alignment horizontal="center" vertical="center"/>
    </xf>
    <xf numFmtId="165" fontId="4" fillId="9" borderId="12" xfId="0" applyNumberFormat="1" applyFont="1" applyFill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164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173" fontId="3" fillId="3" borderId="18" xfId="0" applyNumberFormat="1" applyFont="1" applyFill="1" applyBorder="1" applyAlignment="1">
      <alignment horizontal="center" vertical="center"/>
    </xf>
    <xf numFmtId="3" fontId="3" fillId="3" borderId="17" xfId="0" applyNumberFormat="1" applyFont="1" applyFill="1" applyBorder="1" applyAlignment="1">
      <alignment horizontal="center" vertical="center"/>
    </xf>
    <xf numFmtId="3" fontId="3" fillId="3" borderId="18" xfId="0" applyNumberFormat="1" applyFont="1" applyFill="1" applyBorder="1" applyAlignment="1">
      <alignment horizontal="center" vertical="center"/>
    </xf>
    <xf numFmtId="4" fontId="0" fillId="11" borderId="17" xfId="0" applyNumberFormat="1" applyFill="1" applyBorder="1" applyAlignment="1">
      <alignment horizontal="center" vertical="center"/>
    </xf>
    <xf numFmtId="173" fontId="4" fillId="0" borderId="0" xfId="0" applyNumberFormat="1" applyFont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165" fontId="4" fillId="0" borderId="12" xfId="1" applyNumberFormat="1" applyFont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3" fontId="4" fillId="9" borderId="0" xfId="0" applyNumberFormat="1" applyFont="1" applyFill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165" fontId="4" fillId="9" borderId="0" xfId="1" applyNumberFormat="1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/>
    </xf>
    <xf numFmtId="4" fontId="19" fillId="0" borderId="12" xfId="0" applyNumberFormat="1" applyFont="1" applyBorder="1" applyAlignment="1">
      <alignment horizontal="center" vertical="center"/>
    </xf>
    <xf numFmtId="174" fontId="3" fillId="3" borderId="7" xfId="0" applyNumberFormat="1" applyFont="1" applyFill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2" xfId="0" applyFont="1" applyBorder="1" applyAlignment="1">
      <alignment vertical="center"/>
    </xf>
    <xf numFmtId="0" fontId="2" fillId="9" borderId="12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9" borderId="12" xfId="0" applyFont="1" applyFill="1" applyBorder="1" applyAlignment="1">
      <alignment vertical="center"/>
    </xf>
    <xf numFmtId="14" fontId="19" fillId="9" borderId="12" xfId="0" applyNumberFormat="1" applyFont="1" applyFill="1" applyBorder="1" applyAlignment="1">
      <alignment horizontal="center"/>
    </xf>
    <xf numFmtId="14" fontId="19" fillId="13" borderId="12" xfId="0" applyNumberFormat="1" applyFont="1" applyFill="1" applyBorder="1" applyAlignment="1">
      <alignment horizontal="center"/>
    </xf>
    <xf numFmtId="0" fontId="19" fillId="13" borderId="12" xfId="0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/>
    </xf>
    <xf numFmtId="0" fontId="19" fillId="9" borderId="12" xfId="0" applyFont="1" applyFill="1" applyBorder="1" applyAlignment="1">
      <alignment horizontal="center"/>
    </xf>
    <xf numFmtId="0" fontId="19" fillId="14" borderId="12" xfId="0" applyFont="1" applyFill="1" applyBorder="1" applyAlignment="1">
      <alignment horizontal="center" vertical="center"/>
    </xf>
    <xf numFmtId="169" fontId="4" fillId="0" borderId="21" xfId="1" applyNumberFormat="1" applyFont="1" applyBorder="1" applyAlignment="1">
      <alignment vertical="center"/>
    </xf>
    <xf numFmtId="0" fontId="4" fillId="9" borderId="21" xfId="0" applyFont="1" applyFill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169" fontId="4" fillId="0" borderId="12" xfId="1" applyNumberFormat="1" applyFont="1" applyBorder="1" applyAlignment="1">
      <alignment vertical="center"/>
    </xf>
    <xf numFmtId="171" fontId="4" fillId="9" borderId="21" xfId="0" applyNumberFormat="1" applyFont="1" applyFill="1" applyBorder="1" applyAlignment="1">
      <alignment horizontal="center" vertical="center"/>
    </xf>
    <xf numFmtId="165" fontId="4" fillId="9" borderId="21" xfId="0" applyNumberFormat="1" applyFont="1" applyFill="1" applyBorder="1" applyAlignment="1">
      <alignment horizontal="center" vertical="center"/>
    </xf>
    <xf numFmtId="165" fontId="4" fillId="0" borderId="21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 wrapText="1"/>
    </xf>
    <xf numFmtId="165" fontId="4" fillId="0" borderId="24" xfId="1" applyNumberFormat="1" applyFont="1" applyBorder="1" applyAlignment="1">
      <alignment horizontal="center" vertical="center"/>
    </xf>
    <xf numFmtId="44" fontId="4" fillId="0" borderId="12" xfId="1" applyFont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169" fontId="4" fillId="0" borderId="21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9" fontId="0" fillId="0" borderId="12" xfId="1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9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9" fontId="0" fillId="0" borderId="36" xfId="1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165" fontId="4" fillId="0" borderId="21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9" borderId="23" xfId="0" applyFont="1" applyFill="1" applyBorder="1" applyAlignment="1">
      <alignment horizontal="left" vertical="center" wrapText="1"/>
    </xf>
    <xf numFmtId="0" fontId="3" fillId="9" borderId="15" xfId="0" applyFont="1" applyFill="1" applyBorder="1" applyAlignment="1">
      <alignment horizontal="left" vertical="center" wrapText="1"/>
    </xf>
    <xf numFmtId="0" fontId="3" fillId="9" borderId="24" xfId="0" applyFont="1" applyFill="1" applyBorder="1" applyAlignment="1">
      <alignment horizontal="left" vertical="center" wrapText="1"/>
    </xf>
    <xf numFmtId="0" fontId="4" fillId="9" borderId="21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169" fontId="4" fillId="0" borderId="21" xfId="1" applyNumberFormat="1" applyFont="1" applyBorder="1" applyAlignment="1">
      <alignment horizontal="center" vertical="center"/>
    </xf>
    <xf numFmtId="169" fontId="4" fillId="0" borderId="7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1" fillId="6" borderId="14" xfId="3" applyNumberFormat="1" applyFont="1" applyAlignment="1">
      <alignment horizontal="center" vertical="center" wrapText="1"/>
    </xf>
    <xf numFmtId="167" fontId="4" fillId="0" borderId="19" xfId="0" applyNumberFormat="1" applyFont="1" applyBorder="1" applyAlignment="1">
      <alignment horizontal="center" vertical="center" wrapText="1"/>
    </xf>
    <xf numFmtId="167" fontId="4" fillId="0" borderId="2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9" borderId="12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/>
    </xf>
    <xf numFmtId="169" fontId="4" fillId="0" borderId="22" xfId="1" applyNumberFormat="1" applyFont="1" applyBorder="1" applyAlignment="1">
      <alignment horizontal="center" vertical="center"/>
    </xf>
    <xf numFmtId="166" fontId="21" fillId="9" borderId="0" xfId="3" applyNumberFormat="1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4" fillId="0" borderId="0" xfId="2" applyFont="1" applyBorder="1" applyAlignment="1">
      <alignment horizontal="center" vertical="center"/>
    </xf>
    <xf numFmtId="0" fontId="5" fillId="8" borderId="12" xfId="5" applyFont="1" applyBorder="1" applyAlignment="1">
      <alignment horizontal="center" vertical="center"/>
    </xf>
    <xf numFmtId="0" fontId="5" fillId="7" borderId="12" xfId="4" applyFont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165" fontId="4" fillId="0" borderId="22" xfId="1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14" fillId="10" borderId="0" xfId="0" applyFont="1" applyFill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4" fontId="25" fillId="0" borderId="12" xfId="0" applyNumberFormat="1" applyFont="1" applyBorder="1" applyAlignment="1">
      <alignment horizontal="center" vertical="center"/>
    </xf>
    <xf numFmtId="0" fontId="19" fillId="16" borderId="12" xfId="0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/>
    </xf>
    <xf numFmtId="14" fontId="19" fillId="13" borderId="12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169" fontId="4" fillId="0" borderId="12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1" fillId="13" borderId="12" xfId="0" applyNumberFormat="1" applyFont="1" applyFill="1" applyBorder="1" applyAlignment="1">
      <alignment horizontal="center"/>
    </xf>
    <xf numFmtId="0" fontId="1" fillId="16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164" fontId="4" fillId="15" borderId="12" xfId="0" applyNumberFormat="1" applyFont="1" applyFill="1" applyBorder="1" applyAlignment="1">
      <alignment horizontal="center" vertical="center"/>
    </xf>
  </cellXfs>
  <cellStyles count="6">
    <cellStyle name="Celda de comprobación" xfId="3" builtinId="23"/>
    <cellStyle name="Énfasis2" xfId="4" builtinId="33"/>
    <cellStyle name="Énfasis6" xfId="5" builtinId="49"/>
    <cellStyle name="Moneda" xfId="1" builtinId="4"/>
    <cellStyle name="Normal" xfId="0" builtinId="0"/>
    <cellStyle name="Porcentaje" xfId="2" builtinId="5"/>
  </cellStyles>
  <dxfs count="5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69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Toneladas Transportadas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Hoja1!$C$4:$D$12</c:f>
              <c:multiLvlStrCache>
                <c:ptCount val="9"/>
                <c:lvl>
                  <c:pt idx="0">
                    <c:v>Cemento</c:v>
                  </c:pt>
                  <c:pt idx="1">
                    <c:v>Cemento</c:v>
                  </c:pt>
                  <c:pt idx="2">
                    <c:v>Cemento</c:v>
                  </c:pt>
                  <c:pt idx="3">
                    <c:v>Cemento</c:v>
                  </c:pt>
                  <c:pt idx="4">
                    <c:v>Cemento</c:v>
                  </c:pt>
                  <c:pt idx="5">
                    <c:v>Subbases</c:v>
                  </c:pt>
                  <c:pt idx="6">
                    <c:v>Cemento</c:v>
                  </c:pt>
                  <c:pt idx="7">
                    <c:v>Cemento</c:v>
                  </c:pt>
                  <c:pt idx="8">
                    <c:v>Cemento</c:v>
                  </c:pt>
                </c:lvl>
                <c:lvl>
                  <c:pt idx="0">
                    <c:v>Cementos Argos</c:v>
                  </c:pt>
                  <c:pt idx="1">
                    <c:v>Cementos Argos</c:v>
                  </c:pt>
                  <c:pt idx="2">
                    <c:v>Cementos Argos</c:v>
                  </c:pt>
                  <c:pt idx="3">
                    <c:v>Cementos Argos</c:v>
                  </c:pt>
                  <c:pt idx="4">
                    <c:v>Cementos Argos</c:v>
                  </c:pt>
                  <c:pt idx="5">
                    <c:v>Rapsa</c:v>
                  </c:pt>
                  <c:pt idx="6">
                    <c:v>Cementos Argos</c:v>
                  </c:pt>
                  <c:pt idx="7">
                    <c:v>Cementos Argos</c:v>
                  </c:pt>
                  <c:pt idx="8">
                    <c:v>Cementos Argos</c:v>
                  </c:pt>
                </c:lvl>
              </c:multiLvlStrCache>
            </c:multiLvlStrRef>
          </c:cat>
          <c:val>
            <c:numRef>
              <c:f>Hoja1!$E$4:$E$12</c:f>
              <c:numCache>
                <c:formatCode>General</c:formatCode>
                <c:ptCount val="9"/>
                <c:pt idx="0">
                  <c:v>388</c:v>
                </c:pt>
                <c:pt idx="1">
                  <c:v>390.78</c:v>
                </c:pt>
                <c:pt idx="2">
                  <c:v>389.55</c:v>
                </c:pt>
                <c:pt idx="3">
                  <c:v>389.55</c:v>
                </c:pt>
                <c:pt idx="4">
                  <c:v>387.1</c:v>
                </c:pt>
                <c:pt idx="5">
                  <c:v>300.8</c:v>
                </c:pt>
                <c:pt idx="6">
                  <c:v>389.55</c:v>
                </c:pt>
                <c:pt idx="7">
                  <c:v>388.32499999999999</c:v>
                </c:pt>
                <c:pt idx="8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2-4068-BAED-892F679D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728639"/>
        <c:axId val="544504063"/>
      </c:barChart>
      <c:catAx>
        <c:axId val="5507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504063"/>
        <c:crosses val="autoZero"/>
        <c:auto val="1"/>
        <c:lblAlgn val="ctr"/>
        <c:lblOffset val="100"/>
        <c:noMultiLvlLbl val="0"/>
      </c:catAx>
      <c:valAx>
        <c:axId val="5445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0728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587268</xdr:colOff>
      <xdr:row>1</xdr:row>
      <xdr:rowOff>287470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268" cy="477970"/>
        </a:xfrm>
        <a:prstGeom prst="rect">
          <a:avLst/>
        </a:prstGeom>
      </xdr:spPr>
    </xdr:pic>
    <xdr:clientData/>
  </xdr:twoCellAnchor>
  <xdr:oneCellAnchor>
    <xdr:from>
      <xdr:col>20</xdr:col>
      <xdr:colOff>733425</xdr:colOff>
      <xdr:row>81</xdr:row>
      <xdr:rowOff>361950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43D538D-67E4-4EED-379F-D1D136D5A929}"/>
            </a:ext>
          </a:extLst>
        </xdr:cNvPr>
        <xdr:cNvSpPr txBox="1"/>
      </xdr:nvSpPr>
      <xdr:spPr>
        <a:xfrm>
          <a:off x="20554950" y="666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82</xdr:row>
      <xdr:rowOff>361950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533D7D3-AD37-40DC-86AD-E36145564A4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83</xdr:row>
      <xdr:rowOff>361950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03A3B98-F7B0-4B2D-85B3-F63E9EB37CC6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84</xdr:row>
      <xdr:rowOff>361950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D755961-C930-4CC8-9B86-630F76A0EDC5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85</xdr:row>
      <xdr:rowOff>361950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1DEFD49-470B-4A8A-A716-C34457EDF96F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86</xdr:row>
      <xdr:rowOff>361950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AB0C5D8-21D7-40CA-B01A-EBA3888A993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87</xdr:row>
      <xdr:rowOff>361950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616C3C9-85CE-4E29-A36D-840158FE2124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88</xdr:row>
      <xdr:rowOff>361950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CF0691E8-BADD-403C-8419-34621F27EF0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89</xdr:row>
      <xdr:rowOff>361950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4259FCC-ED7F-4019-A24D-36C958B8C34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90</xdr:row>
      <xdr:rowOff>361950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131689C-1902-4245-9731-68FE37608D7D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91</xdr:row>
      <xdr:rowOff>361950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ACEC3C4-6CD7-423B-A2C0-7D54FD162EEE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92</xdr:row>
      <xdr:rowOff>361950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999D000-81CC-4EBB-839A-CBBBD4C50368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93</xdr:row>
      <xdr:rowOff>361950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4297DFB-A2D1-473D-9008-1761E3DE6A04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94</xdr:row>
      <xdr:rowOff>361950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C890EF2-7863-49FB-8B34-71E9221F269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95</xdr:row>
      <xdr:rowOff>361950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9E0727-C20D-4B20-B2CD-E558F1BDDE7E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96</xdr:row>
      <xdr:rowOff>361950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9F3BF65-5FFA-4843-944B-E7EF7587204C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97</xdr:row>
      <xdr:rowOff>361950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42B04DC-32BC-498B-A62A-CCB787C99858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98</xdr:row>
      <xdr:rowOff>361950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C00267EE-3FBD-4B70-9951-2D14BCB43D8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99</xdr:row>
      <xdr:rowOff>361950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2F1021F7-499B-45B6-9DB2-E46937FFB49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100</xdr:row>
      <xdr:rowOff>361950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10F57F8-7CE7-415E-9D1D-EC6F43FF06E6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101</xdr:row>
      <xdr:rowOff>361950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17E4324-5A9C-4921-AE34-BEA4CBC042D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102</xdr:row>
      <xdr:rowOff>361950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922450E-6740-4072-BA31-7A8076AFAAE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103</xdr:row>
      <xdr:rowOff>361950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F69FC28-5DE7-4C43-837E-CE0E486B8585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104</xdr:row>
      <xdr:rowOff>361950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10FCD966-B112-489A-9883-DE7034F39FF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105</xdr:row>
      <xdr:rowOff>361950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D2D599D-ABE3-46E1-9676-47290B2E61F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106</xdr:row>
      <xdr:rowOff>361950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D5DA3C35-687E-4C20-B40F-74E6C314EC2C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107</xdr:row>
      <xdr:rowOff>361950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C51EA11-0333-4077-B4EC-9FD86348B4ED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108</xdr:row>
      <xdr:rowOff>361950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806E50D-3448-4E7F-965D-C4D87CFCE718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109</xdr:row>
      <xdr:rowOff>361950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9CD80CA3-AE0B-4C77-940C-0EE6CF77018C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110</xdr:row>
      <xdr:rowOff>361950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D718DD8-D108-4C69-B31E-52D7E957674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111</xdr:row>
      <xdr:rowOff>361950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1FFD20E-F6FA-43D6-BFC7-18B46E249DE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112</xdr:row>
      <xdr:rowOff>361950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886E6A0-46C9-4FF4-9003-D50470F1293C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113</xdr:row>
      <xdr:rowOff>361950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63838983-CCF2-4FE3-AA76-73F4F2A7ACA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114</xdr:row>
      <xdr:rowOff>361950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AA97B250-AF99-4A7C-8B8A-A0FB149064FD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115</xdr:row>
      <xdr:rowOff>361950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2AD32D8C-02FB-464C-AC68-0419C4B8C9B2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116</xdr:row>
      <xdr:rowOff>361950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53B66DB-C675-4C7C-B5B9-CF76CC716102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117</xdr:row>
      <xdr:rowOff>361950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1D822E25-9004-4041-8D10-4A9002106CF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118</xdr:row>
      <xdr:rowOff>361950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AC0E815-6C98-46F6-A0FE-4ADBC9897C4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119</xdr:row>
      <xdr:rowOff>361950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8515628C-1DC0-40BD-B1D6-B3E0A52716E3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120</xdr:row>
      <xdr:rowOff>361950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B5F6212-258B-4EBD-91FC-98FF78864F3C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121</xdr:row>
      <xdr:rowOff>361950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2B0069B0-F22C-417A-9089-23CF29A7490F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122</xdr:row>
      <xdr:rowOff>361950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1BBBF4CE-C912-48C1-A987-7A25DA37D242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123</xdr:row>
      <xdr:rowOff>361950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7C930EE5-4C33-46E0-83AD-F4583244FD98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124</xdr:row>
      <xdr:rowOff>361950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B7C9441-8BAE-4A1A-872D-2A50BF405E0A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125</xdr:row>
      <xdr:rowOff>361950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24B2BC52-C574-4830-B775-91221F1ABDF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126</xdr:row>
      <xdr:rowOff>361950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BC9A3216-0612-47C5-AB17-DC145470A883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127</xdr:row>
      <xdr:rowOff>361950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2197944C-286B-4829-9F84-C95121348B3D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128</xdr:row>
      <xdr:rowOff>361950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79079AD7-2EF3-40FF-9C5B-CE4BF789C3A1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129</xdr:row>
      <xdr:rowOff>361950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91B3DC30-D3A2-4A38-BFE2-81E047403F17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130</xdr:row>
      <xdr:rowOff>361950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F3D8C11A-2F0D-4B5F-9264-0CE1749DBE5D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131</xdr:row>
      <xdr:rowOff>361950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5A9B1406-B512-461D-A307-7163D5752B7E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132</xdr:row>
      <xdr:rowOff>361950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D1F8F9DA-0C04-4ED7-9C05-D5F0E55983E9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133</xdr:row>
      <xdr:rowOff>361950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EBB04FAE-34BC-4A80-BE3F-2177E2850545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134</xdr:row>
      <xdr:rowOff>361950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44AC7BB1-68F9-47B6-B531-17FFC131AF89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135</xdr:row>
      <xdr:rowOff>361950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6BD65789-4668-4B0B-B8F9-BD4A90F2FAA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136</xdr:row>
      <xdr:rowOff>361950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20515602-77AD-4006-85A8-14902428A020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137</xdr:row>
      <xdr:rowOff>361950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FF9EFDEA-D430-4FF4-A80D-BAFA0CDF23F9}"/>
            </a:ext>
          </a:extLst>
        </xdr:cNvPr>
        <xdr:cNvSpPr txBox="1"/>
      </xdr:nvSpPr>
      <xdr:spPr>
        <a:xfrm>
          <a:off x="23901468" y="18593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96</xdr:row>
      <xdr:rowOff>361950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41709ADF-F8A1-47C4-B71A-1B2A15FDE51C}"/>
            </a:ext>
          </a:extLst>
        </xdr:cNvPr>
        <xdr:cNvSpPr txBox="1"/>
      </xdr:nvSpPr>
      <xdr:spPr>
        <a:xfrm>
          <a:off x="23905152" y="392932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97</xdr:row>
      <xdr:rowOff>361950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C5706733-987F-49BF-A26A-96A7C6608BD7}"/>
            </a:ext>
          </a:extLst>
        </xdr:cNvPr>
        <xdr:cNvSpPr txBox="1"/>
      </xdr:nvSpPr>
      <xdr:spPr>
        <a:xfrm>
          <a:off x="23905152" y="40695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98</xdr:row>
      <xdr:rowOff>361950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C0C9ED24-5983-4F6A-BE66-7DC814522711}"/>
            </a:ext>
          </a:extLst>
        </xdr:cNvPr>
        <xdr:cNvSpPr txBox="1"/>
      </xdr:nvSpPr>
      <xdr:spPr>
        <a:xfrm>
          <a:off x="23905152" y="420987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99</xdr:row>
      <xdr:rowOff>361950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CDD6CE62-D59F-42EA-A7B4-5C58BAA6FAD8}"/>
            </a:ext>
          </a:extLst>
        </xdr:cNvPr>
        <xdr:cNvSpPr txBox="1"/>
      </xdr:nvSpPr>
      <xdr:spPr>
        <a:xfrm>
          <a:off x="23905152" y="435015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100</xdr:row>
      <xdr:rowOff>361950</xdr:rowOff>
    </xdr:from>
    <xdr:ext cx="184731" cy="264560"/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A2C64D8D-FDD2-4518-87B4-8291C1BD7ACA}"/>
            </a:ext>
          </a:extLst>
        </xdr:cNvPr>
        <xdr:cNvSpPr txBox="1"/>
      </xdr:nvSpPr>
      <xdr:spPr>
        <a:xfrm>
          <a:off x="23905152" y="449043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101</xdr:row>
      <xdr:rowOff>361950</xdr:rowOff>
    </xdr:from>
    <xdr:ext cx="184731" cy="264560"/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18925F2C-C2A9-497E-8086-D67F11A0E97E}"/>
            </a:ext>
          </a:extLst>
        </xdr:cNvPr>
        <xdr:cNvSpPr txBox="1"/>
      </xdr:nvSpPr>
      <xdr:spPr>
        <a:xfrm>
          <a:off x="23905152" y="46307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102</xdr:row>
      <xdr:rowOff>361950</xdr:rowOff>
    </xdr:from>
    <xdr:ext cx="184731" cy="264560"/>
    <xdr:sp macro="" textlink="">
      <xdr:nvSpPr>
        <xdr:cNvPr id="1097" name="CuadroTexto 1096">
          <a:extLst>
            <a:ext uri="{FF2B5EF4-FFF2-40B4-BE49-F238E27FC236}">
              <a16:creationId xmlns:a16="http://schemas.microsoft.com/office/drawing/2014/main" id="{533B3A76-E9C1-452D-8347-10F73D6F3A8E}"/>
            </a:ext>
          </a:extLst>
        </xdr:cNvPr>
        <xdr:cNvSpPr txBox="1"/>
      </xdr:nvSpPr>
      <xdr:spPr>
        <a:xfrm>
          <a:off x="23905152" y="477098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21</xdr:col>
      <xdr:colOff>733425</xdr:colOff>
      <xdr:row>103</xdr:row>
      <xdr:rowOff>361950</xdr:rowOff>
    </xdr:from>
    <xdr:ext cx="184731" cy="264560"/>
    <xdr:sp macro="" textlink="">
      <xdr:nvSpPr>
        <xdr:cNvPr id="1098" name="CuadroTexto 1097">
          <a:extLst>
            <a:ext uri="{FF2B5EF4-FFF2-40B4-BE49-F238E27FC236}">
              <a16:creationId xmlns:a16="http://schemas.microsoft.com/office/drawing/2014/main" id="{2578175D-9981-4DA5-9621-C6D4C3B7C6E3}"/>
            </a:ext>
          </a:extLst>
        </xdr:cNvPr>
        <xdr:cNvSpPr txBox="1"/>
      </xdr:nvSpPr>
      <xdr:spPr>
        <a:xfrm>
          <a:off x="23905152" y="491126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137</xdr:row>
      <xdr:rowOff>361950</xdr:rowOff>
    </xdr:from>
    <xdr:ext cx="184731" cy="264560"/>
    <xdr:sp macro="" textlink="">
      <xdr:nvSpPr>
        <xdr:cNvPr id="1102" name="CuadroTexto 1101">
          <a:extLst>
            <a:ext uri="{FF2B5EF4-FFF2-40B4-BE49-F238E27FC236}">
              <a16:creationId xmlns:a16="http://schemas.microsoft.com/office/drawing/2014/main" id="{3C5EA5E6-FC3F-4FD1-B8A8-6BFF00A4DDEA}"/>
            </a:ext>
          </a:extLst>
        </xdr:cNvPr>
        <xdr:cNvSpPr txBox="1"/>
      </xdr:nvSpPr>
      <xdr:spPr>
        <a:xfrm>
          <a:off x="23886502" y="45127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138</xdr:row>
      <xdr:rowOff>361950</xdr:rowOff>
    </xdr:from>
    <xdr:ext cx="184731" cy="264560"/>
    <xdr:sp macro="" textlink="">
      <xdr:nvSpPr>
        <xdr:cNvPr id="1103" name="CuadroTexto 1102">
          <a:extLst>
            <a:ext uri="{FF2B5EF4-FFF2-40B4-BE49-F238E27FC236}">
              <a16:creationId xmlns:a16="http://schemas.microsoft.com/office/drawing/2014/main" id="{B1CA8A2C-879B-4C6F-84EA-7656865EF5F8}"/>
            </a:ext>
          </a:extLst>
        </xdr:cNvPr>
        <xdr:cNvSpPr txBox="1"/>
      </xdr:nvSpPr>
      <xdr:spPr>
        <a:xfrm>
          <a:off x="23886502" y="45621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20</xdr:col>
      <xdr:colOff>733425</xdr:colOff>
      <xdr:row>139</xdr:row>
      <xdr:rowOff>361950</xdr:rowOff>
    </xdr:from>
    <xdr:ext cx="184731" cy="264560"/>
    <xdr:sp macro="" textlink="">
      <xdr:nvSpPr>
        <xdr:cNvPr id="1104" name="CuadroTexto 1103">
          <a:extLst>
            <a:ext uri="{FF2B5EF4-FFF2-40B4-BE49-F238E27FC236}">
              <a16:creationId xmlns:a16="http://schemas.microsoft.com/office/drawing/2014/main" id="{38A5D4E2-171A-4DBC-9E70-F55D6D57E9F8}"/>
            </a:ext>
          </a:extLst>
        </xdr:cNvPr>
        <xdr:cNvSpPr txBox="1"/>
      </xdr:nvSpPr>
      <xdr:spPr>
        <a:xfrm>
          <a:off x="23886502" y="461154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587268</xdr:colOff>
      <xdr:row>1</xdr:row>
      <xdr:rowOff>287470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F6663C-3754-453A-945E-A3E342CB1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268" cy="477970"/>
        </a:xfrm>
        <a:prstGeom prst="rect">
          <a:avLst/>
        </a:prstGeom>
      </xdr:spPr>
    </xdr:pic>
    <xdr:clientData/>
  </xdr:twoCellAnchor>
  <xdr:oneCellAnchor>
    <xdr:from>
      <xdr:col>20</xdr:col>
      <xdr:colOff>733425</xdr:colOff>
      <xdr:row>30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685742-1158-459A-AF32-CF850927DC1E}"/>
            </a:ext>
          </a:extLst>
        </xdr:cNvPr>
        <xdr:cNvSpPr txBox="1"/>
      </xdr:nvSpPr>
      <xdr:spPr>
        <a:xfrm>
          <a:off x="23898225" y="97116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312420</xdr:colOff>
          <xdr:row>30</xdr:row>
          <xdr:rowOff>464820</xdr:rowOff>
        </xdr:from>
        <xdr:to>
          <xdr:col>20</xdr:col>
          <xdr:colOff>3474720</xdr:colOff>
          <xdr:row>30</xdr:row>
          <xdr:rowOff>982980</xdr:rowOff>
        </xdr:to>
        <xdr:sp macro="" textlink="">
          <xdr:nvSpPr>
            <xdr:cNvPr id="7176" name="Object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1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175260</xdr:colOff>
          <xdr:row>31</xdr:row>
          <xdr:rowOff>716280</xdr:rowOff>
        </xdr:from>
        <xdr:to>
          <xdr:col>20</xdr:col>
          <xdr:colOff>3543300</xdr:colOff>
          <xdr:row>31</xdr:row>
          <xdr:rowOff>1234440</xdr:rowOff>
        </xdr:to>
        <xdr:sp macro="" textlink="">
          <xdr:nvSpPr>
            <xdr:cNvPr id="7177" name="Object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1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198120</xdr:colOff>
          <xdr:row>33</xdr:row>
          <xdr:rowOff>701040</xdr:rowOff>
        </xdr:from>
        <xdr:to>
          <xdr:col>20</xdr:col>
          <xdr:colOff>3566160</xdr:colOff>
          <xdr:row>33</xdr:row>
          <xdr:rowOff>1219200</xdr:rowOff>
        </xdr:to>
        <xdr:sp macro="" textlink="">
          <xdr:nvSpPr>
            <xdr:cNvPr id="7178" name="Object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220980</xdr:colOff>
          <xdr:row>32</xdr:row>
          <xdr:rowOff>754380</xdr:rowOff>
        </xdr:from>
        <xdr:to>
          <xdr:col>20</xdr:col>
          <xdr:colOff>3589020</xdr:colOff>
          <xdr:row>32</xdr:row>
          <xdr:rowOff>1272540</xdr:rowOff>
        </xdr:to>
        <xdr:sp macro="" textlink="">
          <xdr:nvSpPr>
            <xdr:cNvPr id="7179" name="Object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259080</xdr:colOff>
          <xdr:row>34</xdr:row>
          <xdr:rowOff>784860</xdr:rowOff>
        </xdr:from>
        <xdr:to>
          <xdr:col>20</xdr:col>
          <xdr:colOff>3535680</xdr:colOff>
          <xdr:row>34</xdr:row>
          <xdr:rowOff>1303020</xdr:rowOff>
        </xdr:to>
        <xdr:sp macro="" textlink="">
          <xdr:nvSpPr>
            <xdr:cNvPr id="7180" name="Object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320040</xdr:colOff>
          <xdr:row>35</xdr:row>
          <xdr:rowOff>609600</xdr:rowOff>
        </xdr:from>
        <xdr:to>
          <xdr:col>20</xdr:col>
          <xdr:colOff>3482340</xdr:colOff>
          <xdr:row>35</xdr:row>
          <xdr:rowOff>1127760</xdr:rowOff>
        </xdr:to>
        <xdr:sp macro="" textlink="">
          <xdr:nvSpPr>
            <xdr:cNvPr id="7181" name="Object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1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327660</xdr:colOff>
          <xdr:row>36</xdr:row>
          <xdr:rowOff>822960</xdr:rowOff>
        </xdr:from>
        <xdr:to>
          <xdr:col>20</xdr:col>
          <xdr:colOff>3489960</xdr:colOff>
          <xdr:row>36</xdr:row>
          <xdr:rowOff>1341120</xdr:rowOff>
        </xdr:to>
        <xdr:sp macro="" textlink="">
          <xdr:nvSpPr>
            <xdr:cNvPr id="7182" name="Object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1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670560</xdr:colOff>
          <xdr:row>37</xdr:row>
          <xdr:rowOff>251460</xdr:rowOff>
        </xdr:from>
        <xdr:to>
          <xdr:col>20</xdr:col>
          <xdr:colOff>3208020</xdr:colOff>
          <xdr:row>37</xdr:row>
          <xdr:rowOff>769620</xdr:rowOff>
        </xdr:to>
        <xdr:sp macro="" textlink="">
          <xdr:nvSpPr>
            <xdr:cNvPr id="7183" name="Object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1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587268</xdr:colOff>
      <xdr:row>1</xdr:row>
      <xdr:rowOff>287470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52E20D-D89A-4D22-B590-55E2D950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268" cy="477970"/>
        </a:xfrm>
        <a:prstGeom prst="rect">
          <a:avLst/>
        </a:prstGeom>
      </xdr:spPr>
    </xdr:pic>
    <xdr:clientData/>
  </xdr:twoCellAnchor>
  <xdr:oneCellAnchor>
    <xdr:from>
      <xdr:col>20</xdr:col>
      <xdr:colOff>733425</xdr:colOff>
      <xdr:row>33</xdr:row>
      <xdr:rowOff>361950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16367C8-DC4C-42A7-95F0-88DABF4288A4}"/>
            </a:ext>
          </a:extLst>
        </xdr:cNvPr>
        <xdr:cNvSpPr txBox="1"/>
      </xdr:nvSpPr>
      <xdr:spPr>
        <a:xfrm>
          <a:off x="23898225" y="97116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670560</xdr:colOff>
          <xdr:row>33</xdr:row>
          <xdr:rowOff>876300</xdr:rowOff>
        </xdr:from>
        <xdr:to>
          <xdr:col>20</xdr:col>
          <xdr:colOff>2979420</xdr:colOff>
          <xdr:row>34</xdr:row>
          <xdr:rowOff>403860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708660</xdr:colOff>
          <xdr:row>36</xdr:row>
          <xdr:rowOff>563880</xdr:rowOff>
        </xdr:from>
        <xdr:to>
          <xdr:col>20</xdr:col>
          <xdr:colOff>3154680</xdr:colOff>
          <xdr:row>36</xdr:row>
          <xdr:rowOff>1082040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662940</xdr:colOff>
          <xdr:row>40</xdr:row>
          <xdr:rowOff>670560</xdr:rowOff>
        </xdr:from>
        <xdr:to>
          <xdr:col>20</xdr:col>
          <xdr:colOff>3307080</xdr:colOff>
          <xdr:row>40</xdr:row>
          <xdr:rowOff>1188720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2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624840</xdr:colOff>
          <xdr:row>38</xdr:row>
          <xdr:rowOff>1242060</xdr:rowOff>
        </xdr:from>
        <xdr:to>
          <xdr:col>20</xdr:col>
          <xdr:colOff>3032760</xdr:colOff>
          <xdr:row>39</xdr:row>
          <xdr:rowOff>38100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2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548640</xdr:colOff>
          <xdr:row>41</xdr:row>
          <xdr:rowOff>236220</xdr:rowOff>
        </xdr:from>
        <xdr:to>
          <xdr:col>20</xdr:col>
          <xdr:colOff>3291840</xdr:colOff>
          <xdr:row>41</xdr:row>
          <xdr:rowOff>754380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2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632460</xdr:colOff>
          <xdr:row>42</xdr:row>
          <xdr:rowOff>662940</xdr:rowOff>
        </xdr:from>
        <xdr:to>
          <xdr:col>20</xdr:col>
          <xdr:colOff>3070860</xdr:colOff>
          <xdr:row>42</xdr:row>
          <xdr:rowOff>1181100</xdr:rowOff>
        </xdr:to>
        <xdr:sp macro="" textlink="">
          <xdr:nvSpPr>
            <xdr:cNvPr id="6150" name="Object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2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731520</xdr:colOff>
          <xdr:row>43</xdr:row>
          <xdr:rowOff>701040</xdr:rowOff>
        </xdr:from>
        <xdr:to>
          <xdr:col>20</xdr:col>
          <xdr:colOff>3147060</xdr:colOff>
          <xdr:row>43</xdr:row>
          <xdr:rowOff>1219200</xdr:rowOff>
        </xdr:to>
        <xdr:sp macro="" textlink="">
          <xdr:nvSpPr>
            <xdr:cNvPr id="6151" name="Object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2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220980</xdr:colOff>
          <xdr:row>40</xdr:row>
          <xdr:rowOff>0</xdr:rowOff>
        </xdr:from>
        <xdr:to>
          <xdr:col>20</xdr:col>
          <xdr:colOff>3589020</xdr:colOff>
          <xdr:row>40</xdr:row>
          <xdr:rowOff>518160</xdr:rowOff>
        </xdr:to>
        <xdr:sp macro="" textlink="">
          <xdr:nvSpPr>
            <xdr:cNvPr id="6155" name="Object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2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4</xdr:row>
      <xdr:rowOff>64770</xdr:rowOff>
    </xdr:from>
    <xdr:to>
      <xdr:col>14</xdr:col>
      <xdr:colOff>495300</xdr:colOff>
      <xdr:row>19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AE6C02-EF17-3E14-4DC5-F837B1C26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A54E9-2E47-497A-A7C3-5CBB4072F16E}" name="Tabla1" displayName="Tabla1" ref="C3:E14" totalsRowShown="0" headerRowDxfId="4" dataDxfId="3">
  <tableColumns count="3">
    <tableColumn id="1" xr3:uid="{F9A977BF-CFBB-4171-A685-9162F3504271}" name="FECHA" dataDxfId="2"/>
    <tableColumn id="2" xr3:uid="{F59E3006-396A-4247-8B15-301387C55666}" name="VALOR" dataDxfId="1" dataCellStyle="Moneda"/>
    <tableColumn id="3" xr3:uid="{4F0F33CB-5721-405A-8664-780CE1563DA2}" name="OBSERVACIONE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6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8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5" Type="http://schemas.openxmlformats.org/officeDocument/2006/relationships/image" Target="../media/image7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9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image" Target="../media/image14.emf"/><Relationship Id="rId18" Type="http://schemas.openxmlformats.org/officeDocument/2006/relationships/oleObject" Target="../embeddings/oleObject1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11.emf"/><Relationship Id="rId12" Type="http://schemas.openxmlformats.org/officeDocument/2006/relationships/oleObject" Target="../embeddings/oleObject13.bin"/><Relationship Id="rId17" Type="http://schemas.openxmlformats.org/officeDocument/2006/relationships/image" Target="../media/image16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15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0.bin"/><Relationship Id="rId11" Type="http://schemas.openxmlformats.org/officeDocument/2006/relationships/image" Target="../media/image13.emf"/><Relationship Id="rId5" Type="http://schemas.openxmlformats.org/officeDocument/2006/relationships/image" Target="../media/image10.emf"/><Relationship Id="rId15" Type="http://schemas.openxmlformats.org/officeDocument/2006/relationships/image" Target="../media/image15.emf"/><Relationship Id="rId10" Type="http://schemas.openxmlformats.org/officeDocument/2006/relationships/oleObject" Target="../embeddings/oleObject12.bin"/><Relationship Id="rId19" Type="http://schemas.openxmlformats.org/officeDocument/2006/relationships/image" Target="../media/image5.emf"/><Relationship Id="rId4" Type="http://schemas.openxmlformats.org/officeDocument/2006/relationships/oleObject" Target="../embeddings/oleObject9.bin"/><Relationship Id="rId9" Type="http://schemas.openxmlformats.org/officeDocument/2006/relationships/image" Target="../media/image12.emf"/><Relationship Id="rId14" Type="http://schemas.openxmlformats.org/officeDocument/2006/relationships/oleObject" Target="../embeddings/oleObject1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7"/>
  <sheetViews>
    <sheetView tabSelected="1" topLeftCell="A134" zoomScale="91" zoomScaleNormal="91" workbookViewId="0">
      <selection activeCell="B136" sqref="B136:D138"/>
    </sheetView>
  </sheetViews>
  <sheetFormatPr baseColWidth="10" defaultColWidth="11.33203125" defaultRowHeight="13.8"/>
  <cols>
    <col min="1" max="1" width="13" style="2" customWidth="1"/>
    <col min="2" max="2" width="7.77734375" style="3" customWidth="1"/>
    <col min="3" max="3" width="27" style="3" customWidth="1"/>
    <col min="4" max="4" width="25.21875" style="4" customWidth="1"/>
    <col min="5" max="5" width="16.88671875" style="2" customWidth="1"/>
    <col min="6" max="6" width="16.77734375" style="2" customWidth="1"/>
    <col min="7" max="7" width="16.5546875" style="2" customWidth="1"/>
    <col min="8" max="8" width="16.109375" style="2" customWidth="1"/>
    <col min="9" max="9" width="15.6640625" style="2" customWidth="1"/>
    <col min="10" max="10" width="15.44140625" style="2" customWidth="1"/>
    <col min="11" max="11" width="18.6640625" style="56" customWidth="1"/>
    <col min="12" max="12" width="15.6640625" style="2" customWidth="1"/>
    <col min="13" max="13" width="23.6640625" style="2" customWidth="1"/>
    <col min="14" max="15" width="15.44140625" style="2" customWidth="1"/>
    <col min="16" max="16" width="18.88671875" style="2" customWidth="1"/>
    <col min="17" max="17" width="16.109375" style="2" customWidth="1"/>
    <col min="18" max="18" width="16" style="2" customWidth="1"/>
    <col min="19" max="19" width="11" style="2" customWidth="1"/>
    <col min="20" max="20" width="16.44140625" style="2" customWidth="1"/>
    <col min="21" max="21" width="54.6640625" style="2" customWidth="1"/>
    <col min="22" max="22" width="38.21875" style="2" customWidth="1"/>
    <col min="23" max="64" width="4.77734375" style="2" customWidth="1"/>
    <col min="65" max="16384" width="11.33203125" style="2"/>
  </cols>
  <sheetData>
    <row r="1" spans="1:16" ht="15" customHeight="1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6" ht="23.4" customHeight="1">
      <c r="A2" s="158" t="s">
        <v>1</v>
      </c>
      <c r="B2" s="158"/>
      <c r="C2" s="158"/>
      <c r="D2" s="158"/>
      <c r="E2" s="158"/>
      <c r="F2" s="158"/>
      <c r="G2" s="158" t="s">
        <v>2</v>
      </c>
      <c r="H2" s="158"/>
      <c r="I2" s="158"/>
      <c r="J2" s="158"/>
      <c r="K2" s="158"/>
      <c r="L2" s="158"/>
      <c r="M2" s="158"/>
    </row>
    <row r="3" spans="1:16" ht="3.75" customHeight="1"/>
    <row r="4" spans="1:16">
      <c r="B4" s="3" t="s">
        <v>3</v>
      </c>
      <c r="D4" s="83" t="s">
        <v>137</v>
      </c>
      <c r="E4" s="5"/>
      <c r="F4" s="5"/>
      <c r="G4" s="5"/>
      <c r="H4" s="5"/>
      <c r="I4" s="5"/>
      <c r="J4" s="5"/>
      <c r="K4" s="57"/>
    </row>
    <row r="5" spans="1:16">
      <c r="B5" s="3" t="s">
        <v>4</v>
      </c>
      <c r="D5" s="4" t="s">
        <v>5</v>
      </c>
      <c r="E5" s="166">
        <v>45931</v>
      </c>
      <c r="F5" s="166"/>
      <c r="G5" s="166"/>
      <c r="H5" s="2" t="s">
        <v>6</v>
      </c>
      <c r="I5" s="166">
        <v>45960</v>
      </c>
      <c r="J5" s="166"/>
      <c r="K5" s="166"/>
    </row>
    <row r="6" spans="1:16">
      <c r="B6" s="3" t="s">
        <v>7</v>
      </c>
      <c r="D6" s="168">
        <v>45962</v>
      </c>
      <c r="E6" s="168"/>
      <c r="F6" s="168"/>
      <c r="G6" s="168"/>
      <c r="H6" s="168"/>
      <c r="I6" s="168"/>
      <c r="J6" s="168"/>
      <c r="K6" s="168"/>
    </row>
    <row r="7" spans="1:16">
      <c r="B7" s="3" t="s">
        <v>8</v>
      </c>
      <c r="D7" s="169" t="s">
        <v>9</v>
      </c>
      <c r="E7" s="169"/>
      <c r="F7" s="169"/>
      <c r="G7" s="169"/>
      <c r="H7" s="169"/>
      <c r="I7" s="169"/>
      <c r="J7" s="169"/>
      <c r="K7" s="169"/>
    </row>
    <row r="8" spans="1:16">
      <c r="B8" s="3" t="s">
        <v>10</v>
      </c>
      <c r="D8" s="169" t="s">
        <v>11</v>
      </c>
      <c r="E8" s="169"/>
      <c r="F8" s="169"/>
      <c r="G8" s="169"/>
      <c r="H8" s="169"/>
      <c r="I8" s="169"/>
      <c r="J8" s="169"/>
      <c r="K8" s="169"/>
    </row>
    <row r="10" spans="1:16">
      <c r="B10" s="165" t="s">
        <v>12</v>
      </c>
      <c r="C10" s="165"/>
      <c r="D10" s="165"/>
      <c r="E10" s="165"/>
      <c r="F10" s="165"/>
      <c r="G10" s="165"/>
      <c r="H10" s="165"/>
      <c r="I10" s="165"/>
      <c r="J10" s="165"/>
      <c r="K10" s="165"/>
      <c r="L10" s="56"/>
    </row>
    <row r="11" spans="1:16">
      <c r="B11" s="4"/>
      <c r="K11" s="2"/>
      <c r="L11" s="56"/>
    </row>
    <row r="12" spans="1:16" ht="34.5" customHeight="1">
      <c r="B12" s="63" t="s">
        <v>13</v>
      </c>
      <c r="C12" s="22" t="s">
        <v>14</v>
      </c>
      <c r="D12" s="22" t="s">
        <v>15</v>
      </c>
      <c r="E12" s="24" t="s">
        <v>16</v>
      </c>
      <c r="F12" s="24" t="s">
        <v>17</v>
      </c>
      <c r="G12" s="21" t="s">
        <v>18</v>
      </c>
      <c r="H12" s="24" t="s">
        <v>19</v>
      </c>
      <c r="I12" s="24" t="s">
        <v>20</v>
      </c>
      <c r="J12" s="21" t="s">
        <v>21</v>
      </c>
      <c r="K12" s="24" t="s">
        <v>22</v>
      </c>
      <c r="L12" s="56"/>
      <c r="M12" s="28"/>
    </row>
    <row r="13" spans="1:16" ht="34.5" customHeight="1">
      <c r="B13" s="35">
        <v>1</v>
      </c>
      <c r="C13" s="200">
        <v>45930</v>
      </c>
      <c r="D13" s="200">
        <v>45931</v>
      </c>
      <c r="E13" s="80" t="s">
        <v>23</v>
      </c>
      <c r="F13" s="16" t="s">
        <v>136</v>
      </c>
      <c r="G13" s="198">
        <v>332.3</v>
      </c>
      <c r="H13" s="16">
        <v>262</v>
      </c>
      <c r="I13" s="16">
        <v>5</v>
      </c>
      <c r="J13" s="80">
        <f>H13-I13</f>
        <v>257</v>
      </c>
      <c r="K13" s="74">
        <f>G13*J13</f>
        <v>85401.1</v>
      </c>
      <c r="L13" s="56"/>
      <c r="M13" s="28"/>
    </row>
    <row r="14" spans="1:16" ht="18" customHeight="1">
      <c r="B14" s="35">
        <v>2</v>
      </c>
      <c r="C14" s="96">
        <v>45932</v>
      </c>
      <c r="D14" s="96">
        <v>45932</v>
      </c>
      <c r="E14" s="97" t="s">
        <v>79</v>
      </c>
      <c r="F14" s="199" t="s">
        <v>135</v>
      </c>
      <c r="G14" s="197">
        <v>150</v>
      </c>
      <c r="H14" s="73">
        <v>230</v>
      </c>
      <c r="I14" s="73">
        <v>246.29</v>
      </c>
      <c r="J14" s="80">
        <f>I14-H14</f>
        <v>16.289999999999992</v>
      </c>
      <c r="K14" s="74">
        <f>G14*J14</f>
        <v>2443.4999999999986</v>
      </c>
      <c r="L14" s="90"/>
      <c r="M14" s="52"/>
      <c r="O14" s="77"/>
      <c r="P14" s="78"/>
    </row>
    <row r="15" spans="1:16" ht="18" customHeight="1">
      <c r="B15" s="35">
        <v>3</v>
      </c>
      <c r="C15" s="96">
        <v>45932</v>
      </c>
      <c r="D15" s="96">
        <v>45933</v>
      </c>
      <c r="E15" s="80" t="s">
        <v>23</v>
      </c>
      <c r="F15" s="199" t="s">
        <v>136</v>
      </c>
      <c r="G15" s="197">
        <v>332.3</v>
      </c>
      <c r="H15" s="73">
        <v>262</v>
      </c>
      <c r="I15" s="73">
        <v>5</v>
      </c>
      <c r="J15" s="80">
        <f>H15-I15</f>
        <v>257</v>
      </c>
      <c r="K15" s="74">
        <f t="shared" ref="K15:K62" si="0">G15*J15</f>
        <v>85401.1</v>
      </c>
      <c r="L15" s="90"/>
      <c r="M15" s="52"/>
      <c r="O15" s="77"/>
      <c r="P15" s="78"/>
    </row>
    <row r="16" spans="1:16" ht="18" customHeight="1">
      <c r="B16" s="35">
        <v>4</v>
      </c>
      <c r="C16" s="96">
        <v>45934</v>
      </c>
      <c r="D16" s="96">
        <v>45934</v>
      </c>
      <c r="E16" s="97" t="s">
        <v>79</v>
      </c>
      <c r="F16" s="199" t="s">
        <v>135</v>
      </c>
      <c r="G16" s="197">
        <v>150</v>
      </c>
      <c r="H16" s="194">
        <v>262</v>
      </c>
      <c r="I16" s="194">
        <v>252.18</v>
      </c>
      <c r="J16" s="195">
        <v>9.8199999999999932</v>
      </c>
      <c r="K16" s="196">
        <v>1472.9999999999991</v>
      </c>
      <c r="L16" s="90"/>
      <c r="M16" s="52"/>
      <c r="O16" s="77"/>
      <c r="P16" s="78"/>
    </row>
    <row r="17" spans="2:16" ht="18" customHeight="1">
      <c r="B17" s="35">
        <v>5</v>
      </c>
      <c r="C17" s="96">
        <v>45934</v>
      </c>
      <c r="D17" s="96">
        <v>45934</v>
      </c>
      <c r="E17" s="97" t="s">
        <v>79</v>
      </c>
      <c r="F17" s="199" t="s">
        <v>135</v>
      </c>
      <c r="G17" s="197">
        <v>150</v>
      </c>
      <c r="H17" s="194">
        <v>262</v>
      </c>
      <c r="I17" s="194">
        <v>252.37</v>
      </c>
      <c r="J17" s="195">
        <v>9.6299999999999955</v>
      </c>
      <c r="K17" s="196">
        <v>1444.4999999999993</v>
      </c>
      <c r="L17" s="90"/>
      <c r="M17" s="52"/>
      <c r="O17" s="77"/>
      <c r="P17" s="78"/>
    </row>
    <row r="18" spans="2:16" ht="18" customHeight="1">
      <c r="B18" s="35">
        <v>6</v>
      </c>
      <c r="C18" s="95">
        <v>45934</v>
      </c>
      <c r="D18" s="95">
        <v>45935</v>
      </c>
      <c r="E18" s="80" t="s">
        <v>23</v>
      </c>
      <c r="F18" s="199" t="s">
        <v>136</v>
      </c>
      <c r="G18" s="197">
        <v>332.3</v>
      </c>
      <c r="H18" s="73">
        <v>262</v>
      </c>
      <c r="I18" s="73">
        <v>5</v>
      </c>
      <c r="J18" s="80">
        <f>H18-I18</f>
        <v>257</v>
      </c>
      <c r="K18" s="74">
        <f t="shared" si="0"/>
        <v>85401.1</v>
      </c>
      <c r="L18" s="90"/>
      <c r="M18" s="52"/>
      <c r="O18" s="77"/>
      <c r="P18" s="78"/>
    </row>
    <row r="19" spans="2:16" ht="18" customHeight="1">
      <c r="B19" s="35">
        <v>7</v>
      </c>
      <c r="C19" s="95">
        <v>45936</v>
      </c>
      <c r="D19" s="95">
        <v>45936</v>
      </c>
      <c r="E19" s="99" t="s">
        <v>79</v>
      </c>
      <c r="F19" s="199" t="s">
        <v>135</v>
      </c>
      <c r="G19" s="197">
        <v>300</v>
      </c>
      <c r="H19" s="73">
        <v>262</v>
      </c>
      <c r="I19" s="73">
        <v>259.93</v>
      </c>
      <c r="J19" s="80">
        <f t="shared" ref="J19:J62" si="1">H19-I19</f>
        <v>2.0699999999999932</v>
      </c>
      <c r="K19" s="74">
        <f t="shared" si="0"/>
        <v>620.99999999999795</v>
      </c>
      <c r="L19" s="90"/>
      <c r="M19" s="52"/>
      <c r="O19" s="77"/>
      <c r="P19" s="78"/>
    </row>
    <row r="20" spans="2:16" ht="18" customHeight="1">
      <c r="B20" s="35">
        <v>8</v>
      </c>
      <c r="C20" s="95">
        <v>45936</v>
      </c>
      <c r="D20" s="95">
        <v>45937</v>
      </c>
      <c r="E20" s="80" t="s">
        <v>23</v>
      </c>
      <c r="F20" s="199" t="s">
        <v>135</v>
      </c>
      <c r="G20" s="197">
        <v>332.3</v>
      </c>
      <c r="H20" s="73">
        <v>262</v>
      </c>
      <c r="I20" s="73">
        <v>5</v>
      </c>
      <c r="J20" s="80">
        <f t="shared" si="1"/>
        <v>257</v>
      </c>
      <c r="K20" s="74">
        <f t="shared" si="0"/>
        <v>85401.1</v>
      </c>
      <c r="L20" s="90"/>
      <c r="M20" s="52"/>
      <c r="O20" s="77"/>
      <c r="P20" s="78"/>
    </row>
    <row r="21" spans="2:16" ht="18" customHeight="1">
      <c r="B21" s="35">
        <v>9</v>
      </c>
      <c r="C21" s="95">
        <v>45941</v>
      </c>
      <c r="D21" s="95">
        <v>45942</v>
      </c>
      <c r="E21" s="99" t="s">
        <v>79</v>
      </c>
      <c r="F21" s="199" t="s">
        <v>135</v>
      </c>
      <c r="G21" s="197">
        <v>150</v>
      </c>
      <c r="H21" s="73">
        <v>262</v>
      </c>
      <c r="I21" s="73">
        <v>252.18</v>
      </c>
      <c r="J21" s="80">
        <f t="shared" si="1"/>
        <v>9.8199999999999932</v>
      </c>
      <c r="K21" s="74">
        <f t="shared" si="0"/>
        <v>1472.9999999999991</v>
      </c>
      <c r="L21" s="90"/>
      <c r="M21" s="52"/>
      <c r="O21" s="77"/>
      <c r="P21" s="78"/>
    </row>
    <row r="22" spans="2:16" ht="18" customHeight="1">
      <c r="B22" s="35">
        <v>10</v>
      </c>
      <c r="C22" s="95">
        <v>45941</v>
      </c>
      <c r="D22" s="95">
        <v>45942</v>
      </c>
      <c r="E22" s="99" t="s">
        <v>79</v>
      </c>
      <c r="F22" s="199" t="s">
        <v>135</v>
      </c>
      <c r="G22" s="197">
        <v>150</v>
      </c>
      <c r="H22" s="73">
        <v>262</v>
      </c>
      <c r="I22" s="73">
        <v>252.37</v>
      </c>
      <c r="J22" s="80">
        <f t="shared" si="1"/>
        <v>9.6299999999999955</v>
      </c>
      <c r="K22" s="74">
        <f t="shared" si="0"/>
        <v>1444.4999999999993</v>
      </c>
      <c r="L22" s="90"/>
      <c r="M22" s="52"/>
      <c r="O22" s="77"/>
      <c r="P22" s="78"/>
    </row>
    <row r="23" spans="2:16" ht="18" customHeight="1">
      <c r="B23" s="35">
        <v>11</v>
      </c>
      <c r="C23" s="95">
        <v>45941</v>
      </c>
      <c r="D23" s="95">
        <v>45942</v>
      </c>
      <c r="E23" s="99" t="s">
        <v>79</v>
      </c>
      <c r="F23" s="199" t="s">
        <v>135</v>
      </c>
      <c r="G23" s="197">
        <v>150</v>
      </c>
      <c r="H23" s="73">
        <v>262</v>
      </c>
      <c r="I23" s="73">
        <v>252.49199999999999</v>
      </c>
      <c r="J23" s="80">
        <f t="shared" si="1"/>
        <v>9.5080000000000098</v>
      </c>
      <c r="K23" s="74">
        <f t="shared" si="0"/>
        <v>1426.2000000000014</v>
      </c>
      <c r="L23" s="90"/>
      <c r="M23" s="52"/>
      <c r="O23" s="77"/>
      <c r="P23" s="78"/>
    </row>
    <row r="24" spans="2:16" ht="18" customHeight="1">
      <c r="B24" s="35">
        <v>12</v>
      </c>
      <c r="C24" s="95">
        <v>45941</v>
      </c>
      <c r="D24" s="95">
        <v>45942</v>
      </c>
      <c r="E24" s="99" t="s">
        <v>79</v>
      </c>
      <c r="F24" s="199" t="s">
        <v>135</v>
      </c>
      <c r="G24" s="197">
        <v>150</v>
      </c>
      <c r="H24" s="73">
        <v>262</v>
      </c>
      <c r="I24" s="73">
        <v>252.58199999999999</v>
      </c>
      <c r="J24" s="80">
        <f t="shared" si="1"/>
        <v>9.4180000000000064</v>
      </c>
      <c r="K24" s="74">
        <f t="shared" si="0"/>
        <v>1412.700000000001</v>
      </c>
      <c r="L24" s="90"/>
      <c r="M24" s="52"/>
      <c r="O24" s="77"/>
      <c r="P24" s="78"/>
    </row>
    <row r="25" spans="2:16" ht="18" customHeight="1">
      <c r="B25" s="35">
        <v>13</v>
      </c>
      <c r="C25" s="95">
        <v>45941</v>
      </c>
      <c r="D25" s="95">
        <v>45942</v>
      </c>
      <c r="E25" s="99" t="s">
        <v>79</v>
      </c>
      <c r="F25" s="199" t="s">
        <v>135</v>
      </c>
      <c r="G25" s="197">
        <v>150</v>
      </c>
      <c r="H25" s="73">
        <v>262</v>
      </c>
      <c r="I25" s="73">
        <v>252.71</v>
      </c>
      <c r="J25" s="80">
        <f t="shared" si="1"/>
        <v>9.289999999999992</v>
      </c>
      <c r="K25" s="74">
        <f t="shared" si="0"/>
        <v>1393.4999999999989</v>
      </c>
      <c r="L25" s="90"/>
      <c r="M25" s="52"/>
      <c r="O25" s="77"/>
      <c r="P25" s="78"/>
    </row>
    <row r="26" spans="2:16" ht="18" customHeight="1">
      <c r="B26" s="35">
        <v>14</v>
      </c>
      <c r="C26" s="95">
        <v>45941</v>
      </c>
      <c r="D26" s="95">
        <v>45942</v>
      </c>
      <c r="E26" s="99" t="s">
        <v>79</v>
      </c>
      <c r="F26" s="199" t="s">
        <v>135</v>
      </c>
      <c r="G26" s="197">
        <v>150</v>
      </c>
      <c r="H26" s="73">
        <v>262</v>
      </c>
      <c r="I26" s="73">
        <v>252.85</v>
      </c>
      <c r="J26" s="80">
        <f t="shared" si="1"/>
        <v>9.1500000000000057</v>
      </c>
      <c r="K26" s="74">
        <f t="shared" si="0"/>
        <v>1372.5000000000009</v>
      </c>
      <c r="L26" s="90"/>
      <c r="M26" s="52"/>
      <c r="O26" s="77"/>
      <c r="P26" s="78"/>
    </row>
    <row r="27" spans="2:16" ht="18" customHeight="1">
      <c r="B27" s="35">
        <v>15</v>
      </c>
      <c r="C27" s="95">
        <v>45941</v>
      </c>
      <c r="D27" s="95">
        <v>45942</v>
      </c>
      <c r="E27" s="99" t="s">
        <v>79</v>
      </c>
      <c r="F27" s="199" t="s">
        <v>135</v>
      </c>
      <c r="G27" s="197">
        <v>150</v>
      </c>
      <c r="H27" s="73">
        <v>262</v>
      </c>
      <c r="I27" s="73">
        <v>255.1</v>
      </c>
      <c r="J27" s="80">
        <f t="shared" si="1"/>
        <v>6.9000000000000057</v>
      </c>
      <c r="K27" s="74">
        <f t="shared" si="0"/>
        <v>1035.0000000000009</v>
      </c>
      <c r="L27" s="90"/>
      <c r="M27" s="52"/>
      <c r="O27" s="77"/>
      <c r="P27" s="78"/>
    </row>
    <row r="28" spans="2:16" ht="18" customHeight="1">
      <c r="B28" s="35">
        <v>16</v>
      </c>
      <c r="C28" s="95">
        <v>45942</v>
      </c>
      <c r="D28" s="95">
        <v>45943</v>
      </c>
      <c r="E28" s="99" t="s">
        <v>79</v>
      </c>
      <c r="F28" s="199" t="s">
        <v>135</v>
      </c>
      <c r="G28" s="197">
        <v>150</v>
      </c>
      <c r="H28" s="73">
        <v>262</v>
      </c>
      <c r="I28" s="73">
        <v>252.96</v>
      </c>
      <c r="J28" s="80">
        <f t="shared" si="1"/>
        <v>9.039999999999992</v>
      </c>
      <c r="K28" s="74">
        <f t="shared" si="0"/>
        <v>1355.9999999999989</v>
      </c>
      <c r="L28" s="90"/>
      <c r="M28" s="52"/>
      <c r="O28" s="77"/>
      <c r="P28" s="78"/>
    </row>
    <row r="29" spans="2:16" ht="18" customHeight="1">
      <c r="B29" s="35">
        <v>17</v>
      </c>
      <c r="C29" s="95">
        <v>45942</v>
      </c>
      <c r="D29" s="95">
        <v>45943</v>
      </c>
      <c r="E29" s="99" t="s">
        <v>79</v>
      </c>
      <c r="F29" s="199" t="s">
        <v>135</v>
      </c>
      <c r="G29" s="197">
        <v>150</v>
      </c>
      <c r="H29" s="73">
        <v>262</v>
      </c>
      <c r="I29" s="73">
        <v>253.05799999999999</v>
      </c>
      <c r="J29" s="80">
        <f t="shared" si="1"/>
        <v>8.9420000000000073</v>
      </c>
      <c r="K29" s="74">
        <f t="shared" si="0"/>
        <v>1341.3000000000011</v>
      </c>
      <c r="L29" s="90"/>
      <c r="M29" s="52"/>
      <c r="O29" s="77"/>
      <c r="P29" s="78"/>
    </row>
    <row r="30" spans="2:16" ht="18" customHeight="1">
      <c r="B30" s="35">
        <v>18</v>
      </c>
      <c r="C30" s="95">
        <v>45942</v>
      </c>
      <c r="D30" s="95">
        <v>45943</v>
      </c>
      <c r="E30" s="99" t="s">
        <v>79</v>
      </c>
      <c r="F30" s="199" t="s">
        <v>135</v>
      </c>
      <c r="G30" s="197">
        <v>150</v>
      </c>
      <c r="H30" s="73">
        <v>262</v>
      </c>
      <c r="I30" s="73">
        <v>253.13</v>
      </c>
      <c r="J30" s="80">
        <f t="shared" si="1"/>
        <v>8.8700000000000045</v>
      </c>
      <c r="K30" s="74">
        <f t="shared" si="0"/>
        <v>1330.5000000000007</v>
      </c>
      <c r="L30" s="90"/>
      <c r="M30" s="52"/>
      <c r="O30" s="77"/>
      <c r="P30" s="78"/>
    </row>
    <row r="31" spans="2:16" ht="18" customHeight="1">
      <c r="B31" s="35">
        <v>19</v>
      </c>
      <c r="C31" s="95">
        <v>45942</v>
      </c>
      <c r="D31" s="95">
        <v>45943</v>
      </c>
      <c r="E31" s="99" t="s">
        <v>79</v>
      </c>
      <c r="F31" s="199" t="s">
        <v>135</v>
      </c>
      <c r="G31" s="197">
        <v>150</v>
      </c>
      <c r="H31" s="73">
        <v>262</v>
      </c>
      <c r="I31" s="73">
        <v>253.31</v>
      </c>
      <c r="J31" s="80">
        <f t="shared" si="1"/>
        <v>8.6899999999999977</v>
      </c>
      <c r="K31" s="74">
        <f t="shared" si="0"/>
        <v>1303.4999999999995</v>
      </c>
      <c r="L31" s="90"/>
      <c r="M31" s="52"/>
      <c r="O31" s="77"/>
      <c r="P31" s="78"/>
    </row>
    <row r="32" spans="2:16" ht="18" customHeight="1">
      <c r="B32" s="35">
        <v>20</v>
      </c>
      <c r="C32" s="95">
        <v>45942</v>
      </c>
      <c r="D32" s="95">
        <v>45943</v>
      </c>
      <c r="E32" s="99" t="s">
        <v>79</v>
      </c>
      <c r="F32" s="199" t="s">
        <v>135</v>
      </c>
      <c r="G32" s="197">
        <v>150</v>
      </c>
      <c r="H32" s="73">
        <v>262</v>
      </c>
      <c r="I32" s="73">
        <v>252.41</v>
      </c>
      <c r="J32" s="80">
        <f t="shared" si="1"/>
        <v>9.5900000000000034</v>
      </c>
      <c r="K32" s="74">
        <f t="shared" si="0"/>
        <v>1438.5000000000005</v>
      </c>
      <c r="L32" s="90"/>
      <c r="M32" s="52"/>
      <c r="O32" s="77"/>
      <c r="P32" s="78"/>
    </row>
    <row r="33" spans="2:16" ht="18" customHeight="1">
      <c r="B33" s="35">
        <v>21</v>
      </c>
      <c r="C33" s="95">
        <v>45942</v>
      </c>
      <c r="D33" s="95">
        <v>45943</v>
      </c>
      <c r="E33" s="99" t="s">
        <v>79</v>
      </c>
      <c r="F33" s="199" t="s">
        <v>135</v>
      </c>
      <c r="G33" s="197">
        <v>150</v>
      </c>
      <c r="H33" s="73">
        <v>262</v>
      </c>
      <c r="I33" s="73">
        <v>253.57</v>
      </c>
      <c r="J33" s="80">
        <f t="shared" si="1"/>
        <v>8.4300000000000068</v>
      </c>
      <c r="K33" s="74">
        <f t="shared" si="0"/>
        <v>1264.5000000000009</v>
      </c>
      <c r="L33" s="90"/>
      <c r="M33" s="52"/>
      <c r="O33" s="77"/>
      <c r="P33" s="78"/>
    </row>
    <row r="34" spans="2:16" ht="18" customHeight="1">
      <c r="B34" s="35">
        <v>22</v>
      </c>
      <c r="C34" s="96">
        <v>45942</v>
      </c>
      <c r="D34" s="96">
        <v>45943</v>
      </c>
      <c r="E34" s="97" t="s">
        <v>79</v>
      </c>
      <c r="F34" s="199" t="s">
        <v>135</v>
      </c>
      <c r="G34" s="197">
        <v>150</v>
      </c>
      <c r="H34" s="73">
        <v>262</v>
      </c>
      <c r="I34" s="73">
        <v>254.67</v>
      </c>
      <c r="J34" s="80">
        <f t="shared" si="1"/>
        <v>7.3300000000000125</v>
      </c>
      <c r="K34" s="74">
        <f t="shared" si="0"/>
        <v>1099.5000000000018</v>
      </c>
      <c r="L34" s="90"/>
      <c r="M34" s="52"/>
      <c r="O34" s="77"/>
      <c r="P34" s="78"/>
    </row>
    <row r="35" spans="2:16" ht="18" customHeight="1">
      <c r="B35" s="35">
        <v>23</v>
      </c>
      <c r="C35" s="96">
        <v>45942</v>
      </c>
      <c r="D35" s="96">
        <v>45943</v>
      </c>
      <c r="E35" s="97" t="s">
        <v>79</v>
      </c>
      <c r="F35" s="199" t="s">
        <v>135</v>
      </c>
      <c r="G35" s="197">
        <v>150</v>
      </c>
      <c r="H35" s="73">
        <v>262</v>
      </c>
      <c r="I35" s="73">
        <v>254.78</v>
      </c>
      <c r="J35" s="80">
        <f t="shared" si="1"/>
        <v>7.2199999999999989</v>
      </c>
      <c r="K35" s="74">
        <f t="shared" si="0"/>
        <v>1082.9999999999998</v>
      </c>
      <c r="L35" s="90"/>
      <c r="M35" s="52"/>
      <c r="O35" s="77"/>
      <c r="P35" s="78"/>
    </row>
    <row r="36" spans="2:16" ht="18" customHeight="1">
      <c r="B36" s="35">
        <v>24</v>
      </c>
      <c r="C36" s="96">
        <v>45944</v>
      </c>
      <c r="D36" s="96">
        <v>45944</v>
      </c>
      <c r="E36" s="97" t="s">
        <v>79</v>
      </c>
      <c r="F36" s="199" t="s">
        <v>135</v>
      </c>
      <c r="G36" s="197">
        <v>150</v>
      </c>
      <c r="H36" s="73">
        <v>262</v>
      </c>
      <c r="I36" s="73">
        <v>253.83</v>
      </c>
      <c r="J36" s="80">
        <f t="shared" si="1"/>
        <v>8.1699999999999875</v>
      </c>
      <c r="K36" s="74">
        <f t="shared" si="0"/>
        <v>1225.4999999999982</v>
      </c>
      <c r="L36" s="90"/>
      <c r="M36" s="52"/>
      <c r="O36" s="77"/>
      <c r="P36" s="78"/>
    </row>
    <row r="37" spans="2:16" ht="18" customHeight="1">
      <c r="B37" s="35">
        <v>25</v>
      </c>
      <c r="C37" s="96">
        <v>45944</v>
      </c>
      <c r="D37" s="96">
        <v>45944</v>
      </c>
      <c r="E37" s="97" t="s">
        <v>79</v>
      </c>
      <c r="F37" s="199" t="s">
        <v>135</v>
      </c>
      <c r="G37" s="197">
        <v>150</v>
      </c>
      <c r="H37" s="73">
        <v>262</v>
      </c>
      <c r="I37" s="73">
        <v>254.035</v>
      </c>
      <c r="J37" s="80">
        <f t="shared" si="1"/>
        <v>7.9650000000000034</v>
      </c>
      <c r="K37" s="74">
        <f t="shared" si="0"/>
        <v>1194.7500000000005</v>
      </c>
      <c r="L37" s="90"/>
      <c r="M37" s="52"/>
      <c r="O37" s="77"/>
      <c r="P37" s="78"/>
    </row>
    <row r="38" spans="2:16" ht="18" customHeight="1">
      <c r="B38" s="35">
        <v>26</v>
      </c>
      <c r="C38" s="96">
        <v>45945</v>
      </c>
      <c r="D38" s="96">
        <v>45945</v>
      </c>
      <c r="E38" s="97" t="s">
        <v>79</v>
      </c>
      <c r="F38" s="199" t="s">
        <v>135</v>
      </c>
      <c r="G38" s="197">
        <v>150</v>
      </c>
      <c r="H38" s="73">
        <v>262</v>
      </c>
      <c r="I38" s="73">
        <v>254.143</v>
      </c>
      <c r="J38" s="80">
        <f t="shared" si="1"/>
        <v>7.8569999999999993</v>
      </c>
      <c r="K38" s="74">
        <f t="shared" si="0"/>
        <v>1178.55</v>
      </c>
      <c r="L38" s="90"/>
      <c r="M38" s="52"/>
      <c r="O38" s="77"/>
      <c r="P38" s="78"/>
    </row>
    <row r="39" spans="2:16" ht="18" customHeight="1">
      <c r="B39" s="35">
        <v>27</v>
      </c>
      <c r="C39" s="96">
        <v>45945</v>
      </c>
      <c r="D39" s="96">
        <v>45945</v>
      </c>
      <c r="E39" s="97" t="s">
        <v>79</v>
      </c>
      <c r="F39" s="199" t="s">
        <v>135</v>
      </c>
      <c r="G39" s="197">
        <v>150</v>
      </c>
      <c r="H39" s="73">
        <v>262</v>
      </c>
      <c r="I39" s="73">
        <v>254.251</v>
      </c>
      <c r="J39" s="80">
        <f t="shared" si="1"/>
        <v>7.7489999999999952</v>
      </c>
      <c r="K39" s="74">
        <f t="shared" si="0"/>
        <v>1162.3499999999992</v>
      </c>
      <c r="L39" s="90"/>
      <c r="M39" s="52"/>
      <c r="O39" s="77"/>
      <c r="P39" s="78"/>
    </row>
    <row r="40" spans="2:16" ht="18" customHeight="1">
      <c r="B40" s="35">
        <v>28</v>
      </c>
      <c r="C40" s="96">
        <v>45945</v>
      </c>
      <c r="D40" s="96">
        <v>45945</v>
      </c>
      <c r="E40" s="97" t="s">
        <v>79</v>
      </c>
      <c r="F40" s="199" t="s">
        <v>135</v>
      </c>
      <c r="G40" s="197">
        <v>150</v>
      </c>
      <c r="H40" s="73">
        <v>262</v>
      </c>
      <c r="I40" s="73">
        <v>254.32300000000001</v>
      </c>
      <c r="J40" s="80">
        <f t="shared" si="1"/>
        <v>7.6769999999999925</v>
      </c>
      <c r="K40" s="74">
        <f t="shared" si="0"/>
        <v>1151.5499999999988</v>
      </c>
      <c r="L40" s="90"/>
      <c r="M40" s="52"/>
      <c r="O40" s="77"/>
      <c r="P40" s="78"/>
    </row>
    <row r="41" spans="2:16" ht="18" customHeight="1">
      <c r="B41" s="35">
        <v>29</v>
      </c>
      <c r="C41" s="96">
        <v>45946</v>
      </c>
      <c r="D41" s="96">
        <v>45946</v>
      </c>
      <c r="E41" s="97" t="s">
        <v>79</v>
      </c>
      <c r="F41" s="199" t="s">
        <v>135</v>
      </c>
      <c r="G41" s="197">
        <v>150</v>
      </c>
      <c r="H41" s="73">
        <v>262</v>
      </c>
      <c r="I41" s="73">
        <v>254.43100000000001</v>
      </c>
      <c r="J41" s="80">
        <f t="shared" si="1"/>
        <v>7.5689999999999884</v>
      </c>
      <c r="K41" s="74">
        <f t="shared" si="0"/>
        <v>1135.3499999999983</v>
      </c>
      <c r="L41" s="90"/>
      <c r="M41" s="52"/>
      <c r="O41" s="77"/>
      <c r="P41" s="78"/>
    </row>
    <row r="42" spans="2:16" ht="18" customHeight="1">
      <c r="B42" s="35">
        <v>30</v>
      </c>
      <c r="C42" s="96">
        <v>45946</v>
      </c>
      <c r="D42" s="96">
        <v>45946</v>
      </c>
      <c r="E42" s="97" t="s">
        <v>79</v>
      </c>
      <c r="F42" s="199" t="s">
        <v>135</v>
      </c>
      <c r="G42" s="197">
        <v>150</v>
      </c>
      <c r="H42" s="73">
        <v>262</v>
      </c>
      <c r="I42" s="73">
        <v>254.87</v>
      </c>
      <c r="J42" s="80">
        <f t="shared" si="1"/>
        <v>7.1299999999999955</v>
      </c>
      <c r="K42" s="74">
        <f t="shared" si="0"/>
        <v>1069.4999999999993</v>
      </c>
      <c r="L42" s="90"/>
      <c r="M42" s="52"/>
      <c r="O42" s="77"/>
      <c r="P42" s="78"/>
    </row>
    <row r="43" spans="2:16" ht="18" customHeight="1">
      <c r="B43" s="35">
        <v>31</v>
      </c>
      <c r="C43" s="96">
        <v>45946</v>
      </c>
      <c r="D43" s="96">
        <v>45946</v>
      </c>
      <c r="E43" s="97" t="s">
        <v>79</v>
      </c>
      <c r="F43" s="199" t="s">
        <v>135</v>
      </c>
      <c r="G43" s="197">
        <v>150</v>
      </c>
      <c r="H43" s="73">
        <v>262</v>
      </c>
      <c r="I43" s="73">
        <v>254.52699999999999</v>
      </c>
      <c r="J43" s="80">
        <f t="shared" si="1"/>
        <v>7.4730000000000132</v>
      </c>
      <c r="K43" s="74">
        <f t="shared" si="0"/>
        <v>1120.9500000000021</v>
      </c>
      <c r="L43" s="90"/>
      <c r="M43" s="52"/>
      <c r="O43" s="77"/>
      <c r="P43" s="78"/>
    </row>
    <row r="44" spans="2:16" ht="18" customHeight="1">
      <c r="B44" s="35">
        <v>32</v>
      </c>
      <c r="C44" s="96">
        <v>45946</v>
      </c>
      <c r="D44" s="96">
        <v>45946</v>
      </c>
      <c r="E44" s="97" t="s">
        <v>79</v>
      </c>
      <c r="F44" s="199" t="s">
        <v>135</v>
      </c>
      <c r="G44" s="197">
        <v>150</v>
      </c>
      <c r="H44" s="73">
        <v>262</v>
      </c>
      <c r="I44" s="73">
        <v>254.65</v>
      </c>
      <c r="J44" s="80">
        <f t="shared" si="1"/>
        <v>7.3499999999999943</v>
      </c>
      <c r="K44" s="74">
        <f t="shared" si="0"/>
        <v>1102.4999999999991</v>
      </c>
      <c r="L44" s="90"/>
      <c r="M44" s="52"/>
      <c r="O44" s="77"/>
      <c r="P44" s="78"/>
    </row>
    <row r="45" spans="2:16" ht="18" customHeight="1">
      <c r="B45" s="35">
        <v>33</v>
      </c>
      <c r="C45" s="96">
        <v>45947</v>
      </c>
      <c r="D45" s="96">
        <v>45947</v>
      </c>
      <c r="E45" s="97" t="s">
        <v>79</v>
      </c>
      <c r="F45" s="199" t="s">
        <v>135</v>
      </c>
      <c r="G45" s="197">
        <v>150</v>
      </c>
      <c r="H45" s="73">
        <v>262</v>
      </c>
      <c r="I45" s="73">
        <v>254.78</v>
      </c>
      <c r="J45" s="80">
        <f t="shared" si="1"/>
        <v>7.2199999999999989</v>
      </c>
      <c r="K45" s="74">
        <f t="shared" si="0"/>
        <v>1082.9999999999998</v>
      </c>
      <c r="L45" s="90"/>
      <c r="M45" s="52"/>
      <c r="O45" s="77"/>
      <c r="P45" s="78"/>
    </row>
    <row r="46" spans="2:16" ht="18" customHeight="1">
      <c r="B46" s="35">
        <v>34</v>
      </c>
      <c r="C46" s="96">
        <v>45947</v>
      </c>
      <c r="D46" s="96">
        <v>45947</v>
      </c>
      <c r="E46" s="97" t="s">
        <v>79</v>
      </c>
      <c r="F46" s="199" t="s">
        <v>135</v>
      </c>
      <c r="G46" s="197">
        <v>150</v>
      </c>
      <c r="H46" s="73">
        <v>262</v>
      </c>
      <c r="I46" s="73">
        <v>254.85</v>
      </c>
      <c r="J46" s="80">
        <f t="shared" si="1"/>
        <v>7.1500000000000057</v>
      </c>
      <c r="K46" s="74">
        <f t="shared" si="0"/>
        <v>1072.5000000000009</v>
      </c>
      <c r="L46" s="90"/>
      <c r="M46" s="52"/>
      <c r="O46" s="77"/>
      <c r="P46" s="78"/>
    </row>
    <row r="47" spans="2:16" ht="18" customHeight="1">
      <c r="B47" s="35">
        <v>35</v>
      </c>
      <c r="C47" s="96">
        <v>45947</v>
      </c>
      <c r="D47" s="96">
        <v>45947</v>
      </c>
      <c r="E47" s="97" t="s">
        <v>79</v>
      </c>
      <c r="F47" s="199" t="s">
        <v>135</v>
      </c>
      <c r="G47" s="197">
        <v>150</v>
      </c>
      <c r="H47" s="73">
        <v>262</v>
      </c>
      <c r="I47" s="73">
        <v>254.97</v>
      </c>
      <c r="J47" s="80">
        <f t="shared" si="1"/>
        <v>7.0300000000000011</v>
      </c>
      <c r="K47" s="74">
        <f t="shared" si="0"/>
        <v>1054.5000000000002</v>
      </c>
      <c r="L47" s="90"/>
      <c r="M47" s="52"/>
      <c r="O47" s="77"/>
      <c r="P47" s="78"/>
    </row>
    <row r="48" spans="2:16" ht="18" customHeight="1">
      <c r="B48" s="35">
        <v>36</v>
      </c>
      <c r="C48" s="96">
        <v>45947</v>
      </c>
      <c r="D48" s="96">
        <v>45947</v>
      </c>
      <c r="E48" s="97" t="s">
        <v>79</v>
      </c>
      <c r="F48" s="199" t="s">
        <v>135</v>
      </c>
      <c r="G48" s="197">
        <v>150</v>
      </c>
      <c r="H48" s="73">
        <v>262</v>
      </c>
      <c r="I48" s="73">
        <v>254.95</v>
      </c>
      <c r="J48" s="80">
        <f t="shared" si="1"/>
        <v>7.0500000000000114</v>
      </c>
      <c r="K48" s="74">
        <f t="shared" si="0"/>
        <v>1057.5000000000018</v>
      </c>
      <c r="L48" s="90"/>
      <c r="M48" s="52"/>
      <c r="O48" s="77"/>
      <c r="P48" s="78"/>
    </row>
    <row r="49" spans="2:16" ht="20.399999999999999" customHeight="1">
      <c r="B49" s="35">
        <v>37</v>
      </c>
      <c r="C49" s="96">
        <v>45948</v>
      </c>
      <c r="D49" s="96">
        <v>45948</v>
      </c>
      <c r="E49" s="97" t="s">
        <v>79</v>
      </c>
      <c r="F49" s="199" t="s">
        <v>135</v>
      </c>
      <c r="G49" s="197">
        <v>150</v>
      </c>
      <c r="H49" s="73">
        <v>262</v>
      </c>
      <c r="I49" s="73">
        <v>260.97000000000003</v>
      </c>
      <c r="J49" s="80">
        <f t="shared" si="1"/>
        <v>1.0299999999999727</v>
      </c>
      <c r="K49" s="74">
        <f t="shared" si="0"/>
        <v>154.49999999999591</v>
      </c>
      <c r="L49" s="90"/>
      <c r="M49" s="52"/>
      <c r="O49" s="77"/>
      <c r="P49" s="78"/>
    </row>
    <row r="50" spans="2:16" ht="18" customHeight="1">
      <c r="B50" s="35">
        <v>38</v>
      </c>
      <c r="C50" s="95">
        <v>45948</v>
      </c>
      <c r="D50" s="95">
        <v>45948</v>
      </c>
      <c r="E50" s="99" t="s">
        <v>79</v>
      </c>
      <c r="F50" s="199" t="s">
        <v>135</v>
      </c>
      <c r="G50" s="197">
        <v>150</v>
      </c>
      <c r="H50" s="73">
        <v>262</v>
      </c>
      <c r="I50" s="73">
        <v>261.05</v>
      </c>
      <c r="J50" s="80">
        <f t="shared" si="1"/>
        <v>0.94999999999998863</v>
      </c>
      <c r="K50" s="74">
        <f t="shared" si="0"/>
        <v>142.49999999999829</v>
      </c>
      <c r="L50" s="90"/>
      <c r="M50" s="52"/>
      <c r="O50" s="77"/>
      <c r="P50" s="78"/>
    </row>
    <row r="51" spans="2:16" ht="18" customHeight="1">
      <c r="B51" s="35">
        <v>39</v>
      </c>
      <c r="C51" s="96">
        <v>45948</v>
      </c>
      <c r="D51" s="96">
        <v>45948</v>
      </c>
      <c r="E51" s="97" t="s">
        <v>79</v>
      </c>
      <c r="F51" s="199" t="s">
        <v>135</v>
      </c>
      <c r="G51" s="197">
        <v>150</v>
      </c>
      <c r="H51" s="73">
        <v>262</v>
      </c>
      <c r="I51" s="81">
        <v>261.17</v>
      </c>
      <c r="J51" s="80">
        <f t="shared" si="1"/>
        <v>0.82999999999998408</v>
      </c>
      <c r="K51" s="74">
        <f t="shared" si="0"/>
        <v>124.49999999999761</v>
      </c>
      <c r="L51" s="91"/>
      <c r="M51" s="52"/>
    </row>
    <row r="52" spans="2:16" ht="18" customHeight="1">
      <c r="B52" s="35">
        <v>40</v>
      </c>
      <c r="C52" s="96">
        <v>45950</v>
      </c>
      <c r="D52" s="96">
        <v>45950</v>
      </c>
      <c r="E52" s="97" t="s">
        <v>79</v>
      </c>
      <c r="F52" s="199" t="s">
        <v>135</v>
      </c>
      <c r="G52" s="197">
        <v>150</v>
      </c>
      <c r="H52" s="73">
        <v>262</v>
      </c>
      <c r="I52" s="81">
        <v>254.95</v>
      </c>
      <c r="J52" s="80">
        <f t="shared" si="1"/>
        <v>7.0500000000000114</v>
      </c>
      <c r="K52" s="74">
        <f t="shared" si="0"/>
        <v>1057.5000000000018</v>
      </c>
      <c r="L52" s="91"/>
      <c r="M52" s="52"/>
    </row>
    <row r="53" spans="2:16" ht="18" customHeight="1">
      <c r="B53" s="35">
        <v>41</v>
      </c>
      <c r="C53" s="95">
        <v>45950</v>
      </c>
      <c r="D53" s="95">
        <v>45950</v>
      </c>
      <c r="E53" s="99" t="s">
        <v>79</v>
      </c>
      <c r="F53" s="199" t="s">
        <v>135</v>
      </c>
      <c r="G53" s="197">
        <v>150</v>
      </c>
      <c r="H53" s="73">
        <v>262</v>
      </c>
      <c r="I53" s="81">
        <v>255.75</v>
      </c>
      <c r="J53" s="80">
        <f t="shared" si="1"/>
        <v>6.25</v>
      </c>
      <c r="K53" s="74">
        <f t="shared" si="0"/>
        <v>937.5</v>
      </c>
      <c r="L53" s="91"/>
      <c r="M53" s="52"/>
    </row>
    <row r="54" spans="2:16" ht="18" customHeight="1">
      <c r="B54" s="35">
        <v>42</v>
      </c>
      <c r="C54" s="96">
        <v>45950</v>
      </c>
      <c r="D54" s="96">
        <v>45950</v>
      </c>
      <c r="E54" s="97" t="s">
        <v>79</v>
      </c>
      <c r="F54" s="199" t="s">
        <v>135</v>
      </c>
      <c r="G54" s="197">
        <v>150</v>
      </c>
      <c r="H54" s="73">
        <v>262</v>
      </c>
      <c r="I54" s="73">
        <v>259.81</v>
      </c>
      <c r="J54" s="80">
        <f t="shared" si="1"/>
        <v>2.1899999999999977</v>
      </c>
      <c r="K54" s="74">
        <f t="shared" si="0"/>
        <v>328.49999999999966</v>
      </c>
      <c r="L54" s="90"/>
      <c r="M54" s="52"/>
    </row>
    <row r="55" spans="2:16" ht="18" customHeight="1">
      <c r="B55" s="35">
        <v>43</v>
      </c>
      <c r="C55" s="95">
        <v>45950</v>
      </c>
      <c r="D55" s="95">
        <v>45950</v>
      </c>
      <c r="E55" s="99" t="s">
        <v>79</v>
      </c>
      <c r="F55" s="199" t="s">
        <v>135</v>
      </c>
      <c r="G55" s="197">
        <v>150</v>
      </c>
      <c r="H55" s="73">
        <v>262</v>
      </c>
      <c r="I55" s="73">
        <v>259.68</v>
      </c>
      <c r="J55" s="80">
        <f t="shared" si="1"/>
        <v>2.3199999999999932</v>
      </c>
      <c r="K55" s="74">
        <f t="shared" si="0"/>
        <v>347.99999999999898</v>
      </c>
      <c r="L55" s="90"/>
      <c r="M55" s="52"/>
    </row>
    <row r="56" spans="2:16" ht="18" customHeight="1">
      <c r="B56" s="35">
        <v>44</v>
      </c>
      <c r="C56" s="96">
        <v>45951</v>
      </c>
      <c r="D56" s="96">
        <v>45951</v>
      </c>
      <c r="E56" s="98" t="s">
        <v>79</v>
      </c>
      <c r="F56" s="199" t="s">
        <v>135</v>
      </c>
      <c r="G56" s="197">
        <v>150</v>
      </c>
      <c r="H56" s="73">
        <v>262</v>
      </c>
      <c r="I56" s="73">
        <v>259.63</v>
      </c>
      <c r="J56" s="80">
        <f t="shared" si="1"/>
        <v>2.3700000000000045</v>
      </c>
      <c r="K56" s="74">
        <f t="shared" si="0"/>
        <v>355.50000000000068</v>
      </c>
      <c r="L56" s="90"/>
      <c r="M56" s="52"/>
    </row>
    <row r="57" spans="2:16" ht="18" customHeight="1">
      <c r="B57" s="35">
        <v>45</v>
      </c>
      <c r="C57" s="95">
        <v>45951</v>
      </c>
      <c r="D57" s="95">
        <v>45951</v>
      </c>
      <c r="E57" s="80" t="s">
        <v>79</v>
      </c>
      <c r="F57" s="199" t="s">
        <v>135</v>
      </c>
      <c r="G57" s="197">
        <v>150</v>
      </c>
      <c r="H57" s="73">
        <v>262</v>
      </c>
      <c r="I57" s="73">
        <v>259.5</v>
      </c>
      <c r="J57" s="80">
        <f t="shared" si="1"/>
        <v>2.5</v>
      </c>
      <c r="K57" s="74">
        <f t="shared" si="0"/>
        <v>375</v>
      </c>
      <c r="L57" s="90"/>
      <c r="M57" s="52"/>
    </row>
    <row r="58" spans="2:16" ht="18" customHeight="1">
      <c r="B58" s="35">
        <v>46</v>
      </c>
      <c r="C58" s="96">
        <v>45951</v>
      </c>
      <c r="D58" s="96">
        <v>45951</v>
      </c>
      <c r="E58" s="98" t="s">
        <v>79</v>
      </c>
      <c r="F58" s="199" t="s">
        <v>135</v>
      </c>
      <c r="G58" s="197">
        <v>150</v>
      </c>
      <c r="H58" s="73">
        <v>262</v>
      </c>
      <c r="I58" s="81">
        <v>255.81</v>
      </c>
      <c r="J58" s="80">
        <f t="shared" si="1"/>
        <v>6.1899999999999977</v>
      </c>
      <c r="K58" s="74">
        <f t="shared" si="0"/>
        <v>928.49999999999966</v>
      </c>
      <c r="L58" s="91"/>
      <c r="M58" s="53"/>
    </row>
    <row r="59" spans="2:16" s="28" customFormat="1" ht="18" customHeight="1">
      <c r="B59" s="35">
        <v>47</v>
      </c>
      <c r="C59" s="95">
        <v>45952</v>
      </c>
      <c r="D59" s="95">
        <v>45952</v>
      </c>
      <c r="E59" s="80" t="s">
        <v>79</v>
      </c>
      <c r="F59" s="199" t="s">
        <v>135</v>
      </c>
      <c r="G59" s="197">
        <v>150</v>
      </c>
      <c r="H59" s="73">
        <v>262</v>
      </c>
      <c r="I59" s="81">
        <v>259.25</v>
      </c>
      <c r="J59" s="80">
        <f t="shared" si="1"/>
        <v>2.75</v>
      </c>
      <c r="K59" s="74">
        <f t="shared" si="0"/>
        <v>412.5</v>
      </c>
      <c r="L59" s="90"/>
      <c r="M59" s="67"/>
    </row>
    <row r="60" spans="2:16" s="28" customFormat="1" ht="18" customHeight="1">
      <c r="B60" s="35">
        <v>48</v>
      </c>
      <c r="C60" s="96">
        <v>45952</v>
      </c>
      <c r="D60" s="96">
        <v>45952</v>
      </c>
      <c r="E60" s="98" t="s">
        <v>79</v>
      </c>
      <c r="F60" s="199" t="s">
        <v>135</v>
      </c>
      <c r="G60" s="197">
        <v>150</v>
      </c>
      <c r="H60" s="73">
        <v>262</v>
      </c>
      <c r="I60" s="81">
        <v>259.21199999999999</v>
      </c>
      <c r="J60" s="80">
        <f t="shared" si="1"/>
        <v>2.7880000000000109</v>
      </c>
      <c r="K60" s="74">
        <f t="shared" si="0"/>
        <v>418.20000000000164</v>
      </c>
      <c r="L60" s="90"/>
      <c r="M60" s="67"/>
    </row>
    <row r="61" spans="2:16" s="28" customFormat="1" ht="18" customHeight="1">
      <c r="B61" s="35">
        <v>49</v>
      </c>
      <c r="C61" s="95">
        <v>45953</v>
      </c>
      <c r="D61" s="95">
        <v>45953</v>
      </c>
      <c r="E61" s="99" t="s">
        <v>79</v>
      </c>
      <c r="F61" s="199" t="s">
        <v>135</v>
      </c>
      <c r="G61" s="197">
        <v>150</v>
      </c>
      <c r="H61" s="73">
        <v>262</v>
      </c>
      <c r="I61" s="81">
        <v>254.95</v>
      </c>
      <c r="J61" s="80">
        <f t="shared" si="1"/>
        <v>7.0500000000000114</v>
      </c>
      <c r="K61" s="74">
        <f t="shared" si="0"/>
        <v>1057.5000000000018</v>
      </c>
      <c r="L61" s="90"/>
      <c r="M61" s="67"/>
    </row>
    <row r="62" spans="2:16" ht="18" customHeight="1">
      <c r="B62" s="35">
        <v>50</v>
      </c>
      <c r="C62" s="205">
        <v>45954</v>
      </c>
      <c r="D62" s="205">
        <v>45955</v>
      </c>
      <c r="E62" s="99" t="s">
        <v>23</v>
      </c>
      <c r="F62" s="199" t="s">
        <v>136</v>
      </c>
      <c r="G62" s="197">
        <v>337</v>
      </c>
      <c r="H62" s="73">
        <v>262</v>
      </c>
      <c r="I62" s="81">
        <v>5</v>
      </c>
      <c r="J62" s="80">
        <f t="shared" si="1"/>
        <v>257</v>
      </c>
      <c r="K62" s="74">
        <f t="shared" si="0"/>
        <v>86609</v>
      </c>
      <c r="L62" s="91"/>
      <c r="M62" s="54"/>
      <c r="N62" s="18"/>
    </row>
    <row r="63" spans="2:16" s="28" customFormat="1" ht="18" customHeight="1">
      <c r="B63" s="35">
        <v>51</v>
      </c>
      <c r="C63" s="96">
        <v>45954</v>
      </c>
      <c r="D63" s="96">
        <v>45954</v>
      </c>
      <c r="E63" s="98" t="s">
        <v>79</v>
      </c>
      <c r="F63" s="199" t="s">
        <v>135</v>
      </c>
      <c r="G63" s="206">
        <v>125</v>
      </c>
      <c r="H63" s="207">
        <v>262</v>
      </c>
      <c r="I63" s="208">
        <v>255.91</v>
      </c>
      <c r="J63" s="199">
        <f t="shared" ref="J63:J64" si="2">H63-I63</f>
        <v>6.0900000000000034</v>
      </c>
      <c r="K63" s="209">
        <f t="shared" ref="K63:K64" si="3">G63*J63</f>
        <v>761.25000000000045</v>
      </c>
      <c r="L63" s="90"/>
      <c r="M63" s="67"/>
    </row>
    <row r="64" spans="2:16" s="28" customFormat="1" ht="18" customHeight="1">
      <c r="B64" s="35">
        <v>52</v>
      </c>
      <c r="C64" s="96">
        <v>45954</v>
      </c>
      <c r="D64" s="96">
        <v>45954</v>
      </c>
      <c r="E64" s="99" t="s">
        <v>79</v>
      </c>
      <c r="F64" s="199" t="s">
        <v>135</v>
      </c>
      <c r="G64" s="206">
        <v>125</v>
      </c>
      <c r="H64" s="207">
        <v>262</v>
      </c>
      <c r="I64" s="208">
        <v>256.10000000000002</v>
      </c>
      <c r="J64" s="199">
        <f t="shared" si="2"/>
        <v>5.8999999999999773</v>
      </c>
      <c r="K64" s="209">
        <f t="shared" si="3"/>
        <v>737.49999999999716</v>
      </c>
      <c r="L64" s="90"/>
      <c r="M64" s="67"/>
    </row>
    <row r="65" spans="1:22" s="28" customFormat="1" ht="18" customHeight="1">
      <c r="B65" s="35">
        <v>53</v>
      </c>
      <c r="C65" s="96">
        <v>45959</v>
      </c>
      <c r="D65" s="96">
        <v>45959</v>
      </c>
      <c r="E65" s="98" t="s">
        <v>79</v>
      </c>
      <c r="F65" s="199" t="s">
        <v>135</v>
      </c>
      <c r="G65" s="206">
        <v>100</v>
      </c>
      <c r="H65" s="207">
        <v>262</v>
      </c>
      <c r="I65" s="208">
        <v>256.17</v>
      </c>
      <c r="J65" s="199">
        <f t="shared" ref="J65:J66" si="4">H65-I65</f>
        <v>5.8299999999999841</v>
      </c>
      <c r="K65" s="209">
        <f t="shared" ref="K65:K66" si="5">G65*J65</f>
        <v>582.99999999999841</v>
      </c>
      <c r="L65" s="90"/>
      <c r="M65" s="67"/>
    </row>
    <row r="66" spans="1:22" s="28" customFormat="1" ht="18" customHeight="1">
      <c r="B66" s="35">
        <v>54</v>
      </c>
      <c r="C66" s="96">
        <v>45959</v>
      </c>
      <c r="D66" s="96">
        <v>45959</v>
      </c>
      <c r="E66" s="99" t="s">
        <v>79</v>
      </c>
      <c r="F66" s="199" t="s">
        <v>135</v>
      </c>
      <c r="G66" s="206">
        <v>100</v>
      </c>
      <c r="H66" s="207">
        <v>262</v>
      </c>
      <c r="I66" s="208">
        <v>256.22800000000001</v>
      </c>
      <c r="J66" s="199">
        <f t="shared" si="4"/>
        <v>5.7719999999999914</v>
      </c>
      <c r="K66" s="209">
        <f t="shared" si="5"/>
        <v>577.19999999999914</v>
      </c>
      <c r="L66" s="90"/>
      <c r="M66" s="67"/>
    </row>
    <row r="67" spans="1:22" ht="18" customHeight="1">
      <c r="B67" s="35">
        <v>55</v>
      </c>
      <c r="C67" s="96">
        <v>45960</v>
      </c>
      <c r="D67" s="96">
        <v>45960</v>
      </c>
      <c r="E67" s="99" t="s">
        <v>79</v>
      </c>
      <c r="F67" s="199" t="s">
        <v>135</v>
      </c>
      <c r="G67" s="206">
        <v>100</v>
      </c>
      <c r="H67" s="207">
        <v>262</v>
      </c>
      <c r="I67" s="208">
        <v>256.3</v>
      </c>
      <c r="J67" s="199">
        <f t="shared" ref="J67:J69" si="6">H67-I67</f>
        <v>5.6999999999999886</v>
      </c>
      <c r="K67" s="209">
        <f t="shared" ref="K67:K69" si="7">G67*J67</f>
        <v>569.99999999999886</v>
      </c>
      <c r="L67" s="91"/>
      <c r="M67" s="54"/>
      <c r="N67" s="18"/>
    </row>
    <row r="68" spans="1:22" ht="18" customHeight="1">
      <c r="B68" s="35">
        <v>56</v>
      </c>
      <c r="C68" s="96">
        <v>45960</v>
      </c>
      <c r="D68" s="96">
        <v>45960</v>
      </c>
      <c r="E68" s="99" t="s">
        <v>79</v>
      </c>
      <c r="F68" s="199" t="s">
        <v>135</v>
      </c>
      <c r="G68" s="206">
        <v>100</v>
      </c>
      <c r="H68" s="207">
        <v>262</v>
      </c>
      <c r="I68" s="208">
        <v>256.37</v>
      </c>
      <c r="J68" s="199">
        <f t="shared" si="6"/>
        <v>5.6299999999999955</v>
      </c>
      <c r="K68" s="209">
        <f t="shared" si="7"/>
        <v>562.99999999999955</v>
      </c>
      <c r="L68" s="91"/>
      <c r="M68" s="54"/>
      <c r="N68" s="18"/>
    </row>
    <row r="69" spans="1:22" ht="18" customHeight="1">
      <c r="B69" s="35">
        <v>57</v>
      </c>
      <c r="C69" s="96">
        <v>45960</v>
      </c>
      <c r="D69" s="96">
        <v>45960</v>
      </c>
      <c r="E69" s="99" t="s">
        <v>79</v>
      </c>
      <c r="F69" s="199" t="s">
        <v>135</v>
      </c>
      <c r="G69" s="206">
        <v>100</v>
      </c>
      <c r="H69" s="207">
        <v>262</v>
      </c>
      <c r="I69" s="208">
        <v>256.44</v>
      </c>
      <c r="J69" s="199">
        <f t="shared" si="6"/>
        <v>5.5600000000000023</v>
      </c>
      <c r="K69" s="209">
        <f t="shared" si="7"/>
        <v>556.00000000000023</v>
      </c>
      <c r="L69" s="91"/>
      <c r="M69" s="54"/>
      <c r="N69" s="18"/>
    </row>
    <row r="70" spans="1:22" ht="18" customHeight="1">
      <c r="B70" s="35">
        <v>56</v>
      </c>
      <c r="C70" s="96">
        <v>45961</v>
      </c>
      <c r="D70" s="96">
        <v>45961</v>
      </c>
      <c r="E70" s="99" t="s">
        <v>79</v>
      </c>
      <c r="F70" s="199" t="s">
        <v>135</v>
      </c>
      <c r="G70" s="206">
        <v>100</v>
      </c>
      <c r="H70" s="207">
        <v>262</v>
      </c>
      <c r="I70" s="208">
        <v>256.51</v>
      </c>
      <c r="J70" s="199">
        <f t="shared" ref="J70:J71" si="8">H70-I70</f>
        <v>5.4900000000000091</v>
      </c>
      <c r="K70" s="209">
        <f t="shared" ref="K70:K71" si="9">G70*J70</f>
        <v>549.00000000000091</v>
      </c>
      <c r="L70" s="91"/>
      <c r="M70" s="54"/>
      <c r="N70" s="18"/>
    </row>
    <row r="71" spans="1:22" ht="18" customHeight="1">
      <c r="B71" s="35">
        <v>57</v>
      </c>
      <c r="C71" s="96">
        <v>45961</v>
      </c>
      <c r="D71" s="96">
        <v>45961</v>
      </c>
      <c r="E71" s="99" t="s">
        <v>79</v>
      </c>
      <c r="F71" s="199" t="s">
        <v>135</v>
      </c>
      <c r="G71" s="206">
        <v>100</v>
      </c>
      <c r="H71" s="207">
        <v>262</v>
      </c>
      <c r="I71" s="208">
        <v>256.58</v>
      </c>
      <c r="J71" s="199">
        <f t="shared" si="8"/>
        <v>5.4200000000000159</v>
      </c>
      <c r="K71" s="209">
        <f t="shared" si="9"/>
        <v>542.00000000000159</v>
      </c>
      <c r="L71" s="91"/>
      <c r="M71" s="54"/>
      <c r="N71" s="18"/>
    </row>
    <row r="72" spans="1:22">
      <c r="B72" s="4"/>
      <c r="D72" s="3"/>
      <c r="F72" s="6" t="s">
        <v>27</v>
      </c>
      <c r="G72" s="82">
        <f>ROUND(SUM(G13:G71),0)</f>
        <v>9516</v>
      </c>
      <c r="J72" s="75">
        <f>SUM(J14:J62)</f>
        <v>1339.2959999999996</v>
      </c>
      <c r="K72" s="76">
        <f>SUM(K14:K62)</f>
        <v>389817.2</v>
      </c>
      <c r="L72" s="56"/>
    </row>
    <row r="73" spans="1:22">
      <c r="C73" s="84"/>
      <c r="G73" s="58"/>
    </row>
    <row r="74" spans="1:22" ht="25.5" customHeight="1" thickBot="1">
      <c r="A74" s="173" t="s">
        <v>28</v>
      </c>
      <c r="B74" s="173"/>
      <c r="C74" s="173"/>
      <c r="D74" s="173"/>
      <c r="E74" s="173"/>
      <c r="F74" s="173"/>
      <c r="G74" s="174" t="s">
        <v>29</v>
      </c>
      <c r="H74" s="174"/>
      <c r="I74" s="174"/>
      <c r="J74" s="174"/>
      <c r="K74" s="174"/>
      <c r="L74" s="174"/>
      <c r="S74" s="181"/>
      <c r="T74" s="181"/>
      <c r="U74" s="181"/>
      <c r="V74" s="181"/>
    </row>
    <row r="75" spans="1:22" ht="39.75" customHeight="1" thickBot="1">
      <c r="A75" s="156" t="s">
        <v>82</v>
      </c>
      <c r="B75" s="156"/>
      <c r="C75" s="156"/>
      <c r="D75" s="156"/>
      <c r="E75" s="156"/>
      <c r="F75" s="157"/>
      <c r="G75" s="7" t="s">
        <v>30</v>
      </c>
      <c r="H75" s="8" t="s">
        <v>31</v>
      </c>
      <c r="I75" s="8" t="s">
        <v>32</v>
      </c>
      <c r="J75" s="61" t="s">
        <v>74</v>
      </c>
      <c r="K75" s="8" t="s">
        <v>33</v>
      </c>
      <c r="L75" s="8" t="s">
        <v>34</v>
      </c>
      <c r="M75" s="14" t="s">
        <v>35</v>
      </c>
      <c r="O75" s="79"/>
      <c r="S75" s="69"/>
      <c r="T75" s="69"/>
      <c r="U75" s="69"/>
      <c r="V75" s="69"/>
    </row>
    <row r="76" spans="1:22" ht="15" thickTop="1" thickBot="1">
      <c r="A76" s="156"/>
      <c r="B76" s="156"/>
      <c r="C76" s="156"/>
      <c r="D76" s="156"/>
      <c r="E76" s="156"/>
      <c r="F76" s="157"/>
      <c r="G76" s="9" t="s">
        <v>36</v>
      </c>
      <c r="H76" s="10">
        <f>(3787239/(1+19%))</f>
        <v>3182553.781512605</v>
      </c>
      <c r="I76" s="10">
        <f>(565837.93/(1+19%))</f>
        <v>475494.05882352946</v>
      </c>
      <c r="J76" s="62">
        <f>(1254532/(1+19%))</f>
        <v>1054228.5714285714</v>
      </c>
      <c r="K76" s="153">
        <f>(8*1.0928)*1.052</f>
        <v>9.1970048000000002</v>
      </c>
      <c r="L76" s="154">
        <v>0.8</v>
      </c>
      <c r="M76" s="68">
        <v>188</v>
      </c>
      <c r="S76" s="70"/>
      <c r="T76" s="71"/>
      <c r="U76" s="71"/>
      <c r="V76" s="180"/>
    </row>
    <row r="77" spans="1:22" ht="15.6" customHeight="1" thickTop="1" thickBot="1">
      <c r="A77" s="156"/>
      <c r="B77" s="156"/>
      <c r="C77" s="156"/>
      <c r="D77" s="156"/>
      <c r="E77" s="156"/>
      <c r="F77" s="157"/>
      <c r="G77" s="11" t="s">
        <v>37</v>
      </c>
      <c r="H77" s="12">
        <f>+H76/30</f>
        <v>106085.12605042016</v>
      </c>
      <c r="I77" s="12">
        <f>+I76/30</f>
        <v>15849.801960784314</v>
      </c>
      <c r="J77" s="62">
        <f>+J76/30</f>
        <v>35140.952380952382</v>
      </c>
      <c r="K77" s="153"/>
      <c r="L77" s="155"/>
      <c r="M77" s="68">
        <v>188</v>
      </c>
      <c r="S77" s="70"/>
      <c r="T77" s="71"/>
      <c r="U77" s="71"/>
      <c r="V77" s="180"/>
    </row>
    <row r="78" spans="1:22">
      <c r="A78" s="13"/>
      <c r="B78" s="85"/>
      <c r="C78" s="85"/>
      <c r="D78" s="86"/>
      <c r="E78" s="13"/>
      <c r="F78" s="13"/>
      <c r="G78" s="13"/>
      <c r="M78" s="185"/>
      <c r="N78" s="185"/>
    </row>
    <row r="79" spans="1:22">
      <c r="A79" s="170" t="s">
        <v>38</v>
      </c>
      <c r="B79" s="170"/>
      <c r="C79" s="170"/>
      <c r="D79" s="170"/>
      <c r="E79" s="170"/>
      <c r="F79" s="170"/>
      <c r="G79" s="172" t="s">
        <v>39</v>
      </c>
      <c r="H79" s="172"/>
      <c r="I79" s="172"/>
      <c r="J79" s="172"/>
      <c r="K79" s="172"/>
      <c r="L79" s="172"/>
      <c r="M79" s="187" t="s">
        <v>40</v>
      </c>
      <c r="N79" s="187"/>
      <c r="O79" s="187"/>
      <c r="P79" s="187"/>
      <c r="Q79" s="187"/>
      <c r="R79" s="186" t="s">
        <v>41</v>
      </c>
      <c r="S79" s="186"/>
      <c r="T79" s="186"/>
      <c r="U79" s="204" t="s">
        <v>75</v>
      </c>
      <c r="V79" s="204" t="s">
        <v>76</v>
      </c>
    </row>
    <row r="80" spans="1:22" hidden="1">
      <c r="A80" s="16"/>
      <c r="B80" s="55"/>
      <c r="C80" s="55"/>
      <c r="D80" s="16"/>
      <c r="E80" s="16"/>
      <c r="F80" s="16"/>
      <c r="G80" s="16"/>
      <c r="H80" s="16"/>
      <c r="I80" s="16"/>
      <c r="J80" s="16"/>
      <c r="K80" s="30"/>
      <c r="L80" s="16"/>
      <c r="M80" s="16"/>
      <c r="N80" s="16"/>
      <c r="O80" s="16"/>
      <c r="P80" s="16"/>
      <c r="Q80" s="16"/>
      <c r="R80" s="16"/>
      <c r="S80" s="16" t="s">
        <v>42</v>
      </c>
      <c r="T80" s="29">
        <v>10171</v>
      </c>
      <c r="U80" s="204"/>
      <c r="V80" s="204"/>
    </row>
    <row r="81" spans="1:22" s="1" customFormat="1" ht="57" customHeight="1">
      <c r="A81" s="21" t="s">
        <v>13</v>
      </c>
      <c r="B81" s="171" t="s">
        <v>43</v>
      </c>
      <c r="C81" s="171"/>
      <c r="D81" s="171"/>
      <c r="E81" s="22" t="s">
        <v>14</v>
      </c>
      <c r="F81" s="22" t="s">
        <v>15</v>
      </c>
      <c r="G81" s="21" t="s">
        <v>44</v>
      </c>
      <c r="H81" s="21" t="s">
        <v>45</v>
      </c>
      <c r="I81" s="21" t="s">
        <v>46</v>
      </c>
      <c r="J81" s="21" t="s">
        <v>47</v>
      </c>
      <c r="K81" s="21" t="s">
        <v>48</v>
      </c>
      <c r="L81" s="23" t="s">
        <v>49</v>
      </c>
      <c r="M81" s="21" t="s">
        <v>50</v>
      </c>
      <c r="N81" s="21" t="s">
        <v>21</v>
      </c>
      <c r="O81" s="24" t="s">
        <v>22</v>
      </c>
      <c r="P81" s="21" t="s">
        <v>51</v>
      </c>
      <c r="Q81" s="21" t="s">
        <v>52</v>
      </c>
      <c r="R81" s="21" t="s">
        <v>53</v>
      </c>
      <c r="S81" s="21" t="s">
        <v>54</v>
      </c>
      <c r="T81" s="21" t="s">
        <v>55</v>
      </c>
      <c r="U81" s="204"/>
      <c r="V81" s="204"/>
    </row>
    <row r="82" spans="1:22" ht="70.2" customHeight="1">
      <c r="A82" s="16">
        <v>1</v>
      </c>
      <c r="B82" s="141" t="s">
        <v>85</v>
      </c>
      <c r="C82" s="141"/>
      <c r="D82" s="141"/>
      <c r="E82" s="55">
        <f>C13</f>
        <v>45930</v>
      </c>
      <c r="F82" s="55">
        <f>D13</f>
        <v>45931</v>
      </c>
      <c r="G82" s="16">
        <v>2</v>
      </c>
      <c r="H82" s="16">
        <v>1</v>
      </c>
      <c r="I82" s="25">
        <f>+H82*H$77*G82</f>
        <v>212170.25210084033</v>
      </c>
      <c r="J82" s="16">
        <v>12</v>
      </c>
      <c r="K82" s="25">
        <f>+J82*I$77*G82</f>
        <v>380395.24705882353</v>
      </c>
      <c r="L82" s="59">
        <f>I82+K82</f>
        <v>592565.49915966392</v>
      </c>
      <c r="M82" s="17">
        <f>+G13</f>
        <v>332.3</v>
      </c>
      <c r="N82" s="16">
        <f>+J13</f>
        <v>257</v>
      </c>
      <c r="O82" s="60">
        <f>+M82*N82</f>
        <v>85401.1</v>
      </c>
      <c r="P82" s="30">
        <f>+O82*$K$76</f>
        <v>785434.32662528008</v>
      </c>
      <c r="Q82" s="72"/>
      <c r="R82" s="36">
        <f>+N82*2+M76</f>
        <v>702</v>
      </c>
      <c r="S82" s="37">
        <f t="shared" ref="S82:S136" si="10">+R82*$L$76</f>
        <v>561.6</v>
      </c>
      <c r="T82" s="30">
        <f t="shared" ref="T82:T136" si="11">+$T$80*S82</f>
        <v>5712033.6000000006</v>
      </c>
      <c r="U82" s="16"/>
      <c r="V82" s="125" t="s">
        <v>78</v>
      </c>
    </row>
    <row r="83" spans="1:22" ht="61.8" customHeight="1">
      <c r="A83" s="16">
        <v>2</v>
      </c>
      <c r="B83" s="141"/>
      <c r="C83" s="141"/>
      <c r="D83" s="141"/>
      <c r="E83" s="210">
        <f t="shared" ref="E83:F83" si="12">C14</f>
        <v>45932</v>
      </c>
      <c r="F83" s="55">
        <f t="shared" si="12"/>
        <v>45932</v>
      </c>
      <c r="G83" s="16">
        <v>1</v>
      </c>
      <c r="H83" s="16">
        <v>1</v>
      </c>
      <c r="I83" s="25">
        <f>+H83*H$77*G83</f>
        <v>106085.12605042016</v>
      </c>
      <c r="J83" s="16">
        <v>6</v>
      </c>
      <c r="K83" s="25">
        <f>+J83*J$77*G83</f>
        <v>210845.71428571429</v>
      </c>
      <c r="L83" s="59">
        <f t="shared" ref="L83:L138" si="13">I83+K83</f>
        <v>316930.84033613442</v>
      </c>
      <c r="M83" s="17">
        <f t="shared" ref="M83:M138" si="14">+G14</f>
        <v>150</v>
      </c>
      <c r="N83" s="16">
        <f t="shared" ref="N83:N138" si="15">+J14</f>
        <v>16.289999999999992</v>
      </c>
      <c r="O83" s="60">
        <f t="shared" ref="O83:O138" si="16">+M83*N83</f>
        <v>2443.4999999999986</v>
      </c>
      <c r="P83" s="30">
        <f t="shared" ref="P83:P140" si="17">+O83*$K$76</f>
        <v>22472.881228799986</v>
      </c>
      <c r="Q83" s="72"/>
      <c r="R83" s="36">
        <f t="shared" ref="R83:R138" si="18">+N83*2</f>
        <v>32.579999999999984</v>
      </c>
      <c r="S83" s="37">
        <f t="shared" ref="S83:S138" si="19">+R83*$L$76</f>
        <v>26.063999999999989</v>
      </c>
      <c r="T83" s="30">
        <f t="shared" ref="T83:T138" si="20">+$T$80*S83</f>
        <v>265096.9439999999</v>
      </c>
      <c r="U83" s="16"/>
      <c r="V83" s="125"/>
    </row>
    <row r="84" spans="1:22" s="28" customFormat="1" ht="61.8" customHeight="1">
      <c r="A84" s="16">
        <v>3</v>
      </c>
      <c r="B84" s="141" t="s">
        <v>90</v>
      </c>
      <c r="C84" s="141"/>
      <c r="D84" s="141"/>
      <c r="E84" s="55">
        <f t="shared" ref="E84:F84" si="21">C15</f>
        <v>45932</v>
      </c>
      <c r="F84" s="55">
        <f t="shared" si="21"/>
        <v>45933</v>
      </c>
      <c r="G84" s="16">
        <v>2</v>
      </c>
      <c r="H84" s="16">
        <v>1</v>
      </c>
      <c r="I84" s="25">
        <f>+H84*H$77*G84</f>
        <v>212170.25210084033</v>
      </c>
      <c r="J84" s="16">
        <v>12</v>
      </c>
      <c r="K84" s="25">
        <f>+J84*I$77*G84</f>
        <v>380395.24705882353</v>
      </c>
      <c r="L84" s="59">
        <f t="shared" si="13"/>
        <v>592565.49915966392</v>
      </c>
      <c r="M84" s="17">
        <f t="shared" si="14"/>
        <v>332.3</v>
      </c>
      <c r="N84" s="16">
        <f t="shared" si="15"/>
        <v>257</v>
      </c>
      <c r="O84" s="60">
        <f t="shared" si="16"/>
        <v>85401.1</v>
      </c>
      <c r="P84" s="30">
        <f t="shared" si="17"/>
        <v>785434.32662528008</v>
      </c>
      <c r="Q84" s="72"/>
      <c r="R84" s="36">
        <f>+N84*2+M76</f>
        <v>702</v>
      </c>
      <c r="S84" s="37">
        <f t="shared" si="19"/>
        <v>561.6</v>
      </c>
      <c r="T84" s="30">
        <f t="shared" si="20"/>
        <v>5712033.6000000006</v>
      </c>
      <c r="U84" s="16"/>
      <c r="V84" s="125" t="s">
        <v>81</v>
      </c>
    </row>
    <row r="85" spans="1:22" s="28" customFormat="1" ht="39" customHeight="1">
      <c r="A85" s="16">
        <v>4</v>
      </c>
      <c r="B85" s="141" t="s">
        <v>146</v>
      </c>
      <c r="C85" s="141"/>
      <c r="D85" s="141"/>
      <c r="E85" s="55">
        <f t="shared" ref="E85:F85" si="22">C16</f>
        <v>45934</v>
      </c>
      <c r="F85" s="55">
        <f t="shared" si="22"/>
        <v>45934</v>
      </c>
      <c r="G85" s="161">
        <v>1</v>
      </c>
      <c r="H85" s="161">
        <v>1</v>
      </c>
      <c r="I85" s="202">
        <f>+H85*H$77*G85</f>
        <v>106085.12605042016</v>
      </c>
      <c r="J85" s="161">
        <v>6</v>
      </c>
      <c r="K85" s="202">
        <f>+J85*J$77*G85</f>
        <v>210845.71428571429</v>
      </c>
      <c r="L85" s="203">
        <f t="shared" si="13"/>
        <v>316930.84033613442</v>
      </c>
      <c r="M85" s="17">
        <f t="shared" si="14"/>
        <v>150</v>
      </c>
      <c r="N85" s="16">
        <f t="shared" si="15"/>
        <v>9.8199999999999932</v>
      </c>
      <c r="O85" s="60">
        <f t="shared" si="16"/>
        <v>1472.9999999999991</v>
      </c>
      <c r="P85" s="30">
        <f t="shared" si="17"/>
        <v>13547.188070399992</v>
      </c>
      <c r="Q85" s="201" t="s">
        <v>138</v>
      </c>
      <c r="R85" s="36">
        <f t="shared" si="18"/>
        <v>19.639999999999986</v>
      </c>
      <c r="S85" s="37">
        <f t="shared" si="19"/>
        <v>15.711999999999989</v>
      </c>
      <c r="T85" s="30">
        <f t="shared" si="20"/>
        <v>159806.75199999989</v>
      </c>
      <c r="U85" s="161"/>
      <c r="V85" s="129"/>
    </row>
    <row r="86" spans="1:22" s="28" customFormat="1" ht="39" customHeight="1">
      <c r="A86" s="16">
        <v>5</v>
      </c>
      <c r="B86" s="141"/>
      <c r="C86" s="141"/>
      <c r="D86" s="141"/>
      <c r="E86" s="55">
        <f t="shared" ref="E86:F86" si="23">C17</f>
        <v>45934</v>
      </c>
      <c r="F86" s="55">
        <f t="shared" si="23"/>
        <v>45934</v>
      </c>
      <c r="G86" s="161"/>
      <c r="H86" s="161"/>
      <c r="I86" s="202"/>
      <c r="J86" s="161"/>
      <c r="K86" s="202"/>
      <c r="L86" s="203"/>
      <c r="M86" s="17">
        <f t="shared" si="14"/>
        <v>150</v>
      </c>
      <c r="N86" s="16">
        <f t="shared" si="15"/>
        <v>9.6299999999999955</v>
      </c>
      <c r="O86" s="60">
        <f t="shared" si="16"/>
        <v>1444.4999999999993</v>
      </c>
      <c r="P86" s="30">
        <f t="shared" si="17"/>
        <v>13285.073433599993</v>
      </c>
      <c r="Q86" s="201"/>
      <c r="R86" s="36">
        <f t="shared" si="18"/>
        <v>19.259999999999991</v>
      </c>
      <c r="S86" s="37">
        <f t="shared" si="19"/>
        <v>15.407999999999994</v>
      </c>
      <c r="T86" s="30">
        <f t="shared" si="20"/>
        <v>156714.76799999995</v>
      </c>
      <c r="U86" s="161"/>
      <c r="V86" s="129"/>
    </row>
    <row r="87" spans="1:22" s="28" customFormat="1" ht="39" customHeight="1">
      <c r="A87" s="16">
        <v>6</v>
      </c>
      <c r="B87" s="141"/>
      <c r="C87" s="141"/>
      <c r="D87" s="141"/>
      <c r="E87" s="55">
        <f t="shared" ref="E87:F87" si="24">C18</f>
        <v>45934</v>
      </c>
      <c r="F87" s="55">
        <f t="shared" si="24"/>
        <v>45935</v>
      </c>
      <c r="G87" s="16">
        <v>2</v>
      </c>
      <c r="H87" s="16">
        <v>1</v>
      </c>
      <c r="I87" s="25">
        <f>+H87*H$77*G87</f>
        <v>212170.25210084033</v>
      </c>
      <c r="J87" s="16">
        <v>12</v>
      </c>
      <c r="K87" s="25">
        <f>+J87*I$77*G87</f>
        <v>380395.24705882353</v>
      </c>
      <c r="L87" s="59">
        <f t="shared" si="13"/>
        <v>592565.49915966392</v>
      </c>
      <c r="M87" s="17">
        <f t="shared" si="14"/>
        <v>332.3</v>
      </c>
      <c r="N87" s="16">
        <f t="shared" si="15"/>
        <v>257</v>
      </c>
      <c r="O87" s="60">
        <f t="shared" si="16"/>
        <v>85401.1</v>
      </c>
      <c r="P87" s="30">
        <f t="shared" si="17"/>
        <v>785434.32662528008</v>
      </c>
      <c r="Q87" s="72"/>
      <c r="R87" s="36">
        <f>+N87*2+M76</f>
        <v>702</v>
      </c>
      <c r="S87" s="37">
        <f t="shared" si="19"/>
        <v>561.6</v>
      </c>
      <c r="T87" s="30">
        <f t="shared" si="20"/>
        <v>5712033.6000000006</v>
      </c>
      <c r="U87" s="16"/>
      <c r="V87" s="125"/>
    </row>
    <row r="88" spans="1:22" s="28" customFormat="1" ht="72.599999999999994" customHeight="1">
      <c r="A88" s="16">
        <v>7</v>
      </c>
      <c r="B88" s="141" t="s">
        <v>146</v>
      </c>
      <c r="C88" s="141"/>
      <c r="D88" s="141"/>
      <c r="E88" s="55">
        <f t="shared" ref="E88:F88" si="25">C19</f>
        <v>45936</v>
      </c>
      <c r="F88" s="55">
        <f t="shared" si="25"/>
        <v>45936</v>
      </c>
      <c r="G88" s="16">
        <v>1</v>
      </c>
      <c r="H88" s="16">
        <v>1</v>
      </c>
      <c r="I88" s="25">
        <f>+H88*H$77*G88</f>
        <v>106085.12605042016</v>
      </c>
      <c r="J88" s="16">
        <v>6</v>
      </c>
      <c r="K88" s="25">
        <f>+J88*J$77*G88</f>
        <v>210845.71428571429</v>
      </c>
      <c r="L88" s="59">
        <f t="shared" si="13"/>
        <v>316930.84033613442</v>
      </c>
      <c r="M88" s="17">
        <f t="shared" si="14"/>
        <v>300</v>
      </c>
      <c r="N88" s="16">
        <f t="shared" si="15"/>
        <v>2.0699999999999932</v>
      </c>
      <c r="O88" s="60">
        <f t="shared" si="16"/>
        <v>620.99999999999795</v>
      </c>
      <c r="P88" s="30">
        <f t="shared" si="17"/>
        <v>5711.3399807999813</v>
      </c>
      <c r="Q88" s="72"/>
      <c r="R88" s="36">
        <f t="shared" si="18"/>
        <v>4.1399999999999864</v>
      </c>
      <c r="S88" s="37">
        <f t="shared" si="19"/>
        <v>3.3119999999999892</v>
      </c>
      <c r="T88" s="30">
        <f t="shared" si="20"/>
        <v>33686.35199999989</v>
      </c>
      <c r="U88" s="16"/>
      <c r="V88" s="125"/>
    </row>
    <row r="89" spans="1:22" s="28" customFormat="1" ht="39" customHeight="1">
      <c r="A89" s="16">
        <v>8</v>
      </c>
      <c r="B89" s="141"/>
      <c r="C89" s="141"/>
      <c r="D89" s="141"/>
      <c r="E89" s="55">
        <f t="shared" ref="E89:F89" si="26">C20</f>
        <v>45936</v>
      </c>
      <c r="F89" s="55">
        <f t="shared" si="26"/>
        <v>45937</v>
      </c>
      <c r="G89" s="16">
        <v>2</v>
      </c>
      <c r="H89" s="16">
        <v>1</v>
      </c>
      <c r="I89" s="25">
        <f>+H89*H$77*G89</f>
        <v>212170.25210084033</v>
      </c>
      <c r="J89" s="16">
        <v>12</v>
      </c>
      <c r="K89" s="25">
        <f>+J89*I$77*G89</f>
        <v>380395.24705882353</v>
      </c>
      <c r="L89" s="59">
        <f t="shared" si="13"/>
        <v>592565.49915966392</v>
      </c>
      <c r="M89" s="17">
        <f t="shared" si="14"/>
        <v>332.3</v>
      </c>
      <c r="N89" s="16">
        <f t="shared" si="15"/>
        <v>257</v>
      </c>
      <c r="O89" s="60">
        <f t="shared" si="16"/>
        <v>85401.1</v>
      </c>
      <c r="P89" s="30">
        <f t="shared" si="17"/>
        <v>785434.32662528008</v>
      </c>
      <c r="Q89" s="72"/>
      <c r="R89" s="36">
        <f>+N89*2+M76</f>
        <v>702</v>
      </c>
      <c r="S89" s="37">
        <f t="shared" si="19"/>
        <v>561.6</v>
      </c>
      <c r="T89" s="30">
        <f t="shared" si="20"/>
        <v>5712033.6000000006</v>
      </c>
      <c r="U89" s="16"/>
      <c r="V89" s="125"/>
    </row>
    <row r="90" spans="1:22" s="28" customFormat="1" ht="39" customHeight="1">
      <c r="A90" s="16">
        <v>9</v>
      </c>
      <c r="B90" s="141" t="s">
        <v>147</v>
      </c>
      <c r="C90" s="141"/>
      <c r="D90" s="141"/>
      <c r="E90" s="55">
        <f t="shared" ref="E90:F90" si="27">C21</f>
        <v>45941</v>
      </c>
      <c r="F90" s="55">
        <f t="shared" si="27"/>
        <v>45942</v>
      </c>
      <c r="G90" s="161">
        <v>1</v>
      </c>
      <c r="H90" s="161">
        <v>1</v>
      </c>
      <c r="I90" s="202">
        <f>+H90*H$77*G90</f>
        <v>106085.12605042016</v>
      </c>
      <c r="J90" s="161">
        <v>6</v>
      </c>
      <c r="K90" s="202">
        <f>+J90*J$77*G90</f>
        <v>210845.71428571429</v>
      </c>
      <c r="L90" s="203">
        <f t="shared" si="13"/>
        <v>316930.84033613442</v>
      </c>
      <c r="M90" s="17">
        <f t="shared" si="14"/>
        <v>150</v>
      </c>
      <c r="N90" s="16">
        <f t="shared" si="15"/>
        <v>9.8199999999999932</v>
      </c>
      <c r="O90" s="60">
        <f t="shared" si="16"/>
        <v>1472.9999999999991</v>
      </c>
      <c r="P90" s="30">
        <f t="shared" si="17"/>
        <v>13547.188070399992</v>
      </c>
      <c r="Q90" s="201" t="s">
        <v>149</v>
      </c>
      <c r="R90" s="36">
        <f t="shared" si="18"/>
        <v>19.639999999999986</v>
      </c>
      <c r="S90" s="37">
        <f t="shared" si="19"/>
        <v>15.711999999999989</v>
      </c>
      <c r="T90" s="30">
        <f t="shared" si="20"/>
        <v>159806.75199999989</v>
      </c>
      <c r="U90" s="161"/>
      <c r="V90" s="129"/>
    </row>
    <row r="91" spans="1:22" s="28" customFormat="1" ht="39" customHeight="1">
      <c r="A91" s="16">
        <v>10</v>
      </c>
      <c r="B91" s="141"/>
      <c r="C91" s="141"/>
      <c r="D91" s="141"/>
      <c r="E91" s="55">
        <f t="shared" ref="E91:F91" si="28">C22</f>
        <v>45941</v>
      </c>
      <c r="F91" s="55">
        <f t="shared" si="28"/>
        <v>45942</v>
      </c>
      <c r="G91" s="161"/>
      <c r="H91" s="161"/>
      <c r="I91" s="202"/>
      <c r="J91" s="161"/>
      <c r="K91" s="202"/>
      <c r="L91" s="203"/>
      <c r="M91" s="17">
        <f t="shared" si="14"/>
        <v>150</v>
      </c>
      <c r="N91" s="16">
        <f t="shared" si="15"/>
        <v>9.6299999999999955</v>
      </c>
      <c r="O91" s="60">
        <f t="shared" si="16"/>
        <v>1444.4999999999993</v>
      </c>
      <c r="P91" s="30">
        <f t="shared" si="17"/>
        <v>13285.073433599993</v>
      </c>
      <c r="Q91" s="201"/>
      <c r="R91" s="36">
        <f t="shared" si="18"/>
        <v>19.259999999999991</v>
      </c>
      <c r="S91" s="37">
        <f t="shared" si="19"/>
        <v>15.407999999999994</v>
      </c>
      <c r="T91" s="30">
        <f t="shared" si="20"/>
        <v>156714.76799999995</v>
      </c>
      <c r="U91" s="161"/>
      <c r="V91" s="129"/>
    </row>
    <row r="92" spans="1:22" s="28" customFormat="1" ht="39" customHeight="1">
      <c r="A92" s="16">
        <v>11</v>
      </c>
      <c r="B92" s="141"/>
      <c r="C92" s="141"/>
      <c r="D92" s="141"/>
      <c r="E92" s="55">
        <f t="shared" ref="E92:F92" si="29">C23</f>
        <v>45941</v>
      </c>
      <c r="F92" s="55">
        <f t="shared" si="29"/>
        <v>45942</v>
      </c>
      <c r="G92" s="161"/>
      <c r="H92" s="161"/>
      <c r="I92" s="202"/>
      <c r="J92" s="161"/>
      <c r="K92" s="202"/>
      <c r="L92" s="203"/>
      <c r="M92" s="17">
        <f t="shared" si="14"/>
        <v>150</v>
      </c>
      <c r="N92" s="16">
        <f t="shared" si="15"/>
        <v>9.5080000000000098</v>
      </c>
      <c r="O92" s="60">
        <f t="shared" si="16"/>
        <v>1426.2000000000014</v>
      </c>
      <c r="P92" s="30">
        <f t="shared" si="17"/>
        <v>13116.768245760013</v>
      </c>
      <c r="Q92" s="201"/>
      <c r="R92" s="36">
        <f t="shared" si="18"/>
        <v>19.01600000000002</v>
      </c>
      <c r="S92" s="37">
        <f t="shared" si="19"/>
        <v>15.212800000000016</v>
      </c>
      <c r="T92" s="30">
        <f t="shared" si="20"/>
        <v>154729.38880000016</v>
      </c>
      <c r="U92" s="161"/>
      <c r="V92" s="129"/>
    </row>
    <row r="93" spans="1:22" s="28" customFormat="1" ht="39" customHeight="1">
      <c r="A93" s="16">
        <v>12</v>
      </c>
      <c r="B93" s="141"/>
      <c r="C93" s="141"/>
      <c r="D93" s="141"/>
      <c r="E93" s="55">
        <f t="shared" ref="E93:F93" si="30">C24</f>
        <v>45941</v>
      </c>
      <c r="F93" s="55">
        <f t="shared" si="30"/>
        <v>45942</v>
      </c>
      <c r="G93" s="161"/>
      <c r="H93" s="161"/>
      <c r="I93" s="202"/>
      <c r="J93" s="161"/>
      <c r="K93" s="202"/>
      <c r="L93" s="203"/>
      <c r="M93" s="17">
        <f t="shared" si="14"/>
        <v>150</v>
      </c>
      <c r="N93" s="16">
        <f t="shared" si="15"/>
        <v>9.4180000000000064</v>
      </c>
      <c r="O93" s="60">
        <f t="shared" si="16"/>
        <v>1412.700000000001</v>
      </c>
      <c r="P93" s="30">
        <f t="shared" si="17"/>
        <v>12992.608680960009</v>
      </c>
      <c r="Q93" s="201"/>
      <c r="R93" s="36">
        <f t="shared" si="18"/>
        <v>18.836000000000013</v>
      </c>
      <c r="S93" s="37">
        <f t="shared" si="19"/>
        <v>15.06880000000001</v>
      </c>
      <c r="T93" s="30">
        <f t="shared" si="20"/>
        <v>153264.76480000009</v>
      </c>
      <c r="U93" s="161"/>
      <c r="V93" s="129"/>
    </row>
    <row r="94" spans="1:22" s="28" customFormat="1" ht="39" customHeight="1">
      <c r="A94" s="16">
        <v>13</v>
      </c>
      <c r="B94" s="141"/>
      <c r="C94" s="141"/>
      <c r="D94" s="141"/>
      <c r="E94" s="55">
        <f t="shared" ref="E94:F94" si="31">C25</f>
        <v>45941</v>
      </c>
      <c r="F94" s="55">
        <f t="shared" si="31"/>
        <v>45942</v>
      </c>
      <c r="G94" s="161"/>
      <c r="H94" s="161"/>
      <c r="I94" s="202"/>
      <c r="J94" s="161"/>
      <c r="K94" s="202"/>
      <c r="L94" s="203"/>
      <c r="M94" s="17">
        <f t="shared" si="14"/>
        <v>150</v>
      </c>
      <c r="N94" s="16">
        <f t="shared" si="15"/>
        <v>9.289999999999992</v>
      </c>
      <c r="O94" s="60">
        <f t="shared" si="16"/>
        <v>1393.4999999999989</v>
      </c>
      <c r="P94" s="30">
        <f t="shared" si="17"/>
        <v>12816.02618879999</v>
      </c>
      <c r="Q94" s="201"/>
      <c r="R94" s="36">
        <f t="shared" si="18"/>
        <v>18.579999999999984</v>
      </c>
      <c r="S94" s="37">
        <f t="shared" si="19"/>
        <v>14.863999999999988</v>
      </c>
      <c r="T94" s="30">
        <f t="shared" si="20"/>
        <v>151181.74399999989</v>
      </c>
      <c r="U94" s="161"/>
      <c r="V94" s="129"/>
    </row>
    <row r="95" spans="1:22" s="28" customFormat="1" ht="39" customHeight="1">
      <c r="A95" s="16">
        <v>14</v>
      </c>
      <c r="B95" s="141"/>
      <c r="C95" s="141"/>
      <c r="D95" s="141"/>
      <c r="E95" s="55">
        <f t="shared" ref="E95:F95" si="32">C26</f>
        <v>45941</v>
      </c>
      <c r="F95" s="55">
        <f t="shared" si="32"/>
        <v>45942</v>
      </c>
      <c r="G95" s="161"/>
      <c r="H95" s="161"/>
      <c r="I95" s="202"/>
      <c r="J95" s="161"/>
      <c r="K95" s="202"/>
      <c r="L95" s="203"/>
      <c r="M95" s="17">
        <f t="shared" si="14"/>
        <v>150</v>
      </c>
      <c r="N95" s="16">
        <f t="shared" si="15"/>
        <v>9.1500000000000057</v>
      </c>
      <c r="O95" s="60">
        <f t="shared" si="16"/>
        <v>1372.5000000000009</v>
      </c>
      <c r="P95" s="30">
        <f t="shared" si="17"/>
        <v>12622.889088000009</v>
      </c>
      <c r="Q95" s="201"/>
      <c r="R95" s="36">
        <f t="shared" si="18"/>
        <v>18.300000000000011</v>
      </c>
      <c r="S95" s="37">
        <f t="shared" si="19"/>
        <v>14.640000000000009</v>
      </c>
      <c r="T95" s="30">
        <f t="shared" si="20"/>
        <v>148903.44000000009</v>
      </c>
      <c r="U95" s="161"/>
      <c r="V95" s="129"/>
    </row>
    <row r="96" spans="1:22" s="28" customFormat="1" ht="39" customHeight="1">
      <c r="A96" s="16">
        <v>15</v>
      </c>
      <c r="B96" s="141"/>
      <c r="C96" s="141"/>
      <c r="D96" s="141"/>
      <c r="E96" s="55">
        <f t="shared" ref="E96:F96" si="33">C27</f>
        <v>45941</v>
      </c>
      <c r="F96" s="55">
        <f t="shared" si="33"/>
        <v>45942</v>
      </c>
      <c r="G96" s="161"/>
      <c r="H96" s="161"/>
      <c r="I96" s="202"/>
      <c r="J96" s="161"/>
      <c r="K96" s="202"/>
      <c r="L96" s="203"/>
      <c r="M96" s="17">
        <f t="shared" si="14"/>
        <v>150</v>
      </c>
      <c r="N96" s="16">
        <f t="shared" si="15"/>
        <v>6.9000000000000057</v>
      </c>
      <c r="O96" s="60">
        <f t="shared" si="16"/>
        <v>1035.0000000000009</v>
      </c>
      <c r="P96" s="30">
        <f t="shared" si="17"/>
        <v>9518.8999680000088</v>
      </c>
      <c r="Q96" s="201"/>
      <c r="R96" s="36">
        <f t="shared" si="18"/>
        <v>13.800000000000011</v>
      </c>
      <c r="S96" s="37">
        <f t="shared" si="19"/>
        <v>11.04000000000001</v>
      </c>
      <c r="T96" s="30">
        <f t="shared" si="20"/>
        <v>112287.8400000001</v>
      </c>
      <c r="U96" s="161"/>
      <c r="V96" s="129"/>
    </row>
    <row r="97" spans="1:22" s="28" customFormat="1" ht="39" customHeight="1">
      <c r="A97" s="16">
        <v>16</v>
      </c>
      <c r="B97" s="141" t="s">
        <v>148</v>
      </c>
      <c r="C97" s="141"/>
      <c r="D97" s="141"/>
      <c r="E97" s="55">
        <f t="shared" ref="E97:F97" si="34">C28</f>
        <v>45942</v>
      </c>
      <c r="F97" s="55">
        <f t="shared" si="34"/>
        <v>45943</v>
      </c>
      <c r="G97" s="161">
        <v>1</v>
      </c>
      <c r="H97" s="161">
        <v>1</v>
      </c>
      <c r="I97" s="202">
        <f>+H97*H$77*G97</f>
        <v>106085.12605042016</v>
      </c>
      <c r="J97" s="161">
        <v>6</v>
      </c>
      <c r="K97" s="202">
        <f>+J97*J$77*G97</f>
        <v>210845.71428571429</v>
      </c>
      <c r="L97" s="203">
        <f t="shared" si="13"/>
        <v>316930.84033613442</v>
      </c>
      <c r="M97" s="17">
        <f t="shared" si="14"/>
        <v>150</v>
      </c>
      <c r="N97" s="16">
        <f t="shared" si="15"/>
        <v>9.039999999999992</v>
      </c>
      <c r="O97" s="60">
        <f t="shared" si="16"/>
        <v>1355.9999999999989</v>
      </c>
      <c r="P97" s="30">
        <f t="shared" si="17"/>
        <v>12471.13850879999</v>
      </c>
      <c r="Q97" s="201" t="s">
        <v>150</v>
      </c>
      <c r="R97" s="36">
        <f t="shared" si="18"/>
        <v>18.079999999999984</v>
      </c>
      <c r="S97" s="37">
        <f t="shared" si="19"/>
        <v>14.463999999999988</v>
      </c>
      <c r="T97" s="30">
        <f t="shared" si="20"/>
        <v>147113.34399999987</v>
      </c>
      <c r="U97" s="161"/>
      <c r="V97" s="161"/>
    </row>
    <row r="98" spans="1:22" s="28" customFormat="1" ht="39" customHeight="1">
      <c r="A98" s="16">
        <v>17</v>
      </c>
      <c r="B98" s="141"/>
      <c r="C98" s="141"/>
      <c r="D98" s="141"/>
      <c r="E98" s="55">
        <f t="shared" ref="E98:F98" si="35">C29</f>
        <v>45942</v>
      </c>
      <c r="F98" s="55">
        <f t="shared" si="35"/>
        <v>45943</v>
      </c>
      <c r="G98" s="161"/>
      <c r="H98" s="161"/>
      <c r="I98" s="202"/>
      <c r="J98" s="161"/>
      <c r="K98" s="202"/>
      <c r="L98" s="203"/>
      <c r="M98" s="17">
        <f t="shared" si="14"/>
        <v>150</v>
      </c>
      <c r="N98" s="16">
        <f t="shared" si="15"/>
        <v>8.9420000000000073</v>
      </c>
      <c r="O98" s="60">
        <f t="shared" si="16"/>
        <v>1341.3000000000011</v>
      </c>
      <c r="P98" s="30">
        <f t="shared" si="17"/>
        <v>12335.94253824001</v>
      </c>
      <c r="Q98" s="201"/>
      <c r="R98" s="36">
        <f t="shared" si="18"/>
        <v>17.884000000000015</v>
      </c>
      <c r="S98" s="37">
        <f t="shared" si="19"/>
        <v>14.307200000000012</v>
      </c>
      <c r="T98" s="30">
        <f t="shared" si="20"/>
        <v>145518.53120000011</v>
      </c>
      <c r="U98" s="161"/>
      <c r="V98" s="161"/>
    </row>
    <row r="99" spans="1:22" s="28" customFormat="1" ht="39" customHeight="1">
      <c r="A99" s="16">
        <v>18</v>
      </c>
      <c r="B99" s="141"/>
      <c r="C99" s="141"/>
      <c r="D99" s="141"/>
      <c r="E99" s="55">
        <f t="shared" ref="E99:F99" si="36">C30</f>
        <v>45942</v>
      </c>
      <c r="F99" s="55">
        <f t="shared" si="36"/>
        <v>45943</v>
      </c>
      <c r="G99" s="161"/>
      <c r="H99" s="161"/>
      <c r="I99" s="202"/>
      <c r="J99" s="161"/>
      <c r="K99" s="202"/>
      <c r="L99" s="203"/>
      <c r="M99" s="17">
        <f t="shared" si="14"/>
        <v>150</v>
      </c>
      <c r="N99" s="16">
        <f t="shared" si="15"/>
        <v>8.8700000000000045</v>
      </c>
      <c r="O99" s="60">
        <f t="shared" si="16"/>
        <v>1330.5000000000007</v>
      </c>
      <c r="P99" s="30">
        <f t="shared" si="17"/>
        <v>12236.614886400006</v>
      </c>
      <c r="Q99" s="201"/>
      <c r="R99" s="36">
        <f t="shared" si="18"/>
        <v>17.740000000000009</v>
      </c>
      <c r="S99" s="37">
        <f t="shared" si="19"/>
        <v>14.192000000000007</v>
      </c>
      <c r="T99" s="30">
        <f t="shared" si="20"/>
        <v>144346.83200000008</v>
      </c>
      <c r="U99" s="161"/>
      <c r="V99" s="161"/>
    </row>
    <row r="100" spans="1:22" s="28" customFormat="1" ht="39" customHeight="1">
      <c r="A100" s="16">
        <v>19</v>
      </c>
      <c r="B100" s="141"/>
      <c r="C100" s="141"/>
      <c r="D100" s="141"/>
      <c r="E100" s="55">
        <f t="shared" ref="E100:F100" si="37">C31</f>
        <v>45942</v>
      </c>
      <c r="F100" s="55">
        <f t="shared" si="37"/>
        <v>45943</v>
      </c>
      <c r="G100" s="161"/>
      <c r="H100" s="161"/>
      <c r="I100" s="202"/>
      <c r="J100" s="161"/>
      <c r="K100" s="202"/>
      <c r="L100" s="203"/>
      <c r="M100" s="17">
        <f t="shared" si="14"/>
        <v>150</v>
      </c>
      <c r="N100" s="16">
        <f t="shared" si="15"/>
        <v>8.6899999999999977</v>
      </c>
      <c r="O100" s="60">
        <f t="shared" si="16"/>
        <v>1303.4999999999995</v>
      </c>
      <c r="P100" s="30">
        <f t="shared" si="17"/>
        <v>11988.295756799997</v>
      </c>
      <c r="Q100" s="201"/>
      <c r="R100" s="36">
        <f t="shared" si="18"/>
        <v>17.379999999999995</v>
      </c>
      <c r="S100" s="37">
        <f t="shared" si="19"/>
        <v>13.903999999999996</v>
      </c>
      <c r="T100" s="30">
        <f t="shared" si="20"/>
        <v>141417.58399999997</v>
      </c>
      <c r="U100" s="161"/>
      <c r="V100" s="161"/>
    </row>
    <row r="101" spans="1:22" s="28" customFormat="1" ht="39" customHeight="1">
      <c r="A101" s="16">
        <v>20</v>
      </c>
      <c r="B101" s="141"/>
      <c r="C101" s="141"/>
      <c r="D101" s="141"/>
      <c r="E101" s="55">
        <f t="shared" ref="E101:F101" si="38">C32</f>
        <v>45942</v>
      </c>
      <c r="F101" s="55">
        <f t="shared" si="38"/>
        <v>45943</v>
      </c>
      <c r="G101" s="161"/>
      <c r="H101" s="161"/>
      <c r="I101" s="202"/>
      <c r="J101" s="161"/>
      <c r="K101" s="202"/>
      <c r="L101" s="203"/>
      <c r="M101" s="17">
        <f t="shared" si="14"/>
        <v>150</v>
      </c>
      <c r="N101" s="16">
        <f t="shared" si="15"/>
        <v>9.5900000000000034</v>
      </c>
      <c r="O101" s="60">
        <f t="shared" si="16"/>
        <v>1438.5000000000005</v>
      </c>
      <c r="P101" s="30">
        <f t="shared" si="17"/>
        <v>13229.891404800004</v>
      </c>
      <c r="Q101" s="201"/>
      <c r="R101" s="36">
        <f t="shared" si="18"/>
        <v>19.180000000000007</v>
      </c>
      <c r="S101" s="37">
        <f t="shared" si="19"/>
        <v>15.344000000000007</v>
      </c>
      <c r="T101" s="30">
        <f t="shared" si="20"/>
        <v>156063.82400000008</v>
      </c>
      <c r="U101" s="161"/>
      <c r="V101" s="161"/>
    </row>
    <row r="102" spans="1:22" s="28" customFormat="1" ht="39" customHeight="1">
      <c r="A102" s="16">
        <v>21</v>
      </c>
      <c r="B102" s="141"/>
      <c r="C102" s="141"/>
      <c r="D102" s="141"/>
      <c r="E102" s="55">
        <f t="shared" ref="E102:F102" si="39">C33</f>
        <v>45942</v>
      </c>
      <c r="F102" s="55">
        <f t="shared" si="39"/>
        <v>45943</v>
      </c>
      <c r="G102" s="161"/>
      <c r="H102" s="161"/>
      <c r="I102" s="202"/>
      <c r="J102" s="161"/>
      <c r="K102" s="202"/>
      <c r="L102" s="203"/>
      <c r="M102" s="17">
        <f t="shared" si="14"/>
        <v>150</v>
      </c>
      <c r="N102" s="16">
        <f t="shared" si="15"/>
        <v>8.4300000000000068</v>
      </c>
      <c r="O102" s="60">
        <f t="shared" si="16"/>
        <v>1264.5000000000009</v>
      </c>
      <c r="P102" s="30">
        <f t="shared" si="17"/>
        <v>11629.612569600009</v>
      </c>
      <c r="Q102" s="201"/>
      <c r="R102" s="36">
        <f t="shared" si="18"/>
        <v>16.860000000000014</v>
      </c>
      <c r="S102" s="37">
        <f t="shared" si="19"/>
        <v>13.488000000000012</v>
      </c>
      <c r="T102" s="30">
        <f t="shared" si="20"/>
        <v>137186.44800000012</v>
      </c>
      <c r="U102" s="161"/>
      <c r="V102" s="161"/>
    </row>
    <row r="103" spans="1:22" s="28" customFormat="1" ht="39" customHeight="1">
      <c r="A103" s="16">
        <v>22</v>
      </c>
      <c r="B103" s="141"/>
      <c r="C103" s="141"/>
      <c r="D103" s="141"/>
      <c r="E103" s="55">
        <f t="shared" ref="E103:F103" si="40">C34</f>
        <v>45942</v>
      </c>
      <c r="F103" s="55">
        <f t="shared" si="40"/>
        <v>45943</v>
      </c>
      <c r="G103" s="161"/>
      <c r="H103" s="161"/>
      <c r="I103" s="202"/>
      <c r="J103" s="161"/>
      <c r="K103" s="202"/>
      <c r="L103" s="203"/>
      <c r="M103" s="17">
        <f t="shared" si="14"/>
        <v>150</v>
      </c>
      <c r="N103" s="16">
        <f t="shared" si="15"/>
        <v>7.3300000000000125</v>
      </c>
      <c r="O103" s="60">
        <f t="shared" si="16"/>
        <v>1099.5000000000018</v>
      </c>
      <c r="P103" s="30">
        <f t="shared" si="17"/>
        <v>10112.106777600016</v>
      </c>
      <c r="Q103" s="201"/>
      <c r="R103" s="36">
        <f t="shared" si="18"/>
        <v>14.660000000000025</v>
      </c>
      <c r="S103" s="37">
        <f t="shared" si="19"/>
        <v>11.728000000000021</v>
      </c>
      <c r="T103" s="30">
        <f t="shared" si="20"/>
        <v>119285.48800000022</v>
      </c>
      <c r="U103" s="161"/>
      <c r="V103" s="161"/>
    </row>
    <row r="104" spans="1:22" s="28" customFormat="1" ht="39" customHeight="1">
      <c r="A104" s="16">
        <v>23</v>
      </c>
      <c r="B104" s="141"/>
      <c r="C104" s="141"/>
      <c r="D104" s="141"/>
      <c r="E104" s="55">
        <f t="shared" ref="E104:F104" si="41">C35</f>
        <v>45942</v>
      </c>
      <c r="F104" s="55">
        <f t="shared" si="41"/>
        <v>45943</v>
      </c>
      <c r="G104" s="161"/>
      <c r="H104" s="161"/>
      <c r="I104" s="202"/>
      <c r="J104" s="161"/>
      <c r="K104" s="202"/>
      <c r="L104" s="203"/>
      <c r="M104" s="17">
        <f t="shared" si="14"/>
        <v>150</v>
      </c>
      <c r="N104" s="16">
        <f t="shared" si="15"/>
        <v>7.2199999999999989</v>
      </c>
      <c r="O104" s="60">
        <f t="shared" si="16"/>
        <v>1082.9999999999998</v>
      </c>
      <c r="P104" s="30">
        <f t="shared" si="17"/>
        <v>9960.3561983999989</v>
      </c>
      <c r="Q104" s="201"/>
      <c r="R104" s="36">
        <f t="shared" si="18"/>
        <v>14.439999999999998</v>
      </c>
      <c r="S104" s="37">
        <f t="shared" si="19"/>
        <v>11.552</v>
      </c>
      <c r="T104" s="30">
        <f t="shared" si="20"/>
        <v>117495.39199999999</v>
      </c>
      <c r="U104" s="161"/>
      <c r="V104" s="161"/>
    </row>
    <row r="105" spans="1:22" s="28" customFormat="1" ht="39" customHeight="1">
      <c r="A105" s="16">
        <v>24</v>
      </c>
      <c r="B105" s="141" t="s">
        <v>148</v>
      </c>
      <c r="C105" s="141"/>
      <c r="D105" s="141"/>
      <c r="E105" s="55">
        <f t="shared" ref="E105:F105" si="42">C36</f>
        <v>45944</v>
      </c>
      <c r="F105" s="55">
        <f t="shared" si="42"/>
        <v>45944</v>
      </c>
      <c r="G105" s="161">
        <v>1</v>
      </c>
      <c r="H105" s="161">
        <v>1</v>
      </c>
      <c r="I105" s="202">
        <f>+H105*H$77*G105</f>
        <v>106085.12605042016</v>
      </c>
      <c r="J105" s="161">
        <v>6</v>
      </c>
      <c r="K105" s="202">
        <f>+J105*J$77*G105</f>
        <v>210845.71428571429</v>
      </c>
      <c r="L105" s="203">
        <f t="shared" si="13"/>
        <v>316930.84033613442</v>
      </c>
      <c r="M105" s="17">
        <f t="shared" si="14"/>
        <v>150</v>
      </c>
      <c r="N105" s="16">
        <f t="shared" si="15"/>
        <v>8.1699999999999875</v>
      </c>
      <c r="O105" s="60">
        <f t="shared" si="16"/>
        <v>1225.4999999999982</v>
      </c>
      <c r="P105" s="30">
        <f t="shared" si="17"/>
        <v>11270.929382399983</v>
      </c>
      <c r="Q105" s="201" t="s">
        <v>139</v>
      </c>
      <c r="R105" s="36">
        <f t="shared" si="18"/>
        <v>16.339999999999975</v>
      </c>
      <c r="S105" s="37">
        <f t="shared" si="19"/>
        <v>13.071999999999981</v>
      </c>
      <c r="T105" s="30">
        <f t="shared" si="20"/>
        <v>132955.3119999998</v>
      </c>
      <c r="U105" s="161"/>
      <c r="V105" s="129"/>
    </row>
    <row r="106" spans="1:22" s="28" customFormat="1" ht="39" customHeight="1">
      <c r="A106" s="16">
        <v>25</v>
      </c>
      <c r="B106" s="141"/>
      <c r="C106" s="141"/>
      <c r="D106" s="141"/>
      <c r="E106" s="55">
        <f t="shared" ref="E106:F106" si="43">C37</f>
        <v>45944</v>
      </c>
      <c r="F106" s="55">
        <f t="shared" si="43"/>
        <v>45944</v>
      </c>
      <c r="G106" s="161"/>
      <c r="H106" s="161"/>
      <c r="I106" s="202"/>
      <c r="J106" s="161"/>
      <c r="K106" s="202"/>
      <c r="L106" s="203"/>
      <c r="M106" s="17">
        <f t="shared" si="14"/>
        <v>150</v>
      </c>
      <c r="N106" s="16">
        <f t="shared" si="15"/>
        <v>7.9650000000000034</v>
      </c>
      <c r="O106" s="60">
        <f t="shared" si="16"/>
        <v>1194.7500000000005</v>
      </c>
      <c r="P106" s="30">
        <f t="shared" si="17"/>
        <v>10988.121484800004</v>
      </c>
      <c r="Q106" s="201"/>
      <c r="R106" s="36">
        <f t="shared" si="18"/>
        <v>15.930000000000007</v>
      </c>
      <c r="S106" s="37">
        <f t="shared" si="19"/>
        <v>12.744000000000007</v>
      </c>
      <c r="T106" s="30">
        <f t="shared" si="20"/>
        <v>129619.22400000007</v>
      </c>
      <c r="U106" s="161"/>
      <c r="V106" s="129"/>
    </row>
    <row r="107" spans="1:22" s="28" customFormat="1" ht="39" customHeight="1">
      <c r="A107" s="16">
        <v>26</v>
      </c>
      <c r="B107" s="141" t="s">
        <v>148</v>
      </c>
      <c r="C107" s="141"/>
      <c r="D107" s="141"/>
      <c r="E107" s="55">
        <f t="shared" ref="E107:F107" si="44">C38</f>
        <v>45945</v>
      </c>
      <c r="F107" s="55">
        <f t="shared" si="44"/>
        <v>45945</v>
      </c>
      <c r="G107" s="161">
        <v>1</v>
      </c>
      <c r="H107" s="161">
        <v>1</v>
      </c>
      <c r="I107" s="202">
        <f>+H107*H$77*G107</f>
        <v>106085.12605042016</v>
      </c>
      <c r="J107" s="161">
        <v>6</v>
      </c>
      <c r="K107" s="202">
        <f>+J107*J$77*G107</f>
        <v>210845.71428571429</v>
      </c>
      <c r="L107" s="203">
        <f t="shared" si="13"/>
        <v>316930.84033613442</v>
      </c>
      <c r="M107" s="17">
        <f t="shared" si="14"/>
        <v>150</v>
      </c>
      <c r="N107" s="16">
        <f t="shared" si="15"/>
        <v>7.8569999999999993</v>
      </c>
      <c r="O107" s="60">
        <f t="shared" si="16"/>
        <v>1178.55</v>
      </c>
      <c r="P107" s="30">
        <f t="shared" si="17"/>
        <v>10839.130007039999</v>
      </c>
      <c r="Q107" s="201" t="s">
        <v>140</v>
      </c>
      <c r="R107" s="36">
        <f t="shared" si="18"/>
        <v>15.713999999999999</v>
      </c>
      <c r="S107" s="37">
        <f t="shared" si="19"/>
        <v>12.571199999999999</v>
      </c>
      <c r="T107" s="30">
        <f t="shared" si="20"/>
        <v>127861.6752</v>
      </c>
      <c r="U107" s="161"/>
      <c r="V107" s="129"/>
    </row>
    <row r="108" spans="1:22" s="28" customFormat="1" ht="39" customHeight="1">
      <c r="A108" s="16">
        <v>27</v>
      </c>
      <c r="B108" s="141"/>
      <c r="C108" s="141"/>
      <c r="D108" s="141"/>
      <c r="E108" s="55">
        <f t="shared" ref="E108:F108" si="45">C39</f>
        <v>45945</v>
      </c>
      <c r="F108" s="55">
        <f t="shared" si="45"/>
        <v>45945</v>
      </c>
      <c r="G108" s="161"/>
      <c r="H108" s="161"/>
      <c r="I108" s="202"/>
      <c r="J108" s="161"/>
      <c r="K108" s="202"/>
      <c r="L108" s="203"/>
      <c r="M108" s="17">
        <f t="shared" si="14"/>
        <v>150</v>
      </c>
      <c r="N108" s="16">
        <f t="shared" si="15"/>
        <v>7.7489999999999952</v>
      </c>
      <c r="O108" s="60">
        <f t="shared" si="16"/>
        <v>1162.3499999999992</v>
      </c>
      <c r="P108" s="30">
        <f t="shared" si="17"/>
        <v>10690.138529279993</v>
      </c>
      <c r="Q108" s="201"/>
      <c r="R108" s="36">
        <f t="shared" si="18"/>
        <v>15.49799999999999</v>
      </c>
      <c r="S108" s="37">
        <f t="shared" si="19"/>
        <v>12.398399999999993</v>
      </c>
      <c r="T108" s="30">
        <f t="shared" si="20"/>
        <v>126104.12639999994</v>
      </c>
      <c r="U108" s="161"/>
      <c r="V108" s="129"/>
    </row>
    <row r="109" spans="1:22" s="28" customFormat="1" ht="39" customHeight="1">
      <c r="A109" s="16">
        <v>28</v>
      </c>
      <c r="B109" s="141"/>
      <c r="C109" s="141"/>
      <c r="D109" s="141"/>
      <c r="E109" s="55">
        <f t="shared" ref="E109:F109" si="46">C40</f>
        <v>45945</v>
      </c>
      <c r="F109" s="55">
        <f t="shared" si="46"/>
        <v>45945</v>
      </c>
      <c r="G109" s="161"/>
      <c r="H109" s="161"/>
      <c r="I109" s="202"/>
      <c r="J109" s="161"/>
      <c r="K109" s="202"/>
      <c r="L109" s="203"/>
      <c r="M109" s="17">
        <f t="shared" si="14"/>
        <v>150</v>
      </c>
      <c r="N109" s="16">
        <f t="shared" si="15"/>
        <v>7.6769999999999925</v>
      </c>
      <c r="O109" s="60">
        <f t="shared" si="16"/>
        <v>1151.5499999999988</v>
      </c>
      <c r="P109" s="30">
        <f t="shared" si="17"/>
        <v>10590.81087743999</v>
      </c>
      <c r="Q109" s="201"/>
      <c r="R109" s="36">
        <f t="shared" si="18"/>
        <v>15.353999999999985</v>
      </c>
      <c r="S109" s="37">
        <f t="shared" si="19"/>
        <v>12.283199999999988</v>
      </c>
      <c r="T109" s="30">
        <f t="shared" si="20"/>
        <v>124932.42719999987</v>
      </c>
      <c r="U109" s="161"/>
      <c r="V109" s="129"/>
    </row>
    <row r="110" spans="1:22" s="28" customFormat="1" ht="39" customHeight="1">
      <c r="A110" s="16">
        <v>29</v>
      </c>
      <c r="B110" s="141" t="s">
        <v>148</v>
      </c>
      <c r="C110" s="141"/>
      <c r="D110" s="141"/>
      <c r="E110" s="55">
        <f t="shared" ref="E110:F110" si="47">C41</f>
        <v>45946</v>
      </c>
      <c r="F110" s="55">
        <f t="shared" si="47"/>
        <v>45946</v>
      </c>
      <c r="G110" s="161">
        <v>1</v>
      </c>
      <c r="H110" s="161">
        <v>1</v>
      </c>
      <c r="I110" s="202">
        <f>+H110*H$77*G110</f>
        <v>106085.12605042016</v>
      </c>
      <c r="J110" s="161">
        <v>6</v>
      </c>
      <c r="K110" s="202">
        <f>+J110*J$77*G110</f>
        <v>210845.71428571429</v>
      </c>
      <c r="L110" s="203">
        <f t="shared" si="13"/>
        <v>316930.84033613442</v>
      </c>
      <c r="M110" s="17">
        <f t="shared" si="14"/>
        <v>150</v>
      </c>
      <c r="N110" s="16">
        <f t="shared" si="15"/>
        <v>7.5689999999999884</v>
      </c>
      <c r="O110" s="60">
        <f t="shared" si="16"/>
        <v>1135.3499999999983</v>
      </c>
      <c r="P110" s="30">
        <f t="shared" si="17"/>
        <v>10441.819399679986</v>
      </c>
      <c r="Q110" s="201"/>
      <c r="R110" s="36">
        <f t="shared" si="18"/>
        <v>15.137999999999977</v>
      </c>
      <c r="S110" s="37">
        <f t="shared" si="19"/>
        <v>12.110399999999983</v>
      </c>
      <c r="T110" s="30">
        <f t="shared" si="20"/>
        <v>123174.87839999983</v>
      </c>
      <c r="U110" s="161"/>
      <c r="V110" s="129" t="s">
        <v>78</v>
      </c>
    </row>
    <row r="111" spans="1:22" s="28" customFormat="1" ht="39" customHeight="1">
      <c r="A111" s="16">
        <v>30</v>
      </c>
      <c r="B111" s="141"/>
      <c r="C111" s="141"/>
      <c r="D111" s="141"/>
      <c r="E111" s="55">
        <f t="shared" ref="E111:F111" si="48">C42</f>
        <v>45946</v>
      </c>
      <c r="F111" s="55">
        <f t="shared" si="48"/>
        <v>45946</v>
      </c>
      <c r="G111" s="161"/>
      <c r="H111" s="161"/>
      <c r="I111" s="202"/>
      <c r="J111" s="161"/>
      <c r="K111" s="202"/>
      <c r="L111" s="203"/>
      <c r="M111" s="17">
        <f t="shared" si="14"/>
        <v>150</v>
      </c>
      <c r="N111" s="16">
        <f t="shared" si="15"/>
        <v>7.1299999999999955</v>
      </c>
      <c r="O111" s="60">
        <f t="shared" si="16"/>
        <v>1069.4999999999993</v>
      </c>
      <c r="P111" s="30">
        <f t="shared" si="17"/>
        <v>9836.1966335999932</v>
      </c>
      <c r="Q111" s="201"/>
      <c r="R111" s="36">
        <f t="shared" si="18"/>
        <v>14.259999999999991</v>
      </c>
      <c r="S111" s="37">
        <f t="shared" si="19"/>
        <v>11.407999999999994</v>
      </c>
      <c r="T111" s="30">
        <f t="shared" si="20"/>
        <v>116030.76799999994</v>
      </c>
      <c r="U111" s="161"/>
      <c r="V111" s="129"/>
    </row>
    <row r="112" spans="1:22" s="28" customFormat="1" ht="39" customHeight="1">
      <c r="A112" s="16">
        <v>31</v>
      </c>
      <c r="B112" s="141"/>
      <c r="C112" s="141"/>
      <c r="D112" s="141"/>
      <c r="E112" s="55">
        <f t="shared" ref="E112:F112" si="49">C43</f>
        <v>45946</v>
      </c>
      <c r="F112" s="55">
        <f t="shared" si="49"/>
        <v>45946</v>
      </c>
      <c r="G112" s="161"/>
      <c r="H112" s="161"/>
      <c r="I112" s="202"/>
      <c r="J112" s="161"/>
      <c r="K112" s="202"/>
      <c r="L112" s="203"/>
      <c r="M112" s="17">
        <f t="shared" si="14"/>
        <v>150</v>
      </c>
      <c r="N112" s="16">
        <f t="shared" si="15"/>
        <v>7.4730000000000132</v>
      </c>
      <c r="O112" s="60">
        <f t="shared" si="16"/>
        <v>1120.9500000000021</v>
      </c>
      <c r="P112" s="30">
        <f t="shared" si="17"/>
        <v>10309.38253056002</v>
      </c>
      <c r="Q112" s="201"/>
      <c r="R112" s="36">
        <f t="shared" si="18"/>
        <v>14.946000000000026</v>
      </c>
      <c r="S112" s="37">
        <f t="shared" si="19"/>
        <v>11.956800000000023</v>
      </c>
      <c r="T112" s="30">
        <f t="shared" si="20"/>
        <v>121612.61280000024</v>
      </c>
      <c r="U112" s="161"/>
      <c r="V112" s="129"/>
    </row>
    <row r="113" spans="1:22" s="28" customFormat="1" ht="39" customHeight="1">
      <c r="A113" s="16">
        <v>32</v>
      </c>
      <c r="B113" s="141"/>
      <c r="C113" s="141"/>
      <c r="D113" s="141"/>
      <c r="E113" s="55">
        <f t="shared" ref="E113:F113" si="50">C44</f>
        <v>45946</v>
      </c>
      <c r="F113" s="55">
        <f t="shared" si="50"/>
        <v>45946</v>
      </c>
      <c r="G113" s="161"/>
      <c r="H113" s="161"/>
      <c r="I113" s="202"/>
      <c r="J113" s="161"/>
      <c r="K113" s="202"/>
      <c r="L113" s="203"/>
      <c r="M113" s="17">
        <f t="shared" si="14"/>
        <v>150</v>
      </c>
      <c r="N113" s="16">
        <f t="shared" si="15"/>
        <v>7.3499999999999943</v>
      </c>
      <c r="O113" s="60">
        <f t="shared" si="16"/>
        <v>1102.4999999999991</v>
      </c>
      <c r="P113" s="30">
        <f t="shared" si="17"/>
        <v>10139.697791999992</v>
      </c>
      <c r="Q113" s="201"/>
      <c r="R113" s="36">
        <f t="shared" si="18"/>
        <v>14.699999999999989</v>
      </c>
      <c r="S113" s="37">
        <f t="shared" si="19"/>
        <v>11.759999999999991</v>
      </c>
      <c r="T113" s="30">
        <f t="shared" si="20"/>
        <v>119610.9599999999</v>
      </c>
      <c r="U113" s="161"/>
      <c r="V113" s="129"/>
    </row>
    <row r="114" spans="1:22" s="28" customFormat="1" ht="39" customHeight="1">
      <c r="A114" s="16">
        <v>33</v>
      </c>
      <c r="B114" s="141" t="s">
        <v>148</v>
      </c>
      <c r="C114" s="141"/>
      <c r="D114" s="141"/>
      <c r="E114" s="55">
        <f t="shared" ref="E114:F114" si="51">C45</f>
        <v>45947</v>
      </c>
      <c r="F114" s="55">
        <f t="shared" si="51"/>
        <v>45947</v>
      </c>
      <c r="G114" s="161">
        <v>1</v>
      </c>
      <c r="H114" s="161">
        <v>1</v>
      </c>
      <c r="I114" s="202">
        <f>+H114*H$77*G114</f>
        <v>106085.12605042016</v>
      </c>
      <c r="J114" s="161">
        <v>6</v>
      </c>
      <c r="K114" s="202">
        <f>+J114*J$77*G114</f>
        <v>210845.71428571429</v>
      </c>
      <c r="L114" s="203">
        <f t="shared" si="13"/>
        <v>316930.84033613442</v>
      </c>
      <c r="M114" s="17">
        <f t="shared" si="14"/>
        <v>150</v>
      </c>
      <c r="N114" s="16">
        <f t="shared" si="15"/>
        <v>7.2199999999999989</v>
      </c>
      <c r="O114" s="60">
        <f t="shared" si="16"/>
        <v>1082.9999999999998</v>
      </c>
      <c r="P114" s="30">
        <f t="shared" si="17"/>
        <v>9960.3561983999989</v>
      </c>
      <c r="Q114" s="201" t="s">
        <v>141</v>
      </c>
      <c r="R114" s="36">
        <f t="shared" si="18"/>
        <v>14.439999999999998</v>
      </c>
      <c r="S114" s="37">
        <f t="shared" si="19"/>
        <v>11.552</v>
      </c>
      <c r="T114" s="30">
        <f t="shared" si="20"/>
        <v>117495.39199999999</v>
      </c>
      <c r="U114" s="161"/>
      <c r="V114" s="129" t="s">
        <v>81</v>
      </c>
    </row>
    <row r="115" spans="1:22" s="28" customFormat="1" ht="39" customHeight="1">
      <c r="A115" s="16">
        <v>34</v>
      </c>
      <c r="B115" s="141"/>
      <c r="C115" s="141"/>
      <c r="D115" s="141"/>
      <c r="E115" s="55">
        <f t="shared" ref="E115:F115" si="52">C46</f>
        <v>45947</v>
      </c>
      <c r="F115" s="55">
        <f t="shared" si="52"/>
        <v>45947</v>
      </c>
      <c r="G115" s="161"/>
      <c r="H115" s="161"/>
      <c r="I115" s="202"/>
      <c r="J115" s="161"/>
      <c r="K115" s="202"/>
      <c r="L115" s="203"/>
      <c r="M115" s="17">
        <f t="shared" si="14"/>
        <v>150</v>
      </c>
      <c r="N115" s="16">
        <f t="shared" si="15"/>
        <v>7.1500000000000057</v>
      </c>
      <c r="O115" s="60">
        <f t="shared" si="16"/>
        <v>1072.5000000000009</v>
      </c>
      <c r="P115" s="30">
        <f t="shared" si="17"/>
        <v>9863.7876480000086</v>
      </c>
      <c r="Q115" s="201"/>
      <c r="R115" s="36">
        <f t="shared" si="18"/>
        <v>14.300000000000011</v>
      </c>
      <c r="S115" s="37">
        <f t="shared" si="19"/>
        <v>11.44000000000001</v>
      </c>
      <c r="T115" s="30">
        <f t="shared" si="20"/>
        <v>116356.24000000011</v>
      </c>
      <c r="U115" s="161"/>
      <c r="V115" s="129"/>
    </row>
    <row r="116" spans="1:22" s="28" customFormat="1" ht="39" customHeight="1">
      <c r="A116" s="16">
        <v>35</v>
      </c>
      <c r="B116" s="141"/>
      <c r="C116" s="141"/>
      <c r="D116" s="141"/>
      <c r="E116" s="55">
        <f t="shared" ref="E116:F116" si="53">C47</f>
        <v>45947</v>
      </c>
      <c r="F116" s="55">
        <f t="shared" si="53"/>
        <v>45947</v>
      </c>
      <c r="G116" s="161"/>
      <c r="H116" s="161"/>
      <c r="I116" s="202"/>
      <c r="J116" s="161"/>
      <c r="K116" s="202"/>
      <c r="L116" s="203"/>
      <c r="M116" s="17">
        <f t="shared" si="14"/>
        <v>150</v>
      </c>
      <c r="N116" s="16">
        <f t="shared" si="15"/>
        <v>7.0300000000000011</v>
      </c>
      <c r="O116" s="60">
        <f t="shared" si="16"/>
        <v>1054.5000000000002</v>
      </c>
      <c r="P116" s="30">
        <f t="shared" si="17"/>
        <v>9698.2415616000017</v>
      </c>
      <c r="Q116" s="201"/>
      <c r="R116" s="36">
        <f t="shared" si="18"/>
        <v>14.060000000000002</v>
      </c>
      <c r="S116" s="37">
        <f t="shared" si="19"/>
        <v>11.248000000000003</v>
      </c>
      <c r="T116" s="30">
        <f t="shared" si="20"/>
        <v>114403.40800000002</v>
      </c>
      <c r="U116" s="161"/>
      <c r="V116" s="129"/>
    </row>
    <row r="117" spans="1:22" s="28" customFormat="1" ht="39" customHeight="1">
      <c r="A117" s="16">
        <v>36</v>
      </c>
      <c r="B117" s="141"/>
      <c r="C117" s="141"/>
      <c r="D117" s="141"/>
      <c r="E117" s="55">
        <f t="shared" ref="E117:F117" si="54">C48</f>
        <v>45947</v>
      </c>
      <c r="F117" s="55">
        <f t="shared" si="54"/>
        <v>45947</v>
      </c>
      <c r="G117" s="161"/>
      <c r="H117" s="161"/>
      <c r="I117" s="202"/>
      <c r="J117" s="161"/>
      <c r="K117" s="202"/>
      <c r="L117" s="203"/>
      <c r="M117" s="17">
        <f t="shared" si="14"/>
        <v>150</v>
      </c>
      <c r="N117" s="16">
        <f t="shared" si="15"/>
        <v>7.0500000000000114</v>
      </c>
      <c r="O117" s="60">
        <f t="shared" si="16"/>
        <v>1057.5000000000018</v>
      </c>
      <c r="P117" s="30">
        <f t="shared" si="17"/>
        <v>9725.8325760000171</v>
      </c>
      <c r="Q117" s="201"/>
      <c r="R117" s="36">
        <f t="shared" si="18"/>
        <v>14.100000000000023</v>
      </c>
      <c r="S117" s="37">
        <f t="shared" si="19"/>
        <v>11.280000000000019</v>
      </c>
      <c r="T117" s="30">
        <f t="shared" si="20"/>
        <v>114728.88000000019</v>
      </c>
      <c r="U117" s="161"/>
      <c r="V117" s="129"/>
    </row>
    <row r="118" spans="1:22" s="28" customFormat="1" ht="39" customHeight="1">
      <c r="A118" s="16">
        <v>37</v>
      </c>
      <c r="B118" s="141" t="s">
        <v>148</v>
      </c>
      <c r="C118" s="141"/>
      <c r="D118" s="141"/>
      <c r="E118" s="55">
        <f t="shared" ref="E118:F118" si="55">C49</f>
        <v>45948</v>
      </c>
      <c r="F118" s="55">
        <f t="shared" si="55"/>
        <v>45948</v>
      </c>
      <c r="G118" s="161">
        <v>1</v>
      </c>
      <c r="H118" s="161">
        <v>1</v>
      </c>
      <c r="I118" s="202">
        <f>+H118*H$77*G118</f>
        <v>106085.12605042016</v>
      </c>
      <c r="J118" s="161">
        <v>6</v>
      </c>
      <c r="K118" s="202">
        <f>+J118*J$77*G118</f>
        <v>210845.71428571429</v>
      </c>
      <c r="L118" s="203">
        <f t="shared" si="13"/>
        <v>316930.84033613442</v>
      </c>
      <c r="M118" s="17">
        <f t="shared" si="14"/>
        <v>150</v>
      </c>
      <c r="N118" s="16">
        <f t="shared" si="15"/>
        <v>1.0299999999999727</v>
      </c>
      <c r="O118" s="60">
        <f t="shared" si="16"/>
        <v>154.49999999999591</v>
      </c>
      <c r="P118" s="30">
        <f t="shared" si="17"/>
        <v>1420.9372415999624</v>
      </c>
      <c r="Q118" s="201" t="s">
        <v>142</v>
      </c>
      <c r="R118" s="36">
        <f t="shared" si="18"/>
        <v>2.0599999999999454</v>
      </c>
      <c r="S118" s="37">
        <f t="shared" si="19"/>
        <v>1.6479999999999564</v>
      </c>
      <c r="T118" s="30">
        <f t="shared" si="20"/>
        <v>16761.807999999557</v>
      </c>
      <c r="U118" s="161"/>
      <c r="V118" s="129" t="s">
        <v>81</v>
      </c>
    </row>
    <row r="119" spans="1:22" s="28" customFormat="1" ht="39" customHeight="1">
      <c r="A119" s="16">
        <v>38</v>
      </c>
      <c r="B119" s="141"/>
      <c r="C119" s="141"/>
      <c r="D119" s="141"/>
      <c r="E119" s="55">
        <f t="shared" ref="E119:F119" si="56">C50</f>
        <v>45948</v>
      </c>
      <c r="F119" s="55">
        <f t="shared" si="56"/>
        <v>45948</v>
      </c>
      <c r="G119" s="161"/>
      <c r="H119" s="161"/>
      <c r="I119" s="202"/>
      <c r="J119" s="161"/>
      <c r="K119" s="202"/>
      <c r="L119" s="203"/>
      <c r="M119" s="17">
        <f t="shared" si="14"/>
        <v>150</v>
      </c>
      <c r="N119" s="16">
        <f t="shared" si="15"/>
        <v>0.94999999999998863</v>
      </c>
      <c r="O119" s="60">
        <f t="shared" si="16"/>
        <v>142.49999999999829</v>
      </c>
      <c r="P119" s="30">
        <f t="shared" si="17"/>
        <v>1310.5731839999844</v>
      </c>
      <c r="Q119" s="201"/>
      <c r="R119" s="36">
        <f t="shared" si="18"/>
        <v>1.8999999999999773</v>
      </c>
      <c r="S119" s="37">
        <f t="shared" si="19"/>
        <v>1.5199999999999818</v>
      </c>
      <c r="T119" s="30">
        <f t="shared" si="20"/>
        <v>15459.919999999815</v>
      </c>
      <c r="U119" s="161"/>
      <c r="V119" s="129"/>
    </row>
    <row r="120" spans="1:22" s="28" customFormat="1" ht="39" customHeight="1">
      <c r="A120" s="16">
        <v>39</v>
      </c>
      <c r="B120" s="141"/>
      <c r="C120" s="141"/>
      <c r="D120" s="141"/>
      <c r="E120" s="55">
        <f t="shared" ref="E120:F120" si="57">C51</f>
        <v>45948</v>
      </c>
      <c r="F120" s="55">
        <f t="shared" si="57"/>
        <v>45948</v>
      </c>
      <c r="G120" s="161"/>
      <c r="H120" s="161"/>
      <c r="I120" s="202"/>
      <c r="J120" s="161"/>
      <c r="K120" s="202"/>
      <c r="L120" s="203"/>
      <c r="M120" s="17">
        <f t="shared" si="14"/>
        <v>150</v>
      </c>
      <c r="N120" s="16">
        <f t="shared" si="15"/>
        <v>0.82999999999998408</v>
      </c>
      <c r="O120" s="60">
        <f t="shared" si="16"/>
        <v>124.49999999999761</v>
      </c>
      <c r="P120" s="30">
        <f t="shared" si="17"/>
        <v>1145.0270975999781</v>
      </c>
      <c r="Q120" s="201"/>
      <c r="R120" s="36">
        <f t="shared" si="18"/>
        <v>1.6599999999999682</v>
      </c>
      <c r="S120" s="37">
        <f t="shared" si="19"/>
        <v>1.3279999999999745</v>
      </c>
      <c r="T120" s="30">
        <f t="shared" si="20"/>
        <v>13507.087999999741</v>
      </c>
      <c r="U120" s="161"/>
      <c r="V120" s="129"/>
    </row>
    <row r="121" spans="1:22" s="28" customFormat="1" ht="39" customHeight="1">
      <c r="A121" s="16">
        <v>40</v>
      </c>
      <c r="B121" s="141" t="s">
        <v>148</v>
      </c>
      <c r="C121" s="141"/>
      <c r="D121" s="141"/>
      <c r="E121" s="55">
        <f t="shared" ref="E121:F121" si="58">C52</f>
        <v>45950</v>
      </c>
      <c r="F121" s="55">
        <f t="shared" si="58"/>
        <v>45950</v>
      </c>
      <c r="G121" s="161">
        <v>1</v>
      </c>
      <c r="H121" s="161">
        <v>1</v>
      </c>
      <c r="I121" s="202">
        <f>+H121*H$77*G121</f>
        <v>106085.12605042016</v>
      </c>
      <c r="J121" s="161">
        <v>6</v>
      </c>
      <c r="K121" s="202">
        <f>+J121*J$77*G121</f>
        <v>210845.71428571429</v>
      </c>
      <c r="L121" s="203">
        <f t="shared" si="13"/>
        <v>316930.84033613442</v>
      </c>
      <c r="M121" s="17">
        <f t="shared" si="14"/>
        <v>150</v>
      </c>
      <c r="N121" s="16">
        <f t="shared" si="15"/>
        <v>7.0500000000000114</v>
      </c>
      <c r="O121" s="60">
        <f t="shared" si="16"/>
        <v>1057.5000000000018</v>
      </c>
      <c r="P121" s="30">
        <f t="shared" si="17"/>
        <v>9725.8325760000171</v>
      </c>
      <c r="Q121" s="201" t="s">
        <v>143</v>
      </c>
      <c r="R121" s="36">
        <f t="shared" si="18"/>
        <v>14.100000000000023</v>
      </c>
      <c r="S121" s="37">
        <f t="shared" si="19"/>
        <v>11.280000000000019</v>
      </c>
      <c r="T121" s="30">
        <f t="shared" si="20"/>
        <v>114728.88000000019</v>
      </c>
      <c r="U121" s="161"/>
      <c r="V121" s="129" t="s">
        <v>132</v>
      </c>
    </row>
    <row r="122" spans="1:22" s="28" customFormat="1" ht="39" customHeight="1">
      <c r="A122" s="16">
        <v>41</v>
      </c>
      <c r="B122" s="141"/>
      <c r="C122" s="141"/>
      <c r="D122" s="141"/>
      <c r="E122" s="55">
        <f t="shared" ref="E122:F122" si="59">C53</f>
        <v>45950</v>
      </c>
      <c r="F122" s="55">
        <f t="shared" si="59"/>
        <v>45950</v>
      </c>
      <c r="G122" s="161"/>
      <c r="H122" s="161"/>
      <c r="I122" s="202"/>
      <c r="J122" s="161"/>
      <c r="K122" s="202"/>
      <c r="L122" s="203"/>
      <c r="M122" s="17">
        <f t="shared" si="14"/>
        <v>150</v>
      </c>
      <c r="N122" s="16">
        <f t="shared" si="15"/>
        <v>6.25</v>
      </c>
      <c r="O122" s="60">
        <f t="shared" si="16"/>
        <v>937.5</v>
      </c>
      <c r="P122" s="30">
        <f t="shared" si="17"/>
        <v>8622.1920000000009</v>
      </c>
      <c r="Q122" s="201"/>
      <c r="R122" s="36">
        <f t="shared" si="18"/>
        <v>12.5</v>
      </c>
      <c r="S122" s="37">
        <f t="shared" si="19"/>
        <v>10</v>
      </c>
      <c r="T122" s="30">
        <f t="shared" si="20"/>
        <v>101710</v>
      </c>
      <c r="U122" s="161"/>
      <c r="V122" s="129"/>
    </row>
    <row r="123" spans="1:22" s="28" customFormat="1" ht="39" customHeight="1">
      <c r="A123" s="16">
        <v>42</v>
      </c>
      <c r="B123" s="141"/>
      <c r="C123" s="141"/>
      <c r="D123" s="141"/>
      <c r="E123" s="55">
        <f t="shared" ref="E123:F123" si="60">C54</f>
        <v>45950</v>
      </c>
      <c r="F123" s="55">
        <f t="shared" si="60"/>
        <v>45950</v>
      </c>
      <c r="G123" s="161"/>
      <c r="H123" s="161"/>
      <c r="I123" s="202"/>
      <c r="J123" s="161"/>
      <c r="K123" s="202"/>
      <c r="L123" s="203"/>
      <c r="M123" s="17">
        <f t="shared" si="14"/>
        <v>150</v>
      </c>
      <c r="N123" s="16">
        <f t="shared" si="15"/>
        <v>2.1899999999999977</v>
      </c>
      <c r="O123" s="60">
        <f t="shared" si="16"/>
        <v>328.49999999999966</v>
      </c>
      <c r="P123" s="30">
        <f t="shared" si="17"/>
        <v>3021.2160767999972</v>
      </c>
      <c r="Q123" s="201"/>
      <c r="R123" s="36">
        <f t="shared" si="18"/>
        <v>4.3799999999999955</v>
      </c>
      <c r="S123" s="37">
        <f t="shared" si="19"/>
        <v>3.5039999999999965</v>
      </c>
      <c r="T123" s="30">
        <f t="shared" si="20"/>
        <v>35639.183999999965</v>
      </c>
      <c r="U123" s="161"/>
      <c r="V123" s="129"/>
    </row>
    <row r="124" spans="1:22" s="28" customFormat="1" ht="39" customHeight="1">
      <c r="A124" s="16">
        <v>43</v>
      </c>
      <c r="B124" s="141"/>
      <c r="C124" s="141"/>
      <c r="D124" s="141"/>
      <c r="E124" s="55">
        <f t="shared" ref="E124:F124" si="61">C55</f>
        <v>45950</v>
      </c>
      <c r="F124" s="55">
        <f t="shared" si="61"/>
        <v>45950</v>
      </c>
      <c r="G124" s="161"/>
      <c r="H124" s="161"/>
      <c r="I124" s="202"/>
      <c r="J124" s="161"/>
      <c r="K124" s="202"/>
      <c r="L124" s="203"/>
      <c r="M124" s="17">
        <f t="shared" si="14"/>
        <v>150</v>
      </c>
      <c r="N124" s="16">
        <f t="shared" si="15"/>
        <v>2.3199999999999932</v>
      </c>
      <c r="O124" s="60">
        <f t="shared" si="16"/>
        <v>347.99999999999898</v>
      </c>
      <c r="P124" s="30">
        <f t="shared" si="17"/>
        <v>3200.5576703999905</v>
      </c>
      <c r="Q124" s="201"/>
      <c r="R124" s="36">
        <f t="shared" si="18"/>
        <v>4.6399999999999864</v>
      </c>
      <c r="S124" s="37">
        <f t="shared" si="19"/>
        <v>3.7119999999999891</v>
      </c>
      <c r="T124" s="30">
        <f t="shared" si="20"/>
        <v>37754.751999999891</v>
      </c>
      <c r="U124" s="161"/>
      <c r="V124" s="129"/>
    </row>
    <row r="125" spans="1:22" s="28" customFormat="1" ht="39" customHeight="1">
      <c r="A125" s="16">
        <v>44</v>
      </c>
      <c r="B125" s="163" t="s">
        <v>148</v>
      </c>
      <c r="C125" s="163"/>
      <c r="D125" s="163"/>
      <c r="E125" s="55">
        <f t="shared" ref="E125:F125" si="62">C56</f>
        <v>45951</v>
      </c>
      <c r="F125" s="55">
        <f t="shared" si="62"/>
        <v>45951</v>
      </c>
      <c r="G125" s="161">
        <v>1</v>
      </c>
      <c r="H125" s="161">
        <v>1</v>
      </c>
      <c r="I125" s="202">
        <f>+H125*H$77*G125</f>
        <v>106085.12605042016</v>
      </c>
      <c r="J125" s="161">
        <v>6</v>
      </c>
      <c r="K125" s="202">
        <f>+J125*J$77*G125</f>
        <v>210845.71428571429</v>
      </c>
      <c r="L125" s="203">
        <f t="shared" si="13"/>
        <v>316930.84033613442</v>
      </c>
      <c r="M125" s="17">
        <f t="shared" si="14"/>
        <v>150</v>
      </c>
      <c r="N125" s="16">
        <f t="shared" si="15"/>
        <v>2.3700000000000045</v>
      </c>
      <c r="O125" s="60">
        <f t="shared" si="16"/>
        <v>355.50000000000068</v>
      </c>
      <c r="P125" s="30">
        <f t="shared" si="17"/>
        <v>3269.5352064000062</v>
      </c>
      <c r="Q125" s="201"/>
      <c r="R125" s="36">
        <f t="shared" si="18"/>
        <v>4.7400000000000091</v>
      </c>
      <c r="S125" s="37">
        <f t="shared" si="19"/>
        <v>3.7920000000000074</v>
      </c>
      <c r="T125" s="30">
        <f t="shared" si="20"/>
        <v>38568.432000000073</v>
      </c>
      <c r="U125" s="161"/>
      <c r="V125" s="129" t="s">
        <v>81</v>
      </c>
    </row>
    <row r="126" spans="1:22" s="28" customFormat="1" ht="39" customHeight="1">
      <c r="A126" s="16">
        <v>45</v>
      </c>
      <c r="B126" s="163"/>
      <c r="C126" s="163"/>
      <c r="D126" s="163"/>
      <c r="E126" s="55">
        <f t="shared" ref="E126:F126" si="63">C57</f>
        <v>45951</v>
      </c>
      <c r="F126" s="55">
        <f t="shared" si="63"/>
        <v>45951</v>
      </c>
      <c r="G126" s="161"/>
      <c r="H126" s="161"/>
      <c r="I126" s="202"/>
      <c r="J126" s="161"/>
      <c r="K126" s="202"/>
      <c r="L126" s="203"/>
      <c r="M126" s="17">
        <f t="shared" si="14"/>
        <v>150</v>
      </c>
      <c r="N126" s="16">
        <f t="shared" si="15"/>
        <v>2.5</v>
      </c>
      <c r="O126" s="60">
        <f t="shared" si="16"/>
        <v>375</v>
      </c>
      <c r="P126" s="30">
        <f t="shared" si="17"/>
        <v>3448.8768</v>
      </c>
      <c r="Q126" s="201"/>
      <c r="R126" s="36">
        <f t="shared" si="18"/>
        <v>5</v>
      </c>
      <c r="S126" s="37">
        <f t="shared" si="19"/>
        <v>4</v>
      </c>
      <c r="T126" s="30">
        <f t="shared" si="20"/>
        <v>40684</v>
      </c>
      <c r="U126" s="161"/>
      <c r="V126" s="129"/>
    </row>
    <row r="127" spans="1:22" s="28" customFormat="1" ht="39" customHeight="1">
      <c r="A127" s="16">
        <v>46</v>
      </c>
      <c r="B127" s="163"/>
      <c r="C127" s="163"/>
      <c r="D127" s="163"/>
      <c r="E127" s="55">
        <f t="shared" ref="E127:F127" si="64">C58</f>
        <v>45951</v>
      </c>
      <c r="F127" s="55">
        <f t="shared" si="64"/>
        <v>45951</v>
      </c>
      <c r="G127" s="161"/>
      <c r="H127" s="161"/>
      <c r="I127" s="202"/>
      <c r="J127" s="161"/>
      <c r="K127" s="202"/>
      <c r="L127" s="203"/>
      <c r="M127" s="17">
        <f t="shared" si="14"/>
        <v>150</v>
      </c>
      <c r="N127" s="16">
        <f t="shared" si="15"/>
        <v>6.1899999999999977</v>
      </c>
      <c r="O127" s="60">
        <f t="shared" si="16"/>
        <v>928.49999999999966</v>
      </c>
      <c r="P127" s="30">
        <f t="shared" si="17"/>
        <v>8539.4189567999965</v>
      </c>
      <c r="Q127" s="201"/>
      <c r="R127" s="36">
        <f t="shared" si="18"/>
        <v>12.379999999999995</v>
      </c>
      <c r="S127" s="37">
        <f t="shared" si="19"/>
        <v>9.9039999999999964</v>
      </c>
      <c r="T127" s="30">
        <f t="shared" si="20"/>
        <v>100733.58399999996</v>
      </c>
      <c r="U127" s="161"/>
      <c r="V127" s="129"/>
    </row>
    <row r="128" spans="1:22" s="28" customFormat="1" ht="39" customHeight="1">
      <c r="A128" s="16">
        <v>47</v>
      </c>
      <c r="B128" s="164" t="s">
        <v>148</v>
      </c>
      <c r="C128" s="164"/>
      <c r="D128" s="164"/>
      <c r="E128" s="55">
        <f t="shared" ref="E128:F128" si="65">C59</f>
        <v>45952</v>
      </c>
      <c r="F128" s="55">
        <f t="shared" si="65"/>
        <v>45952</v>
      </c>
      <c r="G128" s="161">
        <v>1</v>
      </c>
      <c r="H128" s="161">
        <v>1</v>
      </c>
      <c r="I128" s="202">
        <f>+H128*H$77*G128</f>
        <v>106085.12605042016</v>
      </c>
      <c r="J128" s="161">
        <v>6</v>
      </c>
      <c r="K128" s="202">
        <f>+J128*J$77*G128</f>
        <v>210845.71428571429</v>
      </c>
      <c r="L128" s="203">
        <f t="shared" si="13"/>
        <v>316930.84033613442</v>
      </c>
      <c r="M128" s="17">
        <f t="shared" si="14"/>
        <v>150</v>
      </c>
      <c r="N128" s="16">
        <f t="shared" si="15"/>
        <v>2.75</v>
      </c>
      <c r="O128" s="60">
        <f t="shared" si="16"/>
        <v>412.5</v>
      </c>
      <c r="P128" s="30">
        <f t="shared" si="17"/>
        <v>3793.7644800000003</v>
      </c>
      <c r="Q128" s="201"/>
      <c r="R128" s="36">
        <f t="shared" si="18"/>
        <v>5.5</v>
      </c>
      <c r="S128" s="37">
        <f t="shared" si="19"/>
        <v>4.4000000000000004</v>
      </c>
      <c r="T128" s="30">
        <f t="shared" si="20"/>
        <v>44752.4</v>
      </c>
      <c r="U128" s="161"/>
      <c r="V128" s="129"/>
    </row>
    <row r="129" spans="1:22" s="28" customFormat="1" ht="39" customHeight="1">
      <c r="A129" s="16">
        <v>48</v>
      </c>
      <c r="B129" s="164"/>
      <c r="C129" s="164"/>
      <c r="D129" s="164"/>
      <c r="E129" s="55">
        <f t="shared" ref="E129:F129" si="66">C60</f>
        <v>45952</v>
      </c>
      <c r="F129" s="55">
        <f t="shared" si="66"/>
        <v>45952</v>
      </c>
      <c r="G129" s="161"/>
      <c r="H129" s="161"/>
      <c r="I129" s="202"/>
      <c r="J129" s="161"/>
      <c r="K129" s="202"/>
      <c r="L129" s="203"/>
      <c r="M129" s="17">
        <f t="shared" si="14"/>
        <v>150</v>
      </c>
      <c r="N129" s="16">
        <f t="shared" si="15"/>
        <v>2.7880000000000109</v>
      </c>
      <c r="O129" s="60">
        <f t="shared" si="16"/>
        <v>418.20000000000164</v>
      </c>
      <c r="P129" s="30">
        <f t="shared" si="17"/>
        <v>3846.1874073600152</v>
      </c>
      <c r="Q129" s="201"/>
      <c r="R129" s="36">
        <f t="shared" si="18"/>
        <v>5.5760000000000218</v>
      </c>
      <c r="S129" s="37">
        <f t="shared" si="19"/>
        <v>4.4608000000000176</v>
      </c>
      <c r="T129" s="30">
        <f t="shared" si="20"/>
        <v>45370.796800000178</v>
      </c>
      <c r="U129" s="161"/>
      <c r="V129" s="129"/>
    </row>
    <row r="130" spans="1:22" s="28" customFormat="1" ht="44.4" customHeight="1">
      <c r="A130" s="16">
        <v>49</v>
      </c>
      <c r="B130" s="164" t="s">
        <v>148</v>
      </c>
      <c r="C130" s="164"/>
      <c r="D130" s="164"/>
      <c r="E130" s="55">
        <f t="shared" ref="E130:F140" si="67">C61</f>
        <v>45953</v>
      </c>
      <c r="F130" s="55">
        <f t="shared" si="67"/>
        <v>45953</v>
      </c>
      <c r="G130" s="16">
        <v>1</v>
      </c>
      <c r="H130" s="16">
        <v>1</v>
      </c>
      <c r="I130" s="25">
        <f>+H130*H$77*G130</f>
        <v>106085.12605042016</v>
      </c>
      <c r="J130" s="16">
        <v>6</v>
      </c>
      <c r="K130" s="25">
        <f>+J130*J$77*G130</f>
        <v>210845.71428571429</v>
      </c>
      <c r="L130" s="59">
        <f t="shared" si="13"/>
        <v>316930.84033613442</v>
      </c>
      <c r="M130" s="17">
        <f t="shared" si="14"/>
        <v>150</v>
      </c>
      <c r="N130" s="16">
        <f t="shared" si="15"/>
        <v>7.0500000000000114</v>
      </c>
      <c r="O130" s="60">
        <f t="shared" si="16"/>
        <v>1057.5000000000018</v>
      </c>
      <c r="P130" s="30">
        <f t="shared" si="17"/>
        <v>9725.8325760000171</v>
      </c>
      <c r="Q130" s="72"/>
      <c r="R130" s="36">
        <f t="shared" si="18"/>
        <v>14.100000000000023</v>
      </c>
      <c r="S130" s="37">
        <f t="shared" si="19"/>
        <v>11.280000000000019</v>
      </c>
      <c r="T130" s="30">
        <f t="shared" si="20"/>
        <v>114728.88000000019</v>
      </c>
      <c r="U130" s="16"/>
      <c r="V130" s="125"/>
    </row>
    <row r="131" spans="1:22" s="28" customFormat="1" ht="39" customHeight="1">
      <c r="A131" s="16">
        <v>50</v>
      </c>
      <c r="B131" s="164"/>
      <c r="C131" s="164"/>
      <c r="D131" s="164"/>
      <c r="E131" s="55">
        <f t="shared" si="67"/>
        <v>45954</v>
      </c>
      <c r="F131" s="55">
        <f t="shared" si="67"/>
        <v>45955</v>
      </c>
      <c r="G131" s="16">
        <v>2</v>
      </c>
      <c r="H131" s="16">
        <v>1</v>
      </c>
      <c r="I131" s="25">
        <f>+H131*H$77*G131</f>
        <v>212170.25210084033</v>
      </c>
      <c r="J131" s="16">
        <v>12</v>
      </c>
      <c r="K131" s="25">
        <f>+J131*I$77*G131</f>
        <v>380395.24705882353</v>
      </c>
      <c r="L131" s="59">
        <f t="shared" si="13"/>
        <v>592565.49915966392</v>
      </c>
      <c r="M131" s="17">
        <f t="shared" si="14"/>
        <v>337</v>
      </c>
      <c r="N131" s="16">
        <f t="shared" si="15"/>
        <v>257</v>
      </c>
      <c r="O131" s="60">
        <f t="shared" si="16"/>
        <v>86609</v>
      </c>
      <c r="P131" s="30">
        <f t="shared" si="17"/>
        <v>796543.38872320007</v>
      </c>
      <c r="Q131" s="72"/>
      <c r="R131" s="36">
        <f>+N131*2+M76</f>
        <v>702</v>
      </c>
      <c r="S131" s="37">
        <f t="shared" si="19"/>
        <v>561.6</v>
      </c>
      <c r="T131" s="30">
        <f t="shared" si="20"/>
        <v>5712033.6000000006</v>
      </c>
      <c r="U131" s="16"/>
      <c r="V131" s="125"/>
    </row>
    <row r="132" spans="1:22" s="28" customFormat="1" ht="39" customHeight="1">
      <c r="A132" s="16">
        <v>51</v>
      </c>
      <c r="B132" s="164" t="s">
        <v>151</v>
      </c>
      <c r="C132" s="164"/>
      <c r="D132" s="164"/>
      <c r="E132" s="55">
        <f t="shared" ref="E132:F132" si="68">C63</f>
        <v>45954</v>
      </c>
      <c r="F132" s="55">
        <f t="shared" si="67"/>
        <v>45954</v>
      </c>
      <c r="G132" s="161">
        <v>1</v>
      </c>
      <c r="H132" s="161">
        <v>1</v>
      </c>
      <c r="I132" s="202">
        <f>+H132*H$77*G132</f>
        <v>106085.12605042016</v>
      </c>
      <c r="J132" s="161">
        <v>5</v>
      </c>
      <c r="K132" s="202">
        <f>+J132*J$77*G132</f>
        <v>175704.76190476189</v>
      </c>
      <c r="L132" s="203">
        <f t="shared" si="13"/>
        <v>281789.88795518206</v>
      </c>
      <c r="M132" s="17">
        <f t="shared" si="14"/>
        <v>125</v>
      </c>
      <c r="N132" s="16">
        <f t="shared" si="15"/>
        <v>6.0900000000000034</v>
      </c>
      <c r="O132" s="60">
        <f t="shared" si="16"/>
        <v>761.25000000000045</v>
      </c>
      <c r="P132" s="30">
        <f t="shared" si="17"/>
        <v>7001.2199040000041</v>
      </c>
      <c r="Q132" s="201"/>
      <c r="R132" s="36">
        <f t="shared" si="18"/>
        <v>12.180000000000007</v>
      </c>
      <c r="S132" s="37">
        <f t="shared" si="19"/>
        <v>9.7440000000000069</v>
      </c>
      <c r="T132" s="30">
        <f t="shared" si="20"/>
        <v>99106.224000000075</v>
      </c>
      <c r="U132" s="161"/>
      <c r="V132" s="129"/>
    </row>
    <row r="133" spans="1:22" s="28" customFormat="1" ht="39" customHeight="1">
      <c r="A133" s="16">
        <v>52</v>
      </c>
      <c r="B133" s="164"/>
      <c r="C133" s="164"/>
      <c r="D133" s="164"/>
      <c r="E133" s="55">
        <f t="shared" ref="E133:F133" si="69">C64</f>
        <v>45954</v>
      </c>
      <c r="F133" s="55">
        <f t="shared" si="67"/>
        <v>45954</v>
      </c>
      <c r="G133" s="161"/>
      <c r="H133" s="161"/>
      <c r="I133" s="202"/>
      <c r="J133" s="161"/>
      <c r="K133" s="202"/>
      <c r="L133" s="203"/>
      <c r="M133" s="17">
        <f t="shared" si="14"/>
        <v>125</v>
      </c>
      <c r="N133" s="16">
        <f t="shared" si="15"/>
        <v>5.8999999999999773</v>
      </c>
      <c r="O133" s="60">
        <f t="shared" si="16"/>
        <v>737.49999999999716</v>
      </c>
      <c r="P133" s="30">
        <f t="shared" si="17"/>
        <v>6782.7910399999737</v>
      </c>
      <c r="Q133" s="201"/>
      <c r="R133" s="36">
        <f t="shared" si="18"/>
        <v>11.799999999999955</v>
      </c>
      <c r="S133" s="37">
        <f t="shared" si="19"/>
        <v>9.439999999999964</v>
      </c>
      <c r="T133" s="30">
        <f t="shared" si="20"/>
        <v>96014.239999999627</v>
      </c>
      <c r="U133" s="161"/>
      <c r="V133" s="129"/>
    </row>
    <row r="134" spans="1:22" s="28" customFormat="1" ht="39" customHeight="1">
      <c r="A134" s="16">
        <v>53</v>
      </c>
      <c r="B134" s="164" t="s">
        <v>153</v>
      </c>
      <c r="C134" s="164"/>
      <c r="D134" s="164"/>
      <c r="E134" s="55">
        <f t="shared" ref="E134:F134" si="70">C65</f>
        <v>45959</v>
      </c>
      <c r="F134" s="55">
        <f t="shared" si="67"/>
        <v>45959</v>
      </c>
      <c r="G134" s="161">
        <v>1</v>
      </c>
      <c r="H134" s="161">
        <v>1</v>
      </c>
      <c r="I134" s="202">
        <f>+H134*H$77*G134</f>
        <v>106085.12605042016</v>
      </c>
      <c r="J134" s="161">
        <v>4</v>
      </c>
      <c r="K134" s="202">
        <f>+J134*J$77*G134</f>
        <v>140563.80952380953</v>
      </c>
      <c r="L134" s="203">
        <f t="shared" si="13"/>
        <v>246648.93557422969</v>
      </c>
      <c r="M134" s="17">
        <f t="shared" si="14"/>
        <v>100</v>
      </c>
      <c r="N134" s="16">
        <f t="shared" si="15"/>
        <v>5.8299999999999841</v>
      </c>
      <c r="O134" s="60">
        <f t="shared" si="16"/>
        <v>582.99999999999841</v>
      </c>
      <c r="P134" s="30">
        <f t="shared" si="17"/>
        <v>5361.8537983999859</v>
      </c>
      <c r="Q134" s="201"/>
      <c r="R134" s="36">
        <f t="shared" si="18"/>
        <v>11.659999999999968</v>
      </c>
      <c r="S134" s="37">
        <f t="shared" si="19"/>
        <v>9.3279999999999745</v>
      </c>
      <c r="T134" s="30">
        <f t="shared" si="20"/>
        <v>94875.087999999741</v>
      </c>
      <c r="U134" s="161"/>
      <c r="V134" s="129"/>
    </row>
    <row r="135" spans="1:22" s="28" customFormat="1" ht="39" customHeight="1">
      <c r="A135" s="16">
        <v>54</v>
      </c>
      <c r="B135" s="164"/>
      <c r="C135" s="164"/>
      <c r="D135" s="164"/>
      <c r="E135" s="55">
        <f t="shared" ref="E135:F135" si="71">C66</f>
        <v>45959</v>
      </c>
      <c r="F135" s="55">
        <f t="shared" si="67"/>
        <v>45959</v>
      </c>
      <c r="G135" s="161"/>
      <c r="H135" s="161"/>
      <c r="I135" s="202"/>
      <c r="J135" s="161"/>
      <c r="K135" s="202"/>
      <c r="L135" s="203"/>
      <c r="M135" s="17">
        <f t="shared" si="14"/>
        <v>100</v>
      </c>
      <c r="N135" s="16">
        <f t="shared" si="15"/>
        <v>5.7719999999999914</v>
      </c>
      <c r="O135" s="60">
        <f t="shared" si="16"/>
        <v>577.19999999999914</v>
      </c>
      <c r="P135" s="30">
        <f t="shared" si="17"/>
        <v>5308.511170559992</v>
      </c>
      <c r="Q135" s="201"/>
      <c r="R135" s="36">
        <f t="shared" si="18"/>
        <v>11.543999999999983</v>
      </c>
      <c r="S135" s="37">
        <f t="shared" si="19"/>
        <v>9.2351999999999865</v>
      </c>
      <c r="T135" s="30">
        <f t="shared" si="20"/>
        <v>93931.219199999861</v>
      </c>
      <c r="U135" s="161"/>
      <c r="V135" s="129"/>
    </row>
    <row r="136" spans="1:22" s="28" customFormat="1" ht="39" customHeight="1">
      <c r="A136" s="16">
        <v>55</v>
      </c>
      <c r="B136" s="130" t="s">
        <v>117</v>
      </c>
      <c r="C136" s="130"/>
      <c r="D136" s="130"/>
      <c r="E136" s="55">
        <f t="shared" ref="E136:F136" si="72">C67</f>
        <v>45960</v>
      </c>
      <c r="F136" s="55">
        <f t="shared" si="67"/>
        <v>45960</v>
      </c>
      <c r="G136" s="161">
        <v>1</v>
      </c>
      <c r="H136" s="161">
        <v>1</v>
      </c>
      <c r="I136" s="202">
        <f>+H136*H$77*G136</f>
        <v>106085.12605042016</v>
      </c>
      <c r="J136" s="161">
        <v>4</v>
      </c>
      <c r="K136" s="202">
        <f>+J136*J$77*G136</f>
        <v>140563.80952380953</v>
      </c>
      <c r="L136" s="203">
        <f t="shared" si="13"/>
        <v>246648.93557422969</v>
      </c>
      <c r="M136" s="17">
        <f t="shared" si="14"/>
        <v>100</v>
      </c>
      <c r="N136" s="16">
        <f t="shared" si="15"/>
        <v>5.6999999999999886</v>
      </c>
      <c r="O136" s="60">
        <f t="shared" si="16"/>
        <v>569.99999999999886</v>
      </c>
      <c r="P136" s="30">
        <f t="shared" si="17"/>
        <v>5242.2927359999894</v>
      </c>
      <c r="Q136" s="201"/>
      <c r="R136" s="36">
        <f t="shared" si="18"/>
        <v>11.399999999999977</v>
      </c>
      <c r="S136" s="37">
        <f t="shared" si="19"/>
        <v>9.1199999999999815</v>
      </c>
      <c r="T136" s="30">
        <f t="shared" si="20"/>
        <v>92759.519999999815</v>
      </c>
      <c r="U136" s="161"/>
      <c r="V136" s="129" t="s">
        <v>78</v>
      </c>
    </row>
    <row r="137" spans="1:22" s="28" customFormat="1" ht="39" customHeight="1">
      <c r="A137" s="16">
        <v>56</v>
      </c>
      <c r="B137" s="130"/>
      <c r="C137" s="130"/>
      <c r="D137" s="130"/>
      <c r="E137" s="55">
        <f t="shared" ref="E137:F137" si="73">C68</f>
        <v>45960</v>
      </c>
      <c r="F137" s="55">
        <f t="shared" si="67"/>
        <v>45960</v>
      </c>
      <c r="G137" s="161"/>
      <c r="H137" s="161"/>
      <c r="I137" s="202"/>
      <c r="J137" s="161"/>
      <c r="K137" s="202"/>
      <c r="L137" s="203"/>
      <c r="M137" s="17">
        <f t="shared" si="14"/>
        <v>100</v>
      </c>
      <c r="N137" s="16">
        <f t="shared" si="15"/>
        <v>5.6299999999999955</v>
      </c>
      <c r="O137" s="60">
        <f t="shared" si="16"/>
        <v>562.99999999999955</v>
      </c>
      <c r="P137" s="30">
        <f t="shared" si="17"/>
        <v>5177.9137023999956</v>
      </c>
      <c r="Q137" s="201"/>
      <c r="R137" s="36">
        <f t="shared" si="18"/>
        <v>11.259999999999991</v>
      </c>
      <c r="S137" s="37">
        <f t="shared" si="19"/>
        <v>9.0079999999999938</v>
      </c>
      <c r="T137" s="30">
        <f t="shared" si="20"/>
        <v>91620.367999999944</v>
      </c>
      <c r="U137" s="161"/>
      <c r="V137" s="129"/>
    </row>
    <row r="138" spans="1:22" s="28" customFormat="1" ht="39" customHeight="1">
      <c r="A138" s="16">
        <v>57</v>
      </c>
      <c r="B138" s="130"/>
      <c r="C138" s="130"/>
      <c r="D138" s="130"/>
      <c r="E138" s="55">
        <f t="shared" ref="E138:F140" si="74">C69</f>
        <v>45960</v>
      </c>
      <c r="F138" s="55">
        <f t="shared" si="67"/>
        <v>45960</v>
      </c>
      <c r="G138" s="161"/>
      <c r="H138" s="161"/>
      <c r="I138" s="202"/>
      <c r="J138" s="161"/>
      <c r="K138" s="202"/>
      <c r="L138" s="203"/>
      <c r="M138" s="17">
        <f t="shared" si="14"/>
        <v>100</v>
      </c>
      <c r="N138" s="16">
        <f t="shared" si="15"/>
        <v>5.5600000000000023</v>
      </c>
      <c r="O138" s="60">
        <f t="shared" si="16"/>
        <v>556.00000000000023</v>
      </c>
      <c r="P138" s="30">
        <f t="shared" si="17"/>
        <v>5113.5346688000018</v>
      </c>
      <c r="Q138" s="201"/>
      <c r="R138" s="36">
        <f t="shared" si="18"/>
        <v>11.120000000000005</v>
      </c>
      <c r="S138" s="37">
        <f t="shared" si="19"/>
        <v>8.8960000000000043</v>
      </c>
      <c r="T138" s="30">
        <f t="shared" si="20"/>
        <v>90481.216000000044</v>
      </c>
      <c r="U138" s="161"/>
      <c r="V138" s="129"/>
    </row>
    <row r="139" spans="1:22" s="28" customFormat="1" ht="39" customHeight="1">
      <c r="A139" s="16">
        <v>58</v>
      </c>
      <c r="B139" s="133" t="s">
        <v>152</v>
      </c>
      <c r="C139" s="134"/>
      <c r="D139" s="135"/>
      <c r="E139" s="55">
        <f t="shared" si="74"/>
        <v>45961</v>
      </c>
      <c r="F139" s="55">
        <f t="shared" si="67"/>
        <v>45961</v>
      </c>
      <c r="G139" s="161">
        <v>1</v>
      </c>
      <c r="H139" s="161">
        <v>1</v>
      </c>
      <c r="I139" s="202">
        <f>+H139*H$77*G139</f>
        <v>106085.12605042016</v>
      </c>
      <c r="J139" s="161">
        <v>4</v>
      </c>
      <c r="K139" s="202">
        <f>+J139*J$77*G139</f>
        <v>140563.80952380953</v>
      </c>
      <c r="L139" s="203">
        <f t="shared" ref="L139" si="75">I139+K139</f>
        <v>246648.93557422969</v>
      </c>
      <c r="M139" s="17">
        <f t="shared" ref="M139:M140" si="76">+G70</f>
        <v>100</v>
      </c>
      <c r="N139" s="16">
        <f t="shared" ref="N139:N140" si="77">+J70</f>
        <v>5.4900000000000091</v>
      </c>
      <c r="O139" s="60">
        <f t="shared" ref="O139:O140" si="78">+M139*N139</f>
        <v>549.00000000000091</v>
      </c>
      <c r="P139" s="30">
        <f t="shared" si="17"/>
        <v>5049.1556352000089</v>
      </c>
      <c r="Q139" s="201" t="s">
        <v>145</v>
      </c>
      <c r="R139" s="36">
        <f t="shared" ref="R139:R140" si="79">+N139*2</f>
        <v>10.980000000000018</v>
      </c>
      <c r="S139" s="37">
        <f t="shared" ref="S139:S140" si="80">+R139*$L$76</f>
        <v>8.7840000000000149</v>
      </c>
      <c r="T139" s="30">
        <f t="shared" ref="T139:T140" si="81">+$T$80*S139</f>
        <v>89342.064000000159</v>
      </c>
      <c r="U139" s="161"/>
      <c r="V139" s="129"/>
    </row>
    <row r="140" spans="1:22" s="28" customFormat="1" ht="39" customHeight="1">
      <c r="A140" s="16">
        <v>59</v>
      </c>
      <c r="B140" s="147"/>
      <c r="C140" s="148"/>
      <c r="D140" s="149"/>
      <c r="E140" s="55">
        <f t="shared" si="74"/>
        <v>45961</v>
      </c>
      <c r="F140" s="55">
        <f t="shared" si="67"/>
        <v>45961</v>
      </c>
      <c r="G140" s="161"/>
      <c r="H140" s="161"/>
      <c r="I140" s="202"/>
      <c r="J140" s="161"/>
      <c r="K140" s="202"/>
      <c r="L140" s="203"/>
      <c r="M140" s="17">
        <f t="shared" si="76"/>
        <v>100</v>
      </c>
      <c r="N140" s="16">
        <f t="shared" si="77"/>
        <v>5.4200000000000159</v>
      </c>
      <c r="O140" s="60">
        <f t="shared" si="78"/>
        <v>542.00000000000159</v>
      </c>
      <c r="P140" s="30">
        <f t="shared" si="17"/>
        <v>4984.7766016000151</v>
      </c>
      <c r="Q140" s="201"/>
      <c r="R140" s="36">
        <f t="shared" si="79"/>
        <v>10.840000000000032</v>
      </c>
      <c r="S140" s="37">
        <f t="shared" si="80"/>
        <v>8.6720000000000255</v>
      </c>
      <c r="T140" s="30">
        <f t="shared" si="81"/>
        <v>88202.912000000259</v>
      </c>
      <c r="U140" s="161"/>
      <c r="V140" s="129"/>
    </row>
    <row r="141" spans="1:22">
      <c r="A141" s="159" t="s">
        <v>56</v>
      </c>
      <c r="B141" s="160"/>
      <c r="C141" s="160"/>
      <c r="D141" s="160"/>
      <c r="E141" s="160"/>
      <c r="F141" s="160"/>
      <c r="G141" s="16"/>
      <c r="H141" s="16"/>
      <c r="I141" s="16"/>
      <c r="J141" s="16"/>
      <c r="K141" s="30"/>
      <c r="L141" s="16"/>
      <c r="M141" s="16"/>
      <c r="N141" s="16"/>
      <c r="O141" s="16"/>
      <c r="P141" s="16"/>
      <c r="Q141" s="16"/>
      <c r="R141" s="26"/>
      <c r="S141" s="37"/>
      <c r="T141" s="38"/>
    </row>
    <row r="142" spans="1:22">
      <c r="A142" s="160"/>
      <c r="B142" s="160"/>
      <c r="C142" s="160"/>
      <c r="D142" s="160"/>
      <c r="E142" s="160"/>
      <c r="F142" s="160"/>
      <c r="G142" s="161" t="s">
        <v>57</v>
      </c>
      <c r="H142" s="161"/>
      <c r="I142" s="110">
        <f>SUM(I82:I141)</f>
        <v>2970383.5294117634</v>
      </c>
      <c r="J142" s="110"/>
      <c r="K142" s="110">
        <f>SUM(K82:K141)</f>
        <v>5451212.4257703079</v>
      </c>
      <c r="L142" s="110">
        <f>SUM(L82:L141)</f>
        <v>8421595.9551820755</v>
      </c>
      <c r="M142" s="110"/>
      <c r="N142" s="110"/>
      <c r="O142" s="110"/>
      <c r="P142" s="110">
        <f>SUM(P82:P141)</f>
        <v>4420607.0354048014</v>
      </c>
      <c r="Q142" s="110"/>
      <c r="R142" s="110"/>
      <c r="S142" s="110"/>
      <c r="T142" s="110">
        <f>SUM(T82:T141)</f>
        <v>34462407.436799996</v>
      </c>
      <c r="U142" s="39"/>
    </row>
    <row r="143" spans="1:22">
      <c r="A143" s="160"/>
      <c r="B143" s="160"/>
      <c r="C143" s="160"/>
      <c r="D143" s="160"/>
      <c r="E143" s="160"/>
      <c r="F143" s="160"/>
      <c r="G143" s="16" t="s">
        <v>58</v>
      </c>
      <c r="H143" s="27">
        <v>0.19</v>
      </c>
      <c r="I143" s="110">
        <f>+$H$143*I142</f>
        <v>564372.87058823509</v>
      </c>
      <c r="J143" s="110"/>
      <c r="K143" s="110">
        <f>+$H$143*K142</f>
        <v>1035730.3608963585</v>
      </c>
      <c r="L143" s="110">
        <f>+$H$143*L142</f>
        <v>1600103.2314845943</v>
      </c>
      <c r="M143" s="110"/>
      <c r="N143" s="110"/>
      <c r="O143" s="110"/>
      <c r="P143" s="110">
        <v>0</v>
      </c>
      <c r="Q143" s="110"/>
      <c r="R143" s="110"/>
      <c r="S143" s="110"/>
      <c r="T143" s="110">
        <f>+$H$143*T142</f>
        <v>6547857.4129919996</v>
      </c>
    </row>
    <row r="144" spans="1:22" ht="42" customHeight="1">
      <c r="A144" s="160"/>
      <c r="B144" s="160"/>
      <c r="C144" s="160"/>
      <c r="D144" s="160"/>
      <c r="E144" s="160"/>
      <c r="F144" s="160"/>
      <c r="G144" s="161" t="s">
        <v>59</v>
      </c>
      <c r="H144" s="161"/>
      <c r="I144" s="110">
        <f>+I142+I143</f>
        <v>3534756.3999999985</v>
      </c>
      <c r="J144" s="110"/>
      <c r="K144" s="110">
        <f>+K142+K143</f>
        <v>6486942.7866666662</v>
      </c>
      <c r="L144" s="110">
        <f>+L142+L143</f>
        <v>10021699.186666669</v>
      </c>
      <c r="M144" s="110"/>
      <c r="N144" s="110"/>
      <c r="O144" s="110"/>
      <c r="P144" s="110">
        <f>+P142+P143</f>
        <v>4420607.0354048014</v>
      </c>
      <c r="Q144" s="110"/>
      <c r="R144" s="110"/>
      <c r="S144" s="110"/>
      <c r="T144" s="110">
        <f>+T142+T143</f>
        <v>41010264.849791996</v>
      </c>
      <c r="U144" s="39"/>
      <c r="V144" s="39"/>
    </row>
    <row r="145" spans="1:22">
      <c r="K145" s="2"/>
    </row>
    <row r="146" spans="1:22">
      <c r="K146" s="2"/>
      <c r="L146" s="39"/>
      <c r="N146" s="39"/>
      <c r="V146" s="39"/>
    </row>
    <row r="147" spans="1:22">
      <c r="K147" s="39"/>
      <c r="M147" s="51"/>
    </row>
    <row r="148" spans="1:22">
      <c r="A148" s="152" t="s">
        <v>144</v>
      </c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Q148" s="78"/>
    </row>
    <row r="152" spans="1:22">
      <c r="D152" s="152"/>
      <c r="E152" s="152"/>
      <c r="F152" s="152"/>
      <c r="I152" s="152"/>
      <c r="J152" s="152"/>
      <c r="K152" s="152"/>
    </row>
    <row r="153" spans="1:22">
      <c r="D153" s="158"/>
      <c r="E153" s="158"/>
      <c r="F153" s="158"/>
      <c r="I153" s="158"/>
      <c r="J153" s="158"/>
      <c r="K153" s="158"/>
    </row>
    <row r="154" spans="1:22">
      <c r="D154" s="152" t="s">
        <v>60</v>
      </c>
      <c r="E154" s="152"/>
      <c r="F154" s="152"/>
      <c r="I154" s="162" t="s">
        <v>61</v>
      </c>
      <c r="J154" s="162"/>
      <c r="K154" s="162"/>
    </row>
    <row r="155" spans="1:22">
      <c r="F155" s="152"/>
      <c r="G155" s="152"/>
      <c r="H155" s="152"/>
    </row>
    <row r="156" spans="1:22">
      <c r="F156" s="158"/>
      <c r="G156" s="158"/>
      <c r="H156" s="158"/>
    </row>
    <row r="157" spans="1:22">
      <c r="F157" s="152" t="s">
        <v>62</v>
      </c>
      <c r="G157" s="152"/>
      <c r="H157" s="152"/>
    </row>
  </sheetData>
  <autoFilter ref="A81:V144" xr:uid="{00000000-0001-0000-0000-000000000000}">
    <filterColumn colId="1" showButton="0"/>
    <filterColumn colId="2" showButton="0"/>
  </autoFilter>
  <mergeCells count="192">
    <mergeCell ref="K139:K140"/>
    <mergeCell ref="L139:L140"/>
    <mergeCell ref="Q139:Q140"/>
    <mergeCell ref="U139:U140"/>
    <mergeCell ref="V139:V140"/>
    <mergeCell ref="B139:D140"/>
    <mergeCell ref="G139:G140"/>
    <mergeCell ref="H139:H140"/>
    <mergeCell ref="I139:I140"/>
    <mergeCell ref="J139:J140"/>
    <mergeCell ref="L134:L135"/>
    <mergeCell ref="Q134:Q135"/>
    <mergeCell ref="U134:U135"/>
    <mergeCell ref="V134:V135"/>
    <mergeCell ref="G136:G138"/>
    <mergeCell ref="H136:H138"/>
    <mergeCell ref="I136:I138"/>
    <mergeCell ref="J136:J138"/>
    <mergeCell ref="K136:K138"/>
    <mergeCell ref="L136:L138"/>
    <mergeCell ref="Q136:Q138"/>
    <mergeCell ref="U136:U138"/>
    <mergeCell ref="V136:V138"/>
    <mergeCell ref="G134:G135"/>
    <mergeCell ref="H132:H133"/>
    <mergeCell ref="I132:I133"/>
    <mergeCell ref="J132:J133"/>
    <mergeCell ref="K132:K133"/>
    <mergeCell ref="H134:H135"/>
    <mergeCell ref="I134:I135"/>
    <mergeCell ref="J134:J135"/>
    <mergeCell ref="K134:K135"/>
    <mergeCell ref="L128:L129"/>
    <mergeCell ref="Q128:Q129"/>
    <mergeCell ref="U128:U129"/>
    <mergeCell ref="V128:V129"/>
    <mergeCell ref="G132:G133"/>
    <mergeCell ref="L132:L133"/>
    <mergeCell ref="Q132:Q133"/>
    <mergeCell ref="U132:U133"/>
    <mergeCell ref="V132:V133"/>
    <mergeCell ref="G128:G129"/>
    <mergeCell ref="H128:H129"/>
    <mergeCell ref="I128:I129"/>
    <mergeCell ref="J128:J129"/>
    <mergeCell ref="K128:K129"/>
    <mergeCell ref="L121:L124"/>
    <mergeCell ref="Q121:Q124"/>
    <mergeCell ref="U121:U124"/>
    <mergeCell ref="V121:V124"/>
    <mergeCell ref="G125:G127"/>
    <mergeCell ref="H125:H127"/>
    <mergeCell ref="I125:I127"/>
    <mergeCell ref="J125:J127"/>
    <mergeCell ref="K125:K127"/>
    <mergeCell ref="L125:L127"/>
    <mergeCell ref="Q125:Q127"/>
    <mergeCell ref="U125:U127"/>
    <mergeCell ref="V125:V127"/>
    <mergeCell ref="G121:G124"/>
    <mergeCell ref="H121:H124"/>
    <mergeCell ref="I121:I124"/>
    <mergeCell ref="J121:J124"/>
    <mergeCell ref="K121:K124"/>
    <mergeCell ref="L114:L117"/>
    <mergeCell ref="U114:U117"/>
    <mergeCell ref="V114:V117"/>
    <mergeCell ref="Q114:Q117"/>
    <mergeCell ref="G118:G120"/>
    <mergeCell ref="H118:H120"/>
    <mergeCell ref="I118:I120"/>
    <mergeCell ref="J118:J120"/>
    <mergeCell ref="K118:K120"/>
    <mergeCell ref="L118:L120"/>
    <mergeCell ref="Q118:Q120"/>
    <mergeCell ref="U118:U120"/>
    <mergeCell ref="V118:V120"/>
    <mergeCell ref="G114:G117"/>
    <mergeCell ref="H114:H117"/>
    <mergeCell ref="I114:I117"/>
    <mergeCell ref="J114:J117"/>
    <mergeCell ref="K114:K117"/>
    <mergeCell ref="V107:V109"/>
    <mergeCell ref="G110:G113"/>
    <mergeCell ref="H110:H113"/>
    <mergeCell ref="I110:I113"/>
    <mergeCell ref="J110:J113"/>
    <mergeCell ref="K110:K113"/>
    <mergeCell ref="L110:L113"/>
    <mergeCell ref="Q110:Q113"/>
    <mergeCell ref="U110:U113"/>
    <mergeCell ref="V110:V113"/>
    <mergeCell ref="J107:J109"/>
    <mergeCell ref="K107:K109"/>
    <mergeCell ref="L107:L109"/>
    <mergeCell ref="Q107:Q109"/>
    <mergeCell ref="U107:U109"/>
    <mergeCell ref="K105:K106"/>
    <mergeCell ref="L105:L106"/>
    <mergeCell ref="Q105:Q106"/>
    <mergeCell ref="U105:U106"/>
    <mergeCell ref="V105:V106"/>
    <mergeCell ref="K97:K104"/>
    <mergeCell ref="L97:L104"/>
    <mergeCell ref="Q97:Q104"/>
    <mergeCell ref="U97:U104"/>
    <mergeCell ref="V97:V104"/>
    <mergeCell ref="L85:L86"/>
    <mergeCell ref="Q85:Q86"/>
    <mergeCell ref="U85:U86"/>
    <mergeCell ref="V85:V86"/>
    <mergeCell ref="G90:G96"/>
    <mergeCell ref="H90:H96"/>
    <mergeCell ref="J90:J96"/>
    <mergeCell ref="I90:I96"/>
    <mergeCell ref="K90:K96"/>
    <mergeCell ref="L90:L96"/>
    <mergeCell ref="Q90:Q96"/>
    <mergeCell ref="U90:U96"/>
    <mergeCell ref="V90:V96"/>
    <mergeCell ref="B136:D138"/>
    <mergeCell ref="G85:G86"/>
    <mergeCell ref="H85:H86"/>
    <mergeCell ref="I85:I86"/>
    <mergeCell ref="J85:J86"/>
    <mergeCell ref="H97:H104"/>
    <mergeCell ref="G97:G104"/>
    <mergeCell ref="I97:I104"/>
    <mergeCell ref="J97:J104"/>
    <mergeCell ref="G105:G106"/>
    <mergeCell ref="G107:G109"/>
    <mergeCell ref="H105:H106"/>
    <mergeCell ref="H107:H109"/>
    <mergeCell ref="I105:I106"/>
    <mergeCell ref="J105:J106"/>
    <mergeCell ref="I107:I109"/>
    <mergeCell ref="B128:D129"/>
    <mergeCell ref="B130:D130"/>
    <mergeCell ref="B131:D131"/>
    <mergeCell ref="B132:D133"/>
    <mergeCell ref="B134:D135"/>
    <mergeCell ref="B110:D113"/>
    <mergeCell ref="B114:D117"/>
    <mergeCell ref="B118:D120"/>
    <mergeCell ref="B121:D124"/>
    <mergeCell ref="B125:D127"/>
    <mergeCell ref="V76:V77"/>
    <mergeCell ref="S74:V74"/>
    <mergeCell ref="V79:V81"/>
    <mergeCell ref="M78:N78"/>
    <mergeCell ref="R79:T79"/>
    <mergeCell ref="M79:Q79"/>
    <mergeCell ref="U79:U81"/>
    <mergeCell ref="K85:K86"/>
    <mergeCell ref="B82:D82"/>
    <mergeCell ref="B83:D83"/>
    <mergeCell ref="B85:D86"/>
    <mergeCell ref="B87:D87"/>
    <mergeCell ref="B88:D88"/>
    <mergeCell ref="B89:D89"/>
    <mergeCell ref="B90:D96"/>
    <mergeCell ref="B97:D104"/>
    <mergeCell ref="B105:D106"/>
    <mergeCell ref="B107:D109"/>
    <mergeCell ref="D8:K8"/>
    <mergeCell ref="B10:K10"/>
    <mergeCell ref="A79:F79"/>
    <mergeCell ref="B81:D81"/>
    <mergeCell ref="G79:L79"/>
    <mergeCell ref="A74:F74"/>
    <mergeCell ref="G74:L74"/>
    <mergeCell ref="A1:M1"/>
    <mergeCell ref="A2:F2"/>
    <mergeCell ref="G2:M2"/>
    <mergeCell ref="E5:G5"/>
    <mergeCell ref="I5:K5"/>
    <mergeCell ref="D6:K6"/>
    <mergeCell ref="D7:K7"/>
    <mergeCell ref="F157:H157"/>
    <mergeCell ref="K76:K77"/>
    <mergeCell ref="L76:L77"/>
    <mergeCell ref="A75:F77"/>
    <mergeCell ref="D152:F153"/>
    <mergeCell ref="I152:K153"/>
    <mergeCell ref="A141:F144"/>
    <mergeCell ref="F155:H156"/>
    <mergeCell ref="G142:H142"/>
    <mergeCell ref="G144:H144"/>
    <mergeCell ref="A148:M148"/>
    <mergeCell ref="D154:F154"/>
    <mergeCell ref="I154:K154"/>
    <mergeCell ref="B84:D84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13" orientation="portrait" r:id="rId1"/>
  <headerFooter>
    <oddHeader>&amp;CPágina &amp;P&amp;R&amp;A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0DA6-82A2-4947-929C-94E08ADF1337}">
  <dimension ref="A1:V55"/>
  <sheetViews>
    <sheetView workbookViewId="0">
      <selection sqref="A1:M1"/>
    </sheetView>
  </sheetViews>
  <sheetFormatPr baseColWidth="10" defaultColWidth="11.33203125" defaultRowHeight="13.8"/>
  <cols>
    <col min="1" max="1" width="13" style="2" customWidth="1"/>
    <col min="2" max="2" width="7.77734375" style="3" customWidth="1"/>
    <col min="3" max="3" width="27" style="3" customWidth="1"/>
    <col min="4" max="4" width="25.21875" style="4" customWidth="1"/>
    <col min="5" max="5" width="16.88671875" style="2" customWidth="1"/>
    <col min="6" max="6" width="16.77734375" style="2" customWidth="1"/>
    <col min="7" max="7" width="16.5546875" style="2" customWidth="1"/>
    <col min="8" max="8" width="16.109375" style="2" customWidth="1"/>
    <col min="9" max="9" width="15.6640625" style="2" customWidth="1"/>
    <col min="10" max="10" width="15.44140625" style="2" customWidth="1"/>
    <col min="11" max="11" width="18.6640625" style="56" customWidth="1"/>
    <col min="12" max="12" width="15.6640625" style="2" customWidth="1"/>
    <col min="13" max="13" width="23.6640625" style="2" customWidth="1"/>
    <col min="14" max="15" width="15.44140625" style="2" customWidth="1"/>
    <col min="16" max="16" width="18.88671875" style="2" customWidth="1"/>
    <col min="17" max="17" width="16.109375" style="2" customWidth="1"/>
    <col min="18" max="18" width="16" style="2" customWidth="1"/>
    <col min="19" max="19" width="11" style="2" customWidth="1"/>
    <col min="20" max="20" width="16.44140625" style="2" customWidth="1"/>
    <col min="21" max="21" width="54.6640625" style="2" customWidth="1"/>
    <col min="22" max="22" width="38.21875" style="2" customWidth="1"/>
    <col min="23" max="64" width="4.77734375" style="2" customWidth="1"/>
    <col min="65" max="16384" width="11.33203125" style="2"/>
  </cols>
  <sheetData>
    <row r="1" spans="1:16" ht="15" customHeight="1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6" ht="23.4" customHeight="1">
      <c r="A2" s="158" t="s">
        <v>1</v>
      </c>
      <c r="B2" s="158"/>
      <c r="C2" s="158"/>
      <c r="D2" s="158"/>
      <c r="E2" s="158"/>
      <c r="F2" s="158"/>
      <c r="G2" s="158" t="s">
        <v>2</v>
      </c>
      <c r="H2" s="158"/>
      <c r="I2" s="158"/>
      <c r="J2" s="158"/>
      <c r="K2" s="158"/>
      <c r="L2" s="158"/>
      <c r="M2" s="158"/>
    </row>
    <row r="3" spans="1:16" ht="3.75" customHeight="1"/>
    <row r="4" spans="1:16">
      <c r="B4" s="3" t="s">
        <v>3</v>
      </c>
      <c r="D4" s="83" t="s">
        <v>84</v>
      </c>
      <c r="E4" s="5"/>
      <c r="F4" s="5"/>
      <c r="G4" s="5"/>
      <c r="H4" s="5"/>
      <c r="I4" s="5"/>
      <c r="J4" s="5"/>
      <c r="K4" s="57"/>
    </row>
    <row r="5" spans="1:16">
      <c r="B5" s="3" t="s">
        <v>4</v>
      </c>
      <c r="D5" s="4" t="s">
        <v>5</v>
      </c>
      <c r="E5" s="166">
        <v>45901</v>
      </c>
      <c r="F5" s="166"/>
      <c r="G5" s="166"/>
      <c r="H5" s="2" t="s">
        <v>6</v>
      </c>
      <c r="I5" s="166">
        <v>45930</v>
      </c>
      <c r="J5" s="166"/>
      <c r="K5" s="166"/>
    </row>
    <row r="6" spans="1:16">
      <c r="B6" s="3" t="s">
        <v>7</v>
      </c>
      <c r="D6" s="168">
        <v>45901</v>
      </c>
      <c r="E6" s="168"/>
      <c r="F6" s="168"/>
      <c r="G6" s="168"/>
      <c r="H6" s="168"/>
      <c r="I6" s="168"/>
      <c r="J6" s="168"/>
      <c r="K6" s="168"/>
    </row>
    <row r="7" spans="1:16">
      <c r="B7" s="3" t="s">
        <v>8</v>
      </c>
      <c r="D7" s="169" t="s">
        <v>9</v>
      </c>
      <c r="E7" s="169"/>
      <c r="F7" s="169"/>
      <c r="G7" s="169"/>
      <c r="H7" s="169"/>
      <c r="I7" s="169"/>
      <c r="J7" s="169"/>
      <c r="K7" s="169"/>
    </row>
    <row r="8" spans="1:16">
      <c r="B8" s="3" t="s">
        <v>10</v>
      </c>
      <c r="D8" s="169" t="s">
        <v>11</v>
      </c>
      <c r="E8" s="169"/>
      <c r="F8" s="169"/>
      <c r="G8" s="169"/>
      <c r="H8" s="169"/>
      <c r="I8" s="169"/>
      <c r="J8" s="169"/>
      <c r="K8" s="169"/>
    </row>
    <row r="10" spans="1:16">
      <c r="B10" s="165" t="s">
        <v>12</v>
      </c>
      <c r="C10" s="165"/>
      <c r="D10" s="165"/>
      <c r="E10" s="165"/>
      <c r="F10" s="165"/>
      <c r="G10" s="165"/>
      <c r="H10" s="165"/>
      <c r="I10" s="165"/>
      <c r="J10" s="165"/>
      <c r="K10" s="165"/>
      <c r="L10" s="56"/>
    </row>
    <row r="11" spans="1:16">
      <c r="B11" s="4"/>
      <c r="K11" s="2"/>
      <c r="L11" s="56"/>
    </row>
    <row r="12" spans="1:16" ht="34.5" customHeight="1">
      <c r="B12" s="63" t="s">
        <v>13</v>
      </c>
      <c r="C12" s="22" t="s">
        <v>14</v>
      </c>
      <c r="D12" s="22" t="s">
        <v>15</v>
      </c>
      <c r="E12" s="24" t="s">
        <v>16</v>
      </c>
      <c r="F12" s="24" t="s">
        <v>17</v>
      </c>
      <c r="G12" s="21" t="s">
        <v>18</v>
      </c>
      <c r="H12" s="24" t="s">
        <v>19</v>
      </c>
      <c r="I12" s="24" t="s">
        <v>20</v>
      </c>
      <c r="J12" s="21" t="s">
        <v>21</v>
      </c>
      <c r="K12" s="24" t="s">
        <v>22</v>
      </c>
      <c r="L12" s="56"/>
      <c r="M12" s="28"/>
    </row>
    <row r="13" spans="1:16" ht="18" customHeight="1">
      <c r="B13" s="35">
        <v>1</v>
      </c>
      <c r="C13" s="95">
        <v>45902</v>
      </c>
      <c r="D13" s="95">
        <v>45903</v>
      </c>
      <c r="E13" s="99" t="s">
        <v>23</v>
      </c>
      <c r="F13" s="88" t="s">
        <v>77</v>
      </c>
      <c r="G13" s="100">
        <v>332.33</v>
      </c>
      <c r="H13" s="73">
        <v>262</v>
      </c>
      <c r="I13" s="73">
        <v>5</v>
      </c>
      <c r="J13" s="80">
        <f>H13-I13</f>
        <v>257</v>
      </c>
      <c r="K13" s="74">
        <f t="shared" ref="K13:K20" si="0">G13*J13</f>
        <v>85408.81</v>
      </c>
      <c r="L13" s="90"/>
      <c r="M13" s="52"/>
      <c r="O13" s="77"/>
      <c r="P13" s="78"/>
    </row>
    <row r="14" spans="1:16" ht="18" customHeight="1">
      <c r="B14" s="35">
        <v>2</v>
      </c>
      <c r="C14" s="95">
        <v>45904</v>
      </c>
      <c r="D14" s="95">
        <v>45905</v>
      </c>
      <c r="E14" s="99" t="s">
        <v>23</v>
      </c>
      <c r="F14" s="88" t="s">
        <v>77</v>
      </c>
      <c r="G14" s="100">
        <v>330.33</v>
      </c>
      <c r="H14" s="73">
        <v>262</v>
      </c>
      <c r="I14" s="73">
        <v>5</v>
      </c>
      <c r="J14" s="80">
        <f>H14-I14</f>
        <v>257</v>
      </c>
      <c r="K14" s="74">
        <f t="shared" si="0"/>
        <v>84894.81</v>
      </c>
      <c r="L14" s="90"/>
      <c r="M14" s="52"/>
      <c r="O14" s="77"/>
      <c r="P14" s="78"/>
    </row>
    <row r="15" spans="1:16" ht="18" customHeight="1">
      <c r="B15" s="35">
        <v>3</v>
      </c>
      <c r="C15" s="95">
        <v>45906</v>
      </c>
      <c r="D15" s="95">
        <v>45907</v>
      </c>
      <c r="E15" s="99" t="s">
        <v>23</v>
      </c>
      <c r="F15" s="89" t="s">
        <v>77</v>
      </c>
      <c r="G15" s="100">
        <v>332.33</v>
      </c>
      <c r="H15" s="73">
        <v>262</v>
      </c>
      <c r="I15" s="81">
        <v>5</v>
      </c>
      <c r="J15" s="80">
        <f>H15-I15</f>
        <v>257</v>
      </c>
      <c r="K15" s="74">
        <f t="shared" si="0"/>
        <v>85408.81</v>
      </c>
      <c r="L15" s="91"/>
      <c r="M15" s="52"/>
    </row>
    <row r="16" spans="1:16" ht="18" customHeight="1">
      <c r="B16" s="35">
        <v>4</v>
      </c>
      <c r="C16" s="95">
        <v>45908</v>
      </c>
      <c r="D16" s="95">
        <v>45909</v>
      </c>
      <c r="E16" s="99" t="s">
        <v>23</v>
      </c>
      <c r="F16" s="89" t="s">
        <v>77</v>
      </c>
      <c r="G16" s="100">
        <v>388.33</v>
      </c>
      <c r="H16" s="73">
        <v>262</v>
      </c>
      <c r="I16" s="73">
        <v>5</v>
      </c>
      <c r="J16" s="80">
        <f t="shared" ref="J16:J17" si="1">H16-I16</f>
        <v>257</v>
      </c>
      <c r="K16" s="74">
        <f t="shared" si="0"/>
        <v>99800.81</v>
      </c>
      <c r="L16" s="90"/>
      <c r="M16" s="52"/>
    </row>
    <row r="17" spans="1:22" ht="18" customHeight="1">
      <c r="B17" s="35">
        <v>5</v>
      </c>
      <c r="C17" s="96">
        <v>45914</v>
      </c>
      <c r="D17" s="96">
        <v>45915</v>
      </c>
      <c r="E17" s="98" t="s">
        <v>23</v>
      </c>
      <c r="F17" s="89" t="s">
        <v>77</v>
      </c>
      <c r="G17" s="100">
        <v>360.33</v>
      </c>
      <c r="H17" s="73">
        <v>262</v>
      </c>
      <c r="I17" s="73">
        <v>5</v>
      </c>
      <c r="J17" s="80">
        <f t="shared" si="1"/>
        <v>257</v>
      </c>
      <c r="K17" s="74">
        <f t="shared" si="0"/>
        <v>92604.81</v>
      </c>
      <c r="L17" s="90"/>
      <c r="M17" s="52"/>
    </row>
    <row r="18" spans="1:22" ht="18" customHeight="1">
      <c r="B18" s="35">
        <v>6</v>
      </c>
      <c r="C18" s="96">
        <v>45918</v>
      </c>
      <c r="D18" s="96">
        <v>45919</v>
      </c>
      <c r="E18" s="98" t="s">
        <v>23</v>
      </c>
      <c r="F18" s="88" t="s">
        <v>77</v>
      </c>
      <c r="G18" s="100">
        <v>331.1</v>
      </c>
      <c r="H18" s="73">
        <v>262</v>
      </c>
      <c r="I18" s="81">
        <v>5</v>
      </c>
      <c r="J18" s="80">
        <f>H18-I18</f>
        <v>257</v>
      </c>
      <c r="K18" s="74">
        <f t="shared" si="0"/>
        <v>85092.700000000012</v>
      </c>
      <c r="L18" s="91"/>
      <c r="M18" s="53"/>
    </row>
    <row r="19" spans="1:22" s="28" customFormat="1" ht="18" customHeight="1">
      <c r="B19" s="35">
        <v>7</v>
      </c>
      <c r="C19" s="96">
        <v>45920</v>
      </c>
      <c r="D19" s="96">
        <v>45921</v>
      </c>
      <c r="E19" s="98" t="s">
        <v>23</v>
      </c>
      <c r="F19" s="88" t="s">
        <v>77</v>
      </c>
      <c r="G19" s="100">
        <v>331.1</v>
      </c>
      <c r="H19" s="73">
        <v>262</v>
      </c>
      <c r="I19" s="81">
        <v>5</v>
      </c>
      <c r="J19" s="80">
        <f t="shared" ref="J19:J20" si="2">H19-I19</f>
        <v>257</v>
      </c>
      <c r="K19" s="74">
        <f t="shared" si="0"/>
        <v>85092.700000000012</v>
      </c>
      <c r="L19" s="90"/>
      <c r="M19" s="67"/>
    </row>
    <row r="20" spans="1:22" s="28" customFormat="1" ht="18" customHeight="1">
      <c r="B20" s="35">
        <v>8</v>
      </c>
      <c r="C20" s="95">
        <v>45927</v>
      </c>
      <c r="D20" s="95">
        <v>45928</v>
      </c>
      <c r="E20" s="99" t="s">
        <v>23</v>
      </c>
      <c r="F20" s="88" t="s">
        <v>77</v>
      </c>
      <c r="G20" s="100">
        <v>332.3</v>
      </c>
      <c r="H20" s="73">
        <v>262</v>
      </c>
      <c r="I20" s="81">
        <v>5</v>
      </c>
      <c r="J20" s="80">
        <f t="shared" si="2"/>
        <v>257</v>
      </c>
      <c r="K20" s="74">
        <f t="shared" si="0"/>
        <v>85401.1</v>
      </c>
      <c r="L20" s="90"/>
      <c r="M20" s="67"/>
    </row>
    <row r="21" spans="1:22">
      <c r="B21" s="4"/>
      <c r="D21" s="3"/>
      <c r="F21" s="6" t="s">
        <v>27</v>
      </c>
      <c r="G21" s="82">
        <f>ROUND(SUM(G13:G20),0)</f>
        <v>2738</v>
      </c>
      <c r="J21" s="75">
        <f>SUM(J13:J20)</f>
        <v>2056</v>
      </c>
      <c r="K21" s="76">
        <f>SUM(K13:K20)</f>
        <v>703704.54999999993</v>
      </c>
      <c r="L21" s="56"/>
    </row>
    <row r="22" spans="1:22">
      <c r="C22" s="84"/>
      <c r="G22" s="58"/>
    </row>
    <row r="23" spans="1:22" ht="25.5" customHeight="1" thickBot="1">
      <c r="A23" s="173" t="s">
        <v>28</v>
      </c>
      <c r="B23" s="173"/>
      <c r="C23" s="173"/>
      <c r="D23" s="173"/>
      <c r="E23" s="173"/>
      <c r="F23" s="173"/>
      <c r="G23" s="174" t="s">
        <v>29</v>
      </c>
      <c r="H23" s="174"/>
      <c r="I23" s="174"/>
      <c r="J23" s="174"/>
      <c r="K23" s="174"/>
      <c r="L23" s="174"/>
      <c r="S23" s="181"/>
      <c r="T23" s="181"/>
      <c r="U23" s="181"/>
      <c r="V23" s="181"/>
    </row>
    <row r="24" spans="1:22" ht="39.75" customHeight="1" thickBot="1">
      <c r="A24" s="156" t="s">
        <v>82</v>
      </c>
      <c r="B24" s="156"/>
      <c r="C24" s="156"/>
      <c r="D24" s="156"/>
      <c r="E24" s="156"/>
      <c r="F24" s="157"/>
      <c r="G24" s="7" t="s">
        <v>30</v>
      </c>
      <c r="H24" s="8" t="s">
        <v>31</v>
      </c>
      <c r="I24" s="8" t="s">
        <v>32</v>
      </c>
      <c r="J24" s="61" t="s">
        <v>74</v>
      </c>
      <c r="K24" s="8" t="s">
        <v>33</v>
      </c>
      <c r="L24" s="8" t="s">
        <v>34</v>
      </c>
      <c r="M24" s="14" t="s">
        <v>35</v>
      </c>
      <c r="O24" s="79"/>
      <c r="S24" s="69"/>
      <c r="T24" s="69"/>
      <c r="U24" s="69"/>
      <c r="V24" s="69"/>
    </row>
    <row r="25" spans="1:22" ht="15" thickTop="1" thickBot="1">
      <c r="A25" s="156"/>
      <c r="B25" s="156"/>
      <c r="C25" s="156"/>
      <c r="D25" s="156"/>
      <c r="E25" s="156"/>
      <c r="F25" s="157"/>
      <c r="G25" s="9" t="s">
        <v>36</v>
      </c>
      <c r="H25" s="10">
        <f>(12239919/(1+19%))</f>
        <v>10285646.218487395</v>
      </c>
      <c r="I25" s="10">
        <f>(966523.58/(1+19%))</f>
        <v>812204.68907563027</v>
      </c>
      <c r="J25" s="62">
        <f>(2142616/(1+19%))</f>
        <v>1800517.6470588236</v>
      </c>
      <c r="K25" s="153">
        <f>(8*1.0928)*1.052</f>
        <v>9.1970048000000002</v>
      </c>
      <c r="L25" s="154">
        <v>0.8</v>
      </c>
      <c r="M25" s="68">
        <v>188</v>
      </c>
      <c r="S25" s="70"/>
      <c r="T25" s="71"/>
      <c r="U25" s="71"/>
      <c r="V25" s="180"/>
    </row>
    <row r="26" spans="1:22" ht="15.6" customHeight="1" thickTop="1" thickBot="1">
      <c r="A26" s="156"/>
      <c r="B26" s="156"/>
      <c r="C26" s="156"/>
      <c r="D26" s="156"/>
      <c r="E26" s="156"/>
      <c r="F26" s="157"/>
      <c r="G26" s="11" t="s">
        <v>37</v>
      </c>
      <c r="H26" s="12">
        <f>+H25/30</f>
        <v>342854.87394957984</v>
      </c>
      <c r="I26" s="12">
        <f>+I25/30</f>
        <v>27073.489635854341</v>
      </c>
      <c r="J26" s="62">
        <f>+J25/30</f>
        <v>60017.25490196079</v>
      </c>
      <c r="K26" s="153"/>
      <c r="L26" s="155"/>
      <c r="M26" s="68">
        <v>188</v>
      </c>
      <c r="S26" s="70"/>
      <c r="T26" s="71"/>
      <c r="U26" s="71"/>
      <c r="V26" s="180"/>
    </row>
    <row r="27" spans="1:22">
      <c r="A27" s="13"/>
      <c r="B27" s="85"/>
      <c r="C27" s="85"/>
      <c r="D27" s="86"/>
      <c r="E27" s="13"/>
      <c r="F27" s="13"/>
      <c r="G27" s="13"/>
      <c r="M27" s="185"/>
      <c r="N27" s="185"/>
    </row>
    <row r="28" spans="1:22">
      <c r="A28" s="170" t="s">
        <v>38</v>
      </c>
      <c r="B28" s="170"/>
      <c r="C28" s="170"/>
      <c r="D28" s="170"/>
      <c r="E28" s="170"/>
      <c r="F28" s="170"/>
      <c r="G28" s="172" t="s">
        <v>39</v>
      </c>
      <c r="H28" s="172"/>
      <c r="I28" s="172"/>
      <c r="J28" s="172"/>
      <c r="K28" s="172"/>
      <c r="L28" s="172"/>
      <c r="M28" s="187" t="s">
        <v>40</v>
      </c>
      <c r="N28" s="187"/>
      <c r="O28" s="187"/>
      <c r="P28" s="187"/>
      <c r="Q28" s="187"/>
      <c r="R28" s="186" t="s">
        <v>41</v>
      </c>
      <c r="S28" s="186"/>
      <c r="T28" s="186"/>
      <c r="U28" s="182" t="s">
        <v>75</v>
      </c>
      <c r="V28" s="182" t="s">
        <v>76</v>
      </c>
    </row>
    <row r="29" spans="1:22" hidden="1">
      <c r="A29" s="16"/>
      <c r="B29" s="19"/>
      <c r="C29" s="19"/>
      <c r="D29" s="87"/>
      <c r="E29" s="16"/>
      <c r="F29" s="16"/>
      <c r="G29" s="16"/>
      <c r="H29" s="16"/>
      <c r="I29" s="16"/>
      <c r="J29" s="16"/>
      <c r="K29" s="30"/>
      <c r="L29" s="16"/>
      <c r="M29" s="16"/>
      <c r="N29" s="16"/>
      <c r="O29" s="16"/>
      <c r="P29" s="16"/>
      <c r="Q29" s="16"/>
      <c r="R29" s="16"/>
      <c r="S29" s="16" t="s">
        <v>42</v>
      </c>
      <c r="T29" s="29">
        <v>10171</v>
      </c>
      <c r="U29" s="183"/>
      <c r="V29" s="183"/>
    </row>
    <row r="30" spans="1:22" s="1" customFormat="1" ht="57" customHeight="1">
      <c r="A30" s="21" t="s">
        <v>13</v>
      </c>
      <c r="B30" s="171" t="s">
        <v>43</v>
      </c>
      <c r="C30" s="171"/>
      <c r="D30" s="171"/>
      <c r="E30" s="22" t="s">
        <v>14</v>
      </c>
      <c r="F30" s="22" t="s">
        <v>15</v>
      </c>
      <c r="G30" s="21" t="s">
        <v>44</v>
      </c>
      <c r="H30" s="21" t="s">
        <v>45</v>
      </c>
      <c r="I30" s="21" t="s">
        <v>46</v>
      </c>
      <c r="J30" s="21" t="s">
        <v>47</v>
      </c>
      <c r="K30" s="21" t="s">
        <v>48</v>
      </c>
      <c r="L30" s="23" t="s">
        <v>49</v>
      </c>
      <c r="M30" s="21" t="s">
        <v>50</v>
      </c>
      <c r="N30" s="21" t="s">
        <v>21</v>
      </c>
      <c r="O30" s="24" t="s">
        <v>22</v>
      </c>
      <c r="P30" s="21" t="s">
        <v>51</v>
      </c>
      <c r="Q30" s="21" t="s">
        <v>52</v>
      </c>
      <c r="R30" s="21" t="s">
        <v>53</v>
      </c>
      <c r="S30" s="21" t="s">
        <v>54</v>
      </c>
      <c r="T30" s="21" t="s">
        <v>55</v>
      </c>
      <c r="U30" s="184"/>
      <c r="V30" s="184"/>
    </row>
    <row r="31" spans="1:22" s="28" customFormat="1" ht="111" customHeight="1">
      <c r="A31" s="16">
        <v>1</v>
      </c>
      <c r="B31" s="133" t="s">
        <v>90</v>
      </c>
      <c r="C31" s="134"/>
      <c r="D31" s="135"/>
      <c r="E31" s="55">
        <f t="shared" ref="E31:F38" si="3">C13</f>
        <v>45902</v>
      </c>
      <c r="F31" s="55">
        <f t="shared" si="3"/>
        <v>45903</v>
      </c>
      <c r="G31" s="92">
        <v>1</v>
      </c>
      <c r="H31" s="92">
        <v>2</v>
      </c>
      <c r="I31" s="113">
        <f>+H31*H$26*G31</f>
        <v>685709.74789915967</v>
      </c>
      <c r="J31" s="92">
        <v>12</v>
      </c>
      <c r="K31" s="113">
        <f t="shared" ref="K31:K38" si="4">+J31*I$26*G31</f>
        <v>324881.87563025206</v>
      </c>
      <c r="L31" s="107">
        <f>I31+K31</f>
        <v>1010591.6235294117</v>
      </c>
      <c r="M31" s="17">
        <f t="shared" ref="M31:M38" si="5">+G13</f>
        <v>332.33</v>
      </c>
      <c r="N31" s="16">
        <f t="shared" ref="N31:N38" si="6">+J13</f>
        <v>257</v>
      </c>
      <c r="O31" s="60">
        <f t="shared" ref="O31:O38" si="7">+M31*N31</f>
        <v>85408.81</v>
      </c>
      <c r="P31" s="30">
        <f>+O31*$K$25</f>
        <v>785505.23553228797</v>
      </c>
      <c r="Q31" s="72" t="s">
        <v>125</v>
      </c>
      <c r="R31" s="36">
        <f>+N31*2+$M$25</f>
        <v>702</v>
      </c>
      <c r="S31" s="37">
        <f t="shared" ref="S31:S37" si="8">+R31*$L$25</f>
        <v>561.6</v>
      </c>
      <c r="T31" s="30">
        <f t="shared" ref="T31:T38" si="9">+$T$29*S31</f>
        <v>5712033.6000000006</v>
      </c>
      <c r="U31" s="111"/>
      <c r="V31" s="112" t="s">
        <v>81</v>
      </c>
    </row>
    <row r="32" spans="1:22" s="28" customFormat="1" ht="141" customHeight="1">
      <c r="A32" s="35">
        <v>2</v>
      </c>
      <c r="B32" s="133" t="s">
        <v>94</v>
      </c>
      <c r="C32" s="134"/>
      <c r="D32" s="135"/>
      <c r="E32" s="55">
        <f t="shared" si="3"/>
        <v>45904</v>
      </c>
      <c r="F32" s="55">
        <f t="shared" si="3"/>
        <v>45905</v>
      </c>
      <c r="G32" s="92">
        <v>1</v>
      </c>
      <c r="H32" s="92">
        <v>2</v>
      </c>
      <c r="I32" s="113">
        <f t="shared" ref="I32" si="10">+H32*H$26*G32</f>
        <v>685709.74789915967</v>
      </c>
      <c r="J32" s="92">
        <v>12</v>
      </c>
      <c r="K32" s="113">
        <f t="shared" si="4"/>
        <v>324881.87563025206</v>
      </c>
      <c r="L32" s="107">
        <f t="shared" ref="L32:L37" si="11">I32+K32</f>
        <v>1010591.6235294117</v>
      </c>
      <c r="M32" s="17">
        <f t="shared" si="5"/>
        <v>330.33</v>
      </c>
      <c r="N32" s="16">
        <f t="shared" si="6"/>
        <v>257</v>
      </c>
      <c r="O32" s="60">
        <f t="shared" si="7"/>
        <v>84894.81</v>
      </c>
      <c r="P32" s="30">
        <f t="shared" ref="P32:P38" si="12">+O32*$K$25</f>
        <v>780777.97506508802</v>
      </c>
      <c r="Q32" s="72" t="s">
        <v>126</v>
      </c>
      <c r="R32" s="36">
        <f>+N32*2+$M$25</f>
        <v>702</v>
      </c>
      <c r="S32" s="37">
        <f t="shared" si="8"/>
        <v>561.6</v>
      </c>
      <c r="T32" s="30">
        <f t="shared" si="9"/>
        <v>5712033.6000000006</v>
      </c>
      <c r="U32" s="111"/>
      <c r="V32" s="112" t="s">
        <v>81</v>
      </c>
    </row>
    <row r="33" spans="1:22" s="28" customFormat="1" ht="150" customHeight="1">
      <c r="A33" s="16">
        <v>3</v>
      </c>
      <c r="B33" s="133" t="s">
        <v>91</v>
      </c>
      <c r="C33" s="134"/>
      <c r="D33" s="135"/>
      <c r="E33" s="55">
        <f t="shared" si="3"/>
        <v>45906</v>
      </c>
      <c r="F33" s="55">
        <f t="shared" si="3"/>
        <v>45907</v>
      </c>
      <c r="G33" s="16">
        <v>1</v>
      </c>
      <c r="H33" s="16">
        <v>2</v>
      </c>
      <c r="I33" s="25">
        <f>+H33*H$26*G33</f>
        <v>685709.74789915967</v>
      </c>
      <c r="J33" s="16">
        <v>12</v>
      </c>
      <c r="K33" s="25">
        <f t="shared" si="4"/>
        <v>324881.87563025206</v>
      </c>
      <c r="L33" s="59">
        <f>I33+K33</f>
        <v>1010591.6235294117</v>
      </c>
      <c r="M33" s="17">
        <f t="shared" si="5"/>
        <v>332.33</v>
      </c>
      <c r="N33" s="16">
        <f t="shared" si="6"/>
        <v>257</v>
      </c>
      <c r="O33" s="60">
        <f t="shared" si="7"/>
        <v>85408.81</v>
      </c>
      <c r="P33" s="30">
        <f t="shared" si="12"/>
        <v>785505.23553228797</v>
      </c>
      <c r="Q33" s="72" t="s">
        <v>127</v>
      </c>
      <c r="R33" s="36">
        <f>+N33*2+$M$25</f>
        <v>702</v>
      </c>
      <c r="S33" s="37">
        <f t="shared" si="8"/>
        <v>561.6</v>
      </c>
      <c r="T33" s="30">
        <f t="shared" si="9"/>
        <v>5712033.6000000006</v>
      </c>
      <c r="U33" s="111"/>
      <c r="V33" s="103" t="s">
        <v>81</v>
      </c>
    </row>
    <row r="34" spans="1:22" s="28" customFormat="1" ht="145.80000000000001" customHeight="1">
      <c r="A34" s="35">
        <v>4</v>
      </c>
      <c r="B34" s="142" t="s">
        <v>92</v>
      </c>
      <c r="C34" s="143"/>
      <c r="D34" s="144"/>
      <c r="E34" s="55">
        <f t="shared" si="3"/>
        <v>45908</v>
      </c>
      <c r="F34" s="55">
        <f t="shared" si="3"/>
        <v>45909</v>
      </c>
      <c r="G34" s="16">
        <v>1</v>
      </c>
      <c r="H34" s="16">
        <v>2</v>
      </c>
      <c r="I34" s="104">
        <f t="shared" ref="I34" si="13">+H34*H$26*G34</f>
        <v>685709.74789915967</v>
      </c>
      <c r="J34" s="16">
        <v>14</v>
      </c>
      <c r="K34" s="104">
        <f t="shared" si="4"/>
        <v>379028.85490196076</v>
      </c>
      <c r="L34" s="59">
        <f t="shared" ref="L34" si="14">I34+K34</f>
        <v>1064738.6028011204</v>
      </c>
      <c r="M34" s="17">
        <f t="shared" si="5"/>
        <v>388.33</v>
      </c>
      <c r="N34" s="16">
        <f t="shared" si="6"/>
        <v>257</v>
      </c>
      <c r="O34" s="60">
        <f t="shared" si="7"/>
        <v>99800.81</v>
      </c>
      <c r="P34" s="30">
        <f t="shared" si="12"/>
        <v>917868.52861388796</v>
      </c>
      <c r="Q34" s="72" t="s">
        <v>128</v>
      </c>
      <c r="R34" s="36">
        <f t="shared" ref="R34:R35" si="15">+N34*2+$M$25</f>
        <v>702</v>
      </c>
      <c r="S34" s="37">
        <f t="shared" si="8"/>
        <v>561.6</v>
      </c>
      <c r="T34" s="30">
        <f t="shared" si="9"/>
        <v>5712033.6000000006</v>
      </c>
      <c r="U34" s="94"/>
      <c r="V34" s="93" t="s">
        <v>81</v>
      </c>
    </row>
    <row r="35" spans="1:22" s="28" customFormat="1" ht="153.6" customHeight="1">
      <c r="A35" s="16">
        <v>5</v>
      </c>
      <c r="B35" s="141" t="s">
        <v>93</v>
      </c>
      <c r="C35" s="141"/>
      <c r="D35" s="141"/>
      <c r="E35" s="55">
        <f t="shared" si="3"/>
        <v>45914</v>
      </c>
      <c r="F35" s="55">
        <f t="shared" si="3"/>
        <v>45915</v>
      </c>
      <c r="G35" s="92">
        <v>2</v>
      </c>
      <c r="H35" s="92">
        <v>2</v>
      </c>
      <c r="I35" s="101">
        <f>+H35*H$26*G35</f>
        <v>1371419.4957983193</v>
      </c>
      <c r="J35" s="92">
        <v>13</v>
      </c>
      <c r="K35" s="101">
        <f t="shared" si="4"/>
        <v>703910.73053221288</v>
      </c>
      <c r="L35" s="107">
        <f t="shared" si="11"/>
        <v>2075330.2263305322</v>
      </c>
      <c r="M35" s="17">
        <f t="shared" si="5"/>
        <v>360.33</v>
      </c>
      <c r="N35" s="16">
        <f t="shared" si="6"/>
        <v>257</v>
      </c>
      <c r="O35" s="60">
        <f t="shared" si="7"/>
        <v>92604.81</v>
      </c>
      <c r="P35" s="30">
        <f t="shared" si="12"/>
        <v>851686.88207308797</v>
      </c>
      <c r="Q35" s="72" t="s">
        <v>129</v>
      </c>
      <c r="R35" s="36">
        <f t="shared" si="15"/>
        <v>702</v>
      </c>
      <c r="S35" s="37">
        <f t="shared" si="8"/>
        <v>561.6</v>
      </c>
      <c r="T35" s="38">
        <f t="shared" si="9"/>
        <v>5712033.6000000006</v>
      </c>
      <c r="U35" s="102"/>
      <c r="V35" s="93" t="s">
        <v>132</v>
      </c>
    </row>
    <row r="36" spans="1:22" s="28" customFormat="1" ht="134.4" customHeight="1">
      <c r="A36" s="35">
        <v>6</v>
      </c>
      <c r="B36" s="163" t="s">
        <v>95</v>
      </c>
      <c r="C36" s="163"/>
      <c r="D36" s="163"/>
      <c r="E36" s="55">
        <f t="shared" si="3"/>
        <v>45918</v>
      </c>
      <c r="F36" s="55">
        <f t="shared" si="3"/>
        <v>45919</v>
      </c>
      <c r="G36" s="16">
        <v>1</v>
      </c>
      <c r="H36" s="16">
        <v>2</v>
      </c>
      <c r="I36" s="25">
        <f t="shared" ref="I36:I38" si="16">+H36*H$26*G36</f>
        <v>685709.74789915967</v>
      </c>
      <c r="J36" s="16">
        <v>12</v>
      </c>
      <c r="K36" s="25">
        <f t="shared" si="4"/>
        <v>324881.87563025206</v>
      </c>
      <c r="L36" s="59">
        <f t="shared" si="11"/>
        <v>1010591.6235294117</v>
      </c>
      <c r="M36" s="17">
        <f t="shared" si="5"/>
        <v>331.1</v>
      </c>
      <c r="N36" s="16">
        <f t="shared" si="6"/>
        <v>257</v>
      </c>
      <c r="O36" s="60">
        <f t="shared" si="7"/>
        <v>85092.700000000012</v>
      </c>
      <c r="P36" s="30">
        <f t="shared" si="12"/>
        <v>782597.97034496011</v>
      </c>
      <c r="Q36" s="72" t="s">
        <v>130</v>
      </c>
      <c r="R36" s="36">
        <f>+N36*2+$M$25</f>
        <v>702</v>
      </c>
      <c r="S36" s="37">
        <f t="shared" si="8"/>
        <v>561.6</v>
      </c>
      <c r="T36" s="38">
        <f t="shared" si="9"/>
        <v>5712033.6000000006</v>
      </c>
      <c r="U36" s="35"/>
      <c r="V36" s="103" t="s">
        <v>80</v>
      </c>
    </row>
    <row r="37" spans="1:22" s="28" customFormat="1" ht="154.19999999999999" customHeight="1">
      <c r="A37" s="16">
        <v>7</v>
      </c>
      <c r="B37" s="163" t="s">
        <v>96</v>
      </c>
      <c r="C37" s="163"/>
      <c r="D37" s="163"/>
      <c r="E37" s="55">
        <f t="shared" si="3"/>
        <v>45920</v>
      </c>
      <c r="F37" s="55">
        <f t="shared" si="3"/>
        <v>45921</v>
      </c>
      <c r="G37" s="92">
        <v>1</v>
      </c>
      <c r="H37" s="92">
        <v>2</v>
      </c>
      <c r="I37" s="101">
        <f t="shared" si="16"/>
        <v>685709.74789915967</v>
      </c>
      <c r="J37" s="92">
        <v>12</v>
      </c>
      <c r="K37" s="101">
        <f t="shared" si="4"/>
        <v>324881.87563025206</v>
      </c>
      <c r="L37" s="107">
        <f t="shared" si="11"/>
        <v>1010591.6235294117</v>
      </c>
      <c r="M37" s="17">
        <f t="shared" si="5"/>
        <v>331.1</v>
      </c>
      <c r="N37" s="16">
        <f t="shared" si="6"/>
        <v>257</v>
      </c>
      <c r="O37" s="60">
        <f t="shared" si="7"/>
        <v>85092.700000000012</v>
      </c>
      <c r="P37" s="30">
        <f t="shared" si="12"/>
        <v>782597.97034496011</v>
      </c>
      <c r="Q37" s="72" t="s">
        <v>131</v>
      </c>
      <c r="R37" s="36">
        <f t="shared" ref="R37:R38" si="17">+N37*2+$M$25</f>
        <v>702</v>
      </c>
      <c r="S37" s="105">
        <f t="shared" si="8"/>
        <v>561.6</v>
      </c>
      <c r="T37" s="106">
        <f t="shared" si="9"/>
        <v>5712033.6000000006</v>
      </c>
      <c r="U37" s="102"/>
      <c r="V37" s="103" t="s">
        <v>81</v>
      </c>
    </row>
    <row r="38" spans="1:22" s="28" customFormat="1" ht="83.4" customHeight="1">
      <c r="A38" s="35">
        <v>8</v>
      </c>
      <c r="B38" s="164" t="s">
        <v>133</v>
      </c>
      <c r="C38" s="164"/>
      <c r="D38" s="164"/>
      <c r="E38" s="55">
        <f t="shared" si="3"/>
        <v>45927</v>
      </c>
      <c r="F38" s="55">
        <f t="shared" si="3"/>
        <v>45928</v>
      </c>
      <c r="G38" s="16">
        <v>2</v>
      </c>
      <c r="H38" s="16">
        <v>2</v>
      </c>
      <c r="I38" s="104">
        <f t="shared" si="16"/>
        <v>1371419.4957983193</v>
      </c>
      <c r="J38" s="16">
        <v>12</v>
      </c>
      <c r="K38" s="104">
        <f t="shared" si="4"/>
        <v>649763.75126050413</v>
      </c>
      <c r="L38" s="109">
        <f>I38+K38</f>
        <v>2021183.2470588235</v>
      </c>
      <c r="M38" s="17">
        <f t="shared" si="5"/>
        <v>332.3</v>
      </c>
      <c r="N38" s="16">
        <f t="shared" si="6"/>
        <v>257</v>
      </c>
      <c r="O38" s="60">
        <f t="shared" si="7"/>
        <v>85401.1</v>
      </c>
      <c r="P38" s="30">
        <f t="shared" si="12"/>
        <v>785434.32662528008</v>
      </c>
      <c r="Q38" s="72" t="s">
        <v>134</v>
      </c>
      <c r="R38" s="36">
        <f t="shared" si="17"/>
        <v>702</v>
      </c>
      <c r="S38" s="37">
        <f>+R38*$L$25</f>
        <v>561.6</v>
      </c>
      <c r="T38" s="30">
        <f t="shared" si="9"/>
        <v>5712033.6000000006</v>
      </c>
      <c r="U38" s="94"/>
      <c r="V38" s="93" t="s">
        <v>132</v>
      </c>
    </row>
    <row r="39" spans="1:22">
      <c r="A39" s="159" t="s">
        <v>56</v>
      </c>
      <c r="B39" s="160"/>
      <c r="C39" s="160"/>
      <c r="D39" s="160"/>
      <c r="E39" s="160"/>
      <c r="F39" s="160"/>
      <c r="G39" s="16"/>
      <c r="H39" s="16"/>
      <c r="I39" s="16"/>
      <c r="J39" s="16"/>
      <c r="K39" s="30"/>
      <c r="L39" s="16"/>
      <c r="M39" s="16"/>
      <c r="N39" s="16"/>
      <c r="O39" s="16"/>
      <c r="P39" s="16"/>
      <c r="Q39" s="16"/>
      <c r="R39" s="26"/>
      <c r="S39" s="37"/>
      <c r="T39" s="38"/>
    </row>
    <row r="40" spans="1:22">
      <c r="A40" s="160"/>
      <c r="B40" s="160"/>
      <c r="C40" s="160"/>
      <c r="D40" s="160"/>
      <c r="E40" s="160"/>
      <c r="F40" s="160"/>
      <c r="G40" s="161" t="s">
        <v>57</v>
      </c>
      <c r="H40" s="161"/>
      <c r="I40" s="110">
        <f>SUM(I31:I39)</f>
        <v>6857097.478991597</v>
      </c>
      <c r="J40" s="110"/>
      <c r="K40" s="110">
        <f>SUM(K31:K39)</f>
        <v>3357112.7148459381</v>
      </c>
      <c r="L40" s="110">
        <f>SUM(L31:L39)</f>
        <v>10214210.193837535</v>
      </c>
      <c r="M40" s="110"/>
      <c r="N40" s="110"/>
      <c r="O40" s="110"/>
      <c r="P40" s="110">
        <f>SUM(P31:P39)</f>
        <v>6471974.1241318397</v>
      </c>
      <c r="Q40" s="110"/>
      <c r="R40" s="110"/>
      <c r="S40" s="110"/>
      <c r="T40" s="110">
        <f>SUM(T31:T39)</f>
        <v>45696268.800000004</v>
      </c>
      <c r="U40" s="39"/>
    </row>
    <row r="41" spans="1:22">
      <c r="A41" s="160"/>
      <c r="B41" s="160"/>
      <c r="C41" s="160"/>
      <c r="D41" s="160"/>
      <c r="E41" s="160"/>
      <c r="F41" s="160"/>
      <c r="G41" s="16" t="s">
        <v>58</v>
      </c>
      <c r="H41" s="27">
        <v>0.19</v>
      </c>
      <c r="I41" s="110">
        <f>+$H$41*I40</f>
        <v>1302848.5210084035</v>
      </c>
      <c r="J41" s="110"/>
      <c r="K41" s="110">
        <f>+$H$41*K40</f>
        <v>637851.41582072829</v>
      </c>
      <c r="L41" s="110">
        <f>+$H$41*L40</f>
        <v>1940699.9368291316</v>
      </c>
      <c r="M41" s="110"/>
      <c r="N41" s="110"/>
      <c r="O41" s="110"/>
      <c r="P41" s="110">
        <v>0</v>
      </c>
      <c r="Q41" s="110"/>
      <c r="R41" s="110"/>
      <c r="S41" s="110"/>
      <c r="T41" s="110">
        <f>+$H$41*T40</f>
        <v>8682291.0720000006</v>
      </c>
    </row>
    <row r="42" spans="1:22" ht="42" customHeight="1">
      <c r="A42" s="160"/>
      <c r="B42" s="160"/>
      <c r="C42" s="160"/>
      <c r="D42" s="160"/>
      <c r="E42" s="160"/>
      <c r="F42" s="160"/>
      <c r="G42" s="161" t="s">
        <v>59</v>
      </c>
      <c r="H42" s="161"/>
      <c r="I42" s="110">
        <f>+I40+I41</f>
        <v>8159946</v>
      </c>
      <c r="J42" s="110"/>
      <c r="K42" s="110">
        <f>+K40+K41</f>
        <v>3994964.1306666667</v>
      </c>
      <c r="L42" s="110">
        <f>+L40+L41</f>
        <v>12154910.130666666</v>
      </c>
      <c r="M42" s="110"/>
      <c r="N42" s="110"/>
      <c r="O42" s="110"/>
      <c r="P42" s="110">
        <f>+P40+P41</f>
        <v>6471974.1241318397</v>
      </c>
      <c r="Q42" s="110"/>
      <c r="R42" s="110"/>
      <c r="S42" s="110"/>
      <c r="T42" s="110">
        <f>+T40+T41</f>
        <v>54378559.872000009</v>
      </c>
      <c r="U42" s="39"/>
      <c r="V42" s="39"/>
    </row>
    <row r="43" spans="1:22">
      <c r="K43" s="2"/>
    </row>
    <row r="44" spans="1:22">
      <c r="K44" s="2"/>
      <c r="L44" s="39"/>
      <c r="N44" s="39"/>
      <c r="V44" s="39"/>
    </row>
    <row r="45" spans="1:22">
      <c r="K45" s="39"/>
      <c r="M45" s="51"/>
    </row>
    <row r="46" spans="1:22">
      <c r="A46" s="152" t="s">
        <v>83</v>
      </c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Q46" s="78"/>
    </row>
    <row r="49" spans="4:11">
      <c r="H49" s="78"/>
    </row>
    <row r="50" spans="4:11">
      <c r="D50" s="152"/>
      <c r="E50" s="152"/>
      <c r="F50" s="152"/>
      <c r="I50" s="152"/>
      <c r="J50" s="152"/>
      <c r="K50" s="152"/>
    </row>
    <row r="51" spans="4:11">
      <c r="D51" s="158"/>
      <c r="E51" s="158"/>
      <c r="F51" s="158"/>
      <c r="I51" s="158"/>
      <c r="J51" s="158"/>
      <c r="K51" s="158"/>
    </row>
    <row r="52" spans="4:11">
      <c r="D52" s="152" t="s">
        <v>60</v>
      </c>
      <c r="E52" s="152"/>
      <c r="F52" s="152"/>
      <c r="I52" s="162" t="s">
        <v>61</v>
      </c>
      <c r="J52" s="162"/>
      <c r="K52" s="162"/>
    </row>
    <row r="53" spans="4:11">
      <c r="F53" s="152"/>
      <c r="G53" s="152"/>
      <c r="H53" s="152"/>
    </row>
    <row r="54" spans="4:11">
      <c r="F54" s="158"/>
      <c r="G54" s="158"/>
      <c r="H54" s="158"/>
    </row>
    <row r="55" spans="4:11">
      <c r="F55" s="152" t="s">
        <v>62</v>
      </c>
      <c r="G55" s="152"/>
      <c r="H55" s="152"/>
    </row>
  </sheetData>
  <autoFilter ref="A12:V21" xr:uid="{10B80DA6-82A2-4947-929C-94E08ADF1337}"/>
  <mergeCells count="42">
    <mergeCell ref="S23:V23"/>
    <mergeCell ref="A1:M1"/>
    <mergeCell ref="A2:F2"/>
    <mergeCell ref="G2:M2"/>
    <mergeCell ref="E5:G5"/>
    <mergeCell ref="I5:K5"/>
    <mergeCell ref="D6:K6"/>
    <mergeCell ref="D7:K7"/>
    <mergeCell ref="D8:K8"/>
    <mergeCell ref="B10:K10"/>
    <mergeCell ref="A23:F23"/>
    <mergeCell ref="G23:L23"/>
    <mergeCell ref="B32:D32"/>
    <mergeCell ref="B31:D31"/>
    <mergeCell ref="V28:V30"/>
    <mergeCell ref="B30:D30"/>
    <mergeCell ref="A24:F26"/>
    <mergeCell ref="K25:K26"/>
    <mergeCell ref="L25:L26"/>
    <mergeCell ref="V25:V26"/>
    <mergeCell ref="M27:N27"/>
    <mergeCell ref="A28:F28"/>
    <mergeCell ref="G28:L28"/>
    <mergeCell ref="M28:Q28"/>
    <mergeCell ref="R28:T28"/>
    <mergeCell ref="U28:U30"/>
    <mergeCell ref="B34:D34"/>
    <mergeCell ref="B35:D35"/>
    <mergeCell ref="B36:D36"/>
    <mergeCell ref="B37:D37"/>
    <mergeCell ref="B33:D33"/>
    <mergeCell ref="F55:H55"/>
    <mergeCell ref="B38:D38"/>
    <mergeCell ref="A39:F42"/>
    <mergeCell ref="G40:H40"/>
    <mergeCell ref="G42:H42"/>
    <mergeCell ref="A46:M46"/>
    <mergeCell ref="D50:F51"/>
    <mergeCell ref="I50:K51"/>
    <mergeCell ref="D52:F52"/>
    <mergeCell ref="I52:K52"/>
    <mergeCell ref="F53:H54"/>
  </mergeCells>
  <pageMargins left="0.70866141732283505" right="0.70866141732283505" top="0.74803149606299202" bottom="0.74803149606299202" header="0.31496062992126" footer="0.31496062992126"/>
  <pageSetup paperSize="9" scale="13" orientation="portrait" r:id="rId1"/>
  <headerFooter>
    <oddHeader>&amp;CPágina &amp;P&amp;R&amp;A</oddHeader>
  </headerFooter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7176" r:id="rId4">
          <objectPr defaultSize="0" r:id="rId5">
            <anchor moveWithCells="1" sizeWithCells="1">
              <from>
                <xdr:col>20</xdr:col>
                <xdr:colOff>312420</xdr:colOff>
                <xdr:row>30</xdr:row>
                <xdr:rowOff>464820</xdr:rowOff>
              </from>
              <to>
                <xdr:col>20</xdr:col>
                <xdr:colOff>3474720</xdr:colOff>
                <xdr:row>30</xdr:row>
                <xdr:rowOff>982980</xdr:rowOff>
              </to>
            </anchor>
          </objectPr>
        </oleObject>
      </mc:Choice>
      <mc:Fallback>
        <oleObject progId="Objeto empaquetador del shell" dvAspect="DVASPECT_ICON" shapeId="7176" r:id="rId4"/>
      </mc:Fallback>
    </mc:AlternateContent>
    <mc:AlternateContent xmlns:mc="http://schemas.openxmlformats.org/markup-compatibility/2006">
      <mc:Choice Requires="x14">
        <oleObject progId="Objeto empaquetador del shell" dvAspect="DVASPECT_ICON" shapeId="7177" r:id="rId6">
          <objectPr defaultSize="0" r:id="rId7">
            <anchor moveWithCells="1" sizeWithCells="1">
              <from>
                <xdr:col>20</xdr:col>
                <xdr:colOff>175260</xdr:colOff>
                <xdr:row>31</xdr:row>
                <xdr:rowOff>716280</xdr:rowOff>
              </from>
              <to>
                <xdr:col>20</xdr:col>
                <xdr:colOff>3543300</xdr:colOff>
                <xdr:row>31</xdr:row>
                <xdr:rowOff>1234440</xdr:rowOff>
              </to>
            </anchor>
          </objectPr>
        </oleObject>
      </mc:Choice>
      <mc:Fallback>
        <oleObject progId="Objeto empaquetador del shell" dvAspect="DVASPECT_ICON" shapeId="7177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7178" r:id="rId8">
          <objectPr defaultSize="0" r:id="rId9">
            <anchor moveWithCells="1" sizeWithCells="1">
              <from>
                <xdr:col>20</xdr:col>
                <xdr:colOff>198120</xdr:colOff>
                <xdr:row>33</xdr:row>
                <xdr:rowOff>701040</xdr:rowOff>
              </from>
              <to>
                <xdr:col>20</xdr:col>
                <xdr:colOff>3566160</xdr:colOff>
                <xdr:row>33</xdr:row>
                <xdr:rowOff>1219200</xdr:rowOff>
              </to>
            </anchor>
          </objectPr>
        </oleObject>
      </mc:Choice>
      <mc:Fallback>
        <oleObject progId="Objeto empaquetador del shell" dvAspect="DVASPECT_ICON" shapeId="7178" r:id="rId8"/>
      </mc:Fallback>
    </mc:AlternateContent>
    <mc:AlternateContent xmlns:mc="http://schemas.openxmlformats.org/markup-compatibility/2006">
      <mc:Choice Requires="x14">
        <oleObject progId="Objeto empaquetador del shell" dvAspect="DVASPECT_ICON" shapeId="7179" r:id="rId10">
          <objectPr defaultSize="0" r:id="rId11">
            <anchor moveWithCells="1">
              <from>
                <xdr:col>20</xdr:col>
                <xdr:colOff>220980</xdr:colOff>
                <xdr:row>32</xdr:row>
                <xdr:rowOff>754380</xdr:rowOff>
              </from>
              <to>
                <xdr:col>20</xdr:col>
                <xdr:colOff>3589020</xdr:colOff>
                <xdr:row>32</xdr:row>
                <xdr:rowOff>1272540</xdr:rowOff>
              </to>
            </anchor>
          </objectPr>
        </oleObject>
      </mc:Choice>
      <mc:Fallback>
        <oleObject progId="Objeto empaquetador del shell" dvAspect="DVASPECT_ICON" shapeId="7179" r:id="rId10"/>
      </mc:Fallback>
    </mc:AlternateContent>
    <mc:AlternateContent xmlns:mc="http://schemas.openxmlformats.org/markup-compatibility/2006">
      <mc:Choice Requires="x14">
        <oleObject progId="Objeto empaquetador del shell" dvAspect="DVASPECT_ICON" shapeId="7180" r:id="rId12">
          <objectPr defaultSize="0" r:id="rId13">
            <anchor moveWithCells="1" sizeWithCells="1">
              <from>
                <xdr:col>20</xdr:col>
                <xdr:colOff>259080</xdr:colOff>
                <xdr:row>34</xdr:row>
                <xdr:rowOff>784860</xdr:rowOff>
              </from>
              <to>
                <xdr:col>20</xdr:col>
                <xdr:colOff>3535680</xdr:colOff>
                <xdr:row>34</xdr:row>
                <xdr:rowOff>1303020</xdr:rowOff>
              </to>
            </anchor>
          </objectPr>
        </oleObject>
      </mc:Choice>
      <mc:Fallback>
        <oleObject progId="Objeto empaquetador del shell" dvAspect="DVASPECT_ICON" shapeId="7180" r:id="rId12"/>
      </mc:Fallback>
    </mc:AlternateContent>
    <mc:AlternateContent xmlns:mc="http://schemas.openxmlformats.org/markup-compatibility/2006">
      <mc:Choice Requires="x14">
        <oleObject progId="Objeto empaquetador del shell" dvAspect="DVASPECT_ICON" shapeId="7181" r:id="rId14">
          <objectPr defaultSize="0" r:id="rId15">
            <anchor moveWithCells="1" sizeWithCells="1">
              <from>
                <xdr:col>20</xdr:col>
                <xdr:colOff>320040</xdr:colOff>
                <xdr:row>35</xdr:row>
                <xdr:rowOff>609600</xdr:rowOff>
              </from>
              <to>
                <xdr:col>20</xdr:col>
                <xdr:colOff>3482340</xdr:colOff>
                <xdr:row>35</xdr:row>
                <xdr:rowOff>1127760</xdr:rowOff>
              </to>
            </anchor>
          </objectPr>
        </oleObject>
      </mc:Choice>
      <mc:Fallback>
        <oleObject progId="Objeto empaquetador del shell" dvAspect="DVASPECT_ICON" shapeId="7181" r:id="rId14"/>
      </mc:Fallback>
    </mc:AlternateContent>
    <mc:AlternateContent xmlns:mc="http://schemas.openxmlformats.org/markup-compatibility/2006">
      <mc:Choice Requires="x14">
        <oleObject progId="Objeto empaquetador del shell" dvAspect="DVASPECT_ICON" shapeId="7182" r:id="rId16">
          <objectPr defaultSize="0" r:id="rId17">
            <anchor moveWithCells="1" sizeWithCells="1">
              <from>
                <xdr:col>20</xdr:col>
                <xdr:colOff>327660</xdr:colOff>
                <xdr:row>36</xdr:row>
                <xdr:rowOff>822960</xdr:rowOff>
              </from>
              <to>
                <xdr:col>20</xdr:col>
                <xdr:colOff>3489960</xdr:colOff>
                <xdr:row>36</xdr:row>
                <xdr:rowOff>1341120</xdr:rowOff>
              </to>
            </anchor>
          </objectPr>
        </oleObject>
      </mc:Choice>
      <mc:Fallback>
        <oleObject progId="Objeto empaquetador del shell" dvAspect="DVASPECT_ICON" shapeId="7182" r:id="rId16"/>
      </mc:Fallback>
    </mc:AlternateContent>
    <mc:AlternateContent xmlns:mc="http://schemas.openxmlformats.org/markup-compatibility/2006">
      <mc:Choice Requires="x14">
        <oleObject progId="Objeto empaquetador del shell" dvAspect="DVASPECT_ICON" shapeId="7183" r:id="rId18">
          <objectPr defaultSize="0" r:id="rId19">
            <anchor moveWithCells="1" sizeWithCells="1">
              <from>
                <xdr:col>20</xdr:col>
                <xdr:colOff>670560</xdr:colOff>
                <xdr:row>37</xdr:row>
                <xdr:rowOff>251460</xdr:rowOff>
              </from>
              <to>
                <xdr:col>20</xdr:col>
                <xdr:colOff>3208020</xdr:colOff>
                <xdr:row>37</xdr:row>
                <xdr:rowOff>769620</xdr:rowOff>
              </to>
            </anchor>
          </objectPr>
        </oleObject>
      </mc:Choice>
      <mc:Fallback>
        <oleObject progId="Objeto empaquetador del shell" dvAspect="DVASPECT_ICON" shapeId="7183" r:id="rId1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8737-93BF-4256-A8AF-DB101CD8B37D}">
  <dimension ref="A1:V62"/>
  <sheetViews>
    <sheetView workbookViewId="0">
      <selection sqref="A1:M1"/>
    </sheetView>
  </sheetViews>
  <sheetFormatPr baseColWidth="10" defaultColWidth="11.33203125" defaultRowHeight="13.8"/>
  <cols>
    <col min="1" max="1" width="13" style="2" customWidth="1"/>
    <col min="2" max="2" width="7.77734375" style="3" customWidth="1"/>
    <col min="3" max="3" width="27" style="3" customWidth="1"/>
    <col min="4" max="4" width="25.21875" style="4" customWidth="1"/>
    <col min="5" max="5" width="16.88671875" style="2" customWidth="1"/>
    <col min="6" max="6" width="16.77734375" style="2" customWidth="1"/>
    <col min="7" max="7" width="16.5546875" style="2" customWidth="1"/>
    <col min="8" max="8" width="16.109375" style="2" customWidth="1"/>
    <col min="9" max="9" width="15.6640625" style="2" customWidth="1"/>
    <col min="10" max="10" width="15.44140625" style="2" customWidth="1"/>
    <col min="11" max="11" width="18.6640625" style="56" customWidth="1"/>
    <col min="12" max="12" width="15.6640625" style="2" customWidth="1"/>
    <col min="13" max="13" width="23.6640625" style="2" customWidth="1"/>
    <col min="14" max="15" width="15.44140625" style="2" customWidth="1"/>
    <col min="16" max="16" width="18.88671875" style="2" customWidth="1"/>
    <col min="17" max="17" width="16.109375" style="2" customWidth="1"/>
    <col min="18" max="18" width="16" style="2" customWidth="1"/>
    <col min="19" max="19" width="11" style="2" customWidth="1"/>
    <col min="20" max="20" width="16.44140625" style="2" customWidth="1"/>
    <col min="21" max="21" width="54.6640625" style="2" customWidth="1"/>
    <col min="22" max="22" width="38.21875" style="2" customWidth="1"/>
    <col min="23" max="64" width="4.77734375" style="2" customWidth="1"/>
    <col min="65" max="16384" width="11.33203125" style="2"/>
  </cols>
  <sheetData>
    <row r="1" spans="1:16" ht="15" customHeight="1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6" ht="23.4" customHeight="1">
      <c r="A2" s="158" t="s">
        <v>1</v>
      </c>
      <c r="B2" s="158"/>
      <c r="C2" s="158"/>
      <c r="D2" s="158"/>
      <c r="E2" s="158"/>
      <c r="F2" s="158"/>
      <c r="G2" s="158" t="s">
        <v>2</v>
      </c>
      <c r="H2" s="158"/>
      <c r="I2" s="158"/>
      <c r="J2" s="158"/>
      <c r="K2" s="158"/>
      <c r="L2" s="158"/>
      <c r="M2" s="158"/>
    </row>
    <row r="3" spans="1:16" ht="3.75" customHeight="1"/>
    <row r="4" spans="1:16">
      <c r="B4" s="3" t="s">
        <v>3</v>
      </c>
      <c r="D4" s="83" t="s">
        <v>84</v>
      </c>
      <c r="E4" s="5"/>
      <c r="F4" s="5"/>
      <c r="G4" s="5"/>
      <c r="H4" s="5"/>
      <c r="I4" s="5"/>
      <c r="J4" s="5"/>
      <c r="K4" s="57"/>
    </row>
    <row r="5" spans="1:16">
      <c r="B5" s="3" t="s">
        <v>4</v>
      </c>
      <c r="D5" s="4" t="s">
        <v>5</v>
      </c>
      <c r="E5" s="166">
        <v>45901</v>
      </c>
      <c r="F5" s="166"/>
      <c r="G5" s="166"/>
      <c r="H5" s="2" t="s">
        <v>6</v>
      </c>
      <c r="I5" s="166">
        <v>45930</v>
      </c>
      <c r="J5" s="166"/>
      <c r="K5" s="166"/>
    </row>
    <row r="6" spans="1:16">
      <c r="B6" s="3" t="s">
        <v>7</v>
      </c>
      <c r="D6" s="168">
        <v>45901</v>
      </c>
      <c r="E6" s="168"/>
      <c r="F6" s="168"/>
      <c r="G6" s="168"/>
      <c r="H6" s="168"/>
      <c r="I6" s="168"/>
      <c r="J6" s="168"/>
      <c r="K6" s="168"/>
    </row>
    <row r="7" spans="1:16">
      <c r="B7" s="3" t="s">
        <v>8</v>
      </c>
      <c r="D7" s="169" t="s">
        <v>9</v>
      </c>
      <c r="E7" s="169"/>
      <c r="F7" s="169"/>
      <c r="G7" s="169"/>
      <c r="H7" s="169"/>
      <c r="I7" s="169"/>
      <c r="J7" s="169"/>
      <c r="K7" s="169"/>
    </row>
    <row r="8" spans="1:16">
      <c r="B8" s="3" t="s">
        <v>10</v>
      </c>
      <c r="D8" s="169" t="s">
        <v>11</v>
      </c>
      <c r="E8" s="169"/>
      <c r="F8" s="169"/>
      <c r="G8" s="169"/>
      <c r="H8" s="169"/>
      <c r="I8" s="169"/>
      <c r="J8" s="169"/>
      <c r="K8" s="169"/>
    </row>
    <row r="10" spans="1:16">
      <c r="B10" s="165" t="s">
        <v>12</v>
      </c>
      <c r="C10" s="165"/>
      <c r="D10" s="165"/>
      <c r="E10" s="165"/>
      <c r="F10" s="165"/>
      <c r="G10" s="165"/>
      <c r="H10" s="165"/>
      <c r="I10" s="165"/>
      <c r="J10" s="165"/>
      <c r="K10" s="165"/>
      <c r="L10" s="56"/>
    </row>
    <row r="11" spans="1:16">
      <c r="B11" s="4"/>
      <c r="K11" s="2"/>
      <c r="L11" s="56"/>
    </row>
    <row r="12" spans="1:16" ht="34.5" customHeight="1">
      <c r="B12" s="63" t="s">
        <v>13</v>
      </c>
      <c r="C12" s="22" t="s">
        <v>14</v>
      </c>
      <c r="D12" s="22" t="s">
        <v>15</v>
      </c>
      <c r="E12" s="24" t="s">
        <v>16</v>
      </c>
      <c r="F12" s="24" t="s">
        <v>17</v>
      </c>
      <c r="G12" s="21" t="s">
        <v>18</v>
      </c>
      <c r="H12" s="24" t="s">
        <v>19</v>
      </c>
      <c r="I12" s="24" t="s">
        <v>20</v>
      </c>
      <c r="J12" s="21" t="s">
        <v>21</v>
      </c>
      <c r="K12" s="24" t="s">
        <v>22</v>
      </c>
      <c r="L12" s="56"/>
      <c r="M12" s="28"/>
    </row>
    <row r="13" spans="1:16" ht="18" customHeight="1">
      <c r="B13" s="35">
        <v>1</v>
      </c>
      <c r="C13" s="96">
        <v>45902</v>
      </c>
      <c r="D13" s="96">
        <v>45902</v>
      </c>
      <c r="E13" s="97" t="s">
        <v>79</v>
      </c>
      <c r="F13" s="88" t="s">
        <v>77</v>
      </c>
      <c r="G13" s="100">
        <v>150</v>
      </c>
      <c r="H13" s="73">
        <v>256</v>
      </c>
      <c r="I13" s="73">
        <v>249.584</v>
      </c>
      <c r="J13" s="80">
        <f>H13-I13</f>
        <v>6.4159999999999968</v>
      </c>
      <c r="K13" s="74">
        <f>G13*J13</f>
        <v>962.39999999999952</v>
      </c>
      <c r="L13" s="90"/>
      <c r="M13" s="52"/>
      <c r="O13" s="77"/>
      <c r="P13" s="78"/>
    </row>
    <row r="14" spans="1:16" ht="18" customHeight="1">
      <c r="B14" s="35">
        <v>2</v>
      </c>
      <c r="C14" s="96">
        <v>45902</v>
      </c>
      <c r="D14" s="96">
        <v>45902</v>
      </c>
      <c r="E14" s="97" t="s">
        <v>79</v>
      </c>
      <c r="F14" s="88" t="s">
        <v>77</v>
      </c>
      <c r="G14" s="100">
        <v>150</v>
      </c>
      <c r="H14" s="73">
        <v>256</v>
      </c>
      <c r="I14" s="73">
        <v>246.67400000000001</v>
      </c>
      <c r="J14" s="80">
        <f>H14-I14</f>
        <v>9.3259999999999934</v>
      </c>
      <c r="K14" s="74">
        <f>G14*J14</f>
        <v>1398.899999999999</v>
      </c>
      <c r="L14" s="90"/>
      <c r="M14" s="52"/>
      <c r="O14" s="77"/>
      <c r="P14" s="78"/>
    </row>
    <row r="15" spans="1:16" ht="18" customHeight="1">
      <c r="B15" s="35">
        <v>3</v>
      </c>
      <c r="C15" s="96">
        <v>45904</v>
      </c>
      <c r="D15" s="96">
        <v>45904</v>
      </c>
      <c r="E15" s="97" t="s">
        <v>79</v>
      </c>
      <c r="F15" s="88" t="s">
        <v>77</v>
      </c>
      <c r="G15" s="100">
        <v>150</v>
      </c>
      <c r="H15" s="73">
        <v>256</v>
      </c>
      <c r="I15" s="73">
        <v>253.02</v>
      </c>
      <c r="J15" s="80">
        <f>H15-I15</f>
        <v>2.9799999999999898</v>
      </c>
      <c r="K15" s="74">
        <f t="shared" ref="K15:K23" si="0">G15*J15</f>
        <v>446.99999999999847</v>
      </c>
      <c r="L15" s="90"/>
      <c r="M15" s="52"/>
      <c r="O15" s="77"/>
      <c r="P15" s="78"/>
    </row>
    <row r="16" spans="1:16" ht="18" customHeight="1">
      <c r="B16" s="35">
        <v>4</v>
      </c>
      <c r="C16" s="96">
        <v>45904</v>
      </c>
      <c r="D16" s="96">
        <v>45904</v>
      </c>
      <c r="E16" s="97" t="s">
        <v>79</v>
      </c>
      <c r="F16" s="88" t="s">
        <v>77</v>
      </c>
      <c r="G16" s="100">
        <v>150</v>
      </c>
      <c r="H16" s="73">
        <v>256</v>
      </c>
      <c r="I16" s="73">
        <v>245.75399999999999</v>
      </c>
      <c r="J16" s="80">
        <f t="shared" ref="J16:J17" si="1">H16-I16</f>
        <v>10.246000000000009</v>
      </c>
      <c r="K16" s="74">
        <f t="shared" si="0"/>
        <v>1536.9000000000015</v>
      </c>
      <c r="L16" s="90"/>
      <c r="M16" s="52"/>
      <c r="O16" s="77"/>
      <c r="P16" s="78"/>
    </row>
    <row r="17" spans="1:22" ht="18" customHeight="1">
      <c r="B17" s="35">
        <v>5</v>
      </c>
      <c r="C17" s="96">
        <v>45904</v>
      </c>
      <c r="D17" s="96">
        <v>45904</v>
      </c>
      <c r="E17" s="97" t="s">
        <v>79</v>
      </c>
      <c r="F17" s="88" t="s">
        <v>77</v>
      </c>
      <c r="G17" s="100">
        <v>150</v>
      </c>
      <c r="H17" s="73">
        <v>256</v>
      </c>
      <c r="I17" s="73">
        <v>245.922</v>
      </c>
      <c r="J17" s="80">
        <f t="shared" si="1"/>
        <v>10.078000000000003</v>
      </c>
      <c r="K17" s="74">
        <f t="shared" si="0"/>
        <v>1511.7000000000005</v>
      </c>
      <c r="L17" s="90"/>
      <c r="M17" s="52"/>
      <c r="O17" s="77"/>
      <c r="P17" s="78"/>
    </row>
    <row r="18" spans="1:22" ht="18" customHeight="1">
      <c r="B18" s="35">
        <v>6</v>
      </c>
      <c r="C18" s="96">
        <v>45906</v>
      </c>
      <c r="D18" s="96">
        <v>45906</v>
      </c>
      <c r="E18" s="97" t="s">
        <v>79</v>
      </c>
      <c r="F18" s="89" t="s">
        <v>77</v>
      </c>
      <c r="G18" s="100">
        <v>150</v>
      </c>
      <c r="H18" s="73">
        <v>256</v>
      </c>
      <c r="I18" s="81">
        <v>253.15</v>
      </c>
      <c r="J18" s="80">
        <f>H18-I18</f>
        <v>2.8499999999999943</v>
      </c>
      <c r="K18" s="74">
        <f t="shared" si="0"/>
        <v>427.49999999999915</v>
      </c>
      <c r="L18" s="91"/>
      <c r="M18" s="52"/>
    </row>
    <row r="19" spans="1:22" ht="18" customHeight="1">
      <c r="B19" s="35">
        <v>7</v>
      </c>
      <c r="C19" s="96">
        <v>45906</v>
      </c>
      <c r="D19" s="96">
        <v>45906</v>
      </c>
      <c r="E19" s="97" t="s">
        <v>79</v>
      </c>
      <c r="F19" s="89" t="s">
        <v>77</v>
      </c>
      <c r="G19" s="100">
        <v>150</v>
      </c>
      <c r="H19" s="73">
        <v>256</v>
      </c>
      <c r="I19" s="81">
        <v>246.09</v>
      </c>
      <c r="J19" s="80">
        <f>H19-I19</f>
        <v>9.9099999999999966</v>
      </c>
      <c r="K19" s="74">
        <f t="shared" si="0"/>
        <v>1486.4999999999995</v>
      </c>
      <c r="L19" s="91"/>
      <c r="M19" s="52"/>
    </row>
    <row r="20" spans="1:22" ht="18" customHeight="1">
      <c r="B20" s="35">
        <v>8</v>
      </c>
      <c r="C20" s="96">
        <v>45908</v>
      </c>
      <c r="D20" s="96">
        <v>45908</v>
      </c>
      <c r="E20" s="97" t="s">
        <v>79</v>
      </c>
      <c r="F20" s="89" t="s">
        <v>77</v>
      </c>
      <c r="G20" s="100">
        <v>150</v>
      </c>
      <c r="H20" s="73">
        <v>230.7</v>
      </c>
      <c r="I20" s="73">
        <v>246.23400000000001</v>
      </c>
      <c r="J20" s="80">
        <f>I20-H20</f>
        <v>15.53400000000002</v>
      </c>
      <c r="K20" s="74">
        <f t="shared" si="0"/>
        <v>2330.1000000000031</v>
      </c>
      <c r="L20" s="90"/>
      <c r="M20" s="52"/>
    </row>
    <row r="21" spans="1:22" ht="18" customHeight="1">
      <c r="B21" s="35">
        <v>9</v>
      </c>
      <c r="C21" s="95">
        <v>45918</v>
      </c>
      <c r="D21" s="95">
        <v>45918</v>
      </c>
      <c r="E21" s="80" t="s">
        <v>79</v>
      </c>
      <c r="F21" s="89" t="s">
        <v>77</v>
      </c>
      <c r="G21" s="100">
        <v>125</v>
      </c>
      <c r="H21" s="73">
        <v>257</v>
      </c>
      <c r="I21" s="73">
        <v>253.392</v>
      </c>
      <c r="J21" s="80">
        <f t="shared" ref="J21" si="2">H21-I21</f>
        <v>3.6080000000000041</v>
      </c>
      <c r="K21" s="74">
        <f t="shared" si="0"/>
        <v>451.00000000000051</v>
      </c>
      <c r="L21" s="90"/>
      <c r="M21" s="52"/>
    </row>
    <row r="22" spans="1:22" s="28" customFormat="1" ht="18" customHeight="1">
      <c r="B22" s="35">
        <v>10</v>
      </c>
      <c r="C22" s="95">
        <v>45920</v>
      </c>
      <c r="D22" s="95">
        <v>45920</v>
      </c>
      <c r="E22" s="80" t="s">
        <v>79</v>
      </c>
      <c r="F22" s="88" t="s">
        <v>77</v>
      </c>
      <c r="G22" s="100">
        <v>125</v>
      </c>
      <c r="H22" s="73">
        <v>230.75</v>
      </c>
      <c r="I22" s="81">
        <v>246.29400000000001</v>
      </c>
      <c r="J22" s="80">
        <f t="shared" ref="J22" si="3">I22-H22</f>
        <v>15.544000000000011</v>
      </c>
      <c r="K22" s="74">
        <f t="shared" si="0"/>
        <v>1943.0000000000014</v>
      </c>
      <c r="L22" s="90"/>
      <c r="M22" s="67"/>
    </row>
    <row r="23" spans="1:22" ht="18" customHeight="1">
      <c r="B23" s="35">
        <v>11</v>
      </c>
      <c r="C23" s="96">
        <v>45930</v>
      </c>
      <c r="D23" s="96">
        <v>45930</v>
      </c>
      <c r="E23" s="98" t="s">
        <v>79</v>
      </c>
      <c r="F23" s="88" t="s">
        <v>77</v>
      </c>
      <c r="G23" s="100">
        <v>150</v>
      </c>
      <c r="H23" s="73">
        <v>257</v>
      </c>
      <c r="I23" s="81">
        <v>250.13</v>
      </c>
      <c r="J23" s="80">
        <f t="shared" ref="J23" si="4">H23-I23</f>
        <v>6.8700000000000045</v>
      </c>
      <c r="K23" s="74">
        <f t="shared" si="0"/>
        <v>1030.5000000000007</v>
      </c>
      <c r="L23" s="91"/>
      <c r="M23" s="54"/>
      <c r="N23" s="18"/>
    </row>
    <row r="24" spans="1:22">
      <c r="B24" s="4"/>
      <c r="D24" s="3"/>
      <c r="F24" s="6" t="s">
        <v>27</v>
      </c>
      <c r="G24" s="82">
        <f>ROUND(SUM(G13:G23),0)</f>
        <v>1600</v>
      </c>
      <c r="J24" s="75">
        <f>SUM(J13:J23)</f>
        <v>93.362000000000023</v>
      </c>
      <c r="K24" s="76">
        <f>SUM(K13:K23)</f>
        <v>13525.500000000002</v>
      </c>
      <c r="L24" s="56"/>
    </row>
    <row r="25" spans="1:22">
      <c r="C25" s="84"/>
      <c r="G25" s="58"/>
    </row>
    <row r="26" spans="1:22" ht="25.5" customHeight="1" thickBot="1">
      <c r="A26" s="173" t="s">
        <v>28</v>
      </c>
      <c r="B26" s="173"/>
      <c r="C26" s="173"/>
      <c r="D26" s="173"/>
      <c r="E26" s="173"/>
      <c r="F26" s="173"/>
      <c r="G26" s="174" t="s">
        <v>29</v>
      </c>
      <c r="H26" s="174"/>
      <c r="I26" s="174"/>
      <c r="J26" s="174"/>
      <c r="K26" s="174"/>
      <c r="L26" s="174"/>
      <c r="S26" s="181"/>
      <c r="T26" s="181"/>
      <c r="U26" s="181"/>
      <c r="V26" s="181"/>
    </row>
    <row r="27" spans="1:22" ht="39.75" customHeight="1" thickBot="1">
      <c r="A27" s="156" t="s">
        <v>82</v>
      </c>
      <c r="B27" s="156"/>
      <c r="C27" s="156"/>
      <c r="D27" s="156"/>
      <c r="E27" s="156"/>
      <c r="F27" s="157"/>
      <c r="G27" s="7" t="s">
        <v>30</v>
      </c>
      <c r="H27" s="8" t="s">
        <v>31</v>
      </c>
      <c r="I27" s="8" t="s">
        <v>32</v>
      </c>
      <c r="J27" s="61" t="s">
        <v>74</v>
      </c>
      <c r="K27" s="8" t="s">
        <v>33</v>
      </c>
      <c r="L27" s="8" t="s">
        <v>34</v>
      </c>
      <c r="M27" s="14" t="s">
        <v>35</v>
      </c>
      <c r="O27" s="79"/>
      <c r="S27" s="69"/>
      <c r="T27" s="69"/>
      <c r="U27" s="69"/>
      <c r="V27" s="69"/>
    </row>
    <row r="28" spans="1:22" ht="15" thickTop="1" thickBot="1">
      <c r="A28" s="156"/>
      <c r="B28" s="156"/>
      <c r="C28" s="156"/>
      <c r="D28" s="156"/>
      <c r="E28" s="156"/>
      <c r="F28" s="157"/>
      <c r="G28" s="9" t="s">
        <v>36</v>
      </c>
      <c r="H28" s="10">
        <f>(12239919/(1+19%))</f>
        <v>10285646.218487395</v>
      </c>
      <c r="I28" s="10">
        <f>(966523.58/(1+19%))</f>
        <v>812204.68907563027</v>
      </c>
      <c r="J28" s="62">
        <f>(2142616/(1+19%))</f>
        <v>1800517.6470588236</v>
      </c>
      <c r="K28" s="153">
        <f>(8*1.0928)*1.052</f>
        <v>9.1970048000000002</v>
      </c>
      <c r="L28" s="154">
        <v>0.8</v>
      </c>
      <c r="M28" s="68">
        <v>188</v>
      </c>
      <c r="S28" s="70"/>
      <c r="T28" s="71"/>
      <c r="U28" s="71"/>
      <c r="V28" s="180"/>
    </row>
    <row r="29" spans="1:22" ht="15.6" customHeight="1" thickTop="1" thickBot="1">
      <c r="A29" s="156"/>
      <c r="B29" s="156"/>
      <c r="C29" s="156"/>
      <c r="D29" s="156"/>
      <c r="E29" s="156"/>
      <c r="F29" s="157"/>
      <c r="G29" s="11" t="s">
        <v>37</v>
      </c>
      <c r="H29" s="12">
        <f>+H28/30</f>
        <v>342854.87394957984</v>
      </c>
      <c r="I29" s="12">
        <f>+I28/30</f>
        <v>27073.489635854341</v>
      </c>
      <c r="J29" s="62">
        <f>+J28/30</f>
        <v>60017.25490196079</v>
      </c>
      <c r="K29" s="153"/>
      <c r="L29" s="155"/>
      <c r="M29" s="68">
        <v>188</v>
      </c>
      <c r="S29" s="70"/>
      <c r="T29" s="71"/>
      <c r="U29" s="71"/>
      <c r="V29" s="180"/>
    </row>
    <row r="30" spans="1:22">
      <c r="A30" s="13"/>
      <c r="B30" s="85"/>
      <c r="C30" s="85"/>
      <c r="D30" s="86"/>
      <c r="E30" s="13"/>
      <c r="F30" s="13"/>
      <c r="G30" s="13"/>
      <c r="M30" s="185"/>
      <c r="N30" s="185"/>
    </row>
    <row r="31" spans="1:22">
      <c r="A31" s="170" t="s">
        <v>38</v>
      </c>
      <c r="B31" s="170"/>
      <c r="C31" s="170"/>
      <c r="D31" s="170"/>
      <c r="E31" s="170"/>
      <c r="F31" s="170"/>
      <c r="G31" s="172" t="s">
        <v>39</v>
      </c>
      <c r="H31" s="172"/>
      <c r="I31" s="172"/>
      <c r="J31" s="172"/>
      <c r="K31" s="172"/>
      <c r="L31" s="172"/>
      <c r="M31" s="187" t="s">
        <v>40</v>
      </c>
      <c r="N31" s="187"/>
      <c r="O31" s="187"/>
      <c r="P31" s="187"/>
      <c r="Q31" s="187"/>
      <c r="R31" s="186" t="s">
        <v>41</v>
      </c>
      <c r="S31" s="186"/>
      <c r="T31" s="186"/>
      <c r="U31" s="182" t="s">
        <v>75</v>
      </c>
      <c r="V31" s="182" t="s">
        <v>76</v>
      </c>
    </row>
    <row r="32" spans="1:22" hidden="1">
      <c r="A32" s="16"/>
      <c r="B32" s="19"/>
      <c r="C32" s="19"/>
      <c r="D32" s="87"/>
      <c r="E32" s="16"/>
      <c r="F32" s="16"/>
      <c r="G32" s="16"/>
      <c r="H32" s="16"/>
      <c r="I32" s="16"/>
      <c r="J32" s="16"/>
      <c r="K32" s="30"/>
      <c r="L32" s="16"/>
      <c r="M32" s="16"/>
      <c r="N32" s="16"/>
      <c r="O32" s="16"/>
      <c r="P32" s="16"/>
      <c r="Q32" s="16"/>
      <c r="R32" s="16"/>
      <c r="S32" s="16" t="s">
        <v>42</v>
      </c>
      <c r="T32" s="29">
        <v>10171</v>
      </c>
      <c r="U32" s="183"/>
      <c r="V32" s="183"/>
    </row>
    <row r="33" spans="1:22" s="1" customFormat="1" ht="57" customHeight="1">
      <c r="A33" s="21" t="s">
        <v>13</v>
      </c>
      <c r="B33" s="171" t="s">
        <v>43</v>
      </c>
      <c r="C33" s="171"/>
      <c r="D33" s="171"/>
      <c r="E33" s="22" t="s">
        <v>14</v>
      </c>
      <c r="F33" s="22" t="s">
        <v>15</v>
      </c>
      <c r="G33" s="21" t="s">
        <v>44</v>
      </c>
      <c r="H33" s="21" t="s">
        <v>45</v>
      </c>
      <c r="I33" s="21" t="s">
        <v>46</v>
      </c>
      <c r="J33" s="21" t="s">
        <v>47</v>
      </c>
      <c r="K33" s="21" t="s">
        <v>48</v>
      </c>
      <c r="L33" s="23" t="s">
        <v>49</v>
      </c>
      <c r="M33" s="21" t="s">
        <v>50</v>
      </c>
      <c r="N33" s="21" t="s">
        <v>21</v>
      </c>
      <c r="O33" s="24" t="s">
        <v>22</v>
      </c>
      <c r="P33" s="21" t="s">
        <v>51</v>
      </c>
      <c r="Q33" s="21" t="s">
        <v>52</v>
      </c>
      <c r="R33" s="21" t="s">
        <v>53</v>
      </c>
      <c r="S33" s="21" t="s">
        <v>54</v>
      </c>
      <c r="T33" s="21" t="s">
        <v>55</v>
      </c>
      <c r="U33" s="184"/>
      <c r="V33" s="184"/>
    </row>
    <row r="34" spans="1:22" ht="78" customHeight="1">
      <c r="A34" s="16">
        <v>1</v>
      </c>
      <c r="B34" s="133" t="s">
        <v>85</v>
      </c>
      <c r="C34" s="134"/>
      <c r="D34" s="135"/>
      <c r="E34" s="55">
        <f t="shared" ref="E34:E43" si="5">C13</f>
        <v>45902</v>
      </c>
      <c r="F34" s="55">
        <f t="shared" ref="F34:F43" si="6">D13</f>
        <v>45902</v>
      </c>
      <c r="G34" s="131">
        <v>1</v>
      </c>
      <c r="H34" s="131">
        <v>1</v>
      </c>
      <c r="I34" s="150">
        <f>+H34*H$29*G34</f>
        <v>342854.87394957984</v>
      </c>
      <c r="J34" s="131">
        <v>6</v>
      </c>
      <c r="K34" s="150">
        <f>+J34*J$29*G34</f>
        <v>360103.52941176476</v>
      </c>
      <c r="L34" s="136">
        <f>I34+K34</f>
        <v>702958.40336134459</v>
      </c>
      <c r="M34" s="17">
        <f t="shared" ref="M34:M44" si="7">+G13</f>
        <v>150</v>
      </c>
      <c r="N34" s="16">
        <f t="shared" ref="N34:N44" si="8">+J13</f>
        <v>6.4159999999999968</v>
      </c>
      <c r="O34" s="60">
        <f>+M34*N34</f>
        <v>962.39999999999952</v>
      </c>
      <c r="P34" s="30">
        <f>+O34*$K$28</f>
        <v>8851.1974195199964</v>
      </c>
      <c r="Q34" s="138" t="s">
        <v>118</v>
      </c>
      <c r="R34" s="36">
        <f>+N34*2</f>
        <v>12.831999999999994</v>
      </c>
      <c r="S34" s="37">
        <f t="shared" ref="S34:S44" si="9">+R34*$L$28</f>
        <v>10.265599999999996</v>
      </c>
      <c r="T34" s="30">
        <f t="shared" ref="T34:T44" si="10">+$T$32*S34</f>
        <v>104411.41759999996</v>
      </c>
      <c r="U34" s="131"/>
      <c r="V34" s="126" t="s">
        <v>78</v>
      </c>
    </row>
    <row r="35" spans="1:22" ht="131.4" customHeight="1">
      <c r="A35" s="35">
        <v>2</v>
      </c>
      <c r="B35" s="147"/>
      <c r="C35" s="148"/>
      <c r="D35" s="149"/>
      <c r="E35" s="55">
        <f t="shared" si="5"/>
        <v>45902</v>
      </c>
      <c r="F35" s="55">
        <f t="shared" si="6"/>
        <v>45902</v>
      </c>
      <c r="G35" s="132"/>
      <c r="H35" s="132"/>
      <c r="I35" s="151"/>
      <c r="J35" s="132"/>
      <c r="K35" s="151"/>
      <c r="L35" s="137"/>
      <c r="M35" s="17">
        <f t="shared" si="7"/>
        <v>150</v>
      </c>
      <c r="N35" s="16">
        <f t="shared" si="8"/>
        <v>9.3259999999999934</v>
      </c>
      <c r="O35" s="60">
        <f t="shared" ref="O35:O44" si="11">+M35*N35</f>
        <v>1398.899999999999</v>
      </c>
      <c r="P35" s="30">
        <f t="shared" ref="P35:P44" si="12">+O35*$K$28</f>
        <v>12865.69001471999</v>
      </c>
      <c r="Q35" s="140"/>
      <c r="R35" s="36">
        <f>+N35*2</f>
        <v>18.651999999999987</v>
      </c>
      <c r="S35" s="37">
        <f t="shared" si="9"/>
        <v>14.921599999999991</v>
      </c>
      <c r="T35" s="30">
        <f t="shared" si="10"/>
        <v>151767.59359999991</v>
      </c>
      <c r="U35" s="132"/>
      <c r="V35" s="128"/>
    </row>
    <row r="36" spans="1:22" s="28" customFormat="1" ht="83.4" customHeight="1">
      <c r="A36" s="16">
        <v>3</v>
      </c>
      <c r="B36" s="133" t="s">
        <v>86</v>
      </c>
      <c r="C36" s="134"/>
      <c r="D36" s="135"/>
      <c r="E36" s="55">
        <f t="shared" si="5"/>
        <v>45904</v>
      </c>
      <c r="F36" s="55">
        <f t="shared" si="6"/>
        <v>45904</v>
      </c>
      <c r="G36" s="131">
        <v>1</v>
      </c>
      <c r="H36" s="131">
        <v>1</v>
      </c>
      <c r="I36" s="150">
        <f>+H36*H$29*G36</f>
        <v>342854.87394957984</v>
      </c>
      <c r="J36" s="131">
        <v>6</v>
      </c>
      <c r="K36" s="150">
        <f>+J36*J$29*G36</f>
        <v>360103.52941176476</v>
      </c>
      <c r="L36" s="136">
        <f>I36+K36</f>
        <v>702958.40336134459</v>
      </c>
      <c r="M36" s="17">
        <f t="shared" si="7"/>
        <v>150</v>
      </c>
      <c r="N36" s="16">
        <f t="shared" si="8"/>
        <v>2.9799999999999898</v>
      </c>
      <c r="O36" s="60">
        <f t="shared" si="11"/>
        <v>446.99999999999847</v>
      </c>
      <c r="P36" s="30">
        <f t="shared" si="12"/>
        <v>4111.061145599986</v>
      </c>
      <c r="Q36" s="138" t="s">
        <v>119</v>
      </c>
      <c r="R36" s="36">
        <f>+N36*2</f>
        <v>5.9599999999999795</v>
      </c>
      <c r="S36" s="37">
        <f t="shared" si="9"/>
        <v>4.7679999999999838</v>
      </c>
      <c r="T36" s="30">
        <f t="shared" si="10"/>
        <v>48495.327999999834</v>
      </c>
      <c r="U36" s="145"/>
      <c r="V36" s="126" t="s">
        <v>78</v>
      </c>
    </row>
    <row r="37" spans="1:22" s="28" customFormat="1" ht="135.6" customHeight="1">
      <c r="A37" s="35">
        <v>4</v>
      </c>
      <c r="B37" s="175"/>
      <c r="C37" s="176"/>
      <c r="D37" s="177"/>
      <c r="E37" s="55">
        <f t="shared" si="5"/>
        <v>45904</v>
      </c>
      <c r="F37" s="55">
        <f t="shared" si="6"/>
        <v>45904</v>
      </c>
      <c r="G37" s="178"/>
      <c r="H37" s="178"/>
      <c r="I37" s="179"/>
      <c r="J37" s="178"/>
      <c r="K37" s="179"/>
      <c r="L37" s="189"/>
      <c r="M37" s="17">
        <f t="shared" si="7"/>
        <v>150</v>
      </c>
      <c r="N37" s="16">
        <f t="shared" si="8"/>
        <v>10.246000000000009</v>
      </c>
      <c r="O37" s="60">
        <f t="shared" si="11"/>
        <v>1536.9000000000015</v>
      </c>
      <c r="P37" s="30">
        <f t="shared" si="12"/>
        <v>14134.876677120013</v>
      </c>
      <c r="Q37" s="139"/>
      <c r="R37" s="36">
        <f>+N37*2</f>
        <v>20.492000000000019</v>
      </c>
      <c r="S37" s="37">
        <f t="shared" si="9"/>
        <v>16.393600000000017</v>
      </c>
      <c r="T37" s="30">
        <f t="shared" si="10"/>
        <v>166739.30560000017</v>
      </c>
      <c r="U37" s="188"/>
      <c r="V37" s="127"/>
    </row>
    <row r="38" spans="1:22" s="28" customFormat="1" ht="83.4" customHeight="1">
      <c r="A38" s="16">
        <v>5</v>
      </c>
      <c r="B38" s="147"/>
      <c r="C38" s="148"/>
      <c r="D38" s="149"/>
      <c r="E38" s="55">
        <f t="shared" si="5"/>
        <v>45904</v>
      </c>
      <c r="F38" s="55">
        <f t="shared" si="6"/>
        <v>45904</v>
      </c>
      <c r="G38" s="132"/>
      <c r="H38" s="132"/>
      <c r="I38" s="151"/>
      <c r="J38" s="132"/>
      <c r="K38" s="151"/>
      <c r="L38" s="137"/>
      <c r="M38" s="17">
        <f t="shared" si="7"/>
        <v>150</v>
      </c>
      <c r="N38" s="16">
        <f t="shared" si="8"/>
        <v>10.078000000000003</v>
      </c>
      <c r="O38" s="60">
        <f t="shared" si="11"/>
        <v>1511.7000000000005</v>
      </c>
      <c r="P38" s="30">
        <f t="shared" si="12"/>
        <v>13903.112156160005</v>
      </c>
      <c r="Q38" s="140"/>
      <c r="R38" s="36">
        <f>+N38*2</f>
        <v>20.156000000000006</v>
      </c>
      <c r="S38" s="37">
        <f t="shared" si="9"/>
        <v>16.124800000000004</v>
      </c>
      <c r="T38" s="30">
        <f t="shared" si="10"/>
        <v>164005.34080000003</v>
      </c>
      <c r="U38" s="146"/>
      <c r="V38" s="128"/>
    </row>
    <row r="39" spans="1:22" s="28" customFormat="1" ht="135.6" customHeight="1">
      <c r="A39" s="35">
        <v>6</v>
      </c>
      <c r="B39" s="133" t="s">
        <v>87</v>
      </c>
      <c r="C39" s="134"/>
      <c r="D39" s="135"/>
      <c r="E39" s="55">
        <f t="shared" si="5"/>
        <v>45906</v>
      </c>
      <c r="F39" s="55">
        <f t="shared" si="6"/>
        <v>45906</v>
      </c>
      <c r="G39" s="131">
        <v>1</v>
      </c>
      <c r="H39" s="131">
        <v>1</v>
      </c>
      <c r="I39" s="150">
        <f>+H39*H$29*G39</f>
        <v>342854.87394957984</v>
      </c>
      <c r="J39" s="131">
        <v>6</v>
      </c>
      <c r="K39" s="150">
        <f>+J39*J$29*G39</f>
        <v>360103.52941176476</v>
      </c>
      <c r="L39" s="136">
        <f t="shared" ref="L39:L43" si="13">I39+K39</f>
        <v>702958.40336134459</v>
      </c>
      <c r="M39" s="17">
        <f t="shared" si="7"/>
        <v>150</v>
      </c>
      <c r="N39" s="16">
        <f t="shared" si="8"/>
        <v>2.8499999999999943</v>
      </c>
      <c r="O39" s="60">
        <f t="shared" si="11"/>
        <v>427.49999999999915</v>
      </c>
      <c r="P39" s="30">
        <f t="shared" si="12"/>
        <v>3931.7195519999923</v>
      </c>
      <c r="Q39" s="138" t="s">
        <v>120</v>
      </c>
      <c r="R39" s="36">
        <f t="shared" ref="R39:R43" si="14">+N39*2</f>
        <v>5.6999999999999886</v>
      </c>
      <c r="S39" s="37">
        <f t="shared" si="9"/>
        <v>4.5599999999999907</v>
      </c>
      <c r="T39" s="30">
        <f t="shared" si="10"/>
        <v>46379.759999999907</v>
      </c>
      <c r="U39" s="145"/>
      <c r="V39" s="129" t="s">
        <v>78</v>
      </c>
    </row>
    <row r="40" spans="1:22" s="28" customFormat="1" ht="83.4" customHeight="1">
      <c r="A40" s="16">
        <v>7</v>
      </c>
      <c r="B40" s="147"/>
      <c r="C40" s="148"/>
      <c r="D40" s="149"/>
      <c r="E40" s="55">
        <f t="shared" si="5"/>
        <v>45906</v>
      </c>
      <c r="F40" s="55">
        <f t="shared" si="6"/>
        <v>45906</v>
      </c>
      <c r="G40" s="132"/>
      <c r="H40" s="132"/>
      <c r="I40" s="151"/>
      <c r="J40" s="132"/>
      <c r="K40" s="151"/>
      <c r="L40" s="137"/>
      <c r="M40" s="17">
        <f t="shared" si="7"/>
        <v>150</v>
      </c>
      <c r="N40" s="16">
        <f t="shared" si="8"/>
        <v>9.9099999999999966</v>
      </c>
      <c r="O40" s="60">
        <f t="shared" si="11"/>
        <v>1486.4999999999995</v>
      </c>
      <c r="P40" s="30">
        <f t="shared" si="12"/>
        <v>13671.347635199996</v>
      </c>
      <c r="Q40" s="140"/>
      <c r="R40" s="36">
        <f>+N40*2</f>
        <v>19.819999999999993</v>
      </c>
      <c r="S40" s="37">
        <f t="shared" si="9"/>
        <v>15.855999999999995</v>
      </c>
      <c r="T40" s="30">
        <f t="shared" si="10"/>
        <v>161271.37599999993</v>
      </c>
      <c r="U40" s="146"/>
      <c r="V40" s="129"/>
    </row>
    <row r="41" spans="1:22" s="28" customFormat="1" ht="155.4" customHeight="1">
      <c r="A41" s="35">
        <v>8</v>
      </c>
      <c r="B41" s="141" t="s">
        <v>88</v>
      </c>
      <c r="C41" s="141"/>
      <c r="D41" s="141"/>
      <c r="E41" s="55">
        <f t="shared" si="5"/>
        <v>45908</v>
      </c>
      <c r="F41" s="55">
        <f t="shared" si="6"/>
        <v>45908</v>
      </c>
      <c r="G41" s="16">
        <v>1</v>
      </c>
      <c r="H41" s="16">
        <v>1</v>
      </c>
      <c r="I41" s="104">
        <f>+H41*H$29*G41</f>
        <v>342854.87394957984</v>
      </c>
      <c r="J41" s="16">
        <v>6</v>
      </c>
      <c r="K41" s="104">
        <f>+J41*J$29*G41</f>
        <v>360103.52941176476</v>
      </c>
      <c r="L41" s="59">
        <f>I41+K41</f>
        <v>702958.40336134459</v>
      </c>
      <c r="M41" s="17">
        <f t="shared" si="7"/>
        <v>150</v>
      </c>
      <c r="N41" s="16">
        <f t="shared" si="8"/>
        <v>15.53400000000002</v>
      </c>
      <c r="O41" s="60">
        <f t="shared" si="11"/>
        <v>2330.1000000000031</v>
      </c>
      <c r="P41" s="30">
        <f t="shared" si="12"/>
        <v>21429.940884480027</v>
      </c>
      <c r="Q41" s="72" t="s">
        <v>121</v>
      </c>
      <c r="R41" s="36">
        <f>+N41*2</f>
        <v>31.06800000000004</v>
      </c>
      <c r="S41" s="37">
        <f t="shared" si="9"/>
        <v>24.854400000000034</v>
      </c>
      <c r="T41" s="38">
        <f t="shared" si="10"/>
        <v>252794.10240000035</v>
      </c>
      <c r="U41" s="102"/>
      <c r="V41" s="93" t="s">
        <v>78</v>
      </c>
    </row>
    <row r="42" spans="1:22" s="28" customFormat="1" ht="83.4" customHeight="1">
      <c r="A42" s="16">
        <v>9</v>
      </c>
      <c r="B42" s="141" t="s">
        <v>89</v>
      </c>
      <c r="C42" s="141"/>
      <c r="D42" s="141"/>
      <c r="E42" s="55">
        <f t="shared" si="5"/>
        <v>45918</v>
      </c>
      <c r="F42" s="55">
        <f t="shared" si="6"/>
        <v>45918</v>
      </c>
      <c r="G42" s="92">
        <v>1</v>
      </c>
      <c r="H42" s="92">
        <v>1</v>
      </c>
      <c r="I42" s="101">
        <f t="shared" ref="I42:I44" si="15">+H42*H$29*G42</f>
        <v>342854.87394957984</v>
      </c>
      <c r="J42" s="92">
        <v>5</v>
      </c>
      <c r="K42" s="101">
        <f>+J42*J$29*G42</f>
        <v>300086.27450980397</v>
      </c>
      <c r="L42" s="107">
        <f t="shared" si="13"/>
        <v>642941.14845938375</v>
      </c>
      <c r="M42" s="17">
        <f t="shared" si="7"/>
        <v>125</v>
      </c>
      <c r="N42" s="16">
        <f t="shared" si="8"/>
        <v>3.6080000000000041</v>
      </c>
      <c r="O42" s="60">
        <f t="shared" si="11"/>
        <v>451.00000000000051</v>
      </c>
      <c r="P42" s="30">
        <f t="shared" si="12"/>
        <v>4147.8491648000045</v>
      </c>
      <c r="Q42" s="108" t="s">
        <v>122</v>
      </c>
      <c r="R42" s="36">
        <f t="shared" si="14"/>
        <v>7.2160000000000082</v>
      </c>
      <c r="S42" s="37">
        <f t="shared" si="9"/>
        <v>5.7728000000000073</v>
      </c>
      <c r="T42" s="30">
        <f t="shared" si="10"/>
        <v>58715.148800000075</v>
      </c>
      <c r="U42" s="94"/>
      <c r="V42" s="93" t="s">
        <v>78</v>
      </c>
    </row>
    <row r="43" spans="1:22" s="28" customFormat="1" ht="131.4" customHeight="1">
      <c r="A43" s="35">
        <v>10</v>
      </c>
      <c r="B43" s="141" t="s">
        <v>89</v>
      </c>
      <c r="C43" s="167"/>
      <c r="D43" s="167"/>
      <c r="E43" s="55">
        <f t="shared" si="5"/>
        <v>45920</v>
      </c>
      <c r="F43" s="55">
        <f t="shared" si="6"/>
        <v>45920</v>
      </c>
      <c r="G43" s="16">
        <v>1</v>
      </c>
      <c r="H43" s="16">
        <v>1</v>
      </c>
      <c r="I43" s="25">
        <f t="shared" si="15"/>
        <v>342854.87394957984</v>
      </c>
      <c r="J43" s="16">
        <v>5</v>
      </c>
      <c r="K43" s="25">
        <f>+J43*J$29*G43</f>
        <v>300086.27450980397</v>
      </c>
      <c r="L43" s="59">
        <f t="shared" si="13"/>
        <v>642941.14845938375</v>
      </c>
      <c r="M43" s="17">
        <f t="shared" si="7"/>
        <v>125</v>
      </c>
      <c r="N43" s="16">
        <f t="shared" si="8"/>
        <v>15.544000000000011</v>
      </c>
      <c r="O43" s="60">
        <f t="shared" si="11"/>
        <v>1943.0000000000014</v>
      </c>
      <c r="P43" s="30">
        <f t="shared" si="12"/>
        <v>17869.780326400014</v>
      </c>
      <c r="Q43" s="108" t="s">
        <v>123</v>
      </c>
      <c r="R43" s="36">
        <f t="shared" si="14"/>
        <v>31.088000000000022</v>
      </c>
      <c r="S43" s="37">
        <f t="shared" si="9"/>
        <v>24.870400000000018</v>
      </c>
      <c r="T43" s="30">
        <f t="shared" si="10"/>
        <v>252956.83840000018</v>
      </c>
      <c r="U43" s="35"/>
      <c r="V43" s="93" t="s">
        <v>78</v>
      </c>
    </row>
    <row r="44" spans="1:22" s="28" customFormat="1" ht="151.19999999999999" customHeight="1">
      <c r="A44" s="16">
        <v>11</v>
      </c>
      <c r="B44" s="130" t="s">
        <v>117</v>
      </c>
      <c r="C44" s="130"/>
      <c r="D44" s="130"/>
      <c r="E44" s="55">
        <f t="shared" ref="E44:F44" si="16">C23</f>
        <v>45930</v>
      </c>
      <c r="F44" s="55">
        <f t="shared" si="16"/>
        <v>45930</v>
      </c>
      <c r="G44" s="16">
        <v>1</v>
      </c>
      <c r="H44" s="16">
        <v>1</v>
      </c>
      <c r="I44" s="104">
        <f t="shared" si="15"/>
        <v>342854.87394957984</v>
      </c>
      <c r="J44" s="16">
        <v>6</v>
      </c>
      <c r="K44" s="104">
        <f>+J44*J$29*G44</f>
        <v>360103.52941176476</v>
      </c>
      <c r="L44" s="109">
        <f>I44+K44</f>
        <v>702958.40336134459</v>
      </c>
      <c r="M44" s="17">
        <f t="shared" si="7"/>
        <v>150</v>
      </c>
      <c r="N44" s="16">
        <f t="shared" si="8"/>
        <v>6.8700000000000045</v>
      </c>
      <c r="O44" s="60">
        <f t="shared" si="11"/>
        <v>1030.5000000000007</v>
      </c>
      <c r="P44" s="30">
        <f t="shared" si="12"/>
        <v>9477.5134464000057</v>
      </c>
      <c r="Q44" s="108" t="s">
        <v>124</v>
      </c>
      <c r="R44" s="36">
        <f>+N44*2</f>
        <v>13.740000000000009</v>
      </c>
      <c r="S44" s="37">
        <f t="shared" si="9"/>
        <v>10.992000000000008</v>
      </c>
      <c r="T44" s="38">
        <f t="shared" si="10"/>
        <v>111799.63200000009</v>
      </c>
      <c r="U44" s="94"/>
      <c r="V44" s="93" t="s">
        <v>78</v>
      </c>
    </row>
    <row r="45" spans="1:22">
      <c r="A45" s="159" t="s">
        <v>56</v>
      </c>
      <c r="B45" s="160"/>
      <c r="C45" s="160"/>
      <c r="D45" s="160"/>
      <c r="E45" s="160"/>
      <c r="F45" s="160"/>
      <c r="G45" s="16"/>
      <c r="H45" s="16"/>
      <c r="I45" s="16"/>
      <c r="J45" s="16"/>
      <c r="K45" s="30"/>
      <c r="L45" s="16"/>
      <c r="M45" s="16"/>
      <c r="N45" s="16"/>
      <c r="O45" s="16"/>
      <c r="P45" s="16"/>
      <c r="Q45" s="16"/>
      <c r="R45" s="26"/>
      <c r="S45" s="37"/>
      <c r="T45" s="38"/>
    </row>
    <row r="46" spans="1:22">
      <c r="A46" s="160"/>
      <c r="B46" s="160"/>
      <c r="C46" s="160"/>
      <c r="D46" s="160"/>
      <c r="E46" s="160"/>
      <c r="F46" s="160"/>
      <c r="G46" s="161" t="s">
        <v>57</v>
      </c>
      <c r="H46" s="161"/>
      <c r="I46" s="110">
        <f>SUM(I34:I45)</f>
        <v>2399984.1176470588</v>
      </c>
      <c r="J46" s="110"/>
      <c r="K46" s="110">
        <f>SUM(K34:K45)</f>
        <v>2400690.1960784318</v>
      </c>
      <c r="L46" s="110">
        <f>SUM(L34:L45)</f>
        <v>4800674.3137254901</v>
      </c>
      <c r="M46" s="110"/>
      <c r="N46" s="110"/>
      <c r="O46" s="110"/>
      <c r="P46" s="110">
        <f>SUM(P34:P45)</f>
        <v>124394.08842240002</v>
      </c>
      <c r="Q46" s="110"/>
      <c r="R46" s="110"/>
      <c r="S46" s="110"/>
      <c r="T46" s="110">
        <f>SUM(T34:T45)</f>
        <v>1519335.8432000005</v>
      </c>
      <c r="U46" s="39"/>
    </row>
    <row r="47" spans="1:22">
      <c r="A47" s="160"/>
      <c r="B47" s="160"/>
      <c r="C47" s="160"/>
      <c r="D47" s="160"/>
      <c r="E47" s="160"/>
      <c r="F47" s="160"/>
      <c r="G47" s="16" t="s">
        <v>58</v>
      </c>
      <c r="H47" s="27">
        <v>0.19</v>
      </c>
      <c r="I47" s="110">
        <f>+$H$47*I46</f>
        <v>455996.98235294118</v>
      </c>
      <c r="J47" s="110"/>
      <c r="K47" s="110">
        <f>+$H$47*K46</f>
        <v>456131.13725490205</v>
      </c>
      <c r="L47" s="110">
        <f>+$H$47*L46</f>
        <v>912128.11960784311</v>
      </c>
      <c r="M47" s="110"/>
      <c r="N47" s="110"/>
      <c r="O47" s="110"/>
      <c r="P47" s="110">
        <v>0</v>
      </c>
      <c r="Q47" s="110"/>
      <c r="R47" s="110"/>
      <c r="S47" s="110"/>
      <c r="T47" s="110">
        <f>+$H$47*T46</f>
        <v>288673.81020800007</v>
      </c>
    </row>
    <row r="48" spans="1:22" ht="42" customHeight="1">
      <c r="A48" s="160"/>
      <c r="B48" s="160"/>
      <c r="C48" s="160"/>
      <c r="D48" s="160"/>
      <c r="E48" s="160"/>
      <c r="F48" s="160"/>
      <c r="G48" s="161" t="s">
        <v>59</v>
      </c>
      <c r="H48" s="161"/>
      <c r="I48" s="110">
        <f>+I46+I47</f>
        <v>2855981.1</v>
      </c>
      <c r="J48" s="110"/>
      <c r="K48" s="110">
        <f>+K46+K47</f>
        <v>2856821.333333334</v>
      </c>
      <c r="L48" s="110">
        <f>+L46+L47</f>
        <v>5712802.4333333336</v>
      </c>
      <c r="M48" s="110"/>
      <c r="N48" s="110"/>
      <c r="O48" s="110"/>
      <c r="P48" s="110">
        <f>+P46+P47</f>
        <v>124394.08842240002</v>
      </c>
      <c r="Q48" s="110"/>
      <c r="R48" s="110"/>
      <c r="S48" s="110"/>
      <c r="T48" s="110">
        <f>+T46+T47</f>
        <v>1808009.6534080005</v>
      </c>
      <c r="U48" s="39"/>
      <c r="V48" s="39"/>
    </row>
    <row r="49" spans="1:22">
      <c r="K49" s="2"/>
    </row>
    <row r="50" spans="1:22">
      <c r="K50" s="2"/>
      <c r="L50" s="39"/>
      <c r="N50" s="39"/>
      <c r="V50" s="39"/>
    </row>
    <row r="51" spans="1:22">
      <c r="K51" s="39"/>
      <c r="M51" s="51"/>
    </row>
    <row r="52" spans="1:22">
      <c r="A52" s="152" t="s">
        <v>83</v>
      </c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Q52" s="78"/>
    </row>
    <row r="56" spans="1:22">
      <c r="D56" s="152"/>
      <c r="E56" s="152"/>
      <c r="F56" s="152"/>
      <c r="I56" s="152"/>
      <c r="J56" s="152"/>
      <c r="K56" s="152"/>
    </row>
    <row r="57" spans="1:22">
      <c r="D57" s="158"/>
      <c r="E57" s="158"/>
      <c r="F57" s="158"/>
      <c r="I57" s="158"/>
      <c r="J57" s="158"/>
      <c r="K57" s="158"/>
    </row>
    <row r="58" spans="1:22">
      <c r="D58" s="152" t="s">
        <v>60</v>
      </c>
      <c r="E58" s="152"/>
      <c r="F58" s="152"/>
      <c r="I58" s="162" t="s">
        <v>61</v>
      </c>
      <c r="J58" s="162"/>
      <c r="K58" s="162"/>
    </row>
    <row r="59" spans="1:22">
      <c r="F59" s="152"/>
      <c r="G59" s="152"/>
      <c r="H59" s="152"/>
    </row>
    <row r="60" spans="1:22">
      <c r="F60" s="158"/>
      <c r="G60" s="158"/>
      <c r="H60" s="158"/>
    </row>
    <row r="61" spans="1:22">
      <c r="F61" s="152" t="s">
        <v>62</v>
      </c>
      <c r="G61" s="152"/>
      <c r="H61" s="152"/>
    </row>
    <row r="62" spans="1:22">
      <c r="O62" s="78"/>
    </row>
  </sheetData>
  <autoFilter ref="A12:V24" xr:uid="{FFF18737-93BF-4256-A8AF-DB101CD8B37D}"/>
  <mergeCells count="68">
    <mergeCell ref="S26:V26"/>
    <mergeCell ref="A1:M1"/>
    <mergeCell ref="A2:F2"/>
    <mergeCell ref="G2:M2"/>
    <mergeCell ref="E5:G5"/>
    <mergeCell ref="I5:K5"/>
    <mergeCell ref="D6:K6"/>
    <mergeCell ref="D7:K7"/>
    <mergeCell ref="D8:K8"/>
    <mergeCell ref="B10:K10"/>
    <mergeCell ref="A26:F26"/>
    <mergeCell ref="G26:L26"/>
    <mergeCell ref="A27:F29"/>
    <mergeCell ref="K28:K29"/>
    <mergeCell ref="L28:L29"/>
    <mergeCell ref="V28:V29"/>
    <mergeCell ref="M30:N30"/>
    <mergeCell ref="V31:V33"/>
    <mergeCell ref="B33:D33"/>
    <mergeCell ref="B34:D35"/>
    <mergeCell ref="G34:G35"/>
    <mergeCell ref="H34:H35"/>
    <mergeCell ref="I34:I35"/>
    <mergeCell ref="J34:J35"/>
    <mergeCell ref="K34:K35"/>
    <mergeCell ref="L34:L35"/>
    <mergeCell ref="Q34:Q35"/>
    <mergeCell ref="A31:F31"/>
    <mergeCell ref="G31:L31"/>
    <mergeCell ref="M31:Q31"/>
    <mergeCell ref="R31:T31"/>
    <mergeCell ref="U31:U33"/>
    <mergeCell ref="U34:U35"/>
    <mergeCell ref="V34:V35"/>
    <mergeCell ref="B36:D38"/>
    <mergeCell ref="G36:G38"/>
    <mergeCell ref="H36:H38"/>
    <mergeCell ref="I36:I38"/>
    <mergeCell ref="J36:J38"/>
    <mergeCell ref="K36:K38"/>
    <mergeCell ref="L36:L38"/>
    <mergeCell ref="V39:V40"/>
    <mergeCell ref="B41:D41"/>
    <mergeCell ref="Q36:Q38"/>
    <mergeCell ref="U36:U38"/>
    <mergeCell ref="V36:V38"/>
    <mergeCell ref="B39:D40"/>
    <mergeCell ref="G39:G40"/>
    <mergeCell ref="H39:H40"/>
    <mergeCell ref="I39:I40"/>
    <mergeCell ref="J39:J40"/>
    <mergeCell ref="K39:K40"/>
    <mergeCell ref="B42:D42"/>
    <mergeCell ref="B43:D43"/>
    <mergeCell ref="L39:L40"/>
    <mergeCell ref="Q39:Q40"/>
    <mergeCell ref="U39:U40"/>
    <mergeCell ref="F61:H61"/>
    <mergeCell ref="B44:D44"/>
    <mergeCell ref="A45:F48"/>
    <mergeCell ref="G46:H46"/>
    <mergeCell ref="G48:H48"/>
    <mergeCell ref="A52:M52"/>
    <mergeCell ref="D56:F57"/>
    <mergeCell ref="I56:K57"/>
    <mergeCell ref="D58:F58"/>
    <mergeCell ref="I58:K58"/>
    <mergeCell ref="F59:H60"/>
  </mergeCells>
  <pageMargins left="0.70866141732283505" right="0.70866141732283505" top="0.74803149606299202" bottom="0.74803149606299202" header="0.31496062992126" footer="0.31496062992126"/>
  <pageSetup paperSize="9" scale="13" orientation="portrait" r:id="rId1"/>
  <headerFooter>
    <oddHeader>&amp;CPágina &amp;P&amp;R&amp;A</oddHeader>
  </headerFooter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6145" r:id="rId4">
          <objectPr defaultSize="0" r:id="rId5">
            <anchor moveWithCells="1" sizeWithCells="1">
              <from>
                <xdr:col>20</xdr:col>
                <xdr:colOff>670560</xdr:colOff>
                <xdr:row>33</xdr:row>
                <xdr:rowOff>876300</xdr:rowOff>
              </from>
              <to>
                <xdr:col>20</xdr:col>
                <xdr:colOff>2979420</xdr:colOff>
                <xdr:row>34</xdr:row>
                <xdr:rowOff>403860</xdr:rowOff>
              </to>
            </anchor>
          </objectPr>
        </oleObject>
      </mc:Choice>
      <mc:Fallback>
        <oleObject progId="Objeto empaquetador del shell" dvAspect="DVASPECT_ICON" shapeId="6145" r:id="rId4"/>
      </mc:Fallback>
    </mc:AlternateContent>
    <mc:AlternateContent xmlns:mc="http://schemas.openxmlformats.org/markup-compatibility/2006">
      <mc:Choice Requires="x14">
        <oleObject progId="Objeto empaquetador del shell" dvAspect="DVASPECT_ICON" shapeId="6146" r:id="rId6">
          <objectPr defaultSize="0" r:id="rId7">
            <anchor moveWithCells="1" sizeWithCells="1">
              <from>
                <xdr:col>20</xdr:col>
                <xdr:colOff>708660</xdr:colOff>
                <xdr:row>36</xdr:row>
                <xdr:rowOff>563880</xdr:rowOff>
              </from>
              <to>
                <xdr:col>20</xdr:col>
                <xdr:colOff>3154680</xdr:colOff>
                <xdr:row>36</xdr:row>
                <xdr:rowOff>1082040</xdr:rowOff>
              </to>
            </anchor>
          </objectPr>
        </oleObject>
      </mc:Choice>
      <mc:Fallback>
        <oleObject progId="Objeto empaquetador del shell" dvAspect="DVASPECT_ICON" shapeId="6146" r:id="rId6"/>
      </mc:Fallback>
    </mc:AlternateContent>
    <mc:AlternateContent xmlns:mc="http://schemas.openxmlformats.org/markup-compatibility/2006">
      <mc:Choice Requires="x14">
        <oleObject progId="Objeto empaquetador del shell" dvAspect="DVASPECT_ICON" shapeId="6147" r:id="rId8">
          <objectPr defaultSize="0" r:id="rId9">
            <anchor moveWithCells="1" sizeWithCells="1">
              <from>
                <xdr:col>20</xdr:col>
                <xdr:colOff>662940</xdr:colOff>
                <xdr:row>40</xdr:row>
                <xdr:rowOff>670560</xdr:rowOff>
              </from>
              <to>
                <xdr:col>20</xdr:col>
                <xdr:colOff>3307080</xdr:colOff>
                <xdr:row>40</xdr:row>
                <xdr:rowOff>1188720</xdr:rowOff>
              </to>
            </anchor>
          </objectPr>
        </oleObject>
      </mc:Choice>
      <mc:Fallback>
        <oleObject progId="Objeto empaquetador del shell" dvAspect="DVASPECT_ICON" shapeId="6147" r:id="rId8"/>
      </mc:Fallback>
    </mc:AlternateContent>
    <mc:AlternateContent xmlns:mc="http://schemas.openxmlformats.org/markup-compatibility/2006">
      <mc:Choice Requires="x14">
        <oleObject progId="Objeto empaquetador del shell" dvAspect="DVASPECT_ICON" shapeId="6148" r:id="rId10">
          <objectPr defaultSize="0" r:id="rId11">
            <anchor moveWithCells="1" sizeWithCells="1">
              <from>
                <xdr:col>20</xdr:col>
                <xdr:colOff>624840</xdr:colOff>
                <xdr:row>38</xdr:row>
                <xdr:rowOff>1242060</xdr:rowOff>
              </from>
              <to>
                <xdr:col>20</xdr:col>
                <xdr:colOff>3032760</xdr:colOff>
                <xdr:row>39</xdr:row>
                <xdr:rowOff>38100</xdr:rowOff>
              </to>
            </anchor>
          </objectPr>
        </oleObject>
      </mc:Choice>
      <mc:Fallback>
        <oleObject progId="Objeto empaquetador del shell" dvAspect="DVASPECT_ICON" shapeId="6148" r:id="rId10"/>
      </mc:Fallback>
    </mc:AlternateContent>
    <mc:AlternateContent xmlns:mc="http://schemas.openxmlformats.org/markup-compatibility/2006">
      <mc:Choice Requires="x14">
        <oleObject progId="Objeto empaquetador del shell" dvAspect="DVASPECT_ICON" shapeId="6149" r:id="rId12">
          <objectPr defaultSize="0" r:id="rId13">
            <anchor moveWithCells="1" sizeWithCells="1">
              <from>
                <xdr:col>20</xdr:col>
                <xdr:colOff>548640</xdr:colOff>
                <xdr:row>41</xdr:row>
                <xdr:rowOff>236220</xdr:rowOff>
              </from>
              <to>
                <xdr:col>20</xdr:col>
                <xdr:colOff>3291840</xdr:colOff>
                <xdr:row>41</xdr:row>
                <xdr:rowOff>754380</xdr:rowOff>
              </to>
            </anchor>
          </objectPr>
        </oleObject>
      </mc:Choice>
      <mc:Fallback>
        <oleObject progId="Objeto empaquetador del shell" dvAspect="DVASPECT_ICON" shapeId="6149" r:id="rId12"/>
      </mc:Fallback>
    </mc:AlternateContent>
    <mc:AlternateContent xmlns:mc="http://schemas.openxmlformats.org/markup-compatibility/2006">
      <mc:Choice Requires="x14">
        <oleObject progId="Objeto empaquetador del shell" dvAspect="DVASPECT_ICON" shapeId="6150" r:id="rId14">
          <objectPr defaultSize="0" r:id="rId15">
            <anchor moveWithCells="1" sizeWithCells="1">
              <from>
                <xdr:col>20</xdr:col>
                <xdr:colOff>632460</xdr:colOff>
                <xdr:row>42</xdr:row>
                <xdr:rowOff>662940</xdr:rowOff>
              </from>
              <to>
                <xdr:col>20</xdr:col>
                <xdr:colOff>3070860</xdr:colOff>
                <xdr:row>42</xdr:row>
                <xdr:rowOff>1181100</xdr:rowOff>
              </to>
            </anchor>
          </objectPr>
        </oleObject>
      </mc:Choice>
      <mc:Fallback>
        <oleObject progId="Objeto empaquetador del shell" dvAspect="DVASPECT_ICON" shapeId="6150" r:id="rId14"/>
      </mc:Fallback>
    </mc:AlternateContent>
    <mc:AlternateContent xmlns:mc="http://schemas.openxmlformats.org/markup-compatibility/2006">
      <mc:Choice Requires="x14">
        <oleObject progId="Objeto empaquetador del shell" dvAspect="DVASPECT_ICON" shapeId="6151" r:id="rId16">
          <objectPr defaultSize="0" r:id="rId17">
            <anchor moveWithCells="1" sizeWithCells="1">
              <from>
                <xdr:col>20</xdr:col>
                <xdr:colOff>731520</xdr:colOff>
                <xdr:row>43</xdr:row>
                <xdr:rowOff>701040</xdr:rowOff>
              </from>
              <to>
                <xdr:col>20</xdr:col>
                <xdr:colOff>3147060</xdr:colOff>
                <xdr:row>43</xdr:row>
                <xdr:rowOff>1219200</xdr:rowOff>
              </to>
            </anchor>
          </objectPr>
        </oleObject>
      </mc:Choice>
      <mc:Fallback>
        <oleObject progId="Objeto empaquetador del shell" dvAspect="DVASPECT_ICON" shapeId="6151" r:id="rId16"/>
      </mc:Fallback>
    </mc:AlternateContent>
    <mc:AlternateContent xmlns:mc="http://schemas.openxmlformats.org/markup-compatibility/2006">
      <mc:Choice Requires="x14">
        <oleObject progId="Objeto empaquetador del shell" dvAspect="DVASPECT_ICON" shapeId="6155" r:id="rId18">
          <objectPr defaultSize="0" r:id="rId19">
            <anchor moveWithCells="1">
              <from>
                <xdr:col>20</xdr:col>
                <xdr:colOff>220980</xdr:colOff>
                <xdr:row>40</xdr:row>
                <xdr:rowOff>0</xdr:rowOff>
              </from>
              <to>
                <xdr:col>20</xdr:col>
                <xdr:colOff>3589020</xdr:colOff>
                <xdr:row>40</xdr:row>
                <xdr:rowOff>518160</xdr:rowOff>
              </to>
            </anchor>
          </objectPr>
        </oleObject>
      </mc:Choice>
      <mc:Fallback>
        <oleObject progId="Objeto empaquetador del shell" dvAspect="DVASPECT_ICON" shapeId="6155" r:id="rId1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7164-FA7A-4165-9CAE-14BA6CF341BB}">
  <dimension ref="C1:E14"/>
  <sheetViews>
    <sheetView workbookViewId="0"/>
  </sheetViews>
  <sheetFormatPr baseColWidth="10" defaultRowHeight="14.4"/>
  <cols>
    <col min="3" max="3" width="61.21875" bestFit="1" customWidth="1"/>
    <col min="4" max="4" width="18" customWidth="1"/>
    <col min="5" max="5" width="48.21875" customWidth="1"/>
  </cols>
  <sheetData>
    <row r="1" spans="3:5" ht="15" thickBot="1"/>
    <row r="2" spans="3:5" ht="15" thickBot="1">
      <c r="C2" s="190" t="s">
        <v>112</v>
      </c>
      <c r="D2" s="191"/>
      <c r="E2" s="192"/>
    </row>
    <row r="3" spans="3:5" ht="15" thickBot="1">
      <c r="C3" s="114" t="s">
        <v>97</v>
      </c>
      <c r="D3" s="114" t="s">
        <v>98</v>
      </c>
      <c r="E3" s="114" t="s">
        <v>99</v>
      </c>
    </row>
    <row r="4" spans="3:5">
      <c r="C4" s="116" t="s">
        <v>113</v>
      </c>
      <c r="D4" s="117">
        <v>780941586.60000002</v>
      </c>
      <c r="E4" s="118" t="s">
        <v>100</v>
      </c>
    </row>
    <row r="5" spans="3:5">
      <c r="C5" s="119" t="s">
        <v>101</v>
      </c>
      <c r="D5" s="115">
        <v>100000000</v>
      </c>
      <c r="E5" s="120" t="s">
        <v>102</v>
      </c>
    </row>
    <row r="6" spans="3:5" ht="28.8">
      <c r="C6" s="119" t="s">
        <v>104</v>
      </c>
      <c r="D6" s="115">
        <v>124919611.85841638</v>
      </c>
      <c r="E6" s="124" t="s">
        <v>116</v>
      </c>
    </row>
    <row r="7" spans="3:5">
      <c r="C7" s="119" t="s">
        <v>103</v>
      </c>
      <c r="D7" s="115">
        <f>D4-D5+D6</f>
        <v>805861198.45841646</v>
      </c>
      <c r="E7" s="120"/>
    </row>
    <row r="8" spans="3:5">
      <c r="C8" s="119" t="s">
        <v>114</v>
      </c>
      <c r="D8" s="115">
        <v>150000000</v>
      </c>
      <c r="E8" s="120" t="s">
        <v>115</v>
      </c>
    </row>
    <row r="9" spans="3:5">
      <c r="C9" s="119" t="s">
        <v>106</v>
      </c>
      <c r="D9" s="115">
        <v>400000000</v>
      </c>
      <c r="E9" s="120" t="s">
        <v>105</v>
      </c>
    </row>
    <row r="10" spans="3:5">
      <c r="C10" s="119" t="s">
        <v>107</v>
      </c>
      <c r="D10" s="115">
        <f>D7-D8-D9</f>
        <v>255861198.45841646</v>
      </c>
      <c r="E10" s="120"/>
    </row>
    <row r="11" spans="3:5">
      <c r="C11" s="119" t="s">
        <v>108</v>
      </c>
      <c r="D11" s="115">
        <v>130000000</v>
      </c>
      <c r="E11" s="120" t="s">
        <v>105</v>
      </c>
    </row>
    <row r="12" spans="3:5">
      <c r="C12" s="119" t="s">
        <v>109</v>
      </c>
      <c r="D12" s="115">
        <f>D10+D11</f>
        <v>385861198.45841646</v>
      </c>
      <c r="E12" s="120"/>
    </row>
    <row r="13" spans="3:5">
      <c r="C13" s="119" t="s">
        <v>110</v>
      </c>
      <c r="D13" s="115">
        <v>150000000</v>
      </c>
      <c r="E13" s="120" t="s">
        <v>105</v>
      </c>
    </row>
    <row r="14" spans="3:5" ht="15" thickBot="1">
      <c r="C14" s="121" t="s">
        <v>111</v>
      </c>
      <c r="D14" s="122">
        <f>D12-D13</f>
        <v>235861198.45841646</v>
      </c>
      <c r="E14" s="123"/>
    </row>
  </sheetData>
  <mergeCells count="1">
    <mergeCell ref="C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9987-DCF0-44BA-A6AC-E4C92920446B}">
  <dimension ref="C3:E12"/>
  <sheetViews>
    <sheetView workbookViewId="0"/>
  </sheetViews>
  <sheetFormatPr baseColWidth="10" defaultColWidth="11" defaultRowHeight="14.4"/>
  <cols>
    <col min="3" max="3" width="15.21875" customWidth="1"/>
    <col min="4" max="4" width="13.21875" customWidth="1"/>
    <col min="5" max="6" width="15.109375" customWidth="1"/>
  </cols>
  <sheetData>
    <row r="3" spans="3:5" ht="27.6">
      <c r="C3" s="24" t="s">
        <v>16</v>
      </c>
      <c r="D3" s="24" t="s">
        <v>17</v>
      </c>
      <c r="E3" s="21" t="s">
        <v>18</v>
      </c>
    </row>
    <row r="4" spans="3:5">
      <c r="C4" s="64" t="s">
        <v>23</v>
      </c>
      <c r="D4" s="35" t="s">
        <v>24</v>
      </c>
      <c r="E4" s="35">
        <v>388</v>
      </c>
    </row>
    <row r="5" spans="3:5">
      <c r="C5" s="64" t="s">
        <v>23</v>
      </c>
      <c r="D5" s="35" t="s">
        <v>24</v>
      </c>
      <c r="E5" s="35">
        <v>390.78</v>
      </c>
    </row>
    <row r="6" spans="3:5">
      <c r="C6" s="64" t="s">
        <v>23</v>
      </c>
      <c r="D6" s="35" t="s">
        <v>24</v>
      </c>
      <c r="E6" s="65">
        <v>389.55</v>
      </c>
    </row>
    <row r="7" spans="3:5">
      <c r="C7" s="64" t="s">
        <v>23</v>
      </c>
      <c r="D7" s="35" t="s">
        <v>24</v>
      </c>
      <c r="E7" s="65">
        <v>389.55</v>
      </c>
    </row>
    <row r="8" spans="3:5">
      <c r="C8" s="64" t="s">
        <v>23</v>
      </c>
      <c r="D8" s="35" t="s">
        <v>24</v>
      </c>
      <c r="E8" s="65">
        <v>387.1</v>
      </c>
    </row>
    <row r="9" spans="3:5">
      <c r="C9" s="64" t="s">
        <v>25</v>
      </c>
      <c r="D9" s="35" t="s">
        <v>26</v>
      </c>
      <c r="E9" s="65">
        <v>300.8</v>
      </c>
    </row>
    <row r="10" spans="3:5">
      <c r="C10" s="64" t="s">
        <v>23</v>
      </c>
      <c r="D10" s="35" t="s">
        <v>24</v>
      </c>
      <c r="E10" s="65">
        <v>389.55</v>
      </c>
    </row>
    <row r="11" spans="3:5">
      <c r="C11" s="64" t="s">
        <v>23</v>
      </c>
      <c r="D11" s="35" t="s">
        <v>24</v>
      </c>
      <c r="E11" s="66">
        <v>388.32499999999999</v>
      </c>
    </row>
    <row r="12" spans="3:5">
      <c r="C12" s="64" t="s">
        <v>23</v>
      </c>
      <c r="D12" s="35" t="s">
        <v>24</v>
      </c>
      <c r="E12" s="65">
        <v>392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C7A6-16F8-48BD-8D97-6BBB2F2DB42D}">
  <dimension ref="A1:M13"/>
  <sheetViews>
    <sheetView workbookViewId="0">
      <selection sqref="A1:M1"/>
    </sheetView>
  </sheetViews>
  <sheetFormatPr baseColWidth="10" defaultColWidth="11" defaultRowHeight="14.4"/>
  <cols>
    <col min="4" max="4" width="30.44140625" customWidth="1"/>
    <col min="5" max="5" width="22.77734375" customWidth="1"/>
    <col min="6" max="6" width="13.77734375" customWidth="1"/>
  </cols>
  <sheetData>
    <row r="1" spans="1:13">
      <c r="A1" s="193" t="s">
        <v>12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13" ht="15" thickBot="1">
      <c r="B2" s="31"/>
      <c r="C2" s="32"/>
      <c r="D2" s="32"/>
      <c r="E2" s="33"/>
      <c r="F2" s="33"/>
      <c r="G2" s="33"/>
      <c r="H2" s="31"/>
      <c r="I2" s="31"/>
      <c r="J2" s="31"/>
      <c r="K2" s="33"/>
    </row>
    <row r="3" spans="1:13" ht="55.2">
      <c r="A3" s="41" t="s">
        <v>63</v>
      </c>
      <c r="B3" s="42" t="s">
        <v>14</v>
      </c>
      <c r="C3" s="42" t="s">
        <v>15</v>
      </c>
      <c r="D3" s="43" t="s">
        <v>16</v>
      </c>
      <c r="E3" s="43" t="s">
        <v>17</v>
      </c>
      <c r="F3" s="41" t="s">
        <v>18</v>
      </c>
      <c r="G3" s="43" t="s">
        <v>19</v>
      </c>
      <c r="H3" s="43" t="s">
        <v>64</v>
      </c>
      <c r="I3" s="41" t="s">
        <v>65</v>
      </c>
      <c r="J3" s="43" t="s">
        <v>22</v>
      </c>
      <c r="K3" s="41" t="s">
        <v>66</v>
      </c>
      <c r="L3" s="41" t="s">
        <v>67</v>
      </c>
      <c r="M3" s="41" t="s">
        <v>68</v>
      </c>
    </row>
    <row r="4" spans="1:13">
      <c r="A4" s="16">
        <v>1</v>
      </c>
      <c r="B4" s="19">
        <v>45266</v>
      </c>
      <c r="C4" s="19">
        <v>45267</v>
      </c>
      <c r="D4" s="15" t="s">
        <v>69</v>
      </c>
      <c r="E4" s="16" t="s">
        <v>70</v>
      </c>
      <c r="F4" s="16">
        <v>223.72</v>
      </c>
      <c r="G4" s="16">
        <v>49.45</v>
      </c>
      <c r="H4" s="16">
        <v>262</v>
      </c>
      <c r="I4" s="16">
        <f t="shared" ref="I4" si="0">ABS(H4-G4)</f>
        <v>212.55</v>
      </c>
      <c r="J4" s="20">
        <f>I4*F4</f>
        <v>47551.686000000002</v>
      </c>
      <c r="K4" s="34">
        <v>19.16</v>
      </c>
      <c r="L4" s="34">
        <v>6.03</v>
      </c>
      <c r="M4" s="34">
        <f>K4-L4</f>
        <v>13.129999999999999</v>
      </c>
    </row>
    <row r="5" spans="1:13">
      <c r="A5" s="16">
        <v>2</v>
      </c>
      <c r="B5" s="19">
        <v>45267</v>
      </c>
      <c r="C5" s="19">
        <v>45268</v>
      </c>
      <c r="D5" s="15" t="s">
        <v>71</v>
      </c>
      <c r="E5" s="16" t="s">
        <v>24</v>
      </c>
      <c r="F5" s="16">
        <v>392</v>
      </c>
      <c r="G5" s="16">
        <v>262</v>
      </c>
      <c r="H5" s="16">
        <v>5</v>
      </c>
      <c r="I5" s="16">
        <f>ABS(H5-G5)</f>
        <v>257</v>
      </c>
      <c r="J5" s="20">
        <f>I5*F5</f>
        <v>100744</v>
      </c>
      <c r="K5" s="34">
        <v>19.5</v>
      </c>
      <c r="L5" s="34">
        <v>6.81</v>
      </c>
      <c r="M5" s="17">
        <f>K5-L5</f>
        <v>12.690000000000001</v>
      </c>
    </row>
    <row r="6" spans="1:13">
      <c r="A6" s="16">
        <v>3</v>
      </c>
      <c r="B6" s="44">
        <v>45271</v>
      </c>
      <c r="C6" s="44">
        <v>45272</v>
      </c>
      <c r="D6" s="45" t="s">
        <v>23</v>
      </c>
      <c r="E6" s="45" t="s">
        <v>24</v>
      </c>
      <c r="F6" s="40">
        <v>392</v>
      </c>
      <c r="G6" s="16">
        <v>262</v>
      </c>
      <c r="H6" s="16">
        <v>5</v>
      </c>
      <c r="I6" s="16">
        <f t="shared" ref="I6:I8" si="1">ABS(H6-G6)</f>
        <v>257</v>
      </c>
      <c r="J6" s="20">
        <f>I6*F6</f>
        <v>100744</v>
      </c>
      <c r="K6" s="40">
        <v>14.55</v>
      </c>
      <c r="L6" s="34">
        <v>2.36</v>
      </c>
      <c r="M6" s="34">
        <f>K6-L6</f>
        <v>12.190000000000001</v>
      </c>
    </row>
    <row r="7" spans="1:13">
      <c r="A7" s="16">
        <v>4</v>
      </c>
      <c r="B7" s="44">
        <v>45272</v>
      </c>
      <c r="C7" s="44">
        <v>45273</v>
      </c>
      <c r="D7" s="40" t="s">
        <v>72</v>
      </c>
      <c r="E7" s="40" t="s">
        <v>70</v>
      </c>
      <c r="F7" s="40">
        <v>224</v>
      </c>
      <c r="G7" s="16">
        <v>49.45</v>
      </c>
      <c r="H7" s="16">
        <v>262</v>
      </c>
      <c r="I7" s="16">
        <f t="shared" si="1"/>
        <v>212.55</v>
      </c>
      <c r="J7" s="20">
        <f t="shared" ref="J7:J8" si="2">I7*F7</f>
        <v>47611.200000000004</v>
      </c>
      <c r="K7" s="40">
        <v>17.25</v>
      </c>
      <c r="L7" s="34">
        <v>4.16</v>
      </c>
      <c r="M7" s="34">
        <f t="shared" ref="M7:M8" si="3">K7-L7</f>
        <v>13.09</v>
      </c>
    </row>
    <row r="8" spans="1:13">
      <c r="A8" s="16">
        <v>5</v>
      </c>
      <c r="B8" s="44">
        <v>45273</v>
      </c>
      <c r="C8" s="44">
        <v>45274</v>
      </c>
      <c r="D8" s="45" t="s">
        <v>23</v>
      </c>
      <c r="E8" s="45" t="s">
        <v>24</v>
      </c>
      <c r="F8" s="40">
        <v>392</v>
      </c>
      <c r="G8" s="16">
        <v>262</v>
      </c>
      <c r="H8" s="16">
        <v>5</v>
      </c>
      <c r="I8" s="16">
        <f t="shared" si="1"/>
        <v>257</v>
      </c>
      <c r="J8" s="20">
        <f t="shared" si="2"/>
        <v>100744</v>
      </c>
      <c r="K8" s="40">
        <v>20.03</v>
      </c>
      <c r="L8" s="34">
        <v>4.3600000000000003</v>
      </c>
      <c r="M8" s="34">
        <f t="shared" si="3"/>
        <v>15.670000000000002</v>
      </c>
    </row>
    <row r="9" spans="1:13">
      <c r="A9" s="16">
        <v>6</v>
      </c>
      <c r="B9" s="44">
        <v>45275</v>
      </c>
      <c r="C9" s="44">
        <v>45276</v>
      </c>
      <c r="D9" s="45" t="s">
        <v>23</v>
      </c>
      <c r="E9" s="45" t="s">
        <v>24</v>
      </c>
      <c r="F9" s="40">
        <v>392</v>
      </c>
      <c r="G9" s="16">
        <v>262</v>
      </c>
      <c r="H9" s="16">
        <v>5</v>
      </c>
      <c r="I9" s="16">
        <f>ABS(H9-G9)</f>
        <v>257</v>
      </c>
      <c r="J9" s="20">
        <f>I9*F9</f>
        <v>100744</v>
      </c>
      <c r="K9" s="40">
        <v>16.13</v>
      </c>
      <c r="L9" s="34"/>
      <c r="M9" s="17">
        <f>K9-L9</f>
        <v>16.13</v>
      </c>
    </row>
    <row r="10" spans="1:13">
      <c r="A10" s="16">
        <v>7</v>
      </c>
      <c r="B10" s="44">
        <v>45278</v>
      </c>
      <c r="C10" s="44">
        <v>45279</v>
      </c>
      <c r="D10" s="40" t="s">
        <v>72</v>
      </c>
      <c r="E10" s="40" t="s">
        <v>70</v>
      </c>
      <c r="F10" s="40">
        <v>270</v>
      </c>
      <c r="G10" s="16">
        <v>49.45</v>
      </c>
      <c r="H10" s="16">
        <v>262</v>
      </c>
      <c r="I10" s="16">
        <f t="shared" ref="I10:I12" si="4">ABS(H10-G10)</f>
        <v>212.55</v>
      </c>
      <c r="J10" s="20">
        <f>I10*F10</f>
        <v>57388.5</v>
      </c>
      <c r="K10" s="40">
        <v>28.11</v>
      </c>
      <c r="L10" s="34">
        <v>14.25</v>
      </c>
      <c r="M10" s="34">
        <f>K10-L10</f>
        <v>13.86</v>
      </c>
    </row>
    <row r="11" spans="1:13">
      <c r="A11" s="16">
        <v>8</v>
      </c>
      <c r="B11" s="44">
        <v>45280</v>
      </c>
      <c r="C11" s="44">
        <v>45281</v>
      </c>
      <c r="D11" s="45" t="s">
        <v>23</v>
      </c>
      <c r="E11" s="45" t="s">
        <v>24</v>
      </c>
      <c r="F11" s="40">
        <v>391.95</v>
      </c>
      <c r="G11" s="16">
        <v>262</v>
      </c>
      <c r="H11" s="16">
        <v>5</v>
      </c>
      <c r="I11" s="16">
        <f t="shared" si="4"/>
        <v>257</v>
      </c>
      <c r="J11" s="20">
        <f t="shared" ref="J11" si="5">I11*F11</f>
        <v>100731.15</v>
      </c>
      <c r="K11" s="40">
        <v>14.09</v>
      </c>
      <c r="L11" s="34">
        <v>1.55</v>
      </c>
      <c r="M11" s="34">
        <f t="shared" ref="M11:M12" si="6">K11-L11</f>
        <v>12.54</v>
      </c>
    </row>
    <row r="12" spans="1:13">
      <c r="A12" s="16">
        <v>9</v>
      </c>
      <c r="B12" s="44">
        <v>45282</v>
      </c>
      <c r="C12" s="44">
        <v>45283</v>
      </c>
      <c r="D12" s="45" t="s">
        <v>23</v>
      </c>
      <c r="E12" s="45" t="s">
        <v>24</v>
      </c>
      <c r="F12" s="40">
        <v>390.8</v>
      </c>
      <c r="G12" s="16">
        <v>262</v>
      </c>
      <c r="H12" s="16">
        <v>5</v>
      </c>
      <c r="I12" s="16">
        <f t="shared" si="4"/>
        <v>257</v>
      </c>
      <c r="J12" s="20">
        <f>I12*F12</f>
        <v>100435.6</v>
      </c>
      <c r="K12" s="40">
        <v>18.45</v>
      </c>
      <c r="L12" s="34">
        <v>5.03</v>
      </c>
      <c r="M12" s="34">
        <f t="shared" si="6"/>
        <v>13.419999999999998</v>
      </c>
    </row>
    <row r="13" spans="1:13">
      <c r="A13" s="4"/>
      <c r="B13" s="3"/>
      <c r="C13" s="3"/>
      <c r="D13" s="4"/>
      <c r="E13" s="46" t="s">
        <v>27</v>
      </c>
      <c r="F13" s="47">
        <f>ROUND(SUM(F4:F12),0)</f>
        <v>3068</v>
      </c>
      <c r="G13" s="2"/>
      <c r="H13" s="2" t="s">
        <v>73</v>
      </c>
      <c r="I13" s="48">
        <f>SUM(I4:I12)</f>
        <v>2179.6499999999996</v>
      </c>
      <c r="J13" s="49">
        <f>SUM(J4:J12)</f>
        <v>756694.13599999994</v>
      </c>
      <c r="M13" s="50">
        <f>AVERAGE(M4:M12)</f>
        <v>13.635555555555557</v>
      </c>
    </row>
  </sheetData>
  <mergeCells count="1">
    <mergeCell ref="A1: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Formato carga </vt:lpstr>
      <vt:lpstr>Argos</vt:lpstr>
      <vt:lpstr>Ferreobelen</vt:lpstr>
      <vt:lpstr>Hoja2</vt:lpstr>
      <vt:lpstr>Hoja1</vt:lpstr>
      <vt:lpstr>Tiempos</vt:lpstr>
      <vt:lpstr>Argos!Área_de_impresión</vt:lpstr>
      <vt:lpstr>Ferreobelen!Área_de_impresión</vt:lpstr>
      <vt:lpstr>'Formato carga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</dc:creator>
  <cp:keywords/>
  <dc:description/>
  <cp:lastModifiedBy>jony florez ortiz</cp:lastModifiedBy>
  <cp:revision/>
  <cp:lastPrinted>2025-10-03T02:05:16Z</cp:lastPrinted>
  <dcterms:created xsi:type="dcterms:W3CDTF">2023-06-24T15:39:00Z</dcterms:created>
  <dcterms:modified xsi:type="dcterms:W3CDTF">2025-11-01T14:02:35Z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E2B30FFA82DA4B53A9C84DD9B934FAE8_13</vt:lpwstr>
  </property>
  <property fmtid="{D5CDD505-2E9C-101B-9397-08002B2CF9AE}" pid="3" name="KSOProductBuildVer">
    <vt:lpwstr>3082-12.2.0.13215</vt:lpwstr>
  </property>
</Properties>
</file>